
<file path=[Content_Types].xml><?xml version="1.0" encoding="utf-8"?>
<Types xmlns="http://schemas.openxmlformats.org/package/2006/content-types">
  <Default Extension="bin" ContentType="application/vnd.openxmlformats-officedocument.spreadsheetml.customProperty"/>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6600" yWindow="-288" windowWidth="19428" windowHeight="11856" firstSheet="1" activeTab="2"/>
  </bookViews>
  <sheets>
    <sheet name="DV-IDENTITY-0" sheetId="7" state="veryHidden" r:id="rId1"/>
    <sheet name="READ ME" sheetId="15" r:id="rId2"/>
    <sheet name="Main - US" sheetId="11" r:id="rId3"/>
  </sheets>
  <externalReferences>
    <externalReference r:id="rId4"/>
  </externalReferences>
  <definedNames>
    <definedName name="_xlnm.Print_Area" localSheetId="2">'Main - US'!$A$8:$K$60</definedName>
    <definedName name="_xlnm.Print_Area" localSheetId="1">'READ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32" i="11" l="1"/>
  <c r="C12" i="15" l="1"/>
  <c r="AC18" i="11" l="1"/>
  <c r="W18" i="11"/>
  <c r="W19" i="11" s="1"/>
  <c r="W20" i="11" s="1"/>
  <c r="W21" i="11" s="1"/>
  <c r="W22" i="11" s="1"/>
  <c r="AB17" i="11"/>
  <c r="C28" i="11"/>
  <c r="C27" i="11"/>
  <c r="C26" i="11"/>
  <c r="F28" i="11" l="1"/>
  <c r="W23" i="11"/>
  <c r="W24" i="11" s="1"/>
  <c r="W25" i="11" s="1"/>
  <c r="W26" i="11" s="1"/>
  <c r="W27" i="11" s="1"/>
  <c r="W28" i="11" s="1"/>
  <c r="W29" i="11" s="1"/>
  <c r="W30" i="11" s="1"/>
  <c r="W31" i="11" s="1"/>
  <c r="W32" i="11" s="1"/>
  <c r="W33" i="11" s="1"/>
  <c r="W34" i="11" s="1"/>
  <c r="W35" i="11" s="1"/>
  <c r="W36" i="11" s="1"/>
  <c r="W37" i="11" s="1"/>
  <c r="W38" i="11" s="1"/>
  <c r="W39" i="11" s="1"/>
  <c r="W40" i="11" s="1"/>
  <c r="W41" i="11" s="1"/>
  <c r="W42" i="11" s="1"/>
  <c r="W43" i="11" s="1"/>
  <c r="W44" i="11" s="1"/>
  <c r="W45" i="11" s="1"/>
  <c r="W46" i="11" s="1"/>
  <c r="W47" i="11" s="1"/>
  <c r="W48" i="11" s="1"/>
  <c r="W49" i="11" s="1"/>
  <c r="W50" i="11" s="1"/>
  <c r="W51" i="11" s="1"/>
  <c r="W52" i="11" s="1"/>
  <c r="W53" i="11" s="1"/>
  <c r="X53" i="11" s="1"/>
  <c r="Y53" i="11" s="1"/>
  <c r="X22" i="11"/>
  <c r="Y22" i="11" s="1"/>
  <c r="X18" i="11"/>
  <c r="Y18" i="11" s="1"/>
  <c r="X21" i="11"/>
  <c r="Y21" i="11" s="1"/>
  <c r="X20" i="11"/>
  <c r="Y20" i="11" s="1"/>
  <c r="X19" i="11"/>
  <c r="Y19" i="11" s="1"/>
  <c r="F26" i="11"/>
  <c r="F27" i="11"/>
  <c r="C31" i="11"/>
  <c r="C30" i="11"/>
  <c r="X37" i="11" l="1"/>
  <c r="Y37" i="11" s="1"/>
  <c r="X38" i="11"/>
  <c r="Y38" i="11" s="1"/>
  <c r="X40" i="11"/>
  <c r="Y40" i="11" s="1"/>
  <c r="X26" i="11"/>
  <c r="Y26" i="11" s="1"/>
  <c r="X46" i="11"/>
  <c r="Y46" i="11" s="1"/>
  <c r="X28" i="11"/>
  <c r="Y28" i="11" s="1"/>
  <c r="X23" i="11"/>
  <c r="Y23" i="11" s="1"/>
  <c r="X25" i="11"/>
  <c r="Y25" i="11" s="1"/>
  <c r="X39" i="11"/>
  <c r="Y39" i="11" s="1"/>
  <c r="X24" i="11"/>
  <c r="Y24" i="11" s="1"/>
  <c r="X30" i="11"/>
  <c r="Y30" i="11" s="1"/>
  <c r="X32" i="11"/>
  <c r="Y32" i="11" s="1"/>
  <c r="X48" i="11"/>
  <c r="Y48" i="11" s="1"/>
  <c r="X51" i="11"/>
  <c r="Y51" i="11" s="1"/>
  <c r="X41" i="11"/>
  <c r="Y41" i="11" s="1"/>
  <c r="X31" i="11"/>
  <c r="Y31" i="11" s="1"/>
  <c r="X27" i="11"/>
  <c r="Y27" i="11" s="1"/>
  <c r="X35" i="11"/>
  <c r="Y35" i="11" s="1"/>
  <c r="X44" i="11"/>
  <c r="Y44" i="11" s="1"/>
  <c r="X42" i="11"/>
  <c r="Y42" i="11" s="1"/>
  <c r="X49" i="11"/>
  <c r="Y49" i="11" s="1"/>
  <c r="X34" i="11"/>
  <c r="Y34" i="11" s="1"/>
  <c r="X50" i="11"/>
  <c r="Y50" i="11" s="1"/>
  <c r="X45" i="11"/>
  <c r="Y45" i="11" s="1"/>
  <c r="X47" i="11"/>
  <c r="Y47" i="11" s="1"/>
  <c r="X43" i="11"/>
  <c r="Y43" i="11" s="1"/>
  <c r="X52" i="11"/>
  <c r="Y52" i="11" s="1"/>
  <c r="X36" i="11"/>
  <c r="Y36" i="11" s="1"/>
  <c r="X33" i="11"/>
  <c r="Y33" i="11" s="1"/>
  <c r="X29" i="11"/>
  <c r="Y29" i="11" s="1"/>
  <c r="Y55" i="11" l="1"/>
  <c r="B12" i="11"/>
  <c r="F11" i="11"/>
  <c r="L10" i="11"/>
  <c r="F10" i="11"/>
  <c r="J9" i="11"/>
  <c r="F9" i="11"/>
  <c r="J8" i="11"/>
  <c r="F8" i="11"/>
  <c r="X7" i="11"/>
  <c r="X6" i="11"/>
  <c r="X5" i="11"/>
  <c r="X4" i="11"/>
  <c r="X3" i="11"/>
  <c r="X2" i="11"/>
  <c r="X1" i="11"/>
  <c r="G1" i="11" s="1"/>
  <c r="E56" i="11" l="1"/>
  <c r="AC21" i="11"/>
  <c r="AC22" i="11" s="1"/>
  <c r="W55" i="11"/>
  <c r="AC19" i="11"/>
  <c r="J10" i="11"/>
  <c r="E55" i="11" l="1"/>
  <c r="AA18" i="11"/>
  <c r="AA19" i="11" s="1"/>
  <c r="AA22" i="11" s="1"/>
  <c r="A300" i="7"/>
  <c r="B300" i="7"/>
  <c r="C300" i="7"/>
  <c r="D300" i="7"/>
  <c r="E300" i="7"/>
  <c r="F300" i="7"/>
  <c r="G300" i="7"/>
  <c r="H300" i="7"/>
  <c r="I300" i="7"/>
  <c r="J300" i="7"/>
  <c r="K300" i="7"/>
  <c r="L300" i="7"/>
  <c r="M300" i="7"/>
  <c r="N300" i="7"/>
  <c r="O300" i="7"/>
  <c r="P300" i="7"/>
  <c r="Q300" i="7"/>
  <c r="R300" i="7"/>
  <c r="S300" i="7"/>
  <c r="T300" i="7"/>
  <c r="U300" i="7"/>
  <c r="V300" i="7"/>
  <c r="W300" i="7"/>
  <c r="A299" i="7"/>
  <c r="B299" i="7"/>
  <c r="C299" i="7"/>
  <c r="D299" i="7"/>
  <c r="E299" i="7"/>
  <c r="F299" i="7"/>
  <c r="G299" i="7"/>
  <c r="H299" i="7"/>
  <c r="I299" i="7"/>
  <c r="J299" i="7"/>
  <c r="K299" i="7"/>
  <c r="L299" i="7"/>
  <c r="M299" i="7"/>
  <c r="N299" i="7"/>
  <c r="O299" i="7"/>
  <c r="P299" i="7"/>
  <c r="Q299" i="7"/>
  <c r="R299" i="7"/>
  <c r="S299" i="7"/>
  <c r="T299" i="7"/>
  <c r="U299" i="7"/>
  <c r="V299" i="7"/>
  <c r="W299" i="7"/>
  <c r="X299" i="7"/>
  <c r="Y299" i="7"/>
  <c r="Z299" i="7"/>
  <c r="AA299" i="7"/>
  <c r="AB299" i="7"/>
  <c r="AC299" i="7"/>
  <c r="AD299" i="7"/>
  <c r="AE299" i="7"/>
  <c r="AF299" i="7"/>
  <c r="AG299" i="7"/>
  <c r="AH299" i="7"/>
  <c r="AI299" i="7"/>
  <c r="AJ299" i="7"/>
  <c r="AK299" i="7"/>
  <c r="AL299" i="7"/>
  <c r="AM299" i="7"/>
  <c r="AN299" i="7"/>
  <c r="AO299" i="7"/>
  <c r="AP299" i="7"/>
  <c r="AQ299" i="7"/>
  <c r="AR299" i="7"/>
  <c r="AS299" i="7"/>
  <c r="AT299" i="7"/>
  <c r="AU299" i="7"/>
  <c r="AV299" i="7"/>
  <c r="AW299" i="7"/>
  <c r="AX299" i="7"/>
  <c r="AY299" i="7"/>
  <c r="AZ299" i="7"/>
  <c r="BA299" i="7"/>
  <c r="BB299" i="7"/>
  <c r="BC299" i="7"/>
  <c r="BD299" i="7"/>
  <c r="BE299" i="7"/>
  <c r="BF299" i="7"/>
  <c r="BG299" i="7"/>
  <c r="BH299" i="7"/>
  <c r="BI299" i="7"/>
  <c r="BJ299" i="7"/>
  <c r="BK299" i="7"/>
  <c r="BL299" i="7"/>
  <c r="BM299" i="7"/>
  <c r="BN299" i="7"/>
  <c r="BO299" i="7"/>
  <c r="BP299" i="7"/>
  <c r="BQ299" i="7"/>
  <c r="BR299" i="7"/>
  <c r="BS299" i="7"/>
  <c r="BT299" i="7"/>
  <c r="BU299" i="7"/>
  <c r="BV299" i="7"/>
  <c r="BW299" i="7"/>
  <c r="BX299" i="7"/>
  <c r="BY299" i="7"/>
  <c r="BZ299" i="7"/>
  <c r="CA299" i="7"/>
  <c r="CB299" i="7"/>
  <c r="CC299" i="7"/>
  <c r="CD299" i="7"/>
  <c r="CE299" i="7"/>
  <c r="CF299" i="7"/>
  <c r="CG299" i="7"/>
  <c r="CH299" i="7"/>
  <c r="CI299" i="7"/>
  <c r="CJ299" i="7"/>
  <c r="CK299" i="7"/>
  <c r="CL299" i="7"/>
  <c r="CM299" i="7"/>
  <c r="CN299" i="7"/>
  <c r="CO299" i="7"/>
  <c r="CP299" i="7"/>
  <c r="CQ299" i="7"/>
  <c r="CR299" i="7"/>
  <c r="CS299" i="7"/>
  <c r="CT299" i="7"/>
  <c r="CU299" i="7"/>
  <c r="CV299" i="7"/>
  <c r="CW299" i="7"/>
  <c r="CX299" i="7"/>
  <c r="CY299" i="7"/>
  <c r="CZ299" i="7"/>
  <c r="DA299" i="7"/>
  <c r="DB299" i="7"/>
  <c r="DC299" i="7"/>
  <c r="DD299" i="7"/>
  <c r="DE299" i="7"/>
  <c r="DF299" i="7"/>
  <c r="DG299" i="7"/>
  <c r="DH299" i="7"/>
  <c r="DI299" i="7"/>
  <c r="DJ299" i="7"/>
  <c r="DK299" i="7"/>
  <c r="DL299" i="7"/>
  <c r="DM299" i="7"/>
  <c r="DN299" i="7"/>
  <c r="DO299" i="7"/>
  <c r="DP299" i="7"/>
  <c r="DQ299" i="7"/>
  <c r="DR299" i="7"/>
  <c r="DS299" i="7"/>
  <c r="DT299" i="7"/>
  <c r="DU299" i="7"/>
  <c r="DV299" i="7"/>
  <c r="DW299" i="7"/>
  <c r="DX299" i="7"/>
  <c r="DY299" i="7"/>
  <c r="DZ299" i="7"/>
  <c r="EA299" i="7"/>
  <c r="EB299" i="7"/>
  <c r="EC299" i="7"/>
  <c r="ED299" i="7"/>
  <c r="EE299" i="7"/>
  <c r="EF299" i="7"/>
  <c r="EG299" i="7"/>
  <c r="EH299" i="7"/>
  <c r="EI299" i="7"/>
  <c r="EJ299" i="7"/>
  <c r="EK299" i="7"/>
  <c r="EL299" i="7"/>
  <c r="EM299" i="7"/>
  <c r="EN299" i="7"/>
  <c r="EO299" i="7"/>
  <c r="EP299" i="7"/>
  <c r="EQ299" i="7"/>
  <c r="ER299" i="7"/>
  <c r="ES299" i="7"/>
  <c r="ET299" i="7"/>
  <c r="EU299" i="7"/>
  <c r="EV299" i="7"/>
  <c r="EW299" i="7"/>
  <c r="EX299" i="7"/>
  <c r="EY299" i="7"/>
  <c r="EZ299" i="7"/>
  <c r="FA299" i="7"/>
  <c r="FB299" i="7"/>
  <c r="FC299" i="7"/>
  <c r="FD299" i="7"/>
  <c r="FE299" i="7"/>
  <c r="FF299" i="7"/>
  <c r="FG299" i="7"/>
  <c r="FH299" i="7"/>
  <c r="FI299" i="7"/>
  <c r="FJ299" i="7"/>
  <c r="FK299" i="7"/>
  <c r="FL299" i="7"/>
  <c r="FM299" i="7"/>
  <c r="FN299" i="7"/>
  <c r="FO299" i="7"/>
  <c r="FP299" i="7"/>
  <c r="FQ299" i="7"/>
  <c r="FR299" i="7"/>
  <c r="FS299" i="7"/>
  <c r="FT299" i="7"/>
  <c r="FU299" i="7"/>
  <c r="FV299" i="7"/>
  <c r="FW299" i="7"/>
  <c r="FX299" i="7"/>
  <c r="FY299" i="7"/>
  <c r="FZ299" i="7"/>
  <c r="GA299" i="7"/>
  <c r="GB299" i="7"/>
  <c r="GC299" i="7"/>
  <c r="GD299" i="7"/>
  <c r="GE299" i="7"/>
  <c r="GF299" i="7"/>
  <c r="GG299" i="7"/>
  <c r="GH299" i="7"/>
  <c r="GI299" i="7"/>
  <c r="GJ299" i="7"/>
  <c r="GK299" i="7"/>
  <c r="GL299" i="7"/>
  <c r="GM299" i="7"/>
  <c r="GN299" i="7"/>
  <c r="GO299" i="7"/>
  <c r="GP299" i="7"/>
  <c r="GQ299" i="7"/>
  <c r="GR299" i="7"/>
  <c r="GS299" i="7"/>
  <c r="GT299" i="7"/>
  <c r="GU299" i="7"/>
  <c r="GV299" i="7"/>
  <c r="GW299" i="7"/>
  <c r="GX299" i="7"/>
  <c r="GY299" i="7"/>
  <c r="GZ299" i="7"/>
  <c r="HA299" i="7"/>
  <c r="HB299" i="7"/>
  <c r="HC299" i="7"/>
  <c r="HD299" i="7"/>
  <c r="HE299" i="7"/>
  <c r="HF299" i="7"/>
  <c r="HG299" i="7"/>
  <c r="HH299" i="7"/>
  <c r="HI299" i="7"/>
  <c r="HJ299" i="7"/>
  <c r="HK299" i="7"/>
  <c r="HL299" i="7"/>
  <c r="HM299" i="7"/>
  <c r="HN299" i="7"/>
  <c r="HO299" i="7"/>
  <c r="HP299" i="7"/>
  <c r="HQ299" i="7"/>
  <c r="HR299" i="7"/>
  <c r="HS299" i="7"/>
  <c r="HT299" i="7"/>
  <c r="HU299" i="7"/>
  <c r="HV299" i="7"/>
  <c r="HW299" i="7"/>
  <c r="HX299" i="7"/>
  <c r="HY299" i="7"/>
  <c r="HZ299" i="7"/>
  <c r="IA299" i="7"/>
  <c r="IB299" i="7"/>
  <c r="IC299" i="7"/>
  <c r="ID299" i="7"/>
  <c r="IE299" i="7"/>
  <c r="IF299" i="7"/>
  <c r="IG299" i="7"/>
  <c r="IH299" i="7"/>
  <c r="II299" i="7"/>
  <c r="IJ299" i="7"/>
  <c r="IK299" i="7"/>
  <c r="IL299" i="7"/>
  <c r="IM299" i="7"/>
  <c r="IN299" i="7"/>
  <c r="IO299" i="7"/>
  <c r="IP299" i="7"/>
  <c r="IQ299" i="7"/>
  <c r="IR299" i="7"/>
  <c r="IS299" i="7"/>
  <c r="IT299" i="7"/>
  <c r="IU299" i="7"/>
  <c r="IV299" i="7"/>
  <c r="A298" i="7"/>
  <c r="B298" i="7"/>
  <c r="C298" i="7"/>
  <c r="D298" i="7"/>
  <c r="E298" i="7"/>
  <c r="F298" i="7"/>
  <c r="G298" i="7"/>
  <c r="H298" i="7"/>
  <c r="I298" i="7"/>
  <c r="J298" i="7"/>
  <c r="K298" i="7"/>
  <c r="L298" i="7"/>
  <c r="M298" i="7"/>
  <c r="N298" i="7"/>
  <c r="O298" i="7"/>
  <c r="P298" i="7"/>
  <c r="Q298" i="7"/>
  <c r="R298" i="7"/>
  <c r="S298" i="7"/>
  <c r="T298" i="7"/>
  <c r="U298" i="7"/>
  <c r="V298" i="7"/>
  <c r="W298" i="7"/>
  <c r="X298" i="7"/>
  <c r="Y298" i="7"/>
  <c r="Z298" i="7"/>
  <c r="AA298" i="7"/>
  <c r="AB298" i="7"/>
  <c r="AC298" i="7"/>
  <c r="AD298" i="7"/>
  <c r="AE298" i="7"/>
  <c r="AF298" i="7"/>
  <c r="AG298" i="7"/>
  <c r="AH298" i="7"/>
  <c r="AI298" i="7"/>
  <c r="AJ298" i="7"/>
  <c r="AK298" i="7"/>
  <c r="AL298" i="7"/>
  <c r="AM298" i="7"/>
  <c r="AN298" i="7"/>
  <c r="AO298" i="7"/>
  <c r="AP298" i="7"/>
  <c r="AQ298" i="7"/>
  <c r="AR298" i="7"/>
  <c r="AS298" i="7"/>
  <c r="AT298" i="7"/>
  <c r="AU298" i="7"/>
  <c r="AV298" i="7"/>
  <c r="AW298" i="7"/>
  <c r="AX298" i="7"/>
  <c r="AY298" i="7"/>
  <c r="AZ298" i="7"/>
  <c r="BA298" i="7"/>
  <c r="BB298" i="7"/>
  <c r="BC298" i="7"/>
  <c r="BD298" i="7"/>
  <c r="BE298" i="7"/>
  <c r="BF298" i="7"/>
  <c r="BG298" i="7"/>
  <c r="BH298" i="7"/>
  <c r="BI298" i="7"/>
  <c r="BJ298" i="7"/>
  <c r="BK298" i="7"/>
  <c r="BL298" i="7"/>
  <c r="BM298" i="7"/>
  <c r="BN298" i="7"/>
  <c r="BO298" i="7"/>
  <c r="BP298" i="7"/>
  <c r="BQ298" i="7"/>
  <c r="BR298" i="7"/>
  <c r="BS298" i="7"/>
  <c r="BT298" i="7"/>
  <c r="BU298" i="7"/>
  <c r="BV298" i="7"/>
  <c r="BW298" i="7"/>
  <c r="BX298" i="7"/>
  <c r="BY298" i="7"/>
  <c r="BZ298" i="7"/>
  <c r="CA298" i="7"/>
  <c r="CB298" i="7"/>
  <c r="CC298" i="7"/>
  <c r="CD298" i="7"/>
  <c r="CE298" i="7"/>
  <c r="CF298" i="7"/>
  <c r="CG298" i="7"/>
  <c r="CH298" i="7"/>
  <c r="CI298" i="7"/>
  <c r="CJ298" i="7"/>
  <c r="CK298" i="7"/>
  <c r="CL298" i="7"/>
  <c r="CM298" i="7"/>
  <c r="CN298" i="7"/>
  <c r="CO298" i="7"/>
  <c r="CP298" i="7"/>
  <c r="CQ298" i="7"/>
  <c r="CR298" i="7"/>
  <c r="CS298" i="7"/>
  <c r="CT298" i="7"/>
  <c r="CU298" i="7"/>
  <c r="CV298" i="7"/>
  <c r="CW298" i="7"/>
  <c r="CX298" i="7"/>
  <c r="CY298" i="7"/>
  <c r="CZ298" i="7"/>
  <c r="DA298" i="7"/>
  <c r="DB298" i="7"/>
  <c r="DC298" i="7"/>
  <c r="DD298" i="7"/>
  <c r="DE298" i="7"/>
  <c r="DF298" i="7"/>
  <c r="DG298" i="7"/>
  <c r="DH298" i="7"/>
  <c r="DI298" i="7"/>
  <c r="DJ298" i="7"/>
  <c r="DK298" i="7"/>
  <c r="DL298" i="7"/>
  <c r="DM298" i="7"/>
  <c r="DN298" i="7"/>
  <c r="DO298" i="7"/>
  <c r="DP298" i="7"/>
  <c r="DQ298" i="7"/>
  <c r="DR298" i="7"/>
  <c r="DS298" i="7"/>
  <c r="DT298" i="7"/>
  <c r="DU298" i="7"/>
  <c r="DV298" i="7"/>
  <c r="DW298" i="7"/>
  <c r="DX298" i="7"/>
  <c r="DY298" i="7"/>
  <c r="DZ298" i="7"/>
  <c r="EA298" i="7"/>
  <c r="EB298" i="7"/>
  <c r="EC298" i="7"/>
  <c r="ED298" i="7"/>
  <c r="EE298" i="7"/>
  <c r="EF298" i="7"/>
  <c r="EG298" i="7"/>
  <c r="EH298" i="7"/>
  <c r="EI298" i="7"/>
  <c r="EJ298" i="7"/>
  <c r="EK298" i="7"/>
  <c r="EL298" i="7"/>
  <c r="EM298" i="7"/>
  <c r="EN298" i="7"/>
  <c r="EO298" i="7"/>
  <c r="EP298" i="7"/>
  <c r="EQ298" i="7"/>
  <c r="ER298" i="7"/>
  <c r="ES298" i="7"/>
  <c r="ET298" i="7"/>
  <c r="EU298" i="7"/>
  <c r="EV298" i="7"/>
  <c r="EW298" i="7"/>
  <c r="EX298" i="7"/>
  <c r="EY298" i="7"/>
  <c r="EZ298" i="7"/>
  <c r="FA298" i="7"/>
  <c r="FB298" i="7"/>
  <c r="FC298" i="7"/>
  <c r="FD298" i="7"/>
  <c r="FE298" i="7"/>
  <c r="FF298" i="7"/>
  <c r="FG298" i="7"/>
  <c r="FH298" i="7"/>
  <c r="FI298" i="7"/>
  <c r="FJ298" i="7"/>
  <c r="FK298" i="7"/>
  <c r="FL298" i="7"/>
  <c r="FM298" i="7"/>
  <c r="FN298" i="7"/>
  <c r="FO298" i="7"/>
  <c r="FP298" i="7"/>
  <c r="FQ298" i="7"/>
  <c r="FR298" i="7"/>
  <c r="FS298" i="7"/>
  <c r="FT298" i="7"/>
  <c r="FU298" i="7"/>
  <c r="FV298" i="7"/>
  <c r="FW298" i="7"/>
  <c r="FX298" i="7"/>
  <c r="FY298" i="7"/>
  <c r="FZ298" i="7"/>
  <c r="GA298" i="7"/>
  <c r="GB298" i="7"/>
  <c r="GC298" i="7"/>
  <c r="GD298" i="7"/>
  <c r="GE298" i="7"/>
  <c r="GF298" i="7"/>
  <c r="GG298" i="7"/>
  <c r="GH298" i="7"/>
  <c r="GI298" i="7"/>
  <c r="GJ298" i="7"/>
  <c r="GK298" i="7"/>
  <c r="GL298" i="7"/>
  <c r="GM298" i="7"/>
  <c r="GN298" i="7"/>
  <c r="GO298" i="7"/>
  <c r="GP298" i="7"/>
  <c r="GQ298" i="7"/>
  <c r="GR298" i="7"/>
  <c r="GS298" i="7"/>
  <c r="GT298" i="7"/>
  <c r="GU298" i="7"/>
  <c r="GV298" i="7"/>
  <c r="GW298" i="7"/>
  <c r="GX298" i="7"/>
  <c r="GY298" i="7"/>
  <c r="GZ298" i="7"/>
  <c r="HA298" i="7"/>
  <c r="HB298" i="7"/>
  <c r="HC298" i="7"/>
  <c r="HD298" i="7"/>
  <c r="HE298" i="7"/>
  <c r="HF298" i="7"/>
  <c r="HG298" i="7"/>
  <c r="HH298" i="7"/>
  <c r="HI298" i="7"/>
  <c r="HJ298" i="7"/>
  <c r="HK298" i="7"/>
  <c r="HL298" i="7"/>
  <c r="HM298" i="7"/>
  <c r="HN298" i="7"/>
  <c r="HO298" i="7"/>
  <c r="HP298" i="7"/>
  <c r="HQ298" i="7"/>
  <c r="HR298" i="7"/>
  <c r="HS298" i="7"/>
  <c r="HT298" i="7"/>
  <c r="HU298" i="7"/>
  <c r="HV298" i="7"/>
  <c r="HW298" i="7"/>
  <c r="HX298" i="7"/>
  <c r="HY298" i="7"/>
  <c r="HZ298" i="7"/>
  <c r="IA298" i="7"/>
  <c r="IB298" i="7"/>
  <c r="IC298" i="7"/>
  <c r="ID298" i="7"/>
  <c r="IE298" i="7"/>
  <c r="IF298" i="7"/>
  <c r="IG298" i="7"/>
  <c r="IH298" i="7"/>
  <c r="II298" i="7"/>
  <c r="IJ298" i="7"/>
  <c r="IK298" i="7"/>
  <c r="IL298" i="7"/>
  <c r="IM298" i="7"/>
  <c r="IN298" i="7"/>
  <c r="IO298" i="7"/>
  <c r="IP298" i="7"/>
  <c r="IQ298" i="7"/>
  <c r="IR298" i="7"/>
  <c r="IS298" i="7"/>
  <c r="IT298" i="7"/>
  <c r="IU298" i="7"/>
  <c r="IV298" i="7"/>
  <c r="A297" i="7"/>
  <c r="B297" i="7"/>
  <c r="C297" i="7"/>
  <c r="D297" i="7"/>
  <c r="E297" i="7"/>
  <c r="F297" i="7"/>
  <c r="G297" i="7"/>
  <c r="H297" i="7"/>
  <c r="I297" i="7"/>
  <c r="J297" i="7"/>
  <c r="K297" i="7"/>
  <c r="L297" i="7"/>
  <c r="M297" i="7"/>
  <c r="N297" i="7"/>
  <c r="O297" i="7"/>
  <c r="P297" i="7"/>
  <c r="Q297" i="7"/>
  <c r="R297" i="7"/>
  <c r="S297" i="7"/>
  <c r="T297" i="7"/>
  <c r="U297" i="7"/>
  <c r="V297" i="7"/>
  <c r="W297" i="7"/>
  <c r="X297" i="7"/>
  <c r="Y297" i="7"/>
  <c r="Z297" i="7"/>
  <c r="AA297" i="7"/>
  <c r="AB297" i="7"/>
  <c r="AC297" i="7"/>
  <c r="AD297" i="7"/>
  <c r="AE297" i="7"/>
  <c r="AF297" i="7"/>
  <c r="AG297" i="7"/>
  <c r="AH297" i="7"/>
  <c r="AI297" i="7"/>
  <c r="AJ297" i="7"/>
  <c r="AK297" i="7"/>
  <c r="AL297" i="7"/>
  <c r="AM297" i="7"/>
  <c r="AN297" i="7"/>
  <c r="AO297" i="7"/>
  <c r="AP297" i="7"/>
  <c r="AQ297" i="7"/>
  <c r="AR297" i="7"/>
  <c r="AS297" i="7"/>
  <c r="AT297" i="7"/>
  <c r="AU297" i="7"/>
  <c r="AV297" i="7"/>
  <c r="AW297" i="7"/>
  <c r="AX297" i="7"/>
  <c r="AY297" i="7"/>
  <c r="AZ297" i="7"/>
  <c r="BA297" i="7"/>
  <c r="BB297" i="7"/>
  <c r="BC297" i="7"/>
  <c r="BD297" i="7"/>
  <c r="BE297" i="7"/>
  <c r="BF297" i="7"/>
  <c r="BG297" i="7"/>
  <c r="BH297" i="7"/>
  <c r="BI297" i="7"/>
  <c r="BJ297" i="7"/>
  <c r="BK297" i="7"/>
  <c r="BL297" i="7"/>
  <c r="BM297" i="7"/>
  <c r="BN297" i="7"/>
  <c r="BO297" i="7"/>
  <c r="BP297" i="7"/>
  <c r="BQ297" i="7"/>
  <c r="BR297" i="7"/>
  <c r="BS297" i="7"/>
  <c r="BT297" i="7"/>
  <c r="BU297" i="7"/>
  <c r="BV297" i="7"/>
  <c r="BW297" i="7"/>
  <c r="BX297" i="7"/>
  <c r="BY297" i="7"/>
  <c r="BZ297" i="7"/>
  <c r="CA297" i="7"/>
  <c r="CB297" i="7"/>
  <c r="CC297" i="7"/>
  <c r="CD297" i="7"/>
  <c r="CE297" i="7"/>
  <c r="CF297" i="7"/>
  <c r="CG297" i="7"/>
  <c r="CH297" i="7"/>
  <c r="CI297" i="7"/>
  <c r="CJ297" i="7"/>
  <c r="CK297" i="7"/>
  <c r="CL297" i="7"/>
  <c r="CM297" i="7"/>
  <c r="CN297" i="7"/>
  <c r="CO297" i="7"/>
  <c r="CP297" i="7"/>
  <c r="CQ297" i="7"/>
  <c r="CR297" i="7"/>
  <c r="CS297" i="7"/>
  <c r="CT297" i="7"/>
  <c r="CU297" i="7"/>
  <c r="CV297" i="7"/>
  <c r="CW297" i="7"/>
  <c r="CX297" i="7"/>
  <c r="CY297" i="7"/>
  <c r="CZ297" i="7"/>
  <c r="DA297" i="7"/>
  <c r="DB297" i="7"/>
  <c r="DC297" i="7"/>
  <c r="DD297" i="7"/>
  <c r="DE297" i="7"/>
  <c r="DF297" i="7"/>
  <c r="DG297" i="7"/>
  <c r="DH297" i="7"/>
  <c r="DI297" i="7"/>
  <c r="DJ297" i="7"/>
  <c r="DK297" i="7"/>
  <c r="DL297" i="7"/>
  <c r="DM297" i="7"/>
  <c r="DN297" i="7"/>
  <c r="DO297" i="7"/>
  <c r="DP297" i="7"/>
  <c r="DQ297" i="7"/>
  <c r="DR297" i="7"/>
  <c r="DS297" i="7"/>
  <c r="DT297" i="7"/>
  <c r="DU297" i="7"/>
  <c r="DV297" i="7"/>
  <c r="DW297" i="7"/>
  <c r="DX297" i="7"/>
  <c r="DY297" i="7"/>
  <c r="DZ297" i="7"/>
  <c r="EA297" i="7"/>
  <c r="EB297" i="7"/>
  <c r="EC297" i="7"/>
  <c r="ED297" i="7"/>
  <c r="EE297" i="7"/>
  <c r="EF297" i="7"/>
  <c r="EG297" i="7"/>
  <c r="EH297" i="7"/>
  <c r="EI297" i="7"/>
  <c r="EJ297" i="7"/>
  <c r="EK297" i="7"/>
  <c r="EL297" i="7"/>
  <c r="EM297" i="7"/>
  <c r="EN297" i="7"/>
  <c r="EO297" i="7"/>
  <c r="EP297" i="7"/>
  <c r="EQ297" i="7"/>
  <c r="ER297" i="7"/>
  <c r="ES297" i="7"/>
  <c r="ET297" i="7"/>
  <c r="EU297" i="7"/>
  <c r="EV297" i="7"/>
  <c r="EW297" i="7"/>
  <c r="EX297" i="7"/>
  <c r="EY297" i="7"/>
  <c r="EZ297" i="7"/>
  <c r="FA297" i="7"/>
  <c r="FB297" i="7"/>
  <c r="FC297" i="7"/>
  <c r="FD297" i="7"/>
  <c r="FE297" i="7"/>
  <c r="FF297" i="7"/>
  <c r="FG297" i="7"/>
  <c r="FH297" i="7"/>
  <c r="FI297" i="7"/>
  <c r="FJ297" i="7"/>
  <c r="FK297" i="7"/>
  <c r="FL297" i="7"/>
  <c r="FM297" i="7"/>
  <c r="FN297" i="7"/>
  <c r="FO297" i="7"/>
  <c r="FP297" i="7"/>
  <c r="FQ297" i="7"/>
  <c r="FR297" i="7"/>
  <c r="FS297" i="7"/>
  <c r="FT297" i="7"/>
  <c r="FU297" i="7"/>
  <c r="FV297" i="7"/>
  <c r="FW297" i="7"/>
  <c r="FX297" i="7"/>
  <c r="FY297" i="7"/>
  <c r="FZ297" i="7"/>
  <c r="GA297" i="7"/>
  <c r="GB297" i="7"/>
  <c r="GC297" i="7"/>
  <c r="GD297" i="7"/>
  <c r="GE297" i="7"/>
  <c r="GF297" i="7"/>
  <c r="GG297" i="7"/>
  <c r="GH297" i="7"/>
  <c r="GI297" i="7"/>
  <c r="GJ297" i="7"/>
  <c r="GK297" i="7"/>
  <c r="GL297" i="7"/>
  <c r="GM297" i="7"/>
  <c r="GN297" i="7"/>
  <c r="GO297" i="7"/>
  <c r="GP297" i="7"/>
  <c r="GQ297" i="7"/>
  <c r="GR297" i="7"/>
  <c r="GS297" i="7"/>
  <c r="GT297" i="7"/>
  <c r="GU297" i="7"/>
  <c r="GV297" i="7"/>
  <c r="GW297" i="7"/>
  <c r="GX297" i="7"/>
  <c r="GY297" i="7"/>
  <c r="GZ297" i="7"/>
  <c r="HA297" i="7"/>
  <c r="HB297" i="7"/>
  <c r="HC297" i="7"/>
  <c r="HD297" i="7"/>
  <c r="HE297" i="7"/>
  <c r="HF297" i="7"/>
  <c r="HG297" i="7"/>
  <c r="HH297" i="7"/>
  <c r="HI297" i="7"/>
  <c r="HJ297" i="7"/>
  <c r="HK297" i="7"/>
  <c r="HL297" i="7"/>
  <c r="HM297" i="7"/>
  <c r="HN297" i="7"/>
  <c r="HO297" i="7"/>
  <c r="HP297" i="7"/>
  <c r="HQ297" i="7"/>
  <c r="HR297" i="7"/>
  <c r="HS297" i="7"/>
  <c r="HT297" i="7"/>
  <c r="HU297" i="7"/>
  <c r="HV297" i="7"/>
  <c r="HW297" i="7"/>
  <c r="HX297" i="7"/>
  <c r="HY297" i="7"/>
  <c r="HZ297" i="7"/>
  <c r="IA297" i="7"/>
  <c r="IB297" i="7"/>
  <c r="IC297" i="7"/>
  <c r="ID297" i="7"/>
  <c r="IE297" i="7"/>
  <c r="IF297" i="7"/>
  <c r="IG297" i="7"/>
  <c r="IH297" i="7"/>
  <c r="II297" i="7"/>
  <c r="IJ297" i="7"/>
  <c r="IK297" i="7"/>
  <c r="IL297" i="7"/>
  <c r="IM297" i="7"/>
  <c r="IN297" i="7"/>
  <c r="IO297" i="7"/>
  <c r="IP297" i="7"/>
  <c r="IQ297" i="7"/>
  <c r="IR297" i="7"/>
  <c r="IS297" i="7"/>
  <c r="IT297" i="7"/>
  <c r="IU297" i="7"/>
  <c r="IV297" i="7"/>
  <c r="A296" i="7"/>
  <c r="B296" i="7"/>
  <c r="C296" i="7"/>
  <c r="D296" i="7"/>
  <c r="E296" i="7"/>
  <c r="F296" i="7"/>
  <c r="G296" i="7"/>
  <c r="H296" i="7"/>
  <c r="I296" i="7"/>
  <c r="J296" i="7"/>
  <c r="K296" i="7"/>
  <c r="L296" i="7"/>
  <c r="M296" i="7"/>
  <c r="N296" i="7"/>
  <c r="O296" i="7"/>
  <c r="P296" i="7"/>
  <c r="Q296" i="7"/>
  <c r="R296" i="7"/>
  <c r="S296" i="7"/>
  <c r="T296" i="7"/>
  <c r="U296" i="7"/>
  <c r="V296" i="7"/>
  <c r="W296" i="7"/>
  <c r="X296" i="7"/>
  <c r="Y296" i="7"/>
  <c r="Z296" i="7"/>
  <c r="AA296" i="7"/>
  <c r="AB296" i="7"/>
  <c r="AC296" i="7"/>
  <c r="AD296" i="7"/>
  <c r="AE296" i="7"/>
  <c r="AF296" i="7"/>
  <c r="AG296" i="7"/>
  <c r="AH296" i="7"/>
  <c r="AI296" i="7"/>
  <c r="AJ296" i="7"/>
  <c r="AK296" i="7"/>
  <c r="AL296" i="7"/>
  <c r="AM296" i="7"/>
  <c r="AN296" i="7"/>
  <c r="AO296" i="7"/>
  <c r="AP296" i="7"/>
  <c r="AQ296" i="7"/>
  <c r="AR296" i="7"/>
  <c r="AS296" i="7"/>
  <c r="AT296" i="7"/>
  <c r="AU296" i="7"/>
  <c r="AV296" i="7"/>
  <c r="AW296" i="7"/>
  <c r="AX296" i="7"/>
  <c r="AY296" i="7"/>
  <c r="AZ296" i="7"/>
  <c r="BA296" i="7"/>
  <c r="BB296" i="7"/>
  <c r="BC296" i="7"/>
  <c r="BD296" i="7"/>
  <c r="BE296" i="7"/>
  <c r="BF296" i="7"/>
  <c r="BG296" i="7"/>
  <c r="BH296" i="7"/>
  <c r="BI296" i="7"/>
  <c r="BJ296" i="7"/>
  <c r="BK296" i="7"/>
  <c r="BL296" i="7"/>
  <c r="BM296" i="7"/>
  <c r="BN296" i="7"/>
  <c r="BO296" i="7"/>
  <c r="BP296" i="7"/>
  <c r="BQ296" i="7"/>
  <c r="BR296" i="7"/>
  <c r="BS296" i="7"/>
  <c r="BT296" i="7"/>
  <c r="BU296" i="7"/>
  <c r="BV296" i="7"/>
  <c r="BW296" i="7"/>
  <c r="BX296" i="7"/>
  <c r="BY296" i="7"/>
  <c r="BZ296" i="7"/>
  <c r="CA296" i="7"/>
  <c r="CB296" i="7"/>
  <c r="CC296" i="7"/>
  <c r="CD296" i="7"/>
  <c r="CE296" i="7"/>
  <c r="CF296" i="7"/>
  <c r="CG296" i="7"/>
  <c r="CH296" i="7"/>
  <c r="CI296" i="7"/>
  <c r="CJ296" i="7"/>
  <c r="CK296" i="7"/>
  <c r="CL296" i="7"/>
  <c r="CM296" i="7"/>
  <c r="CN296" i="7"/>
  <c r="CO296" i="7"/>
  <c r="CP296" i="7"/>
  <c r="CQ296" i="7"/>
  <c r="CR296" i="7"/>
  <c r="CS296" i="7"/>
  <c r="CT296" i="7"/>
  <c r="CU296" i="7"/>
  <c r="CV296" i="7"/>
  <c r="CW296" i="7"/>
  <c r="CX296" i="7"/>
  <c r="CY296" i="7"/>
  <c r="CZ296" i="7"/>
  <c r="DA296" i="7"/>
  <c r="DB296" i="7"/>
  <c r="DC296" i="7"/>
  <c r="DD296" i="7"/>
  <c r="DE296" i="7"/>
  <c r="DF296" i="7"/>
  <c r="DG296" i="7"/>
  <c r="DH296" i="7"/>
  <c r="DI296" i="7"/>
  <c r="DJ296" i="7"/>
  <c r="DK296" i="7"/>
  <c r="DL296" i="7"/>
  <c r="DM296" i="7"/>
  <c r="DN296" i="7"/>
  <c r="DO296" i="7"/>
  <c r="DP296" i="7"/>
  <c r="DQ296" i="7"/>
  <c r="DR296" i="7"/>
  <c r="DS296" i="7"/>
  <c r="DT296" i="7"/>
  <c r="DU296" i="7"/>
  <c r="DV296" i="7"/>
  <c r="DW296" i="7"/>
  <c r="DX296" i="7"/>
  <c r="DY296" i="7"/>
  <c r="DZ296" i="7"/>
  <c r="EA296" i="7"/>
  <c r="EB296" i="7"/>
  <c r="EC296" i="7"/>
  <c r="ED296" i="7"/>
  <c r="EE296" i="7"/>
  <c r="EF296" i="7"/>
  <c r="EG296" i="7"/>
  <c r="EH296" i="7"/>
  <c r="EI296" i="7"/>
  <c r="EJ296" i="7"/>
  <c r="EK296" i="7"/>
  <c r="EL296" i="7"/>
  <c r="EM296" i="7"/>
  <c r="EN296" i="7"/>
  <c r="EO296" i="7"/>
  <c r="EP296" i="7"/>
  <c r="EQ296" i="7"/>
  <c r="ER296" i="7"/>
  <c r="ES296" i="7"/>
  <c r="ET296" i="7"/>
  <c r="EU296" i="7"/>
  <c r="EV296" i="7"/>
  <c r="EW296" i="7"/>
  <c r="EX296" i="7"/>
  <c r="EY296" i="7"/>
  <c r="EZ296" i="7"/>
  <c r="FA296" i="7"/>
  <c r="FB296" i="7"/>
  <c r="FC296" i="7"/>
  <c r="FD296" i="7"/>
  <c r="FE296" i="7"/>
  <c r="FF296" i="7"/>
  <c r="FG296" i="7"/>
  <c r="FH296" i="7"/>
  <c r="FI296" i="7"/>
  <c r="FJ296" i="7"/>
  <c r="FK296" i="7"/>
  <c r="FL296" i="7"/>
  <c r="FM296" i="7"/>
  <c r="FN296" i="7"/>
  <c r="FO296" i="7"/>
  <c r="FP296" i="7"/>
  <c r="FQ296" i="7"/>
  <c r="FR296" i="7"/>
  <c r="FS296" i="7"/>
  <c r="FT296" i="7"/>
  <c r="FU296" i="7"/>
  <c r="FV296" i="7"/>
  <c r="FW296" i="7"/>
  <c r="FX296" i="7"/>
  <c r="FY296" i="7"/>
  <c r="FZ296" i="7"/>
  <c r="GA296" i="7"/>
  <c r="GB296" i="7"/>
  <c r="GC296" i="7"/>
  <c r="GD296" i="7"/>
  <c r="GE296" i="7"/>
  <c r="GF296" i="7"/>
  <c r="GG296" i="7"/>
  <c r="GH296" i="7"/>
  <c r="GI296" i="7"/>
  <c r="GJ296" i="7"/>
  <c r="GK296" i="7"/>
  <c r="GL296" i="7"/>
  <c r="GM296" i="7"/>
  <c r="GN296" i="7"/>
  <c r="GO296" i="7"/>
  <c r="GP296" i="7"/>
  <c r="GQ296" i="7"/>
  <c r="GR296" i="7"/>
  <c r="GS296" i="7"/>
  <c r="GT296" i="7"/>
  <c r="GU296" i="7"/>
  <c r="GV296" i="7"/>
  <c r="GW296" i="7"/>
  <c r="GX296" i="7"/>
  <c r="GY296" i="7"/>
  <c r="GZ296" i="7"/>
  <c r="HA296" i="7"/>
  <c r="HB296" i="7"/>
  <c r="HC296" i="7"/>
  <c r="HD296" i="7"/>
  <c r="HE296" i="7"/>
  <c r="HF296" i="7"/>
  <c r="HG296" i="7"/>
  <c r="HH296" i="7"/>
  <c r="HI296" i="7"/>
  <c r="HJ296" i="7"/>
  <c r="HK296" i="7"/>
  <c r="HL296" i="7"/>
  <c r="HM296" i="7"/>
  <c r="HN296" i="7"/>
  <c r="HO296" i="7"/>
  <c r="HP296" i="7"/>
  <c r="HQ296" i="7"/>
  <c r="HR296" i="7"/>
  <c r="HS296" i="7"/>
  <c r="HT296" i="7"/>
  <c r="HU296" i="7"/>
  <c r="HV296" i="7"/>
  <c r="HW296" i="7"/>
  <c r="HX296" i="7"/>
  <c r="HY296" i="7"/>
  <c r="HZ296" i="7"/>
  <c r="IA296" i="7"/>
  <c r="IB296" i="7"/>
  <c r="IC296" i="7"/>
  <c r="ID296" i="7"/>
  <c r="IE296" i="7"/>
  <c r="IF296" i="7"/>
  <c r="IG296" i="7"/>
  <c r="IH296" i="7"/>
  <c r="II296" i="7"/>
  <c r="IJ296" i="7"/>
  <c r="IK296" i="7"/>
  <c r="IL296" i="7"/>
  <c r="IM296" i="7"/>
  <c r="IN296" i="7"/>
  <c r="IO296" i="7"/>
  <c r="IP296" i="7"/>
  <c r="IQ296" i="7"/>
  <c r="IR296" i="7"/>
  <c r="IS296" i="7"/>
  <c r="IT296" i="7"/>
  <c r="IU296" i="7"/>
  <c r="IV296" i="7"/>
  <c r="A295" i="7"/>
  <c r="B295" i="7"/>
  <c r="C295" i="7"/>
  <c r="D295" i="7"/>
  <c r="E295" i="7"/>
  <c r="F295" i="7"/>
  <c r="G295" i="7"/>
  <c r="H295" i="7"/>
  <c r="I295" i="7"/>
  <c r="J295" i="7"/>
  <c r="K295" i="7"/>
  <c r="L295" i="7"/>
  <c r="M295" i="7"/>
  <c r="N295" i="7"/>
  <c r="O295" i="7"/>
  <c r="P295" i="7"/>
  <c r="Q295" i="7"/>
  <c r="R295" i="7"/>
  <c r="S295" i="7"/>
  <c r="T295" i="7"/>
  <c r="U295" i="7"/>
  <c r="V295" i="7"/>
  <c r="W295" i="7"/>
  <c r="X295" i="7"/>
  <c r="Y295" i="7"/>
  <c r="Z295" i="7"/>
  <c r="AA295" i="7"/>
  <c r="AB295" i="7"/>
  <c r="AC295" i="7"/>
  <c r="AD295" i="7"/>
  <c r="AE295" i="7"/>
  <c r="AF295" i="7"/>
  <c r="AG295" i="7"/>
  <c r="AH295" i="7"/>
  <c r="AI295" i="7"/>
  <c r="AJ295" i="7"/>
  <c r="AK295" i="7"/>
  <c r="AL295" i="7"/>
  <c r="AM295" i="7"/>
  <c r="AN295" i="7"/>
  <c r="AO295" i="7"/>
  <c r="AP295" i="7"/>
  <c r="AQ295" i="7"/>
  <c r="AR295" i="7"/>
  <c r="AS295" i="7"/>
  <c r="AT295" i="7"/>
  <c r="AU295" i="7"/>
  <c r="AV295" i="7"/>
  <c r="AW295" i="7"/>
  <c r="AX295" i="7"/>
  <c r="AY295" i="7"/>
  <c r="AZ295" i="7"/>
  <c r="BA295" i="7"/>
  <c r="BB295" i="7"/>
  <c r="BC295" i="7"/>
  <c r="BD295" i="7"/>
  <c r="BE295" i="7"/>
  <c r="BF295" i="7"/>
  <c r="BG295" i="7"/>
  <c r="BH295" i="7"/>
  <c r="BI295" i="7"/>
  <c r="BJ295" i="7"/>
  <c r="BK295" i="7"/>
  <c r="BL295" i="7"/>
  <c r="BM295" i="7"/>
  <c r="BN295" i="7"/>
  <c r="BO295" i="7"/>
  <c r="BP295" i="7"/>
  <c r="BQ295" i="7"/>
  <c r="BR295" i="7"/>
  <c r="BS295" i="7"/>
  <c r="BT295" i="7"/>
  <c r="BU295" i="7"/>
  <c r="BV295" i="7"/>
  <c r="BW295" i="7"/>
  <c r="BX295" i="7"/>
  <c r="BY295" i="7"/>
  <c r="BZ295" i="7"/>
  <c r="CA295" i="7"/>
  <c r="CB295" i="7"/>
  <c r="CC295" i="7"/>
  <c r="CD295" i="7"/>
  <c r="CE295" i="7"/>
  <c r="CF295" i="7"/>
  <c r="CG295" i="7"/>
  <c r="CH295" i="7"/>
  <c r="CI295" i="7"/>
  <c r="CJ295" i="7"/>
  <c r="CK295" i="7"/>
  <c r="CL295" i="7"/>
  <c r="CM295" i="7"/>
  <c r="CN295" i="7"/>
  <c r="CO295" i="7"/>
  <c r="CP295" i="7"/>
  <c r="CQ295" i="7"/>
  <c r="CR295" i="7"/>
  <c r="CS295" i="7"/>
  <c r="CT295" i="7"/>
  <c r="CU295" i="7"/>
  <c r="CV295" i="7"/>
  <c r="CW295" i="7"/>
  <c r="CX295" i="7"/>
  <c r="CY295" i="7"/>
  <c r="CZ295" i="7"/>
  <c r="DA295" i="7"/>
  <c r="DB295" i="7"/>
  <c r="DC295" i="7"/>
  <c r="DD295" i="7"/>
  <c r="DE295" i="7"/>
  <c r="DF295" i="7"/>
  <c r="DG295" i="7"/>
  <c r="DH295" i="7"/>
  <c r="DI295" i="7"/>
  <c r="DJ295" i="7"/>
  <c r="DK295" i="7"/>
  <c r="DL295" i="7"/>
  <c r="DM295" i="7"/>
  <c r="DN295" i="7"/>
  <c r="DO295" i="7"/>
  <c r="DP295" i="7"/>
  <c r="DQ295" i="7"/>
  <c r="DR295" i="7"/>
  <c r="DS295" i="7"/>
  <c r="DT295" i="7"/>
  <c r="DU295" i="7"/>
  <c r="DV295" i="7"/>
  <c r="DW295" i="7"/>
  <c r="DX295" i="7"/>
  <c r="DY295" i="7"/>
  <c r="DZ295" i="7"/>
  <c r="EA295" i="7"/>
  <c r="EB295" i="7"/>
  <c r="EC295" i="7"/>
  <c r="ED295" i="7"/>
  <c r="EE295" i="7"/>
  <c r="EF295" i="7"/>
  <c r="EG295" i="7"/>
  <c r="EH295" i="7"/>
  <c r="EI295" i="7"/>
  <c r="EJ295" i="7"/>
  <c r="EK295" i="7"/>
  <c r="EL295" i="7"/>
  <c r="EM295" i="7"/>
  <c r="EN295" i="7"/>
  <c r="EO295" i="7"/>
  <c r="EP295" i="7"/>
  <c r="EQ295" i="7"/>
  <c r="ER295" i="7"/>
  <c r="ES295" i="7"/>
  <c r="ET295" i="7"/>
  <c r="EU295" i="7"/>
  <c r="EV295" i="7"/>
  <c r="EW295" i="7"/>
  <c r="EX295" i="7"/>
  <c r="EY295" i="7"/>
  <c r="EZ295" i="7"/>
  <c r="FA295" i="7"/>
  <c r="FB295" i="7"/>
  <c r="FC295" i="7"/>
  <c r="FD295" i="7"/>
  <c r="FE295" i="7"/>
  <c r="FF295" i="7"/>
  <c r="FG295" i="7"/>
  <c r="FH295" i="7"/>
  <c r="FI295" i="7"/>
  <c r="FJ295" i="7"/>
  <c r="FK295" i="7"/>
  <c r="FL295" i="7"/>
  <c r="FM295" i="7"/>
  <c r="FN295" i="7"/>
  <c r="FO295" i="7"/>
  <c r="FP295" i="7"/>
  <c r="FQ295" i="7"/>
  <c r="FR295" i="7"/>
  <c r="FS295" i="7"/>
  <c r="FT295" i="7"/>
  <c r="FU295" i="7"/>
  <c r="FV295" i="7"/>
  <c r="FW295" i="7"/>
  <c r="FX295" i="7"/>
  <c r="FY295" i="7"/>
  <c r="FZ295" i="7"/>
  <c r="GA295" i="7"/>
  <c r="GB295" i="7"/>
  <c r="GC295" i="7"/>
  <c r="GD295" i="7"/>
  <c r="GE295" i="7"/>
  <c r="GF295" i="7"/>
  <c r="GG295" i="7"/>
  <c r="GH295" i="7"/>
  <c r="GI295" i="7"/>
  <c r="GJ295" i="7"/>
  <c r="GK295" i="7"/>
  <c r="GL295" i="7"/>
  <c r="GM295" i="7"/>
  <c r="GN295" i="7"/>
  <c r="GO295" i="7"/>
  <c r="GP295" i="7"/>
  <c r="GQ295" i="7"/>
  <c r="GR295" i="7"/>
  <c r="GS295" i="7"/>
  <c r="GT295" i="7"/>
  <c r="GU295" i="7"/>
  <c r="GV295" i="7"/>
  <c r="GW295" i="7"/>
  <c r="GX295" i="7"/>
  <c r="GY295" i="7"/>
  <c r="GZ295" i="7"/>
  <c r="HA295" i="7"/>
  <c r="HB295" i="7"/>
  <c r="HC295" i="7"/>
  <c r="HD295" i="7"/>
  <c r="HE295" i="7"/>
  <c r="HF295" i="7"/>
  <c r="HG295" i="7"/>
  <c r="HH295" i="7"/>
  <c r="HI295" i="7"/>
  <c r="HJ295" i="7"/>
  <c r="HK295" i="7"/>
  <c r="HL295" i="7"/>
  <c r="HM295" i="7"/>
  <c r="HN295" i="7"/>
  <c r="HO295" i="7"/>
  <c r="HP295" i="7"/>
  <c r="HQ295" i="7"/>
  <c r="HR295" i="7"/>
  <c r="HS295" i="7"/>
  <c r="HT295" i="7"/>
  <c r="HU295" i="7"/>
  <c r="HV295" i="7"/>
  <c r="HW295" i="7"/>
  <c r="HX295" i="7"/>
  <c r="HY295" i="7"/>
  <c r="HZ295" i="7"/>
  <c r="IA295" i="7"/>
  <c r="IB295" i="7"/>
  <c r="IC295" i="7"/>
  <c r="ID295" i="7"/>
  <c r="IE295" i="7"/>
  <c r="IF295" i="7"/>
  <c r="IG295" i="7"/>
  <c r="IH295" i="7"/>
  <c r="II295" i="7"/>
  <c r="IJ295" i="7"/>
  <c r="IK295" i="7"/>
  <c r="IL295" i="7"/>
  <c r="IM295" i="7"/>
  <c r="IN295" i="7"/>
  <c r="IO295" i="7"/>
  <c r="IP295" i="7"/>
  <c r="IQ295" i="7"/>
  <c r="IR295" i="7"/>
  <c r="IS295" i="7"/>
  <c r="IT295" i="7"/>
  <c r="IU295" i="7"/>
  <c r="IV295" i="7"/>
  <c r="A294" i="7"/>
  <c r="B294" i="7"/>
  <c r="C294" i="7"/>
  <c r="D294" i="7"/>
  <c r="E294" i="7"/>
  <c r="F294" i="7"/>
  <c r="G294" i="7"/>
  <c r="H294" i="7"/>
  <c r="I294" i="7"/>
  <c r="J294" i="7"/>
  <c r="K294" i="7"/>
  <c r="L294" i="7"/>
  <c r="M294" i="7"/>
  <c r="N294" i="7"/>
  <c r="O294" i="7"/>
  <c r="P294" i="7"/>
  <c r="Q294" i="7"/>
  <c r="R294" i="7"/>
  <c r="S294" i="7"/>
  <c r="T294" i="7"/>
  <c r="U294" i="7"/>
  <c r="V294" i="7"/>
  <c r="W294" i="7"/>
  <c r="X294" i="7"/>
  <c r="Y294" i="7"/>
  <c r="Z294" i="7"/>
  <c r="AA294" i="7"/>
  <c r="AB294" i="7"/>
  <c r="AC294" i="7"/>
  <c r="AD294" i="7"/>
  <c r="AE294" i="7"/>
  <c r="AF294" i="7"/>
  <c r="AG294" i="7"/>
  <c r="AH294" i="7"/>
  <c r="AI294" i="7"/>
  <c r="AJ294" i="7"/>
  <c r="AK294" i="7"/>
  <c r="AL294" i="7"/>
  <c r="AM294" i="7"/>
  <c r="AN294" i="7"/>
  <c r="AO294" i="7"/>
  <c r="AP294" i="7"/>
  <c r="AQ294" i="7"/>
  <c r="AR294" i="7"/>
  <c r="AS294" i="7"/>
  <c r="AT294" i="7"/>
  <c r="AU294" i="7"/>
  <c r="AV294" i="7"/>
  <c r="AW294" i="7"/>
  <c r="AX294" i="7"/>
  <c r="AY294" i="7"/>
  <c r="AZ294" i="7"/>
  <c r="BA294" i="7"/>
  <c r="BB294" i="7"/>
  <c r="BC294" i="7"/>
  <c r="BD294" i="7"/>
  <c r="BE294" i="7"/>
  <c r="BF294" i="7"/>
  <c r="BG294" i="7"/>
  <c r="BH294" i="7"/>
  <c r="BI294" i="7"/>
  <c r="BJ294" i="7"/>
  <c r="BK294" i="7"/>
  <c r="BL294" i="7"/>
  <c r="BM294" i="7"/>
  <c r="BN294" i="7"/>
  <c r="BO294" i="7"/>
  <c r="BP294" i="7"/>
  <c r="BQ294" i="7"/>
  <c r="BR294" i="7"/>
  <c r="BS294" i="7"/>
  <c r="BT294" i="7"/>
  <c r="BU294" i="7"/>
  <c r="BV294" i="7"/>
  <c r="BW294" i="7"/>
  <c r="BX294" i="7"/>
  <c r="BY294" i="7"/>
  <c r="BZ294" i="7"/>
  <c r="CA294" i="7"/>
  <c r="CB294" i="7"/>
  <c r="CC294" i="7"/>
  <c r="CD294" i="7"/>
  <c r="CE294" i="7"/>
  <c r="CF294" i="7"/>
  <c r="CG294" i="7"/>
  <c r="CH294" i="7"/>
  <c r="CI294" i="7"/>
  <c r="CJ294" i="7"/>
  <c r="CK294" i="7"/>
  <c r="CL294" i="7"/>
  <c r="CM294" i="7"/>
  <c r="CN294" i="7"/>
  <c r="CO294" i="7"/>
  <c r="CP294" i="7"/>
  <c r="CQ294" i="7"/>
  <c r="CR294" i="7"/>
  <c r="CS294" i="7"/>
  <c r="CT294" i="7"/>
  <c r="CU294" i="7"/>
  <c r="CV294" i="7"/>
  <c r="CW294" i="7"/>
  <c r="CX294" i="7"/>
  <c r="CY294" i="7"/>
  <c r="CZ294" i="7"/>
  <c r="DA294" i="7"/>
  <c r="DB294" i="7"/>
  <c r="DC294" i="7"/>
  <c r="DD294" i="7"/>
  <c r="DE294" i="7"/>
  <c r="DF294" i="7"/>
  <c r="DG294" i="7"/>
  <c r="DH294" i="7"/>
  <c r="DI294" i="7"/>
  <c r="DJ294" i="7"/>
  <c r="DK294" i="7"/>
  <c r="DL294" i="7"/>
  <c r="DM294" i="7"/>
  <c r="DN294" i="7"/>
  <c r="DO294" i="7"/>
  <c r="DP294" i="7"/>
  <c r="DQ294" i="7"/>
  <c r="DR294" i="7"/>
  <c r="DS294" i="7"/>
  <c r="DT294" i="7"/>
  <c r="DU294" i="7"/>
  <c r="DV294" i="7"/>
  <c r="DW294" i="7"/>
  <c r="DX294" i="7"/>
  <c r="DY294" i="7"/>
  <c r="DZ294" i="7"/>
  <c r="EA294" i="7"/>
  <c r="EB294" i="7"/>
  <c r="EC294" i="7"/>
  <c r="ED294" i="7"/>
  <c r="EE294" i="7"/>
  <c r="EF294" i="7"/>
  <c r="EG294" i="7"/>
  <c r="EH294" i="7"/>
  <c r="EI294" i="7"/>
  <c r="EJ294" i="7"/>
  <c r="EK294" i="7"/>
  <c r="EL294" i="7"/>
  <c r="EM294" i="7"/>
  <c r="EN294" i="7"/>
  <c r="EO294" i="7"/>
  <c r="EP294" i="7"/>
  <c r="EQ294" i="7"/>
  <c r="ER294" i="7"/>
  <c r="ES294" i="7"/>
  <c r="ET294" i="7"/>
  <c r="EU294" i="7"/>
  <c r="EV294" i="7"/>
  <c r="EW294" i="7"/>
  <c r="EX294" i="7"/>
  <c r="EY294" i="7"/>
  <c r="EZ294" i="7"/>
  <c r="FA294" i="7"/>
  <c r="FB294" i="7"/>
  <c r="FC294" i="7"/>
  <c r="FD294" i="7"/>
  <c r="FE294" i="7"/>
  <c r="FF294" i="7"/>
  <c r="FG294" i="7"/>
  <c r="FH294" i="7"/>
  <c r="FI294" i="7"/>
  <c r="FJ294" i="7"/>
  <c r="FK294" i="7"/>
  <c r="FL294" i="7"/>
  <c r="FM294" i="7"/>
  <c r="FN294" i="7"/>
  <c r="FO294" i="7"/>
  <c r="FP294" i="7"/>
  <c r="FQ294" i="7"/>
  <c r="FR294" i="7"/>
  <c r="FS294" i="7"/>
  <c r="FT294" i="7"/>
  <c r="FU294" i="7"/>
  <c r="FV294" i="7"/>
  <c r="FW294" i="7"/>
  <c r="FX294" i="7"/>
  <c r="FY294" i="7"/>
  <c r="FZ294" i="7"/>
  <c r="GA294" i="7"/>
  <c r="GB294" i="7"/>
  <c r="GC294" i="7"/>
  <c r="GD294" i="7"/>
  <c r="GE294" i="7"/>
  <c r="GF294" i="7"/>
  <c r="GG294" i="7"/>
  <c r="GH294" i="7"/>
  <c r="GI294" i="7"/>
  <c r="GJ294" i="7"/>
  <c r="GK294" i="7"/>
  <c r="GL294" i="7"/>
  <c r="GM294" i="7"/>
  <c r="GN294" i="7"/>
  <c r="GO294" i="7"/>
  <c r="GP294" i="7"/>
  <c r="GQ294" i="7"/>
  <c r="GR294" i="7"/>
  <c r="GS294" i="7"/>
  <c r="GT294" i="7"/>
  <c r="GU294" i="7"/>
  <c r="GV294" i="7"/>
  <c r="GW294" i="7"/>
  <c r="GX294" i="7"/>
  <c r="GY294" i="7"/>
  <c r="GZ294" i="7"/>
  <c r="HA294" i="7"/>
  <c r="HB294" i="7"/>
  <c r="HC294" i="7"/>
  <c r="HD294" i="7"/>
  <c r="HE294" i="7"/>
  <c r="HF294" i="7"/>
  <c r="HG294" i="7"/>
  <c r="HH294" i="7"/>
  <c r="HI294" i="7"/>
  <c r="HJ294" i="7"/>
  <c r="HK294" i="7"/>
  <c r="HL294" i="7"/>
  <c r="HM294" i="7"/>
  <c r="HN294" i="7"/>
  <c r="HO294" i="7"/>
  <c r="HP294" i="7"/>
  <c r="HQ294" i="7"/>
  <c r="HR294" i="7"/>
  <c r="HS294" i="7"/>
  <c r="HT294" i="7"/>
  <c r="HU294" i="7"/>
  <c r="HV294" i="7"/>
  <c r="HW294" i="7"/>
  <c r="HX294" i="7"/>
  <c r="HY294" i="7"/>
  <c r="HZ294" i="7"/>
  <c r="IA294" i="7"/>
  <c r="IB294" i="7"/>
  <c r="IC294" i="7"/>
  <c r="ID294" i="7"/>
  <c r="IE294" i="7"/>
  <c r="IF294" i="7"/>
  <c r="IG294" i="7"/>
  <c r="IH294" i="7"/>
  <c r="II294" i="7"/>
  <c r="IJ294" i="7"/>
  <c r="IK294" i="7"/>
  <c r="IL294" i="7"/>
  <c r="IM294" i="7"/>
  <c r="IN294" i="7"/>
  <c r="IO294" i="7"/>
  <c r="IP294" i="7"/>
  <c r="IQ294" i="7"/>
  <c r="IR294" i="7"/>
  <c r="IS294" i="7"/>
  <c r="IT294" i="7"/>
  <c r="IU294" i="7"/>
  <c r="IV294" i="7"/>
  <c r="A293" i="7"/>
  <c r="B293" i="7"/>
  <c r="C293" i="7"/>
  <c r="D293" i="7"/>
  <c r="E293" i="7"/>
  <c r="F293" i="7"/>
  <c r="G293" i="7"/>
  <c r="H293" i="7"/>
  <c r="I293" i="7"/>
  <c r="J293" i="7"/>
  <c r="K293" i="7"/>
  <c r="L293" i="7"/>
  <c r="M293" i="7"/>
  <c r="N293" i="7"/>
  <c r="O293" i="7"/>
  <c r="P293" i="7"/>
  <c r="Q293" i="7"/>
  <c r="R293" i="7"/>
  <c r="S293" i="7"/>
  <c r="T293" i="7"/>
  <c r="U293" i="7"/>
  <c r="V293" i="7"/>
  <c r="W293" i="7"/>
  <c r="X293" i="7"/>
  <c r="Y293" i="7"/>
  <c r="Z293" i="7"/>
  <c r="AA293" i="7"/>
  <c r="AB293" i="7"/>
  <c r="AC293" i="7"/>
  <c r="AD293" i="7"/>
  <c r="AE293" i="7"/>
  <c r="AF293" i="7"/>
  <c r="AG293" i="7"/>
  <c r="AH293" i="7"/>
  <c r="AI293" i="7"/>
  <c r="AJ293" i="7"/>
  <c r="AK293" i="7"/>
  <c r="AL293" i="7"/>
  <c r="AM293" i="7"/>
  <c r="AN293" i="7"/>
  <c r="AO293" i="7"/>
  <c r="AP293" i="7"/>
  <c r="AQ293" i="7"/>
  <c r="AR293" i="7"/>
  <c r="AS293" i="7"/>
  <c r="AT293" i="7"/>
  <c r="AU293" i="7"/>
  <c r="AV293" i="7"/>
  <c r="AW293" i="7"/>
  <c r="AX293" i="7"/>
  <c r="AY293" i="7"/>
  <c r="AZ293" i="7"/>
  <c r="BA293" i="7"/>
  <c r="BB293" i="7"/>
  <c r="BC293" i="7"/>
  <c r="BD293" i="7"/>
  <c r="BE293" i="7"/>
  <c r="BF293" i="7"/>
  <c r="BG293" i="7"/>
  <c r="BH293" i="7"/>
  <c r="BI293" i="7"/>
  <c r="BJ293" i="7"/>
  <c r="BK293" i="7"/>
  <c r="BL293" i="7"/>
  <c r="BM293" i="7"/>
  <c r="BN293" i="7"/>
  <c r="BO293" i="7"/>
  <c r="BP293" i="7"/>
  <c r="BQ293" i="7"/>
  <c r="BR293" i="7"/>
  <c r="BS293" i="7"/>
  <c r="BT293" i="7"/>
  <c r="BU293" i="7"/>
  <c r="BV293" i="7"/>
  <c r="BW293" i="7"/>
  <c r="BX293" i="7"/>
  <c r="BY293" i="7"/>
  <c r="BZ293" i="7"/>
  <c r="CA293" i="7"/>
  <c r="CB293" i="7"/>
  <c r="CC293" i="7"/>
  <c r="CD293" i="7"/>
  <c r="CE293" i="7"/>
  <c r="CF293" i="7"/>
  <c r="CG293" i="7"/>
  <c r="CH293" i="7"/>
  <c r="CI293" i="7"/>
  <c r="CJ293" i="7"/>
  <c r="CK293" i="7"/>
  <c r="CL293" i="7"/>
  <c r="CM293" i="7"/>
  <c r="CN293" i="7"/>
  <c r="CO293" i="7"/>
  <c r="CP293" i="7"/>
  <c r="CQ293" i="7"/>
  <c r="CR293" i="7"/>
  <c r="CS293" i="7"/>
  <c r="CT293" i="7"/>
  <c r="CU293" i="7"/>
  <c r="CV293" i="7"/>
  <c r="CW293" i="7"/>
  <c r="CX293" i="7"/>
  <c r="CY293" i="7"/>
  <c r="CZ293" i="7"/>
  <c r="DA293" i="7"/>
  <c r="DB293" i="7"/>
  <c r="DC293" i="7"/>
  <c r="DD293" i="7"/>
  <c r="DE293" i="7"/>
  <c r="DF293" i="7"/>
  <c r="DG293" i="7"/>
  <c r="DH293" i="7"/>
  <c r="DI293" i="7"/>
  <c r="DJ293" i="7"/>
  <c r="DK293" i="7"/>
  <c r="DL293" i="7"/>
  <c r="DM293" i="7"/>
  <c r="DN293" i="7"/>
  <c r="DO293" i="7"/>
  <c r="DP293" i="7"/>
  <c r="DQ293" i="7"/>
  <c r="DR293" i="7"/>
  <c r="DS293" i="7"/>
  <c r="DT293" i="7"/>
  <c r="DU293" i="7"/>
  <c r="DV293" i="7"/>
  <c r="DW293" i="7"/>
  <c r="DX293" i="7"/>
  <c r="DY293" i="7"/>
  <c r="DZ293" i="7"/>
  <c r="EA293" i="7"/>
  <c r="EB293" i="7"/>
  <c r="EC293" i="7"/>
  <c r="ED293" i="7"/>
  <c r="EE293" i="7"/>
  <c r="EF293" i="7"/>
  <c r="EG293" i="7"/>
  <c r="EH293" i="7"/>
  <c r="EI293" i="7"/>
  <c r="EJ293" i="7"/>
  <c r="EK293" i="7"/>
  <c r="EL293" i="7"/>
  <c r="EM293" i="7"/>
  <c r="EN293" i="7"/>
  <c r="EO293" i="7"/>
  <c r="EP293" i="7"/>
  <c r="EQ293" i="7"/>
  <c r="ER293" i="7"/>
  <c r="ES293" i="7"/>
  <c r="ET293" i="7"/>
  <c r="EU293" i="7"/>
  <c r="EV293" i="7"/>
  <c r="EW293" i="7"/>
  <c r="EX293" i="7"/>
  <c r="EY293" i="7"/>
  <c r="EZ293" i="7"/>
  <c r="FA293" i="7"/>
  <c r="FB293" i="7"/>
  <c r="FC293" i="7"/>
  <c r="FD293" i="7"/>
  <c r="FE293" i="7"/>
  <c r="FF293" i="7"/>
  <c r="FG293" i="7"/>
  <c r="FH293" i="7"/>
  <c r="FI293" i="7"/>
  <c r="FJ293" i="7"/>
  <c r="FK293" i="7"/>
  <c r="FL293" i="7"/>
  <c r="FM293" i="7"/>
  <c r="FN293" i="7"/>
  <c r="FO293" i="7"/>
  <c r="FP293" i="7"/>
  <c r="FQ293" i="7"/>
  <c r="FR293" i="7"/>
  <c r="FS293" i="7"/>
  <c r="FT293" i="7"/>
  <c r="FU293" i="7"/>
  <c r="FV293" i="7"/>
  <c r="FW293" i="7"/>
  <c r="FX293" i="7"/>
  <c r="FY293" i="7"/>
  <c r="FZ293" i="7"/>
  <c r="GA293" i="7"/>
  <c r="GB293" i="7"/>
  <c r="GC293" i="7"/>
  <c r="GD293" i="7"/>
  <c r="GE293" i="7"/>
  <c r="GF293" i="7"/>
  <c r="GG293" i="7"/>
  <c r="GH293" i="7"/>
  <c r="GI293" i="7"/>
  <c r="GJ293" i="7"/>
  <c r="GK293" i="7"/>
  <c r="GL293" i="7"/>
  <c r="GM293" i="7"/>
  <c r="GN293" i="7"/>
  <c r="GO293" i="7"/>
  <c r="GP293" i="7"/>
  <c r="GQ293" i="7"/>
  <c r="GR293" i="7"/>
  <c r="GS293" i="7"/>
  <c r="GT293" i="7"/>
  <c r="GU293" i="7"/>
  <c r="GV293" i="7"/>
  <c r="GW293" i="7"/>
  <c r="GX293" i="7"/>
  <c r="GY293" i="7"/>
  <c r="GZ293" i="7"/>
  <c r="HA293" i="7"/>
  <c r="HB293" i="7"/>
  <c r="HC293" i="7"/>
  <c r="HD293" i="7"/>
  <c r="HE293" i="7"/>
  <c r="HF293" i="7"/>
  <c r="HG293" i="7"/>
  <c r="HH293" i="7"/>
  <c r="HI293" i="7"/>
  <c r="HJ293" i="7"/>
  <c r="HK293" i="7"/>
  <c r="HL293" i="7"/>
  <c r="HM293" i="7"/>
  <c r="HN293" i="7"/>
  <c r="HO293" i="7"/>
  <c r="HP293" i="7"/>
  <c r="HQ293" i="7"/>
  <c r="HR293" i="7"/>
  <c r="HS293" i="7"/>
  <c r="HT293" i="7"/>
  <c r="HU293" i="7"/>
  <c r="HV293" i="7"/>
  <c r="HW293" i="7"/>
  <c r="HX293" i="7"/>
  <c r="HY293" i="7"/>
  <c r="HZ293" i="7"/>
  <c r="IA293" i="7"/>
  <c r="IB293" i="7"/>
  <c r="IC293" i="7"/>
  <c r="ID293" i="7"/>
  <c r="IE293" i="7"/>
  <c r="IF293" i="7"/>
  <c r="IG293" i="7"/>
  <c r="IH293" i="7"/>
  <c r="II293" i="7"/>
  <c r="IJ293" i="7"/>
  <c r="IK293" i="7"/>
  <c r="IL293" i="7"/>
  <c r="IM293" i="7"/>
  <c r="IN293" i="7"/>
  <c r="IO293" i="7"/>
  <c r="IP293" i="7"/>
  <c r="IQ293" i="7"/>
  <c r="IR293" i="7"/>
  <c r="IS293" i="7"/>
  <c r="IT293" i="7"/>
  <c r="IU293" i="7"/>
  <c r="IV293" i="7"/>
  <c r="A292" i="7"/>
  <c r="B292" i="7"/>
  <c r="C292" i="7"/>
  <c r="D292" i="7"/>
  <c r="E292" i="7"/>
  <c r="F292" i="7"/>
  <c r="G292" i="7"/>
  <c r="H292" i="7"/>
  <c r="I292" i="7"/>
  <c r="J292" i="7"/>
  <c r="K292" i="7"/>
  <c r="L292" i="7"/>
  <c r="M292" i="7"/>
  <c r="N292" i="7"/>
  <c r="O292" i="7"/>
  <c r="P292" i="7"/>
  <c r="Q292" i="7"/>
  <c r="R292" i="7"/>
  <c r="S292" i="7"/>
  <c r="T292" i="7"/>
  <c r="U292" i="7"/>
  <c r="V292" i="7"/>
  <c r="W292" i="7"/>
  <c r="X292" i="7"/>
  <c r="Y292" i="7"/>
  <c r="Z292" i="7"/>
  <c r="AA292" i="7"/>
  <c r="AB292" i="7"/>
  <c r="AC292" i="7"/>
  <c r="AD292" i="7"/>
  <c r="AE292" i="7"/>
  <c r="AF292" i="7"/>
  <c r="AG292" i="7"/>
  <c r="AH292" i="7"/>
  <c r="AI292" i="7"/>
  <c r="AJ292" i="7"/>
  <c r="AK292" i="7"/>
  <c r="AL292" i="7"/>
  <c r="AM292" i="7"/>
  <c r="AN292" i="7"/>
  <c r="AO292" i="7"/>
  <c r="AP292" i="7"/>
  <c r="AQ292" i="7"/>
  <c r="AR292" i="7"/>
  <c r="AS292" i="7"/>
  <c r="AT292" i="7"/>
  <c r="AU292" i="7"/>
  <c r="AV292" i="7"/>
  <c r="AW292" i="7"/>
  <c r="AX292" i="7"/>
  <c r="AY292" i="7"/>
  <c r="AZ292" i="7"/>
  <c r="BA292" i="7"/>
  <c r="BB292" i="7"/>
  <c r="BC292" i="7"/>
  <c r="BD292" i="7"/>
  <c r="BE292" i="7"/>
  <c r="BF292" i="7"/>
  <c r="BG292" i="7"/>
  <c r="BH292" i="7"/>
  <c r="BI292" i="7"/>
  <c r="BJ292" i="7"/>
  <c r="BK292" i="7"/>
  <c r="BL292" i="7"/>
  <c r="BM292" i="7"/>
  <c r="BN292" i="7"/>
  <c r="BO292" i="7"/>
  <c r="BP292" i="7"/>
  <c r="BQ292" i="7"/>
  <c r="BR292" i="7"/>
  <c r="BS292" i="7"/>
  <c r="BT292" i="7"/>
  <c r="BU292" i="7"/>
  <c r="BV292" i="7"/>
  <c r="BW292" i="7"/>
  <c r="BX292" i="7"/>
  <c r="BY292" i="7"/>
  <c r="BZ292" i="7"/>
  <c r="CA292" i="7"/>
  <c r="CB292" i="7"/>
  <c r="CC292" i="7"/>
  <c r="CD292" i="7"/>
  <c r="CE292" i="7"/>
  <c r="CF292" i="7"/>
  <c r="CG292" i="7"/>
  <c r="CH292" i="7"/>
  <c r="CI292" i="7"/>
  <c r="CJ292" i="7"/>
  <c r="CK292" i="7"/>
  <c r="CL292" i="7"/>
  <c r="CM292" i="7"/>
  <c r="CN292" i="7"/>
  <c r="CO292" i="7"/>
  <c r="CP292" i="7"/>
  <c r="CQ292" i="7"/>
  <c r="CR292" i="7"/>
  <c r="CS292" i="7"/>
  <c r="CT292" i="7"/>
  <c r="CU292" i="7"/>
  <c r="CV292" i="7"/>
  <c r="CW292" i="7"/>
  <c r="CX292" i="7"/>
  <c r="CY292" i="7"/>
  <c r="CZ292" i="7"/>
  <c r="DA292" i="7"/>
  <c r="DB292" i="7"/>
  <c r="DC292" i="7"/>
  <c r="DD292" i="7"/>
  <c r="DE292" i="7"/>
  <c r="DF292" i="7"/>
  <c r="DG292" i="7"/>
  <c r="DH292" i="7"/>
  <c r="DI292" i="7"/>
  <c r="DJ292" i="7"/>
  <c r="DK292" i="7"/>
  <c r="DL292" i="7"/>
  <c r="DM292" i="7"/>
  <c r="DN292" i="7"/>
  <c r="DO292" i="7"/>
  <c r="DP292" i="7"/>
  <c r="DQ292" i="7"/>
  <c r="DR292" i="7"/>
  <c r="DS292" i="7"/>
  <c r="DT292" i="7"/>
  <c r="DU292" i="7"/>
  <c r="DV292" i="7"/>
  <c r="DW292" i="7"/>
  <c r="DX292" i="7"/>
  <c r="DY292" i="7"/>
  <c r="DZ292" i="7"/>
  <c r="EA292" i="7"/>
  <c r="EB292" i="7"/>
  <c r="EC292" i="7"/>
  <c r="ED292" i="7"/>
  <c r="EE292" i="7"/>
  <c r="EF292" i="7"/>
  <c r="EG292" i="7"/>
  <c r="EH292" i="7"/>
  <c r="EI292" i="7"/>
  <c r="EJ292" i="7"/>
  <c r="EK292" i="7"/>
  <c r="EL292" i="7"/>
  <c r="EM292" i="7"/>
  <c r="EN292" i="7"/>
  <c r="EO292" i="7"/>
  <c r="EP292" i="7"/>
  <c r="EQ292" i="7"/>
  <c r="ER292" i="7"/>
  <c r="ES292" i="7"/>
  <c r="ET292" i="7"/>
  <c r="EU292" i="7"/>
  <c r="EV292" i="7"/>
  <c r="EW292" i="7"/>
  <c r="EX292" i="7"/>
  <c r="EY292" i="7"/>
  <c r="EZ292" i="7"/>
  <c r="FA292" i="7"/>
  <c r="FB292" i="7"/>
  <c r="FC292" i="7"/>
  <c r="FD292" i="7"/>
  <c r="FE292" i="7"/>
  <c r="FF292" i="7"/>
  <c r="FG292" i="7"/>
  <c r="FH292" i="7"/>
  <c r="FI292" i="7"/>
  <c r="FJ292" i="7"/>
  <c r="FK292" i="7"/>
  <c r="FL292" i="7"/>
  <c r="FM292" i="7"/>
  <c r="FN292" i="7"/>
  <c r="FO292" i="7"/>
  <c r="FP292" i="7"/>
  <c r="FQ292" i="7"/>
  <c r="FR292" i="7"/>
  <c r="FS292" i="7"/>
  <c r="FT292" i="7"/>
  <c r="FU292" i="7"/>
  <c r="FV292" i="7"/>
  <c r="FW292" i="7"/>
  <c r="FX292" i="7"/>
  <c r="FY292" i="7"/>
  <c r="FZ292" i="7"/>
  <c r="GA292" i="7"/>
  <c r="GB292" i="7"/>
  <c r="GC292" i="7"/>
  <c r="GD292" i="7"/>
  <c r="GE292" i="7"/>
  <c r="GF292" i="7"/>
  <c r="GG292" i="7"/>
  <c r="GH292" i="7"/>
  <c r="GI292" i="7"/>
  <c r="GJ292" i="7"/>
  <c r="GK292" i="7"/>
  <c r="GL292" i="7"/>
  <c r="GM292" i="7"/>
  <c r="GN292" i="7"/>
  <c r="GO292" i="7"/>
  <c r="GP292" i="7"/>
  <c r="GQ292" i="7"/>
  <c r="GR292" i="7"/>
  <c r="GS292" i="7"/>
  <c r="GT292" i="7"/>
  <c r="GU292" i="7"/>
  <c r="GV292" i="7"/>
  <c r="GW292" i="7"/>
  <c r="GX292" i="7"/>
  <c r="GY292" i="7"/>
  <c r="GZ292" i="7"/>
  <c r="HA292" i="7"/>
  <c r="HB292" i="7"/>
  <c r="HC292" i="7"/>
  <c r="HD292" i="7"/>
  <c r="HE292" i="7"/>
  <c r="HF292" i="7"/>
  <c r="HG292" i="7"/>
  <c r="HH292" i="7"/>
  <c r="HI292" i="7"/>
  <c r="HJ292" i="7"/>
  <c r="HK292" i="7"/>
  <c r="HL292" i="7"/>
  <c r="HM292" i="7"/>
  <c r="HN292" i="7"/>
  <c r="HO292" i="7"/>
  <c r="HP292" i="7"/>
  <c r="HQ292" i="7"/>
  <c r="HR292" i="7"/>
  <c r="HS292" i="7"/>
  <c r="HT292" i="7"/>
  <c r="HU292" i="7"/>
  <c r="HV292" i="7"/>
  <c r="HW292" i="7"/>
  <c r="HX292" i="7"/>
  <c r="HY292" i="7"/>
  <c r="HZ292" i="7"/>
  <c r="IA292" i="7"/>
  <c r="IB292" i="7"/>
  <c r="IC292" i="7"/>
  <c r="ID292" i="7"/>
  <c r="IE292" i="7"/>
  <c r="IF292" i="7"/>
  <c r="IG292" i="7"/>
  <c r="IH292" i="7"/>
  <c r="II292" i="7"/>
  <c r="IJ292" i="7"/>
  <c r="IK292" i="7"/>
  <c r="IL292" i="7"/>
  <c r="IM292" i="7"/>
  <c r="IN292" i="7"/>
  <c r="IO292" i="7"/>
  <c r="IP292" i="7"/>
  <c r="IQ292" i="7"/>
  <c r="IR292" i="7"/>
  <c r="IS292" i="7"/>
  <c r="IT292" i="7"/>
  <c r="IU292" i="7"/>
  <c r="IV292" i="7"/>
  <c r="A291" i="7"/>
  <c r="B291" i="7"/>
  <c r="C291" i="7"/>
  <c r="D291" i="7"/>
  <c r="E291" i="7"/>
  <c r="F291" i="7"/>
  <c r="G291" i="7"/>
  <c r="H291" i="7"/>
  <c r="I291" i="7"/>
  <c r="J291" i="7"/>
  <c r="K291" i="7"/>
  <c r="L291" i="7"/>
  <c r="M291" i="7"/>
  <c r="N291" i="7"/>
  <c r="O291" i="7"/>
  <c r="P291" i="7"/>
  <c r="Q291" i="7"/>
  <c r="R291" i="7"/>
  <c r="S291" i="7"/>
  <c r="T291" i="7"/>
  <c r="U291" i="7"/>
  <c r="V291" i="7"/>
  <c r="W291" i="7"/>
  <c r="X291" i="7"/>
  <c r="Y291" i="7"/>
  <c r="Z291" i="7"/>
  <c r="AA291" i="7"/>
  <c r="AB291" i="7"/>
  <c r="AC291" i="7"/>
  <c r="AD291" i="7"/>
  <c r="AE291" i="7"/>
  <c r="AF291" i="7"/>
  <c r="AG291" i="7"/>
  <c r="AH291" i="7"/>
  <c r="AI291" i="7"/>
  <c r="AJ291" i="7"/>
  <c r="AK291" i="7"/>
  <c r="AL291" i="7"/>
  <c r="AM291" i="7"/>
  <c r="AN291" i="7"/>
  <c r="AO291" i="7"/>
  <c r="AP291" i="7"/>
  <c r="AQ291" i="7"/>
  <c r="AR291" i="7"/>
  <c r="AS291" i="7"/>
  <c r="AT291" i="7"/>
  <c r="AU291" i="7"/>
  <c r="AV291" i="7"/>
  <c r="AW291" i="7"/>
  <c r="AX291" i="7"/>
  <c r="AY291" i="7"/>
  <c r="AZ291" i="7"/>
  <c r="BA291" i="7"/>
  <c r="BB291" i="7"/>
  <c r="BC291" i="7"/>
  <c r="BD291" i="7"/>
  <c r="BE291" i="7"/>
  <c r="BF291" i="7"/>
  <c r="BG291" i="7"/>
  <c r="BH291" i="7"/>
  <c r="BI291" i="7"/>
  <c r="BJ291" i="7"/>
  <c r="BK291" i="7"/>
  <c r="BL291" i="7"/>
  <c r="BM291" i="7"/>
  <c r="BN291" i="7"/>
  <c r="BO291" i="7"/>
  <c r="BP291" i="7"/>
  <c r="BQ291" i="7"/>
  <c r="BR291" i="7"/>
  <c r="BS291" i="7"/>
  <c r="BT291" i="7"/>
  <c r="BU291" i="7"/>
  <c r="BV291" i="7"/>
  <c r="BW291" i="7"/>
  <c r="BX291" i="7"/>
  <c r="BY291" i="7"/>
  <c r="BZ291" i="7"/>
  <c r="CA291" i="7"/>
  <c r="CB291" i="7"/>
  <c r="CC291" i="7"/>
  <c r="CD291" i="7"/>
  <c r="CE291" i="7"/>
  <c r="CF291" i="7"/>
  <c r="CG291" i="7"/>
  <c r="CH291" i="7"/>
  <c r="CI291" i="7"/>
  <c r="CJ291" i="7"/>
  <c r="CK291" i="7"/>
  <c r="CL291" i="7"/>
  <c r="CM291" i="7"/>
  <c r="CN291" i="7"/>
  <c r="CO291" i="7"/>
  <c r="CP291" i="7"/>
  <c r="CQ291" i="7"/>
  <c r="CR291" i="7"/>
  <c r="CS291" i="7"/>
  <c r="CT291" i="7"/>
  <c r="CU291" i="7"/>
  <c r="CV291" i="7"/>
  <c r="CW291" i="7"/>
  <c r="CX291" i="7"/>
  <c r="CY291" i="7"/>
  <c r="CZ291" i="7"/>
  <c r="DA291" i="7"/>
  <c r="DB291" i="7"/>
  <c r="DC291" i="7"/>
  <c r="DD291" i="7"/>
  <c r="DE291" i="7"/>
  <c r="DF291" i="7"/>
  <c r="DG291" i="7"/>
  <c r="DH291" i="7"/>
  <c r="DI291" i="7"/>
  <c r="DJ291" i="7"/>
  <c r="DK291" i="7"/>
  <c r="DL291" i="7"/>
  <c r="DM291" i="7"/>
  <c r="DN291" i="7"/>
  <c r="DO291" i="7"/>
  <c r="DP291" i="7"/>
  <c r="DQ291" i="7"/>
  <c r="DR291" i="7"/>
  <c r="DS291" i="7"/>
  <c r="DT291" i="7"/>
  <c r="DU291" i="7"/>
  <c r="DV291" i="7"/>
  <c r="DW291" i="7"/>
  <c r="DX291" i="7"/>
  <c r="DY291" i="7"/>
  <c r="DZ291" i="7"/>
  <c r="EA291" i="7"/>
  <c r="EB291" i="7"/>
  <c r="EC291" i="7"/>
  <c r="ED291" i="7"/>
  <c r="EE291" i="7"/>
  <c r="EF291" i="7"/>
  <c r="EG291" i="7"/>
  <c r="EH291" i="7"/>
  <c r="EI291" i="7"/>
  <c r="EJ291" i="7"/>
  <c r="EK291" i="7"/>
  <c r="EL291" i="7"/>
  <c r="EM291" i="7"/>
  <c r="EN291" i="7"/>
  <c r="EO291" i="7"/>
  <c r="EP291" i="7"/>
  <c r="EQ291" i="7"/>
  <c r="ER291" i="7"/>
  <c r="ES291" i="7"/>
  <c r="ET291" i="7"/>
  <c r="EU291" i="7"/>
  <c r="EV291" i="7"/>
  <c r="EW291" i="7"/>
  <c r="EX291" i="7"/>
  <c r="EY291" i="7"/>
  <c r="EZ291" i="7"/>
  <c r="FA291" i="7"/>
  <c r="FB291" i="7"/>
  <c r="FC291" i="7"/>
  <c r="FD291" i="7"/>
  <c r="FE291" i="7"/>
  <c r="FF291" i="7"/>
  <c r="FG291" i="7"/>
  <c r="FH291" i="7"/>
  <c r="FI291" i="7"/>
  <c r="FJ291" i="7"/>
  <c r="FK291" i="7"/>
  <c r="FL291" i="7"/>
  <c r="FM291" i="7"/>
  <c r="FN291" i="7"/>
  <c r="FO291" i="7"/>
  <c r="FP291" i="7"/>
  <c r="FQ291" i="7"/>
  <c r="FR291" i="7"/>
  <c r="FS291" i="7"/>
  <c r="FT291" i="7"/>
  <c r="FU291" i="7"/>
  <c r="FV291" i="7"/>
  <c r="FW291" i="7"/>
  <c r="FX291" i="7"/>
  <c r="FY291" i="7"/>
  <c r="FZ291" i="7"/>
  <c r="GA291" i="7"/>
  <c r="GB291" i="7"/>
  <c r="GC291" i="7"/>
  <c r="GD291" i="7"/>
  <c r="GE291" i="7"/>
  <c r="GF291" i="7"/>
  <c r="GG291" i="7"/>
  <c r="GH291" i="7"/>
  <c r="GI291" i="7"/>
  <c r="GJ291" i="7"/>
  <c r="GK291" i="7"/>
  <c r="GL291" i="7"/>
  <c r="GM291" i="7"/>
  <c r="GN291" i="7"/>
  <c r="GO291" i="7"/>
  <c r="GP291" i="7"/>
  <c r="GQ291" i="7"/>
  <c r="GR291" i="7"/>
  <c r="GS291" i="7"/>
  <c r="GT291" i="7"/>
  <c r="GU291" i="7"/>
  <c r="GV291" i="7"/>
  <c r="GW291" i="7"/>
  <c r="GX291" i="7"/>
  <c r="GY291" i="7"/>
  <c r="GZ291" i="7"/>
  <c r="HA291" i="7"/>
  <c r="HB291" i="7"/>
  <c r="HC291" i="7"/>
  <c r="HD291" i="7"/>
  <c r="HE291" i="7"/>
  <c r="HF291" i="7"/>
  <c r="HG291" i="7"/>
  <c r="HH291" i="7"/>
  <c r="HI291" i="7"/>
  <c r="HJ291" i="7"/>
  <c r="HK291" i="7"/>
  <c r="HL291" i="7"/>
  <c r="HM291" i="7"/>
  <c r="HN291" i="7"/>
  <c r="HO291" i="7"/>
  <c r="HP291" i="7"/>
  <c r="HQ291" i="7"/>
  <c r="HR291" i="7"/>
  <c r="HS291" i="7"/>
  <c r="HT291" i="7"/>
  <c r="HU291" i="7"/>
  <c r="HV291" i="7"/>
  <c r="HW291" i="7"/>
  <c r="HX291" i="7"/>
  <c r="HY291" i="7"/>
  <c r="HZ291" i="7"/>
  <c r="IA291" i="7"/>
  <c r="IB291" i="7"/>
  <c r="IC291" i="7"/>
  <c r="ID291" i="7"/>
  <c r="IE291" i="7"/>
  <c r="IF291" i="7"/>
  <c r="IG291" i="7"/>
  <c r="IH291" i="7"/>
  <c r="II291" i="7"/>
  <c r="IJ291" i="7"/>
  <c r="IK291" i="7"/>
  <c r="IL291" i="7"/>
  <c r="IM291" i="7"/>
  <c r="IN291" i="7"/>
  <c r="IO291" i="7"/>
  <c r="IP291" i="7"/>
  <c r="IQ291" i="7"/>
  <c r="IR291" i="7"/>
  <c r="IS291" i="7"/>
  <c r="IT291" i="7"/>
  <c r="IU291" i="7"/>
  <c r="IV291" i="7"/>
  <c r="A290" i="7"/>
  <c r="B290" i="7"/>
  <c r="C290" i="7"/>
  <c r="D290" i="7"/>
  <c r="E290" i="7"/>
  <c r="F290" i="7"/>
  <c r="G290" i="7"/>
  <c r="H290" i="7"/>
  <c r="I290" i="7"/>
  <c r="J290" i="7"/>
  <c r="K290" i="7"/>
  <c r="L290" i="7"/>
  <c r="M290" i="7"/>
  <c r="N290" i="7"/>
  <c r="O290" i="7"/>
  <c r="P290" i="7"/>
  <c r="Q290" i="7"/>
  <c r="R290" i="7"/>
  <c r="S290" i="7"/>
  <c r="T290" i="7"/>
  <c r="U290" i="7"/>
  <c r="V290" i="7"/>
  <c r="W290" i="7"/>
  <c r="X290" i="7"/>
  <c r="Y290" i="7"/>
  <c r="Z290" i="7"/>
  <c r="AA290" i="7"/>
  <c r="AB290" i="7"/>
  <c r="AC290" i="7"/>
  <c r="AD290" i="7"/>
  <c r="AE290" i="7"/>
  <c r="AF290" i="7"/>
  <c r="AG290" i="7"/>
  <c r="AH290" i="7"/>
  <c r="AI290" i="7"/>
  <c r="AJ290" i="7"/>
  <c r="AK290" i="7"/>
  <c r="AL290" i="7"/>
  <c r="AM290" i="7"/>
  <c r="AN290" i="7"/>
  <c r="AO290" i="7"/>
  <c r="AP290" i="7"/>
  <c r="AQ290" i="7"/>
  <c r="AR290" i="7"/>
  <c r="AS290" i="7"/>
  <c r="AT290" i="7"/>
  <c r="AU290" i="7"/>
  <c r="AV290" i="7"/>
  <c r="AW290" i="7"/>
  <c r="AX290" i="7"/>
  <c r="AY290" i="7"/>
  <c r="AZ290" i="7"/>
  <c r="BA290" i="7"/>
  <c r="BB290" i="7"/>
  <c r="BC290" i="7"/>
  <c r="BD290" i="7"/>
  <c r="BE290" i="7"/>
  <c r="BF290" i="7"/>
  <c r="BG290" i="7"/>
  <c r="BH290" i="7"/>
  <c r="BI290" i="7"/>
  <c r="BJ290" i="7"/>
  <c r="BK290" i="7"/>
  <c r="BL290" i="7"/>
  <c r="BM290" i="7"/>
  <c r="BN290" i="7"/>
  <c r="BO290" i="7"/>
  <c r="BP290" i="7"/>
  <c r="BQ290" i="7"/>
  <c r="BR290" i="7"/>
  <c r="BS290" i="7"/>
  <c r="BT290" i="7"/>
  <c r="BU290" i="7"/>
  <c r="BV290" i="7"/>
  <c r="BW290" i="7"/>
  <c r="BX290" i="7"/>
  <c r="BY290" i="7"/>
  <c r="BZ290" i="7"/>
  <c r="CA290" i="7"/>
  <c r="CB290" i="7"/>
  <c r="CC290" i="7"/>
  <c r="CD290" i="7"/>
  <c r="CE290" i="7"/>
  <c r="CF290" i="7"/>
  <c r="CG290" i="7"/>
  <c r="CH290" i="7"/>
  <c r="CI290" i="7"/>
  <c r="CJ290" i="7"/>
  <c r="CK290" i="7"/>
  <c r="CL290" i="7"/>
  <c r="CM290" i="7"/>
  <c r="CN290" i="7"/>
  <c r="CO290" i="7"/>
  <c r="CP290" i="7"/>
  <c r="CQ290" i="7"/>
  <c r="CR290" i="7"/>
  <c r="CS290" i="7"/>
  <c r="CT290" i="7"/>
  <c r="CU290" i="7"/>
  <c r="CV290" i="7"/>
  <c r="CW290" i="7"/>
  <c r="CX290" i="7"/>
  <c r="CY290" i="7"/>
  <c r="CZ290" i="7"/>
  <c r="DA290" i="7"/>
  <c r="DB290" i="7"/>
  <c r="DC290" i="7"/>
  <c r="DD290" i="7"/>
  <c r="DE290" i="7"/>
  <c r="DF290" i="7"/>
  <c r="DG290" i="7"/>
  <c r="DH290" i="7"/>
  <c r="DI290" i="7"/>
  <c r="DJ290" i="7"/>
  <c r="DK290" i="7"/>
  <c r="DL290" i="7"/>
  <c r="DM290" i="7"/>
  <c r="DN290" i="7"/>
  <c r="DO290" i="7"/>
  <c r="DP290" i="7"/>
  <c r="DQ290" i="7"/>
  <c r="DR290" i="7"/>
  <c r="DS290" i="7"/>
  <c r="DT290" i="7"/>
  <c r="DU290" i="7"/>
  <c r="DV290" i="7"/>
  <c r="DW290" i="7"/>
  <c r="DX290" i="7"/>
  <c r="DY290" i="7"/>
  <c r="DZ290" i="7"/>
  <c r="EA290" i="7"/>
  <c r="EB290" i="7"/>
  <c r="EC290" i="7"/>
  <c r="ED290" i="7"/>
  <c r="EE290" i="7"/>
  <c r="EF290" i="7"/>
  <c r="EG290" i="7"/>
  <c r="EH290" i="7"/>
  <c r="EI290" i="7"/>
  <c r="EJ290" i="7"/>
  <c r="EK290" i="7"/>
  <c r="EL290" i="7"/>
  <c r="EM290" i="7"/>
  <c r="EN290" i="7"/>
  <c r="EO290" i="7"/>
  <c r="EP290" i="7"/>
  <c r="EQ290" i="7"/>
  <c r="ER290" i="7"/>
  <c r="ES290" i="7"/>
  <c r="ET290" i="7"/>
  <c r="EU290" i="7"/>
  <c r="EV290" i="7"/>
  <c r="EW290" i="7"/>
  <c r="EX290" i="7"/>
  <c r="EY290" i="7"/>
  <c r="EZ290" i="7"/>
  <c r="FA290" i="7"/>
  <c r="FB290" i="7"/>
  <c r="FC290" i="7"/>
  <c r="FD290" i="7"/>
  <c r="FE290" i="7"/>
  <c r="FF290" i="7"/>
  <c r="FG290" i="7"/>
  <c r="FH290" i="7"/>
  <c r="FI290" i="7"/>
  <c r="FJ290" i="7"/>
  <c r="FK290" i="7"/>
  <c r="FL290" i="7"/>
  <c r="FM290" i="7"/>
  <c r="FN290" i="7"/>
  <c r="FO290" i="7"/>
  <c r="FP290" i="7"/>
  <c r="FQ290" i="7"/>
  <c r="FR290" i="7"/>
  <c r="FS290" i="7"/>
  <c r="FT290" i="7"/>
  <c r="FU290" i="7"/>
  <c r="FV290" i="7"/>
  <c r="FW290" i="7"/>
  <c r="FX290" i="7"/>
  <c r="FY290" i="7"/>
  <c r="FZ290" i="7"/>
  <c r="GA290" i="7"/>
  <c r="GB290" i="7"/>
  <c r="GC290" i="7"/>
  <c r="GD290" i="7"/>
  <c r="GE290" i="7"/>
  <c r="GF290" i="7"/>
  <c r="GG290" i="7"/>
  <c r="GH290" i="7"/>
  <c r="GI290" i="7"/>
  <c r="GJ290" i="7"/>
  <c r="GK290" i="7"/>
  <c r="GL290" i="7"/>
  <c r="GM290" i="7"/>
  <c r="GN290" i="7"/>
  <c r="GO290" i="7"/>
  <c r="GP290" i="7"/>
  <c r="GQ290" i="7"/>
  <c r="GR290" i="7"/>
  <c r="GS290" i="7"/>
  <c r="GT290" i="7"/>
  <c r="GU290" i="7"/>
  <c r="GV290" i="7"/>
  <c r="GW290" i="7"/>
  <c r="GX290" i="7"/>
  <c r="GY290" i="7"/>
  <c r="GZ290" i="7"/>
  <c r="HA290" i="7"/>
  <c r="HB290" i="7"/>
  <c r="HC290" i="7"/>
  <c r="HD290" i="7"/>
  <c r="HE290" i="7"/>
  <c r="HF290" i="7"/>
  <c r="HG290" i="7"/>
  <c r="HH290" i="7"/>
  <c r="HI290" i="7"/>
  <c r="HJ290" i="7"/>
  <c r="HK290" i="7"/>
  <c r="HL290" i="7"/>
  <c r="HM290" i="7"/>
  <c r="HN290" i="7"/>
  <c r="HO290" i="7"/>
  <c r="HP290" i="7"/>
  <c r="HQ290" i="7"/>
  <c r="HR290" i="7"/>
  <c r="HS290" i="7"/>
  <c r="HT290" i="7"/>
  <c r="HU290" i="7"/>
  <c r="HV290" i="7"/>
  <c r="HW290" i="7"/>
  <c r="HX290" i="7"/>
  <c r="HY290" i="7"/>
  <c r="HZ290" i="7"/>
  <c r="IA290" i="7"/>
  <c r="IB290" i="7"/>
  <c r="IC290" i="7"/>
  <c r="ID290" i="7"/>
  <c r="IE290" i="7"/>
  <c r="IF290" i="7"/>
  <c r="IG290" i="7"/>
  <c r="IH290" i="7"/>
  <c r="II290" i="7"/>
  <c r="IJ290" i="7"/>
  <c r="IK290" i="7"/>
  <c r="IL290" i="7"/>
  <c r="IM290" i="7"/>
  <c r="IN290" i="7"/>
  <c r="IO290" i="7"/>
  <c r="IP290" i="7"/>
  <c r="IQ290" i="7"/>
  <c r="IR290" i="7"/>
  <c r="IS290" i="7"/>
  <c r="IT290" i="7"/>
  <c r="IU290" i="7"/>
  <c r="IV290" i="7"/>
  <c r="A289" i="7"/>
  <c r="B289" i="7"/>
  <c r="C289" i="7"/>
  <c r="D289" i="7"/>
  <c r="E289" i="7"/>
  <c r="F289" i="7"/>
  <c r="G289" i="7"/>
  <c r="H289" i="7"/>
  <c r="I289" i="7"/>
  <c r="J289" i="7"/>
  <c r="K289" i="7"/>
  <c r="L289" i="7"/>
  <c r="M289" i="7"/>
  <c r="N289" i="7"/>
  <c r="O289" i="7"/>
  <c r="P289" i="7"/>
  <c r="Q289" i="7"/>
  <c r="R289" i="7"/>
  <c r="S289" i="7"/>
  <c r="T289" i="7"/>
  <c r="U289" i="7"/>
  <c r="V289" i="7"/>
  <c r="W289" i="7"/>
  <c r="X289" i="7"/>
  <c r="Y289" i="7"/>
  <c r="Z289" i="7"/>
  <c r="AA289" i="7"/>
  <c r="AB289" i="7"/>
  <c r="AC289" i="7"/>
  <c r="AD289" i="7"/>
  <c r="AE289" i="7"/>
  <c r="AF289" i="7"/>
  <c r="AG289" i="7"/>
  <c r="AH289" i="7"/>
  <c r="AI289" i="7"/>
  <c r="AJ289" i="7"/>
  <c r="AK289" i="7"/>
  <c r="AL289" i="7"/>
  <c r="AM289" i="7"/>
  <c r="AN289" i="7"/>
  <c r="AO289" i="7"/>
  <c r="AP289" i="7"/>
  <c r="AQ289" i="7"/>
  <c r="AR289" i="7"/>
  <c r="AS289" i="7"/>
  <c r="AT289" i="7"/>
  <c r="AU289" i="7"/>
  <c r="AV289" i="7"/>
  <c r="AW289" i="7"/>
  <c r="AX289" i="7"/>
  <c r="AY289" i="7"/>
  <c r="AZ289" i="7"/>
  <c r="BA289" i="7"/>
  <c r="BB289" i="7"/>
  <c r="BC289" i="7"/>
  <c r="BD289" i="7"/>
  <c r="BE289" i="7"/>
  <c r="BF289" i="7"/>
  <c r="BG289" i="7"/>
  <c r="BH289" i="7"/>
  <c r="BI289" i="7"/>
  <c r="BJ289" i="7"/>
  <c r="BK289" i="7"/>
  <c r="BL289" i="7"/>
  <c r="BM289" i="7"/>
  <c r="BN289" i="7"/>
  <c r="BO289" i="7"/>
  <c r="BP289" i="7"/>
  <c r="BQ289" i="7"/>
  <c r="BR289" i="7"/>
  <c r="BS289" i="7"/>
  <c r="BT289" i="7"/>
  <c r="BU289" i="7"/>
  <c r="BV289" i="7"/>
  <c r="BW289" i="7"/>
  <c r="BX289" i="7"/>
  <c r="BY289" i="7"/>
  <c r="BZ289" i="7"/>
  <c r="CA289" i="7"/>
  <c r="CB289" i="7"/>
  <c r="CC289" i="7"/>
  <c r="CD289" i="7"/>
  <c r="CE289" i="7"/>
  <c r="CF289" i="7"/>
  <c r="CG289" i="7"/>
  <c r="CH289" i="7"/>
  <c r="CI289" i="7"/>
  <c r="CJ289" i="7"/>
  <c r="CK289" i="7"/>
  <c r="CL289" i="7"/>
  <c r="CM289" i="7"/>
  <c r="CN289" i="7"/>
  <c r="CO289" i="7"/>
  <c r="CP289" i="7"/>
  <c r="CQ289" i="7"/>
  <c r="CR289" i="7"/>
  <c r="CS289" i="7"/>
  <c r="CT289" i="7"/>
  <c r="CU289" i="7"/>
  <c r="CV289" i="7"/>
  <c r="CW289" i="7"/>
  <c r="CX289" i="7"/>
  <c r="CY289" i="7"/>
  <c r="CZ289" i="7"/>
  <c r="DA289" i="7"/>
  <c r="DB289" i="7"/>
  <c r="DC289" i="7"/>
  <c r="DD289" i="7"/>
  <c r="DE289" i="7"/>
  <c r="DF289" i="7"/>
  <c r="DG289" i="7"/>
  <c r="DH289" i="7"/>
  <c r="DI289" i="7"/>
  <c r="DJ289" i="7"/>
  <c r="DK289" i="7"/>
  <c r="DL289" i="7"/>
  <c r="DM289" i="7"/>
  <c r="DN289" i="7"/>
  <c r="DO289" i="7"/>
  <c r="DP289" i="7"/>
  <c r="DQ289" i="7"/>
  <c r="DR289" i="7"/>
  <c r="DS289" i="7"/>
  <c r="DT289" i="7"/>
  <c r="DU289" i="7"/>
  <c r="DV289" i="7"/>
  <c r="DW289" i="7"/>
  <c r="DX289" i="7"/>
  <c r="DY289" i="7"/>
  <c r="DZ289" i="7"/>
  <c r="EA289" i="7"/>
  <c r="EB289" i="7"/>
  <c r="EC289" i="7"/>
  <c r="ED289" i="7"/>
  <c r="EE289" i="7"/>
  <c r="EF289" i="7"/>
  <c r="EG289" i="7"/>
  <c r="EH289" i="7"/>
  <c r="EI289" i="7"/>
  <c r="EJ289" i="7"/>
  <c r="EK289" i="7"/>
  <c r="EL289" i="7"/>
  <c r="EM289" i="7"/>
  <c r="EN289" i="7"/>
  <c r="EO289" i="7"/>
  <c r="EP289" i="7"/>
  <c r="EQ289" i="7"/>
  <c r="ER289" i="7"/>
  <c r="ES289" i="7"/>
  <c r="ET289" i="7"/>
  <c r="EU289" i="7"/>
  <c r="EV289" i="7"/>
  <c r="EW289" i="7"/>
  <c r="EX289" i="7"/>
  <c r="EY289" i="7"/>
  <c r="EZ289" i="7"/>
  <c r="FA289" i="7"/>
  <c r="FB289" i="7"/>
  <c r="FC289" i="7"/>
  <c r="FD289" i="7"/>
  <c r="FE289" i="7"/>
  <c r="FF289" i="7"/>
  <c r="FG289" i="7"/>
  <c r="FH289" i="7"/>
  <c r="FI289" i="7"/>
  <c r="FJ289" i="7"/>
  <c r="FK289" i="7"/>
  <c r="FL289" i="7"/>
  <c r="FM289" i="7"/>
  <c r="FN289" i="7"/>
  <c r="FO289" i="7"/>
  <c r="FP289" i="7"/>
  <c r="FQ289" i="7"/>
  <c r="FR289" i="7"/>
  <c r="FS289" i="7"/>
  <c r="FT289" i="7"/>
  <c r="FU289" i="7"/>
  <c r="FV289" i="7"/>
  <c r="FW289" i="7"/>
  <c r="FX289" i="7"/>
  <c r="FY289" i="7"/>
  <c r="FZ289" i="7"/>
  <c r="GA289" i="7"/>
  <c r="GB289" i="7"/>
  <c r="GC289" i="7"/>
  <c r="GD289" i="7"/>
  <c r="GE289" i="7"/>
  <c r="GF289" i="7"/>
  <c r="GG289" i="7"/>
  <c r="GH289" i="7"/>
  <c r="GI289" i="7"/>
  <c r="GJ289" i="7"/>
  <c r="GK289" i="7"/>
  <c r="GL289" i="7"/>
  <c r="GM289" i="7"/>
  <c r="GN289" i="7"/>
  <c r="GO289" i="7"/>
  <c r="GP289" i="7"/>
  <c r="GQ289" i="7"/>
  <c r="GR289" i="7"/>
  <c r="GS289" i="7"/>
  <c r="GT289" i="7"/>
  <c r="GU289" i="7"/>
  <c r="GV289" i="7"/>
  <c r="GW289" i="7"/>
  <c r="GX289" i="7"/>
  <c r="GY289" i="7"/>
  <c r="GZ289" i="7"/>
  <c r="HA289" i="7"/>
  <c r="HB289" i="7"/>
  <c r="HC289" i="7"/>
  <c r="HD289" i="7"/>
  <c r="HE289" i="7"/>
  <c r="HF289" i="7"/>
  <c r="HG289" i="7"/>
  <c r="HH289" i="7"/>
  <c r="HI289" i="7"/>
  <c r="HJ289" i="7"/>
  <c r="HK289" i="7"/>
  <c r="HL289" i="7"/>
  <c r="HM289" i="7"/>
  <c r="HN289" i="7"/>
  <c r="HO289" i="7"/>
  <c r="HP289" i="7"/>
  <c r="HQ289" i="7"/>
  <c r="HR289" i="7"/>
  <c r="HS289" i="7"/>
  <c r="HT289" i="7"/>
  <c r="HU289" i="7"/>
  <c r="HV289" i="7"/>
  <c r="HW289" i="7"/>
  <c r="HX289" i="7"/>
  <c r="HY289" i="7"/>
  <c r="HZ289" i="7"/>
  <c r="IA289" i="7"/>
  <c r="IB289" i="7"/>
  <c r="IC289" i="7"/>
  <c r="ID289" i="7"/>
  <c r="IE289" i="7"/>
  <c r="IF289" i="7"/>
  <c r="IG289" i="7"/>
  <c r="IH289" i="7"/>
  <c r="II289" i="7"/>
  <c r="IJ289" i="7"/>
  <c r="IK289" i="7"/>
  <c r="IL289" i="7"/>
  <c r="IM289" i="7"/>
  <c r="IN289" i="7"/>
  <c r="IO289" i="7"/>
  <c r="IP289" i="7"/>
  <c r="IQ289" i="7"/>
  <c r="IR289" i="7"/>
  <c r="IS289" i="7"/>
  <c r="IT289" i="7"/>
  <c r="IU289" i="7"/>
  <c r="IV289" i="7"/>
  <c r="A288" i="7"/>
  <c r="B288" i="7"/>
  <c r="C288" i="7"/>
  <c r="D288" i="7"/>
  <c r="E288" i="7"/>
  <c r="F288" i="7"/>
  <c r="G288" i="7"/>
  <c r="H288" i="7"/>
  <c r="I288" i="7"/>
  <c r="J288" i="7"/>
  <c r="K288" i="7"/>
  <c r="L288" i="7"/>
  <c r="M288" i="7"/>
  <c r="N288" i="7"/>
  <c r="O288" i="7"/>
  <c r="P288" i="7"/>
  <c r="Q288" i="7"/>
  <c r="R288" i="7"/>
  <c r="S288" i="7"/>
  <c r="T288" i="7"/>
  <c r="U288" i="7"/>
  <c r="V288" i="7"/>
  <c r="W288" i="7"/>
  <c r="X288" i="7"/>
  <c r="Y288" i="7"/>
  <c r="Z288" i="7"/>
  <c r="AA288" i="7"/>
  <c r="AB288" i="7"/>
  <c r="AC288" i="7"/>
  <c r="AD288" i="7"/>
  <c r="AE288" i="7"/>
  <c r="AF288" i="7"/>
  <c r="AG288" i="7"/>
  <c r="AH288" i="7"/>
  <c r="AI288" i="7"/>
  <c r="AJ288" i="7"/>
  <c r="AK288" i="7"/>
  <c r="AL288" i="7"/>
  <c r="AM288" i="7"/>
  <c r="AN288" i="7"/>
  <c r="AO288" i="7"/>
  <c r="AP288" i="7"/>
  <c r="AQ288" i="7"/>
  <c r="AR288" i="7"/>
  <c r="AS288" i="7"/>
  <c r="AT288" i="7"/>
  <c r="AU288" i="7"/>
  <c r="AV288" i="7"/>
  <c r="AW288" i="7"/>
  <c r="AX288" i="7"/>
  <c r="AY288" i="7"/>
  <c r="AZ288" i="7"/>
  <c r="BA288" i="7"/>
  <c r="BB288" i="7"/>
  <c r="BC288" i="7"/>
  <c r="BD288" i="7"/>
  <c r="BE288" i="7"/>
  <c r="BF288" i="7"/>
  <c r="BG288" i="7"/>
  <c r="BH288" i="7"/>
  <c r="BI288" i="7"/>
  <c r="BJ288" i="7"/>
  <c r="BK288" i="7"/>
  <c r="BL288" i="7"/>
  <c r="BM288" i="7"/>
  <c r="BN288" i="7"/>
  <c r="BO288" i="7"/>
  <c r="BP288" i="7"/>
  <c r="BQ288" i="7"/>
  <c r="BR288" i="7"/>
  <c r="BS288" i="7"/>
  <c r="BT288" i="7"/>
  <c r="BU288" i="7"/>
  <c r="BV288" i="7"/>
  <c r="BW288" i="7"/>
  <c r="BX288" i="7"/>
  <c r="BY288" i="7"/>
  <c r="BZ288" i="7"/>
  <c r="CA288" i="7"/>
  <c r="CB288" i="7"/>
  <c r="CC288" i="7"/>
  <c r="CD288" i="7"/>
  <c r="CE288" i="7"/>
  <c r="CF288" i="7"/>
  <c r="CG288" i="7"/>
  <c r="CH288" i="7"/>
  <c r="CI288" i="7"/>
  <c r="CJ288" i="7"/>
  <c r="CK288" i="7"/>
  <c r="CL288" i="7"/>
  <c r="CM288" i="7"/>
  <c r="CN288" i="7"/>
  <c r="CO288" i="7"/>
  <c r="CP288" i="7"/>
  <c r="CQ288" i="7"/>
  <c r="CR288" i="7"/>
  <c r="CS288" i="7"/>
  <c r="CT288" i="7"/>
  <c r="CU288" i="7"/>
  <c r="CV288" i="7"/>
  <c r="CW288" i="7"/>
  <c r="CX288" i="7"/>
  <c r="CY288" i="7"/>
  <c r="CZ288" i="7"/>
  <c r="DA288" i="7"/>
  <c r="DB288" i="7"/>
  <c r="DC288" i="7"/>
  <c r="DD288" i="7"/>
  <c r="DE288" i="7"/>
  <c r="DF288" i="7"/>
  <c r="DG288" i="7"/>
  <c r="DH288" i="7"/>
  <c r="DI288" i="7"/>
  <c r="DJ288" i="7"/>
  <c r="DK288" i="7"/>
  <c r="DL288" i="7"/>
  <c r="DM288" i="7"/>
  <c r="DN288" i="7"/>
  <c r="DO288" i="7"/>
  <c r="DP288" i="7"/>
  <c r="DQ288" i="7"/>
  <c r="DR288" i="7"/>
  <c r="DS288" i="7"/>
  <c r="DT288" i="7"/>
  <c r="DU288" i="7"/>
  <c r="DV288" i="7"/>
  <c r="DW288" i="7"/>
  <c r="DX288" i="7"/>
  <c r="DY288" i="7"/>
  <c r="DZ288" i="7"/>
  <c r="EA288" i="7"/>
  <c r="EB288" i="7"/>
  <c r="EC288" i="7"/>
  <c r="ED288" i="7"/>
  <c r="EE288" i="7"/>
  <c r="EF288" i="7"/>
  <c r="EG288" i="7"/>
  <c r="EH288" i="7"/>
  <c r="EI288" i="7"/>
  <c r="EJ288" i="7"/>
  <c r="EK288" i="7"/>
  <c r="EL288" i="7"/>
  <c r="EM288" i="7"/>
  <c r="EN288" i="7"/>
  <c r="EO288" i="7"/>
  <c r="EP288" i="7"/>
  <c r="EQ288" i="7"/>
  <c r="ER288" i="7"/>
  <c r="ES288" i="7"/>
  <c r="ET288" i="7"/>
  <c r="EU288" i="7"/>
  <c r="EV288" i="7"/>
  <c r="EW288" i="7"/>
  <c r="EX288" i="7"/>
  <c r="EY288" i="7"/>
  <c r="EZ288" i="7"/>
  <c r="FA288" i="7"/>
  <c r="FB288" i="7"/>
  <c r="FC288" i="7"/>
  <c r="FD288" i="7"/>
  <c r="FE288" i="7"/>
  <c r="FF288" i="7"/>
  <c r="FG288" i="7"/>
  <c r="FH288" i="7"/>
  <c r="FI288" i="7"/>
  <c r="FJ288" i="7"/>
  <c r="FK288" i="7"/>
  <c r="FL288" i="7"/>
  <c r="FM288" i="7"/>
  <c r="FN288" i="7"/>
  <c r="FO288" i="7"/>
  <c r="FP288" i="7"/>
  <c r="FQ288" i="7"/>
  <c r="FR288" i="7"/>
  <c r="FS288" i="7"/>
  <c r="FT288" i="7"/>
  <c r="FU288" i="7"/>
  <c r="FV288" i="7"/>
  <c r="FW288" i="7"/>
  <c r="FX288" i="7"/>
  <c r="FY288" i="7"/>
  <c r="FZ288" i="7"/>
  <c r="GA288" i="7"/>
  <c r="GB288" i="7"/>
  <c r="GC288" i="7"/>
  <c r="GD288" i="7"/>
  <c r="GE288" i="7"/>
  <c r="GF288" i="7"/>
  <c r="GG288" i="7"/>
  <c r="GH288" i="7"/>
  <c r="GI288" i="7"/>
  <c r="GJ288" i="7"/>
  <c r="GK288" i="7"/>
  <c r="GL288" i="7"/>
  <c r="GM288" i="7"/>
  <c r="GN288" i="7"/>
  <c r="GO288" i="7"/>
  <c r="GP288" i="7"/>
  <c r="GQ288" i="7"/>
  <c r="GR288" i="7"/>
  <c r="GS288" i="7"/>
  <c r="GT288" i="7"/>
  <c r="GU288" i="7"/>
  <c r="GV288" i="7"/>
  <c r="GW288" i="7"/>
  <c r="GX288" i="7"/>
  <c r="GY288" i="7"/>
  <c r="GZ288" i="7"/>
  <c r="HA288" i="7"/>
  <c r="HB288" i="7"/>
  <c r="HC288" i="7"/>
  <c r="HD288" i="7"/>
  <c r="HE288" i="7"/>
  <c r="HF288" i="7"/>
  <c r="HG288" i="7"/>
  <c r="HH288" i="7"/>
  <c r="HI288" i="7"/>
  <c r="HJ288" i="7"/>
  <c r="HK288" i="7"/>
  <c r="HL288" i="7"/>
  <c r="HM288" i="7"/>
  <c r="HN288" i="7"/>
  <c r="HO288" i="7"/>
  <c r="HP288" i="7"/>
  <c r="HQ288" i="7"/>
  <c r="HR288" i="7"/>
  <c r="HS288" i="7"/>
  <c r="HT288" i="7"/>
  <c r="HU288" i="7"/>
  <c r="HV288" i="7"/>
  <c r="HW288" i="7"/>
  <c r="HX288" i="7"/>
  <c r="HY288" i="7"/>
  <c r="HZ288" i="7"/>
  <c r="IA288" i="7"/>
  <c r="IB288" i="7"/>
  <c r="IC288" i="7"/>
  <c r="ID288" i="7"/>
  <c r="IE288" i="7"/>
  <c r="IF288" i="7"/>
  <c r="IG288" i="7"/>
  <c r="IH288" i="7"/>
  <c r="II288" i="7"/>
  <c r="IJ288" i="7"/>
  <c r="IK288" i="7"/>
  <c r="IL288" i="7"/>
  <c r="IM288" i="7"/>
  <c r="IN288" i="7"/>
  <c r="IO288" i="7"/>
  <c r="IP288" i="7"/>
  <c r="IQ288" i="7"/>
  <c r="IR288" i="7"/>
  <c r="IS288" i="7"/>
  <c r="IT288" i="7"/>
  <c r="IU288" i="7"/>
  <c r="IV288" i="7"/>
  <c r="A287" i="7"/>
  <c r="B287" i="7"/>
  <c r="C287" i="7"/>
  <c r="D287" i="7"/>
  <c r="E287" i="7"/>
  <c r="F287" i="7"/>
  <c r="G287" i="7"/>
  <c r="H287" i="7"/>
  <c r="I287" i="7"/>
  <c r="J287" i="7"/>
  <c r="K287" i="7"/>
  <c r="L287" i="7"/>
  <c r="M287" i="7"/>
  <c r="N287" i="7"/>
  <c r="O287" i="7"/>
  <c r="P287" i="7"/>
  <c r="Q287" i="7"/>
  <c r="R287" i="7"/>
  <c r="S287" i="7"/>
  <c r="T287" i="7"/>
  <c r="U287" i="7"/>
  <c r="V287" i="7"/>
  <c r="W287" i="7"/>
  <c r="X287" i="7"/>
  <c r="Y287" i="7"/>
  <c r="Z287" i="7"/>
  <c r="AA287" i="7"/>
  <c r="AB287" i="7"/>
  <c r="AC287" i="7"/>
  <c r="AD287" i="7"/>
  <c r="AE287" i="7"/>
  <c r="AF287" i="7"/>
  <c r="AG287" i="7"/>
  <c r="AH287" i="7"/>
  <c r="AI287" i="7"/>
  <c r="AJ287" i="7"/>
  <c r="AK287" i="7"/>
  <c r="AL287" i="7"/>
  <c r="AM287" i="7"/>
  <c r="AN287" i="7"/>
  <c r="AO287" i="7"/>
  <c r="AP287" i="7"/>
  <c r="AQ287" i="7"/>
  <c r="AR287" i="7"/>
  <c r="AS287" i="7"/>
  <c r="AT287" i="7"/>
  <c r="AU287" i="7"/>
  <c r="AV287" i="7"/>
  <c r="AW287" i="7"/>
  <c r="AX287" i="7"/>
  <c r="AY287" i="7"/>
  <c r="AZ287" i="7"/>
  <c r="BA287" i="7"/>
  <c r="BB287" i="7"/>
  <c r="BC287" i="7"/>
  <c r="BD287" i="7"/>
  <c r="BE287" i="7"/>
  <c r="BF287" i="7"/>
  <c r="BG287" i="7"/>
  <c r="BH287" i="7"/>
  <c r="BI287" i="7"/>
  <c r="BJ287" i="7"/>
  <c r="BK287" i="7"/>
  <c r="BL287" i="7"/>
  <c r="BM287" i="7"/>
  <c r="BN287" i="7"/>
  <c r="BO287" i="7"/>
  <c r="BP287" i="7"/>
  <c r="BQ287" i="7"/>
  <c r="BR287" i="7"/>
  <c r="BS287" i="7"/>
  <c r="BT287" i="7"/>
  <c r="BU287" i="7"/>
  <c r="BV287" i="7"/>
  <c r="BW287" i="7"/>
  <c r="BX287" i="7"/>
  <c r="BY287" i="7"/>
  <c r="BZ287" i="7"/>
  <c r="CA287" i="7"/>
  <c r="CB287" i="7"/>
  <c r="CC287" i="7"/>
  <c r="CD287" i="7"/>
  <c r="CE287" i="7"/>
  <c r="CF287" i="7"/>
  <c r="CG287" i="7"/>
  <c r="CH287" i="7"/>
  <c r="CI287" i="7"/>
  <c r="CJ287" i="7"/>
  <c r="CK287" i="7"/>
  <c r="CL287" i="7"/>
  <c r="CM287" i="7"/>
  <c r="CN287" i="7"/>
  <c r="CO287" i="7"/>
  <c r="CP287" i="7"/>
  <c r="CQ287" i="7"/>
  <c r="CR287" i="7"/>
  <c r="CS287" i="7"/>
  <c r="CT287" i="7"/>
  <c r="CU287" i="7"/>
  <c r="CV287" i="7"/>
  <c r="CW287" i="7"/>
  <c r="CX287" i="7"/>
  <c r="CY287" i="7"/>
  <c r="CZ287" i="7"/>
  <c r="DA287" i="7"/>
  <c r="DB287" i="7"/>
  <c r="DC287" i="7"/>
  <c r="DD287" i="7"/>
  <c r="DE287" i="7"/>
  <c r="DF287" i="7"/>
  <c r="DG287" i="7"/>
  <c r="DH287" i="7"/>
  <c r="DI287" i="7"/>
  <c r="DJ287" i="7"/>
  <c r="DK287" i="7"/>
  <c r="DL287" i="7"/>
  <c r="DM287" i="7"/>
  <c r="DN287" i="7"/>
  <c r="DO287" i="7"/>
  <c r="DP287" i="7"/>
  <c r="DQ287" i="7"/>
  <c r="DR287" i="7"/>
  <c r="DS287" i="7"/>
  <c r="DT287" i="7"/>
  <c r="DU287" i="7"/>
  <c r="DV287" i="7"/>
  <c r="DW287" i="7"/>
  <c r="DX287" i="7"/>
  <c r="DY287" i="7"/>
  <c r="DZ287" i="7"/>
  <c r="EA287" i="7"/>
  <c r="EB287" i="7"/>
  <c r="EC287" i="7"/>
  <c r="ED287" i="7"/>
  <c r="EE287" i="7"/>
  <c r="EF287" i="7"/>
  <c r="EG287" i="7"/>
  <c r="EH287" i="7"/>
  <c r="EI287" i="7"/>
  <c r="EJ287" i="7"/>
  <c r="EK287" i="7"/>
  <c r="EL287" i="7"/>
  <c r="EM287" i="7"/>
  <c r="EN287" i="7"/>
  <c r="EO287" i="7"/>
  <c r="EP287" i="7"/>
  <c r="EQ287" i="7"/>
  <c r="ER287" i="7"/>
  <c r="ES287" i="7"/>
  <c r="ET287" i="7"/>
  <c r="EU287" i="7"/>
  <c r="EV287" i="7"/>
  <c r="EW287" i="7"/>
  <c r="EX287" i="7"/>
  <c r="EY287" i="7"/>
  <c r="EZ287" i="7"/>
  <c r="FA287" i="7"/>
  <c r="FB287" i="7"/>
  <c r="FC287" i="7"/>
  <c r="FD287" i="7"/>
  <c r="FE287" i="7"/>
  <c r="FF287" i="7"/>
  <c r="FG287" i="7"/>
  <c r="FH287" i="7"/>
  <c r="FI287" i="7"/>
  <c r="FJ287" i="7"/>
  <c r="FK287" i="7"/>
  <c r="FL287" i="7"/>
  <c r="FM287" i="7"/>
  <c r="FN287" i="7"/>
  <c r="FO287" i="7"/>
  <c r="FP287" i="7"/>
  <c r="FQ287" i="7"/>
  <c r="FR287" i="7"/>
  <c r="FS287" i="7"/>
  <c r="FT287" i="7"/>
  <c r="FU287" i="7"/>
  <c r="FV287" i="7"/>
  <c r="FW287" i="7"/>
  <c r="FX287" i="7"/>
  <c r="FY287" i="7"/>
  <c r="FZ287" i="7"/>
  <c r="GA287" i="7"/>
  <c r="GB287" i="7"/>
  <c r="GC287" i="7"/>
  <c r="GD287" i="7"/>
  <c r="GE287" i="7"/>
  <c r="GF287" i="7"/>
  <c r="GG287" i="7"/>
  <c r="GH287" i="7"/>
  <c r="GI287" i="7"/>
  <c r="GJ287" i="7"/>
  <c r="GK287" i="7"/>
  <c r="GL287" i="7"/>
  <c r="GM287" i="7"/>
  <c r="GN287" i="7"/>
  <c r="GO287" i="7"/>
  <c r="GP287" i="7"/>
  <c r="GQ287" i="7"/>
  <c r="GR287" i="7"/>
  <c r="GS287" i="7"/>
  <c r="GT287" i="7"/>
  <c r="GU287" i="7"/>
  <c r="GV287" i="7"/>
  <c r="GW287" i="7"/>
  <c r="GX287" i="7"/>
  <c r="GY287" i="7"/>
  <c r="GZ287" i="7"/>
  <c r="HA287" i="7"/>
  <c r="HB287" i="7"/>
  <c r="HC287" i="7"/>
  <c r="HD287" i="7"/>
  <c r="HE287" i="7"/>
  <c r="HF287" i="7"/>
  <c r="HG287" i="7"/>
  <c r="HH287" i="7"/>
  <c r="HI287" i="7"/>
  <c r="HJ287" i="7"/>
  <c r="HK287" i="7"/>
  <c r="HL287" i="7"/>
  <c r="HM287" i="7"/>
  <c r="HN287" i="7"/>
  <c r="HO287" i="7"/>
  <c r="HP287" i="7"/>
  <c r="HQ287" i="7"/>
  <c r="HR287" i="7"/>
  <c r="HS287" i="7"/>
  <c r="HT287" i="7"/>
  <c r="HU287" i="7"/>
  <c r="HV287" i="7"/>
  <c r="HW287" i="7"/>
  <c r="HX287" i="7"/>
  <c r="HY287" i="7"/>
  <c r="HZ287" i="7"/>
  <c r="IA287" i="7"/>
  <c r="IB287" i="7"/>
  <c r="IC287" i="7"/>
  <c r="ID287" i="7"/>
  <c r="IE287" i="7"/>
  <c r="IF287" i="7"/>
  <c r="IG287" i="7"/>
  <c r="IH287" i="7"/>
  <c r="II287" i="7"/>
  <c r="IJ287" i="7"/>
  <c r="IK287" i="7"/>
  <c r="IL287" i="7"/>
  <c r="IM287" i="7"/>
  <c r="IN287" i="7"/>
  <c r="IO287" i="7"/>
  <c r="IP287" i="7"/>
  <c r="IQ287" i="7"/>
  <c r="IR287" i="7"/>
  <c r="IS287" i="7"/>
  <c r="IT287" i="7"/>
  <c r="IU287" i="7"/>
  <c r="IV287" i="7"/>
  <c r="A286" i="7"/>
  <c r="B286" i="7"/>
  <c r="C286" i="7"/>
  <c r="D286" i="7"/>
  <c r="E286" i="7"/>
  <c r="F286" i="7"/>
  <c r="G286" i="7"/>
  <c r="H286" i="7"/>
  <c r="I286" i="7"/>
  <c r="J286" i="7"/>
  <c r="K286" i="7"/>
  <c r="L286" i="7"/>
  <c r="M286" i="7"/>
  <c r="N286" i="7"/>
  <c r="O286" i="7"/>
  <c r="P286" i="7"/>
  <c r="Q286" i="7"/>
  <c r="R286" i="7"/>
  <c r="S286" i="7"/>
  <c r="T286" i="7"/>
  <c r="U286" i="7"/>
  <c r="V286" i="7"/>
  <c r="W286" i="7"/>
  <c r="X286" i="7"/>
  <c r="Y286" i="7"/>
  <c r="Z286" i="7"/>
  <c r="AA286" i="7"/>
  <c r="AB286" i="7"/>
  <c r="AC286" i="7"/>
  <c r="AD286" i="7"/>
  <c r="AE286" i="7"/>
  <c r="AF286" i="7"/>
  <c r="AG286" i="7"/>
  <c r="AH286" i="7"/>
  <c r="AI286" i="7"/>
  <c r="AJ286" i="7"/>
  <c r="AK286" i="7"/>
  <c r="AL286" i="7"/>
  <c r="AM286" i="7"/>
  <c r="AN286" i="7"/>
  <c r="AO286" i="7"/>
  <c r="AP286" i="7"/>
  <c r="AQ286" i="7"/>
  <c r="AR286" i="7"/>
  <c r="AS286" i="7"/>
  <c r="AT286" i="7"/>
  <c r="AU286" i="7"/>
  <c r="AV286" i="7"/>
  <c r="AW286" i="7"/>
  <c r="AX286" i="7"/>
  <c r="AY286" i="7"/>
  <c r="AZ286" i="7"/>
  <c r="BA286" i="7"/>
  <c r="BB286" i="7"/>
  <c r="BC286" i="7"/>
  <c r="BD286" i="7"/>
  <c r="BE286" i="7"/>
  <c r="BF286" i="7"/>
  <c r="BG286" i="7"/>
  <c r="BH286" i="7"/>
  <c r="BI286" i="7"/>
  <c r="BJ286" i="7"/>
  <c r="BK286" i="7"/>
  <c r="BL286" i="7"/>
  <c r="BM286" i="7"/>
  <c r="BN286" i="7"/>
  <c r="BO286" i="7"/>
  <c r="BP286" i="7"/>
  <c r="BQ286" i="7"/>
  <c r="BR286" i="7"/>
  <c r="BS286" i="7"/>
  <c r="BT286" i="7"/>
  <c r="BU286" i="7"/>
  <c r="BV286" i="7"/>
  <c r="BW286" i="7"/>
  <c r="BX286" i="7"/>
  <c r="BY286" i="7"/>
  <c r="BZ286" i="7"/>
  <c r="CA286" i="7"/>
  <c r="CB286" i="7"/>
  <c r="CC286" i="7"/>
  <c r="CD286" i="7"/>
  <c r="CE286" i="7"/>
  <c r="CF286" i="7"/>
  <c r="CG286" i="7"/>
  <c r="CH286" i="7"/>
  <c r="CI286" i="7"/>
  <c r="CJ286" i="7"/>
  <c r="CK286" i="7"/>
  <c r="CL286" i="7"/>
  <c r="CM286" i="7"/>
  <c r="CN286" i="7"/>
  <c r="CO286" i="7"/>
  <c r="CP286" i="7"/>
  <c r="CQ286" i="7"/>
  <c r="CR286" i="7"/>
  <c r="CS286" i="7"/>
  <c r="CT286" i="7"/>
  <c r="CU286" i="7"/>
  <c r="CV286" i="7"/>
  <c r="CW286" i="7"/>
  <c r="CX286" i="7"/>
  <c r="CY286" i="7"/>
  <c r="CZ286" i="7"/>
  <c r="DA286" i="7"/>
  <c r="DB286" i="7"/>
  <c r="DC286" i="7"/>
  <c r="DD286" i="7"/>
  <c r="DE286" i="7"/>
  <c r="DF286" i="7"/>
  <c r="DG286" i="7"/>
  <c r="DH286" i="7"/>
  <c r="DI286" i="7"/>
  <c r="DJ286" i="7"/>
  <c r="DK286" i="7"/>
  <c r="DL286" i="7"/>
  <c r="DM286" i="7"/>
  <c r="DN286" i="7"/>
  <c r="DO286" i="7"/>
  <c r="DP286" i="7"/>
  <c r="DQ286" i="7"/>
  <c r="DR286" i="7"/>
  <c r="DS286" i="7"/>
  <c r="DT286" i="7"/>
  <c r="DU286" i="7"/>
  <c r="DV286" i="7"/>
  <c r="DW286" i="7"/>
  <c r="DX286" i="7"/>
  <c r="DY286" i="7"/>
  <c r="DZ286" i="7"/>
  <c r="EA286" i="7"/>
  <c r="EB286" i="7"/>
  <c r="EC286" i="7"/>
  <c r="ED286" i="7"/>
  <c r="EE286" i="7"/>
  <c r="EF286" i="7"/>
  <c r="EG286" i="7"/>
  <c r="EH286" i="7"/>
  <c r="EI286" i="7"/>
  <c r="EJ286" i="7"/>
  <c r="EK286" i="7"/>
  <c r="EL286" i="7"/>
  <c r="EM286" i="7"/>
  <c r="EN286" i="7"/>
  <c r="EO286" i="7"/>
  <c r="EP286" i="7"/>
  <c r="EQ286" i="7"/>
  <c r="ER286" i="7"/>
  <c r="ES286" i="7"/>
  <c r="ET286" i="7"/>
  <c r="EU286" i="7"/>
  <c r="EV286" i="7"/>
  <c r="EW286" i="7"/>
  <c r="EX286" i="7"/>
  <c r="EY286" i="7"/>
  <c r="EZ286" i="7"/>
  <c r="FA286" i="7"/>
  <c r="FB286" i="7"/>
  <c r="FC286" i="7"/>
  <c r="FD286" i="7"/>
  <c r="FE286" i="7"/>
  <c r="FF286" i="7"/>
  <c r="FG286" i="7"/>
  <c r="FH286" i="7"/>
  <c r="FI286" i="7"/>
  <c r="FJ286" i="7"/>
  <c r="FK286" i="7"/>
  <c r="FL286" i="7"/>
  <c r="FM286" i="7"/>
  <c r="FN286" i="7"/>
  <c r="FO286" i="7"/>
  <c r="FP286" i="7"/>
  <c r="FQ286" i="7"/>
  <c r="FR286" i="7"/>
  <c r="FS286" i="7"/>
  <c r="FT286" i="7"/>
  <c r="FU286" i="7"/>
  <c r="FV286" i="7"/>
  <c r="FW286" i="7"/>
  <c r="FX286" i="7"/>
  <c r="FY286" i="7"/>
  <c r="FZ286" i="7"/>
  <c r="GA286" i="7"/>
  <c r="GB286" i="7"/>
  <c r="GC286" i="7"/>
  <c r="GD286" i="7"/>
  <c r="GE286" i="7"/>
  <c r="GF286" i="7"/>
  <c r="GG286" i="7"/>
  <c r="GH286" i="7"/>
  <c r="GI286" i="7"/>
  <c r="GJ286" i="7"/>
  <c r="GK286" i="7"/>
  <c r="GL286" i="7"/>
  <c r="GM286" i="7"/>
  <c r="GN286" i="7"/>
  <c r="GO286" i="7"/>
  <c r="GP286" i="7"/>
  <c r="GQ286" i="7"/>
  <c r="GR286" i="7"/>
  <c r="GS286" i="7"/>
  <c r="GT286" i="7"/>
  <c r="GU286" i="7"/>
  <c r="GV286" i="7"/>
  <c r="GW286" i="7"/>
  <c r="GX286" i="7"/>
  <c r="GY286" i="7"/>
  <c r="GZ286" i="7"/>
  <c r="HA286" i="7"/>
  <c r="HB286" i="7"/>
  <c r="HC286" i="7"/>
  <c r="HD286" i="7"/>
  <c r="HE286" i="7"/>
  <c r="HF286" i="7"/>
  <c r="HG286" i="7"/>
  <c r="HH286" i="7"/>
  <c r="HI286" i="7"/>
  <c r="HJ286" i="7"/>
  <c r="HK286" i="7"/>
  <c r="HL286" i="7"/>
  <c r="HM286" i="7"/>
  <c r="HN286" i="7"/>
  <c r="HO286" i="7"/>
  <c r="HP286" i="7"/>
  <c r="HQ286" i="7"/>
  <c r="HR286" i="7"/>
  <c r="HS286" i="7"/>
  <c r="HT286" i="7"/>
  <c r="HU286" i="7"/>
  <c r="HV286" i="7"/>
  <c r="HW286" i="7"/>
  <c r="HX286" i="7"/>
  <c r="HY286" i="7"/>
  <c r="HZ286" i="7"/>
  <c r="IA286" i="7"/>
  <c r="IB286" i="7"/>
  <c r="IC286" i="7"/>
  <c r="ID286" i="7"/>
  <c r="IE286" i="7"/>
  <c r="IF286" i="7"/>
  <c r="IG286" i="7"/>
  <c r="IH286" i="7"/>
  <c r="II286" i="7"/>
  <c r="IJ286" i="7"/>
  <c r="IK286" i="7"/>
  <c r="IL286" i="7"/>
  <c r="IM286" i="7"/>
  <c r="IN286" i="7"/>
  <c r="IO286" i="7"/>
  <c r="IP286" i="7"/>
  <c r="IQ286" i="7"/>
  <c r="IR286" i="7"/>
  <c r="IS286" i="7"/>
  <c r="IT286" i="7"/>
  <c r="IU286" i="7"/>
  <c r="IV286" i="7"/>
  <c r="A285" i="7"/>
  <c r="B285" i="7"/>
  <c r="C285" i="7"/>
  <c r="D285" i="7"/>
  <c r="E285" i="7"/>
  <c r="F285" i="7"/>
  <c r="G285" i="7"/>
  <c r="H285" i="7"/>
  <c r="I285" i="7"/>
  <c r="J285" i="7"/>
  <c r="K285" i="7"/>
  <c r="L285" i="7"/>
  <c r="M285" i="7"/>
  <c r="N285" i="7"/>
  <c r="O285" i="7"/>
  <c r="P285" i="7"/>
  <c r="Q285" i="7"/>
  <c r="R285" i="7"/>
  <c r="S285" i="7"/>
  <c r="T285" i="7"/>
  <c r="U285" i="7"/>
  <c r="V285" i="7"/>
  <c r="W285" i="7"/>
  <c r="X285" i="7"/>
  <c r="Y285" i="7"/>
  <c r="Z285" i="7"/>
  <c r="AA285" i="7"/>
  <c r="AB285" i="7"/>
  <c r="AC285" i="7"/>
  <c r="AD285" i="7"/>
  <c r="AE285" i="7"/>
  <c r="AF285" i="7"/>
  <c r="AG285" i="7"/>
  <c r="AH285" i="7"/>
  <c r="AI285" i="7"/>
  <c r="AJ285" i="7"/>
  <c r="AK285" i="7"/>
  <c r="AL285" i="7"/>
  <c r="AM285" i="7"/>
  <c r="AN285" i="7"/>
  <c r="AO285" i="7"/>
  <c r="AP285" i="7"/>
  <c r="AQ285" i="7"/>
  <c r="AR285" i="7"/>
  <c r="AS285" i="7"/>
  <c r="AT285" i="7"/>
  <c r="AU285" i="7"/>
  <c r="AV285" i="7"/>
  <c r="AW285" i="7"/>
  <c r="AX285" i="7"/>
  <c r="AY285" i="7"/>
  <c r="AZ285" i="7"/>
  <c r="BA285" i="7"/>
  <c r="BB285" i="7"/>
  <c r="BC285" i="7"/>
  <c r="BD285" i="7"/>
  <c r="BE285" i="7"/>
  <c r="BF285" i="7"/>
  <c r="BG285" i="7"/>
  <c r="BH285" i="7"/>
  <c r="BI285" i="7"/>
  <c r="BJ285" i="7"/>
  <c r="BK285" i="7"/>
  <c r="BL285" i="7"/>
  <c r="BM285" i="7"/>
  <c r="BN285" i="7"/>
  <c r="BO285" i="7"/>
  <c r="BP285" i="7"/>
  <c r="BQ285" i="7"/>
  <c r="BR285" i="7"/>
  <c r="BS285" i="7"/>
  <c r="BT285" i="7"/>
  <c r="BU285" i="7"/>
  <c r="BV285" i="7"/>
  <c r="BW285" i="7"/>
  <c r="BX285" i="7"/>
  <c r="BY285" i="7"/>
  <c r="BZ285" i="7"/>
  <c r="CA285" i="7"/>
  <c r="CB285" i="7"/>
  <c r="CC285" i="7"/>
  <c r="CD285" i="7"/>
  <c r="CE285" i="7"/>
  <c r="CF285" i="7"/>
  <c r="CG285" i="7"/>
  <c r="CH285" i="7"/>
  <c r="CI285" i="7"/>
  <c r="CJ285" i="7"/>
  <c r="CK285" i="7"/>
  <c r="CL285" i="7"/>
  <c r="CM285" i="7"/>
  <c r="CN285" i="7"/>
  <c r="CO285" i="7"/>
  <c r="CP285" i="7"/>
  <c r="CQ285" i="7"/>
  <c r="CR285" i="7"/>
  <c r="CS285" i="7"/>
  <c r="CT285" i="7"/>
  <c r="CU285" i="7"/>
  <c r="CV285" i="7"/>
  <c r="CW285" i="7"/>
  <c r="CX285" i="7"/>
  <c r="CY285" i="7"/>
  <c r="CZ285" i="7"/>
  <c r="DA285" i="7"/>
  <c r="DB285" i="7"/>
  <c r="DC285" i="7"/>
  <c r="DD285" i="7"/>
  <c r="DE285" i="7"/>
  <c r="DF285" i="7"/>
  <c r="DG285" i="7"/>
  <c r="DH285" i="7"/>
  <c r="DI285" i="7"/>
  <c r="DJ285" i="7"/>
  <c r="DK285" i="7"/>
  <c r="DL285" i="7"/>
  <c r="DM285" i="7"/>
  <c r="DN285" i="7"/>
  <c r="DO285" i="7"/>
  <c r="DP285" i="7"/>
  <c r="DQ285" i="7"/>
  <c r="DR285" i="7"/>
  <c r="DS285" i="7"/>
  <c r="DT285" i="7"/>
  <c r="DU285" i="7"/>
  <c r="DV285" i="7"/>
  <c r="DW285" i="7"/>
  <c r="DX285" i="7"/>
  <c r="DY285" i="7"/>
  <c r="DZ285" i="7"/>
  <c r="EA285" i="7"/>
  <c r="EB285" i="7"/>
  <c r="EC285" i="7"/>
  <c r="ED285" i="7"/>
  <c r="EE285" i="7"/>
  <c r="EF285" i="7"/>
  <c r="EG285" i="7"/>
  <c r="EH285" i="7"/>
  <c r="EI285" i="7"/>
  <c r="EJ285" i="7"/>
  <c r="EK285" i="7"/>
  <c r="EL285" i="7"/>
  <c r="EM285" i="7"/>
  <c r="EN285" i="7"/>
  <c r="EO285" i="7"/>
  <c r="EP285" i="7"/>
  <c r="EQ285" i="7"/>
  <c r="ER285" i="7"/>
  <c r="ES285" i="7"/>
  <c r="ET285" i="7"/>
  <c r="EU285" i="7"/>
  <c r="EV285" i="7"/>
  <c r="EW285" i="7"/>
  <c r="EX285" i="7"/>
  <c r="EY285" i="7"/>
  <c r="EZ285" i="7"/>
  <c r="FA285" i="7"/>
  <c r="FB285" i="7"/>
  <c r="FC285" i="7"/>
  <c r="FD285" i="7"/>
  <c r="FE285" i="7"/>
  <c r="FF285" i="7"/>
  <c r="FG285" i="7"/>
  <c r="FH285" i="7"/>
  <c r="FI285" i="7"/>
  <c r="FJ285" i="7"/>
  <c r="FK285" i="7"/>
  <c r="FL285" i="7"/>
  <c r="FM285" i="7"/>
  <c r="FN285" i="7"/>
  <c r="FO285" i="7"/>
  <c r="FP285" i="7"/>
  <c r="FQ285" i="7"/>
  <c r="FR285" i="7"/>
  <c r="FS285" i="7"/>
  <c r="FT285" i="7"/>
  <c r="FU285" i="7"/>
  <c r="FV285" i="7"/>
  <c r="FW285" i="7"/>
  <c r="FX285" i="7"/>
  <c r="FY285" i="7"/>
  <c r="FZ285" i="7"/>
  <c r="GA285" i="7"/>
  <c r="GB285" i="7"/>
  <c r="GC285" i="7"/>
  <c r="GD285" i="7"/>
  <c r="GE285" i="7"/>
  <c r="GF285" i="7"/>
  <c r="GG285" i="7"/>
  <c r="GH285" i="7"/>
  <c r="GI285" i="7"/>
  <c r="GJ285" i="7"/>
  <c r="GK285" i="7"/>
  <c r="GL285" i="7"/>
  <c r="GM285" i="7"/>
  <c r="GN285" i="7"/>
  <c r="GO285" i="7"/>
  <c r="GP285" i="7"/>
  <c r="GQ285" i="7"/>
  <c r="GR285" i="7"/>
  <c r="GS285" i="7"/>
  <c r="GT285" i="7"/>
  <c r="GU285" i="7"/>
  <c r="GV285" i="7"/>
  <c r="GW285" i="7"/>
  <c r="GX285" i="7"/>
  <c r="GY285" i="7"/>
  <c r="GZ285" i="7"/>
  <c r="HA285" i="7"/>
  <c r="HB285" i="7"/>
  <c r="HC285" i="7"/>
  <c r="HD285" i="7"/>
  <c r="HE285" i="7"/>
  <c r="HF285" i="7"/>
  <c r="HG285" i="7"/>
  <c r="HH285" i="7"/>
  <c r="HI285" i="7"/>
  <c r="HJ285" i="7"/>
  <c r="HK285" i="7"/>
  <c r="HL285" i="7"/>
  <c r="HM285" i="7"/>
  <c r="HN285" i="7"/>
  <c r="HO285" i="7"/>
  <c r="HP285" i="7"/>
  <c r="HQ285" i="7"/>
  <c r="HR285" i="7"/>
  <c r="HS285" i="7"/>
  <c r="HT285" i="7"/>
  <c r="HU285" i="7"/>
  <c r="HV285" i="7"/>
  <c r="HW285" i="7"/>
  <c r="HX285" i="7"/>
  <c r="HY285" i="7"/>
  <c r="HZ285" i="7"/>
  <c r="IA285" i="7"/>
  <c r="IB285" i="7"/>
  <c r="IC285" i="7"/>
  <c r="ID285" i="7"/>
  <c r="IE285" i="7"/>
  <c r="IF285" i="7"/>
  <c r="IG285" i="7"/>
  <c r="IH285" i="7"/>
  <c r="II285" i="7"/>
  <c r="IJ285" i="7"/>
  <c r="IK285" i="7"/>
  <c r="IL285" i="7"/>
  <c r="IM285" i="7"/>
  <c r="IN285" i="7"/>
  <c r="IO285" i="7"/>
  <c r="IP285" i="7"/>
  <c r="IQ285" i="7"/>
  <c r="IR285" i="7"/>
  <c r="IS285" i="7"/>
  <c r="IT285" i="7"/>
  <c r="IU285" i="7"/>
  <c r="IV285" i="7"/>
  <c r="A284" i="7"/>
  <c r="B284" i="7"/>
  <c r="C284" i="7"/>
  <c r="D284" i="7"/>
  <c r="E284" i="7"/>
  <c r="F284" i="7"/>
  <c r="G284" i="7"/>
  <c r="H284" i="7"/>
  <c r="I284" i="7"/>
  <c r="J284" i="7"/>
  <c r="K284" i="7"/>
  <c r="L284" i="7"/>
  <c r="M284" i="7"/>
  <c r="N284" i="7"/>
  <c r="O284" i="7"/>
  <c r="P284" i="7"/>
  <c r="Q284" i="7"/>
  <c r="R284" i="7"/>
  <c r="S284" i="7"/>
  <c r="T284" i="7"/>
  <c r="U284" i="7"/>
  <c r="V284" i="7"/>
  <c r="W284" i="7"/>
  <c r="X284" i="7"/>
  <c r="Y284" i="7"/>
  <c r="Z284" i="7"/>
  <c r="AA284" i="7"/>
  <c r="AB284" i="7"/>
  <c r="AC284" i="7"/>
  <c r="AD284" i="7"/>
  <c r="AE284" i="7"/>
  <c r="AF284" i="7"/>
  <c r="AG284" i="7"/>
  <c r="AH284" i="7"/>
  <c r="AI284" i="7"/>
  <c r="AJ284" i="7"/>
  <c r="AK284" i="7"/>
  <c r="AL284" i="7"/>
  <c r="AM284" i="7"/>
  <c r="AN284" i="7"/>
  <c r="AO284" i="7"/>
  <c r="AP284" i="7"/>
  <c r="AQ284" i="7"/>
  <c r="AR284" i="7"/>
  <c r="AS284" i="7"/>
  <c r="AT284" i="7"/>
  <c r="AU284" i="7"/>
  <c r="AV284" i="7"/>
  <c r="AW284" i="7"/>
  <c r="AX284" i="7"/>
  <c r="AY284" i="7"/>
  <c r="AZ284" i="7"/>
  <c r="BA284" i="7"/>
  <c r="BB284" i="7"/>
  <c r="BC284" i="7"/>
  <c r="BD284" i="7"/>
  <c r="BE284" i="7"/>
  <c r="BF284" i="7"/>
  <c r="BG284" i="7"/>
  <c r="BH284" i="7"/>
  <c r="BI284" i="7"/>
  <c r="BJ284" i="7"/>
  <c r="BK284" i="7"/>
  <c r="BL284" i="7"/>
  <c r="BM284" i="7"/>
  <c r="BN284" i="7"/>
  <c r="BO284" i="7"/>
  <c r="BP284" i="7"/>
  <c r="BQ284" i="7"/>
  <c r="BR284" i="7"/>
  <c r="BS284" i="7"/>
  <c r="BT284" i="7"/>
  <c r="BU284" i="7"/>
  <c r="BV284" i="7"/>
  <c r="BW284" i="7"/>
  <c r="BX284" i="7"/>
  <c r="BY284" i="7"/>
  <c r="BZ284" i="7"/>
  <c r="CA284" i="7"/>
  <c r="CB284" i="7"/>
  <c r="CC284" i="7"/>
  <c r="CD284" i="7"/>
  <c r="CE284" i="7"/>
  <c r="CF284" i="7"/>
  <c r="CG284" i="7"/>
  <c r="CH284" i="7"/>
  <c r="CI284" i="7"/>
  <c r="CJ284" i="7"/>
  <c r="CK284" i="7"/>
  <c r="CL284" i="7"/>
  <c r="CM284" i="7"/>
  <c r="CN284" i="7"/>
  <c r="CO284" i="7"/>
  <c r="CP284" i="7"/>
  <c r="CQ284" i="7"/>
  <c r="CR284" i="7"/>
  <c r="CS284" i="7"/>
  <c r="CT284" i="7"/>
  <c r="CU284" i="7"/>
  <c r="CV284" i="7"/>
  <c r="CW284" i="7"/>
  <c r="CX284" i="7"/>
  <c r="CY284" i="7"/>
  <c r="CZ284" i="7"/>
  <c r="DA284" i="7"/>
  <c r="DB284" i="7"/>
  <c r="DC284" i="7"/>
  <c r="DD284" i="7"/>
  <c r="DE284" i="7"/>
  <c r="DF284" i="7"/>
  <c r="DG284" i="7"/>
  <c r="DH284" i="7"/>
  <c r="DI284" i="7"/>
  <c r="DJ284" i="7"/>
  <c r="DK284" i="7"/>
  <c r="DL284" i="7"/>
  <c r="DM284" i="7"/>
  <c r="DN284" i="7"/>
  <c r="DO284" i="7"/>
  <c r="DP284" i="7"/>
  <c r="DQ284" i="7"/>
  <c r="DR284" i="7"/>
  <c r="DS284" i="7"/>
  <c r="DT284" i="7"/>
  <c r="DU284" i="7"/>
  <c r="DV284" i="7"/>
  <c r="DW284" i="7"/>
  <c r="DX284" i="7"/>
  <c r="DY284" i="7"/>
  <c r="DZ284" i="7"/>
  <c r="EA284" i="7"/>
  <c r="EB284" i="7"/>
  <c r="EC284" i="7"/>
  <c r="ED284" i="7"/>
  <c r="EE284" i="7"/>
  <c r="EF284" i="7"/>
  <c r="EG284" i="7"/>
  <c r="EH284" i="7"/>
  <c r="EI284" i="7"/>
  <c r="EJ284" i="7"/>
  <c r="EK284" i="7"/>
  <c r="EL284" i="7"/>
  <c r="EM284" i="7"/>
  <c r="EN284" i="7"/>
  <c r="EO284" i="7"/>
  <c r="EP284" i="7"/>
  <c r="EQ284" i="7"/>
  <c r="ER284" i="7"/>
  <c r="ES284" i="7"/>
  <c r="ET284" i="7"/>
  <c r="EU284" i="7"/>
  <c r="EV284" i="7"/>
  <c r="EW284" i="7"/>
  <c r="EX284" i="7"/>
  <c r="EY284" i="7"/>
  <c r="EZ284" i="7"/>
  <c r="FA284" i="7"/>
  <c r="FB284" i="7"/>
  <c r="FC284" i="7"/>
  <c r="FD284" i="7"/>
  <c r="FE284" i="7"/>
  <c r="FF284" i="7"/>
  <c r="FG284" i="7"/>
  <c r="FH284" i="7"/>
  <c r="FI284" i="7"/>
  <c r="FJ284" i="7"/>
  <c r="FK284" i="7"/>
  <c r="FL284" i="7"/>
  <c r="FM284" i="7"/>
  <c r="FN284" i="7"/>
  <c r="FO284" i="7"/>
  <c r="FP284" i="7"/>
  <c r="FQ284" i="7"/>
  <c r="FR284" i="7"/>
  <c r="FS284" i="7"/>
  <c r="FT284" i="7"/>
  <c r="FU284" i="7"/>
  <c r="FV284" i="7"/>
  <c r="FW284" i="7"/>
  <c r="FX284" i="7"/>
  <c r="FY284" i="7"/>
  <c r="FZ284" i="7"/>
  <c r="GA284" i="7"/>
  <c r="GB284" i="7"/>
  <c r="GC284" i="7"/>
  <c r="GD284" i="7"/>
  <c r="GE284" i="7"/>
  <c r="GF284" i="7"/>
  <c r="GG284" i="7"/>
  <c r="GH284" i="7"/>
  <c r="GI284" i="7"/>
  <c r="GJ284" i="7"/>
  <c r="GK284" i="7"/>
  <c r="GL284" i="7"/>
  <c r="GM284" i="7"/>
  <c r="GN284" i="7"/>
  <c r="GO284" i="7"/>
  <c r="GP284" i="7"/>
  <c r="GQ284" i="7"/>
  <c r="GR284" i="7"/>
  <c r="GS284" i="7"/>
  <c r="GT284" i="7"/>
  <c r="GU284" i="7"/>
  <c r="GV284" i="7"/>
  <c r="GW284" i="7"/>
  <c r="GX284" i="7"/>
  <c r="GY284" i="7"/>
  <c r="GZ284" i="7"/>
  <c r="HA284" i="7"/>
  <c r="HB284" i="7"/>
  <c r="HC284" i="7"/>
  <c r="HD284" i="7"/>
  <c r="HE284" i="7"/>
  <c r="HF284" i="7"/>
  <c r="HG284" i="7"/>
  <c r="HH284" i="7"/>
  <c r="HI284" i="7"/>
  <c r="HJ284" i="7"/>
  <c r="HK284" i="7"/>
  <c r="HL284" i="7"/>
  <c r="HM284" i="7"/>
  <c r="HN284" i="7"/>
  <c r="HO284" i="7"/>
  <c r="HP284" i="7"/>
  <c r="HQ284" i="7"/>
  <c r="HR284" i="7"/>
  <c r="HS284" i="7"/>
  <c r="HT284" i="7"/>
  <c r="HU284" i="7"/>
  <c r="HV284" i="7"/>
  <c r="HW284" i="7"/>
  <c r="HX284" i="7"/>
  <c r="HY284" i="7"/>
  <c r="HZ284" i="7"/>
  <c r="IA284" i="7"/>
  <c r="IB284" i="7"/>
  <c r="IC284" i="7"/>
  <c r="ID284" i="7"/>
  <c r="IE284" i="7"/>
  <c r="IF284" i="7"/>
  <c r="IG284" i="7"/>
  <c r="IH284" i="7"/>
  <c r="II284" i="7"/>
  <c r="IJ284" i="7"/>
  <c r="IK284" i="7"/>
  <c r="IL284" i="7"/>
  <c r="IM284" i="7"/>
  <c r="IN284" i="7"/>
  <c r="IO284" i="7"/>
  <c r="IP284" i="7"/>
  <c r="IQ284" i="7"/>
  <c r="IR284" i="7"/>
  <c r="IS284" i="7"/>
  <c r="IT284" i="7"/>
  <c r="IU284" i="7"/>
  <c r="IV284" i="7"/>
  <c r="A283" i="7"/>
  <c r="B283" i="7"/>
  <c r="C283" i="7"/>
  <c r="D283" i="7"/>
  <c r="E283" i="7"/>
  <c r="F283" i="7"/>
  <c r="G283" i="7"/>
  <c r="H283" i="7"/>
  <c r="I283" i="7"/>
  <c r="J283" i="7"/>
  <c r="K283" i="7"/>
  <c r="L283" i="7"/>
  <c r="M283" i="7"/>
  <c r="N283" i="7"/>
  <c r="O283" i="7"/>
  <c r="P283" i="7"/>
  <c r="Q283" i="7"/>
  <c r="R283" i="7"/>
  <c r="S283" i="7"/>
  <c r="T283" i="7"/>
  <c r="U283" i="7"/>
  <c r="V283" i="7"/>
  <c r="W283" i="7"/>
  <c r="X283" i="7"/>
  <c r="Y283" i="7"/>
  <c r="Z283" i="7"/>
  <c r="AA283" i="7"/>
  <c r="AB283" i="7"/>
  <c r="AC283" i="7"/>
  <c r="AD283" i="7"/>
  <c r="AE283" i="7"/>
  <c r="AF283" i="7"/>
  <c r="AG283" i="7"/>
  <c r="AH283" i="7"/>
  <c r="AI283" i="7"/>
  <c r="AJ283" i="7"/>
  <c r="AK283" i="7"/>
  <c r="AL283" i="7"/>
  <c r="AM283" i="7"/>
  <c r="AN283" i="7"/>
  <c r="AO283" i="7"/>
  <c r="AP283" i="7"/>
  <c r="AQ283" i="7"/>
  <c r="AR283" i="7"/>
  <c r="AS283" i="7"/>
  <c r="AT283" i="7"/>
  <c r="AU283" i="7"/>
  <c r="AV283" i="7"/>
  <c r="AW283" i="7"/>
  <c r="AX283" i="7"/>
  <c r="AY283" i="7"/>
  <c r="AZ283" i="7"/>
  <c r="BA283" i="7"/>
  <c r="BB283" i="7"/>
  <c r="BC283" i="7"/>
  <c r="BD283" i="7"/>
  <c r="BE283" i="7"/>
  <c r="BF283" i="7"/>
  <c r="BG283" i="7"/>
  <c r="BH283" i="7"/>
  <c r="BI283" i="7"/>
  <c r="BJ283" i="7"/>
  <c r="BK283" i="7"/>
  <c r="BL283" i="7"/>
  <c r="BM283" i="7"/>
  <c r="BN283" i="7"/>
  <c r="BO283" i="7"/>
  <c r="BP283" i="7"/>
  <c r="BQ283" i="7"/>
  <c r="BR283" i="7"/>
  <c r="BS283" i="7"/>
  <c r="BT283" i="7"/>
  <c r="BU283" i="7"/>
  <c r="BV283" i="7"/>
  <c r="BW283" i="7"/>
  <c r="BX283" i="7"/>
  <c r="BY283" i="7"/>
  <c r="BZ283" i="7"/>
  <c r="CA283" i="7"/>
  <c r="CB283" i="7"/>
  <c r="CC283" i="7"/>
  <c r="CD283" i="7"/>
  <c r="CE283" i="7"/>
  <c r="CF283" i="7"/>
  <c r="CG283" i="7"/>
  <c r="CH283" i="7"/>
  <c r="CI283" i="7"/>
  <c r="CJ283" i="7"/>
  <c r="CK283" i="7"/>
  <c r="CL283" i="7"/>
  <c r="CM283" i="7"/>
  <c r="CN283" i="7"/>
  <c r="CO283" i="7"/>
  <c r="CP283" i="7"/>
  <c r="CQ283" i="7"/>
  <c r="CR283" i="7"/>
  <c r="CS283" i="7"/>
  <c r="CT283" i="7"/>
  <c r="CU283" i="7"/>
  <c r="CV283" i="7"/>
  <c r="CW283" i="7"/>
  <c r="CX283" i="7"/>
  <c r="CY283" i="7"/>
  <c r="CZ283" i="7"/>
  <c r="DA283" i="7"/>
  <c r="DB283" i="7"/>
  <c r="DC283" i="7"/>
  <c r="DD283" i="7"/>
  <c r="DE283" i="7"/>
  <c r="DF283" i="7"/>
  <c r="DG283" i="7"/>
  <c r="DH283" i="7"/>
  <c r="DI283" i="7"/>
  <c r="DJ283" i="7"/>
  <c r="DK283" i="7"/>
  <c r="DL283" i="7"/>
  <c r="DM283" i="7"/>
  <c r="DN283" i="7"/>
  <c r="DO283" i="7"/>
  <c r="DP283" i="7"/>
  <c r="DQ283" i="7"/>
  <c r="DR283" i="7"/>
  <c r="DS283" i="7"/>
  <c r="DT283" i="7"/>
  <c r="DU283" i="7"/>
  <c r="DV283" i="7"/>
  <c r="DW283" i="7"/>
  <c r="DX283" i="7"/>
  <c r="DY283" i="7"/>
  <c r="DZ283" i="7"/>
  <c r="EA283" i="7"/>
  <c r="EB283" i="7"/>
  <c r="EC283" i="7"/>
  <c r="ED283" i="7"/>
  <c r="EE283" i="7"/>
  <c r="EF283" i="7"/>
  <c r="EG283" i="7"/>
  <c r="EH283" i="7"/>
  <c r="EI283" i="7"/>
  <c r="EJ283" i="7"/>
  <c r="EK283" i="7"/>
  <c r="EL283" i="7"/>
  <c r="EM283" i="7"/>
  <c r="EN283" i="7"/>
  <c r="EO283" i="7"/>
  <c r="EP283" i="7"/>
  <c r="EQ283" i="7"/>
  <c r="ER283" i="7"/>
  <c r="ES283" i="7"/>
  <c r="ET283" i="7"/>
  <c r="EU283" i="7"/>
  <c r="EV283" i="7"/>
  <c r="EW283" i="7"/>
  <c r="EX283" i="7"/>
  <c r="EY283" i="7"/>
  <c r="EZ283" i="7"/>
  <c r="FA283" i="7"/>
  <c r="FB283" i="7"/>
  <c r="FC283" i="7"/>
  <c r="FD283" i="7"/>
  <c r="FE283" i="7"/>
  <c r="FF283" i="7"/>
  <c r="FG283" i="7"/>
  <c r="FH283" i="7"/>
  <c r="FI283" i="7"/>
  <c r="FJ283" i="7"/>
  <c r="FK283" i="7"/>
  <c r="FL283" i="7"/>
  <c r="FM283" i="7"/>
  <c r="FN283" i="7"/>
  <c r="FO283" i="7"/>
  <c r="FP283" i="7"/>
  <c r="FQ283" i="7"/>
  <c r="FR283" i="7"/>
  <c r="FS283" i="7"/>
  <c r="FT283" i="7"/>
  <c r="FU283" i="7"/>
  <c r="FV283" i="7"/>
  <c r="FW283" i="7"/>
  <c r="FX283" i="7"/>
  <c r="FY283" i="7"/>
  <c r="FZ283" i="7"/>
  <c r="GA283" i="7"/>
  <c r="GB283" i="7"/>
  <c r="GC283" i="7"/>
  <c r="GD283" i="7"/>
  <c r="GE283" i="7"/>
  <c r="GF283" i="7"/>
  <c r="GG283" i="7"/>
  <c r="GH283" i="7"/>
  <c r="GI283" i="7"/>
  <c r="GJ283" i="7"/>
  <c r="GK283" i="7"/>
  <c r="GL283" i="7"/>
  <c r="GM283" i="7"/>
  <c r="GN283" i="7"/>
  <c r="GO283" i="7"/>
  <c r="GP283" i="7"/>
  <c r="GQ283" i="7"/>
  <c r="GR283" i="7"/>
  <c r="GS283" i="7"/>
  <c r="GT283" i="7"/>
  <c r="GU283" i="7"/>
  <c r="GV283" i="7"/>
  <c r="GW283" i="7"/>
  <c r="GX283" i="7"/>
  <c r="GY283" i="7"/>
  <c r="GZ283" i="7"/>
  <c r="HA283" i="7"/>
  <c r="HB283" i="7"/>
  <c r="HC283" i="7"/>
  <c r="HD283" i="7"/>
  <c r="HE283" i="7"/>
  <c r="HF283" i="7"/>
  <c r="HG283" i="7"/>
  <c r="HH283" i="7"/>
  <c r="HI283" i="7"/>
  <c r="HJ283" i="7"/>
  <c r="HK283" i="7"/>
  <c r="HL283" i="7"/>
  <c r="HM283" i="7"/>
  <c r="HN283" i="7"/>
  <c r="HO283" i="7"/>
  <c r="HP283" i="7"/>
  <c r="HQ283" i="7"/>
  <c r="HR283" i="7"/>
  <c r="HS283" i="7"/>
  <c r="HT283" i="7"/>
  <c r="HU283" i="7"/>
  <c r="HV283" i="7"/>
  <c r="HW283" i="7"/>
  <c r="HX283" i="7"/>
  <c r="HY283" i="7"/>
  <c r="HZ283" i="7"/>
  <c r="IA283" i="7"/>
  <c r="IB283" i="7"/>
  <c r="IC283" i="7"/>
  <c r="ID283" i="7"/>
  <c r="IE283" i="7"/>
  <c r="IF283" i="7"/>
  <c r="IG283" i="7"/>
  <c r="IH283" i="7"/>
  <c r="II283" i="7"/>
  <c r="IJ283" i="7"/>
  <c r="IK283" i="7"/>
  <c r="IL283" i="7"/>
  <c r="IM283" i="7"/>
  <c r="IN283" i="7"/>
  <c r="IO283" i="7"/>
  <c r="IP283" i="7"/>
  <c r="IQ283" i="7"/>
  <c r="IR283" i="7"/>
  <c r="IS283" i="7"/>
  <c r="IT283" i="7"/>
  <c r="IU283" i="7"/>
  <c r="IV283" i="7"/>
  <c r="A282" i="7"/>
  <c r="B282" i="7"/>
  <c r="C282" i="7"/>
  <c r="D282" i="7"/>
  <c r="E282" i="7"/>
  <c r="F282" i="7"/>
  <c r="G282" i="7"/>
  <c r="H282" i="7"/>
  <c r="I282" i="7"/>
  <c r="J282" i="7"/>
  <c r="K282" i="7"/>
  <c r="L282" i="7"/>
  <c r="M282" i="7"/>
  <c r="N282" i="7"/>
  <c r="O282" i="7"/>
  <c r="P282" i="7"/>
  <c r="Q282" i="7"/>
  <c r="R282" i="7"/>
  <c r="S282" i="7"/>
  <c r="T282" i="7"/>
  <c r="U282" i="7"/>
  <c r="V282" i="7"/>
  <c r="W282" i="7"/>
  <c r="X282" i="7"/>
  <c r="Y282" i="7"/>
  <c r="Z282" i="7"/>
  <c r="AA282" i="7"/>
  <c r="AB282" i="7"/>
  <c r="AC282" i="7"/>
  <c r="AD282" i="7"/>
  <c r="AE282" i="7"/>
  <c r="AF282" i="7"/>
  <c r="AG282" i="7"/>
  <c r="AH282" i="7"/>
  <c r="AI282" i="7"/>
  <c r="AJ282" i="7"/>
  <c r="AK282" i="7"/>
  <c r="AL282" i="7"/>
  <c r="AM282" i="7"/>
  <c r="AN282" i="7"/>
  <c r="AO282" i="7"/>
  <c r="AP282" i="7"/>
  <c r="AQ282" i="7"/>
  <c r="AR282" i="7"/>
  <c r="AS282" i="7"/>
  <c r="AT282" i="7"/>
  <c r="AU282" i="7"/>
  <c r="AV282" i="7"/>
  <c r="AW282" i="7"/>
  <c r="AX282" i="7"/>
  <c r="AY282" i="7"/>
  <c r="AZ282" i="7"/>
  <c r="BA282" i="7"/>
  <c r="BB282" i="7"/>
  <c r="BC282" i="7"/>
  <c r="BD282" i="7"/>
  <c r="BE282" i="7"/>
  <c r="BF282" i="7"/>
  <c r="BG282" i="7"/>
  <c r="BH282" i="7"/>
  <c r="BI282" i="7"/>
  <c r="BJ282" i="7"/>
  <c r="BK282" i="7"/>
  <c r="BL282" i="7"/>
  <c r="BM282" i="7"/>
  <c r="BN282" i="7"/>
  <c r="BO282" i="7"/>
  <c r="BP282" i="7"/>
  <c r="BQ282" i="7"/>
  <c r="BR282" i="7"/>
  <c r="BS282" i="7"/>
  <c r="BT282" i="7"/>
  <c r="BU282" i="7"/>
  <c r="BV282" i="7"/>
  <c r="BW282" i="7"/>
  <c r="BX282" i="7"/>
  <c r="BY282" i="7"/>
  <c r="BZ282" i="7"/>
  <c r="CA282" i="7"/>
  <c r="CB282" i="7"/>
  <c r="CC282" i="7"/>
  <c r="CD282" i="7"/>
  <c r="CE282" i="7"/>
  <c r="CF282" i="7"/>
  <c r="CG282" i="7"/>
  <c r="CH282" i="7"/>
  <c r="CI282" i="7"/>
  <c r="CJ282" i="7"/>
  <c r="CK282" i="7"/>
  <c r="CL282" i="7"/>
  <c r="CM282" i="7"/>
  <c r="CN282" i="7"/>
  <c r="CO282" i="7"/>
  <c r="CP282" i="7"/>
  <c r="CQ282" i="7"/>
  <c r="CR282" i="7"/>
  <c r="CS282" i="7"/>
  <c r="CT282" i="7"/>
  <c r="CU282" i="7"/>
  <c r="CV282" i="7"/>
  <c r="CW282" i="7"/>
  <c r="CX282" i="7"/>
  <c r="CY282" i="7"/>
  <c r="CZ282" i="7"/>
  <c r="DA282" i="7"/>
  <c r="DB282" i="7"/>
  <c r="DC282" i="7"/>
  <c r="DD282" i="7"/>
  <c r="DE282" i="7"/>
  <c r="DF282" i="7"/>
  <c r="DG282" i="7"/>
  <c r="DH282" i="7"/>
  <c r="DI282" i="7"/>
  <c r="DJ282" i="7"/>
  <c r="DK282" i="7"/>
  <c r="DL282" i="7"/>
  <c r="DM282" i="7"/>
  <c r="DN282" i="7"/>
  <c r="DO282" i="7"/>
  <c r="DP282" i="7"/>
  <c r="DQ282" i="7"/>
  <c r="DR282" i="7"/>
  <c r="DS282" i="7"/>
  <c r="DT282" i="7"/>
  <c r="DU282" i="7"/>
  <c r="DV282" i="7"/>
  <c r="DW282" i="7"/>
  <c r="DX282" i="7"/>
  <c r="DY282" i="7"/>
  <c r="DZ282" i="7"/>
  <c r="EA282" i="7"/>
  <c r="EB282" i="7"/>
  <c r="EC282" i="7"/>
  <c r="ED282" i="7"/>
  <c r="EE282" i="7"/>
  <c r="EF282" i="7"/>
  <c r="EG282" i="7"/>
  <c r="EH282" i="7"/>
  <c r="EI282" i="7"/>
  <c r="EJ282" i="7"/>
  <c r="EK282" i="7"/>
  <c r="EL282" i="7"/>
  <c r="EM282" i="7"/>
  <c r="EN282" i="7"/>
  <c r="EO282" i="7"/>
  <c r="EP282" i="7"/>
  <c r="EQ282" i="7"/>
  <c r="ER282" i="7"/>
  <c r="ES282" i="7"/>
  <c r="ET282" i="7"/>
  <c r="EU282" i="7"/>
  <c r="EV282" i="7"/>
  <c r="EW282" i="7"/>
  <c r="EX282" i="7"/>
  <c r="EY282" i="7"/>
  <c r="EZ282" i="7"/>
  <c r="FA282" i="7"/>
  <c r="FB282" i="7"/>
  <c r="FC282" i="7"/>
  <c r="FD282" i="7"/>
  <c r="FE282" i="7"/>
  <c r="FF282" i="7"/>
  <c r="FG282" i="7"/>
  <c r="FH282" i="7"/>
  <c r="FI282" i="7"/>
  <c r="FJ282" i="7"/>
  <c r="FK282" i="7"/>
  <c r="FL282" i="7"/>
  <c r="FM282" i="7"/>
  <c r="FN282" i="7"/>
  <c r="FO282" i="7"/>
  <c r="FP282" i="7"/>
  <c r="FQ282" i="7"/>
  <c r="FR282" i="7"/>
  <c r="FS282" i="7"/>
  <c r="FT282" i="7"/>
  <c r="FU282" i="7"/>
  <c r="FV282" i="7"/>
  <c r="FW282" i="7"/>
  <c r="FX282" i="7"/>
  <c r="FY282" i="7"/>
  <c r="FZ282" i="7"/>
  <c r="GA282" i="7"/>
  <c r="GB282" i="7"/>
  <c r="GC282" i="7"/>
  <c r="GD282" i="7"/>
  <c r="GE282" i="7"/>
  <c r="GF282" i="7"/>
  <c r="GG282" i="7"/>
  <c r="GH282" i="7"/>
  <c r="GI282" i="7"/>
  <c r="GJ282" i="7"/>
  <c r="GK282" i="7"/>
  <c r="GL282" i="7"/>
  <c r="GM282" i="7"/>
  <c r="GN282" i="7"/>
  <c r="GO282" i="7"/>
  <c r="GP282" i="7"/>
  <c r="GQ282" i="7"/>
  <c r="GR282" i="7"/>
  <c r="GS282" i="7"/>
  <c r="GT282" i="7"/>
  <c r="GU282" i="7"/>
  <c r="GV282" i="7"/>
  <c r="GW282" i="7"/>
  <c r="GX282" i="7"/>
  <c r="GY282" i="7"/>
  <c r="GZ282" i="7"/>
  <c r="HA282" i="7"/>
  <c r="HB282" i="7"/>
  <c r="HC282" i="7"/>
  <c r="HD282" i="7"/>
  <c r="HE282" i="7"/>
  <c r="HF282" i="7"/>
  <c r="HG282" i="7"/>
  <c r="HH282" i="7"/>
  <c r="HI282" i="7"/>
  <c r="HJ282" i="7"/>
  <c r="HK282" i="7"/>
  <c r="HL282" i="7"/>
  <c r="HM282" i="7"/>
  <c r="HN282" i="7"/>
  <c r="HO282" i="7"/>
  <c r="HP282" i="7"/>
  <c r="HQ282" i="7"/>
  <c r="HR282" i="7"/>
  <c r="HS282" i="7"/>
  <c r="HT282" i="7"/>
  <c r="HU282" i="7"/>
  <c r="HV282" i="7"/>
  <c r="HW282" i="7"/>
  <c r="HX282" i="7"/>
  <c r="HY282" i="7"/>
  <c r="HZ282" i="7"/>
  <c r="IA282" i="7"/>
  <c r="IB282" i="7"/>
  <c r="IC282" i="7"/>
  <c r="ID282" i="7"/>
  <c r="IE282" i="7"/>
  <c r="IF282" i="7"/>
  <c r="IG282" i="7"/>
  <c r="IH282" i="7"/>
  <c r="II282" i="7"/>
  <c r="IJ282" i="7"/>
  <c r="IK282" i="7"/>
  <c r="IL282" i="7"/>
  <c r="IM282" i="7"/>
  <c r="IN282" i="7"/>
  <c r="IO282" i="7"/>
  <c r="IP282" i="7"/>
  <c r="IQ282" i="7"/>
  <c r="IR282" i="7"/>
  <c r="IS282" i="7"/>
  <c r="IT282" i="7"/>
  <c r="IU282" i="7"/>
  <c r="IV282" i="7"/>
  <c r="A281" i="7"/>
  <c r="B281" i="7"/>
  <c r="C281" i="7"/>
  <c r="D281" i="7"/>
  <c r="E281" i="7"/>
  <c r="F281" i="7"/>
  <c r="G281" i="7"/>
  <c r="H281" i="7"/>
  <c r="I281" i="7"/>
  <c r="J281" i="7"/>
  <c r="K281" i="7"/>
  <c r="L281" i="7"/>
  <c r="M281" i="7"/>
  <c r="N281" i="7"/>
  <c r="O281" i="7"/>
  <c r="P281" i="7"/>
  <c r="Q281" i="7"/>
  <c r="R281" i="7"/>
  <c r="S281" i="7"/>
  <c r="T281" i="7"/>
  <c r="U281" i="7"/>
  <c r="V281" i="7"/>
  <c r="W281" i="7"/>
  <c r="X281" i="7"/>
  <c r="Y281" i="7"/>
  <c r="Z281" i="7"/>
  <c r="AA281" i="7"/>
  <c r="AB281" i="7"/>
  <c r="AC281" i="7"/>
  <c r="AD281" i="7"/>
  <c r="AE281" i="7"/>
  <c r="AF281" i="7"/>
  <c r="AG281" i="7"/>
  <c r="AH281" i="7"/>
  <c r="AI281" i="7"/>
  <c r="AJ281" i="7"/>
  <c r="AK281" i="7"/>
  <c r="AL281" i="7"/>
  <c r="AM281" i="7"/>
  <c r="AN281" i="7"/>
  <c r="AO281" i="7"/>
  <c r="AP281" i="7"/>
  <c r="AQ281" i="7"/>
  <c r="AR281" i="7"/>
  <c r="AS281" i="7"/>
  <c r="AT281" i="7"/>
  <c r="AU281" i="7"/>
  <c r="AV281" i="7"/>
  <c r="AW281" i="7"/>
  <c r="AX281" i="7"/>
  <c r="AY281" i="7"/>
  <c r="AZ281" i="7"/>
  <c r="BA281" i="7"/>
  <c r="BB281" i="7"/>
  <c r="BC281" i="7"/>
  <c r="BD281" i="7"/>
  <c r="BE281" i="7"/>
  <c r="BF281" i="7"/>
  <c r="BG281" i="7"/>
  <c r="BH281" i="7"/>
  <c r="BI281" i="7"/>
  <c r="BJ281" i="7"/>
  <c r="BK281" i="7"/>
  <c r="BL281" i="7"/>
  <c r="BM281" i="7"/>
  <c r="BN281" i="7"/>
  <c r="BO281" i="7"/>
  <c r="BP281" i="7"/>
  <c r="BQ281" i="7"/>
  <c r="BR281" i="7"/>
  <c r="BS281" i="7"/>
  <c r="BT281" i="7"/>
  <c r="BU281" i="7"/>
  <c r="BV281" i="7"/>
  <c r="BW281" i="7"/>
  <c r="BX281" i="7"/>
  <c r="BY281" i="7"/>
  <c r="BZ281" i="7"/>
  <c r="CA281" i="7"/>
  <c r="CB281" i="7"/>
  <c r="CC281" i="7"/>
  <c r="CD281" i="7"/>
  <c r="CE281" i="7"/>
  <c r="CF281" i="7"/>
  <c r="CG281" i="7"/>
  <c r="CH281" i="7"/>
  <c r="CI281" i="7"/>
  <c r="CJ281" i="7"/>
  <c r="CK281" i="7"/>
  <c r="CL281" i="7"/>
  <c r="CM281" i="7"/>
  <c r="CN281" i="7"/>
  <c r="CO281" i="7"/>
  <c r="CP281" i="7"/>
  <c r="CQ281" i="7"/>
  <c r="CR281" i="7"/>
  <c r="CS281" i="7"/>
  <c r="CT281" i="7"/>
  <c r="CU281" i="7"/>
  <c r="CV281" i="7"/>
  <c r="CW281" i="7"/>
  <c r="CX281" i="7"/>
  <c r="CY281" i="7"/>
  <c r="CZ281" i="7"/>
  <c r="DA281" i="7"/>
  <c r="DB281" i="7"/>
  <c r="DC281" i="7"/>
  <c r="DD281" i="7"/>
  <c r="DE281" i="7"/>
  <c r="DF281" i="7"/>
  <c r="DG281" i="7"/>
  <c r="DH281" i="7"/>
  <c r="DI281" i="7"/>
  <c r="DJ281" i="7"/>
  <c r="DK281" i="7"/>
  <c r="DL281" i="7"/>
  <c r="DM281" i="7"/>
  <c r="DN281" i="7"/>
  <c r="DO281" i="7"/>
  <c r="DP281" i="7"/>
  <c r="DQ281" i="7"/>
  <c r="DR281" i="7"/>
  <c r="DS281" i="7"/>
  <c r="DT281" i="7"/>
  <c r="DU281" i="7"/>
  <c r="DV281" i="7"/>
  <c r="DW281" i="7"/>
  <c r="DX281" i="7"/>
  <c r="DY281" i="7"/>
  <c r="DZ281" i="7"/>
  <c r="EA281" i="7"/>
  <c r="EB281" i="7"/>
  <c r="EC281" i="7"/>
  <c r="ED281" i="7"/>
  <c r="EE281" i="7"/>
  <c r="EF281" i="7"/>
  <c r="EG281" i="7"/>
  <c r="EH281" i="7"/>
  <c r="EI281" i="7"/>
  <c r="EJ281" i="7"/>
  <c r="EK281" i="7"/>
  <c r="EL281" i="7"/>
  <c r="EM281" i="7"/>
  <c r="EN281" i="7"/>
  <c r="EO281" i="7"/>
  <c r="EP281" i="7"/>
  <c r="EQ281" i="7"/>
  <c r="ER281" i="7"/>
  <c r="ES281" i="7"/>
  <c r="ET281" i="7"/>
  <c r="EU281" i="7"/>
  <c r="EV281" i="7"/>
  <c r="EW281" i="7"/>
  <c r="EX281" i="7"/>
  <c r="EY281" i="7"/>
  <c r="EZ281" i="7"/>
  <c r="FA281" i="7"/>
  <c r="FB281" i="7"/>
  <c r="FC281" i="7"/>
  <c r="FD281" i="7"/>
  <c r="FE281" i="7"/>
  <c r="FF281" i="7"/>
  <c r="FG281" i="7"/>
  <c r="FH281" i="7"/>
  <c r="FI281" i="7"/>
  <c r="FJ281" i="7"/>
  <c r="FK281" i="7"/>
  <c r="FL281" i="7"/>
  <c r="FM281" i="7"/>
  <c r="FN281" i="7"/>
  <c r="FO281" i="7"/>
  <c r="FP281" i="7"/>
  <c r="FQ281" i="7"/>
  <c r="FR281" i="7"/>
  <c r="FS281" i="7"/>
  <c r="FT281" i="7"/>
  <c r="FU281" i="7"/>
  <c r="FV281" i="7"/>
  <c r="FW281" i="7"/>
  <c r="FX281" i="7"/>
  <c r="FY281" i="7"/>
  <c r="FZ281" i="7"/>
  <c r="GA281" i="7"/>
  <c r="GB281" i="7"/>
  <c r="GC281" i="7"/>
  <c r="GD281" i="7"/>
  <c r="GE281" i="7"/>
  <c r="GF281" i="7"/>
  <c r="GG281" i="7"/>
  <c r="GH281" i="7"/>
  <c r="GI281" i="7"/>
  <c r="GJ281" i="7"/>
  <c r="GK281" i="7"/>
  <c r="GL281" i="7"/>
  <c r="GM281" i="7"/>
  <c r="GN281" i="7"/>
  <c r="GO281" i="7"/>
  <c r="GP281" i="7"/>
  <c r="GQ281" i="7"/>
  <c r="GR281" i="7"/>
  <c r="GS281" i="7"/>
  <c r="GT281" i="7"/>
  <c r="GU281" i="7"/>
  <c r="GV281" i="7"/>
  <c r="GW281" i="7"/>
  <c r="GX281" i="7"/>
  <c r="GY281" i="7"/>
  <c r="GZ281" i="7"/>
  <c r="HA281" i="7"/>
  <c r="HB281" i="7"/>
  <c r="HC281" i="7"/>
  <c r="HD281" i="7"/>
  <c r="HE281" i="7"/>
  <c r="HF281" i="7"/>
  <c r="HG281" i="7"/>
  <c r="HH281" i="7"/>
  <c r="HI281" i="7"/>
  <c r="HJ281" i="7"/>
  <c r="HK281" i="7"/>
  <c r="HL281" i="7"/>
  <c r="HM281" i="7"/>
  <c r="HN281" i="7"/>
  <c r="HO281" i="7"/>
  <c r="HP281" i="7"/>
  <c r="HQ281" i="7"/>
  <c r="HR281" i="7"/>
  <c r="HS281" i="7"/>
  <c r="HT281" i="7"/>
  <c r="HU281" i="7"/>
  <c r="HV281" i="7"/>
  <c r="HW281" i="7"/>
  <c r="HX281" i="7"/>
  <c r="HY281" i="7"/>
  <c r="HZ281" i="7"/>
  <c r="IA281" i="7"/>
  <c r="IB281" i="7"/>
  <c r="IC281" i="7"/>
  <c r="ID281" i="7"/>
  <c r="IE281" i="7"/>
  <c r="IF281" i="7"/>
  <c r="IG281" i="7"/>
  <c r="IH281" i="7"/>
  <c r="II281" i="7"/>
  <c r="IJ281" i="7"/>
  <c r="IK281" i="7"/>
  <c r="IL281" i="7"/>
  <c r="IM281" i="7"/>
  <c r="IN281" i="7"/>
  <c r="IO281" i="7"/>
  <c r="IP281" i="7"/>
  <c r="IQ281" i="7"/>
  <c r="IR281" i="7"/>
  <c r="IS281" i="7"/>
  <c r="IT281" i="7"/>
  <c r="IU281" i="7"/>
  <c r="IV281" i="7"/>
  <c r="A280" i="7"/>
  <c r="B280" i="7"/>
  <c r="C280" i="7"/>
  <c r="D280" i="7"/>
  <c r="E280" i="7"/>
  <c r="F280" i="7"/>
  <c r="G280" i="7"/>
  <c r="H280" i="7"/>
  <c r="I280" i="7"/>
  <c r="J280" i="7"/>
  <c r="K280" i="7"/>
  <c r="L280" i="7"/>
  <c r="M280" i="7"/>
  <c r="N280" i="7"/>
  <c r="O280" i="7"/>
  <c r="P280" i="7"/>
  <c r="Q280" i="7"/>
  <c r="R280" i="7"/>
  <c r="S280" i="7"/>
  <c r="T280" i="7"/>
  <c r="U280" i="7"/>
  <c r="V280" i="7"/>
  <c r="W280" i="7"/>
  <c r="X280" i="7"/>
  <c r="Y280" i="7"/>
  <c r="Z280" i="7"/>
  <c r="AA280" i="7"/>
  <c r="AB280" i="7"/>
  <c r="AC280" i="7"/>
  <c r="AD280" i="7"/>
  <c r="AE280" i="7"/>
  <c r="AF280" i="7"/>
  <c r="AG280" i="7"/>
  <c r="AH280" i="7"/>
  <c r="AI280" i="7"/>
  <c r="AJ280" i="7"/>
  <c r="AK280" i="7"/>
  <c r="AL280" i="7"/>
  <c r="AM280" i="7"/>
  <c r="AN280" i="7"/>
  <c r="AO280" i="7"/>
  <c r="AP280" i="7"/>
  <c r="AQ280" i="7"/>
  <c r="AR280" i="7"/>
  <c r="AS280" i="7"/>
  <c r="AT280" i="7"/>
  <c r="AU280" i="7"/>
  <c r="AV280" i="7"/>
  <c r="AW280" i="7"/>
  <c r="AX280" i="7"/>
  <c r="AY280" i="7"/>
  <c r="AZ280" i="7"/>
  <c r="BA280" i="7"/>
  <c r="BB280" i="7"/>
  <c r="BC280" i="7"/>
  <c r="BD280" i="7"/>
  <c r="BE280" i="7"/>
  <c r="BF280" i="7"/>
  <c r="BG280" i="7"/>
  <c r="BH280" i="7"/>
  <c r="BI280" i="7"/>
  <c r="BJ280" i="7"/>
  <c r="BK280" i="7"/>
  <c r="BL280" i="7"/>
  <c r="BM280" i="7"/>
  <c r="BN280" i="7"/>
  <c r="BO280" i="7"/>
  <c r="BP280" i="7"/>
  <c r="BQ280" i="7"/>
  <c r="BR280" i="7"/>
  <c r="BS280" i="7"/>
  <c r="BT280" i="7"/>
  <c r="BU280" i="7"/>
  <c r="BV280" i="7"/>
  <c r="BW280" i="7"/>
  <c r="BX280" i="7"/>
  <c r="BY280" i="7"/>
  <c r="BZ280" i="7"/>
  <c r="CA280" i="7"/>
  <c r="CB280" i="7"/>
  <c r="CC280" i="7"/>
  <c r="CD280" i="7"/>
  <c r="CE280" i="7"/>
  <c r="CF280" i="7"/>
  <c r="CG280" i="7"/>
  <c r="CH280" i="7"/>
  <c r="CI280" i="7"/>
  <c r="CJ280" i="7"/>
  <c r="CK280" i="7"/>
  <c r="CL280" i="7"/>
  <c r="CM280" i="7"/>
  <c r="CN280" i="7"/>
  <c r="CO280" i="7"/>
  <c r="CP280" i="7"/>
  <c r="CQ280" i="7"/>
  <c r="CR280" i="7"/>
  <c r="CS280" i="7"/>
  <c r="CT280" i="7"/>
  <c r="CU280" i="7"/>
  <c r="CV280" i="7"/>
  <c r="CW280" i="7"/>
  <c r="CX280" i="7"/>
  <c r="CY280" i="7"/>
  <c r="CZ280" i="7"/>
  <c r="DA280" i="7"/>
  <c r="DB280" i="7"/>
  <c r="DC280" i="7"/>
  <c r="DD280" i="7"/>
  <c r="DE280" i="7"/>
  <c r="DF280" i="7"/>
  <c r="DG280" i="7"/>
  <c r="DH280" i="7"/>
  <c r="DI280" i="7"/>
  <c r="DJ280" i="7"/>
  <c r="DK280" i="7"/>
  <c r="DL280" i="7"/>
  <c r="DM280" i="7"/>
  <c r="DN280" i="7"/>
  <c r="DO280" i="7"/>
  <c r="DP280" i="7"/>
  <c r="DQ280" i="7"/>
  <c r="DR280" i="7"/>
  <c r="DS280" i="7"/>
  <c r="DT280" i="7"/>
  <c r="DU280" i="7"/>
  <c r="DV280" i="7"/>
  <c r="DW280" i="7"/>
  <c r="DX280" i="7"/>
  <c r="DY280" i="7"/>
  <c r="DZ280" i="7"/>
  <c r="EA280" i="7"/>
  <c r="EB280" i="7"/>
  <c r="EC280" i="7"/>
  <c r="ED280" i="7"/>
  <c r="EE280" i="7"/>
  <c r="EF280" i="7"/>
  <c r="EG280" i="7"/>
  <c r="EH280" i="7"/>
  <c r="EI280" i="7"/>
  <c r="EJ280" i="7"/>
  <c r="EK280" i="7"/>
  <c r="EL280" i="7"/>
  <c r="EM280" i="7"/>
  <c r="EN280" i="7"/>
  <c r="EO280" i="7"/>
  <c r="EP280" i="7"/>
  <c r="EQ280" i="7"/>
  <c r="ER280" i="7"/>
  <c r="ES280" i="7"/>
  <c r="ET280" i="7"/>
  <c r="EU280" i="7"/>
  <c r="EV280" i="7"/>
  <c r="EW280" i="7"/>
  <c r="EX280" i="7"/>
  <c r="EY280" i="7"/>
  <c r="EZ280" i="7"/>
  <c r="FA280" i="7"/>
  <c r="FB280" i="7"/>
  <c r="FC280" i="7"/>
  <c r="FD280" i="7"/>
  <c r="FE280" i="7"/>
  <c r="FF280" i="7"/>
  <c r="FG280" i="7"/>
  <c r="FH280" i="7"/>
  <c r="FI280" i="7"/>
  <c r="FJ280" i="7"/>
  <c r="FK280" i="7"/>
  <c r="FL280" i="7"/>
  <c r="FM280" i="7"/>
  <c r="FN280" i="7"/>
  <c r="FO280" i="7"/>
  <c r="FP280" i="7"/>
  <c r="FQ280" i="7"/>
  <c r="FR280" i="7"/>
  <c r="FS280" i="7"/>
  <c r="FT280" i="7"/>
  <c r="FU280" i="7"/>
  <c r="FV280" i="7"/>
  <c r="FW280" i="7"/>
  <c r="FX280" i="7"/>
  <c r="FY280" i="7"/>
  <c r="FZ280" i="7"/>
  <c r="GA280" i="7"/>
  <c r="GB280" i="7"/>
  <c r="GC280" i="7"/>
  <c r="GD280" i="7"/>
  <c r="GE280" i="7"/>
  <c r="GF280" i="7"/>
  <c r="GG280" i="7"/>
  <c r="GH280" i="7"/>
  <c r="GI280" i="7"/>
  <c r="GJ280" i="7"/>
  <c r="GK280" i="7"/>
  <c r="GL280" i="7"/>
  <c r="GM280" i="7"/>
  <c r="GN280" i="7"/>
  <c r="GO280" i="7"/>
  <c r="GP280" i="7"/>
  <c r="GQ280" i="7"/>
  <c r="GR280" i="7"/>
  <c r="GS280" i="7"/>
  <c r="GT280" i="7"/>
  <c r="GU280" i="7"/>
  <c r="GV280" i="7"/>
  <c r="GW280" i="7"/>
  <c r="GX280" i="7"/>
  <c r="GY280" i="7"/>
  <c r="GZ280" i="7"/>
  <c r="HA280" i="7"/>
  <c r="HB280" i="7"/>
  <c r="HC280" i="7"/>
  <c r="HD280" i="7"/>
  <c r="HE280" i="7"/>
  <c r="HF280" i="7"/>
  <c r="HG280" i="7"/>
  <c r="HH280" i="7"/>
  <c r="HI280" i="7"/>
  <c r="HJ280" i="7"/>
  <c r="HK280" i="7"/>
  <c r="HL280" i="7"/>
  <c r="HM280" i="7"/>
  <c r="HN280" i="7"/>
  <c r="HO280" i="7"/>
  <c r="HP280" i="7"/>
  <c r="HQ280" i="7"/>
  <c r="HR280" i="7"/>
  <c r="HS280" i="7"/>
  <c r="HT280" i="7"/>
  <c r="HU280" i="7"/>
  <c r="HV280" i="7"/>
  <c r="HW280" i="7"/>
  <c r="HX280" i="7"/>
  <c r="HY280" i="7"/>
  <c r="HZ280" i="7"/>
  <c r="IA280" i="7"/>
  <c r="IB280" i="7"/>
  <c r="IC280" i="7"/>
  <c r="ID280" i="7"/>
  <c r="IE280" i="7"/>
  <c r="IF280" i="7"/>
  <c r="IG280" i="7"/>
  <c r="IH280" i="7"/>
  <c r="II280" i="7"/>
  <c r="IJ280" i="7"/>
  <c r="IK280" i="7"/>
  <c r="IL280" i="7"/>
  <c r="IM280" i="7"/>
  <c r="IN280" i="7"/>
  <c r="IO280" i="7"/>
  <c r="IP280" i="7"/>
  <c r="IQ280" i="7"/>
  <c r="IR280" i="7"/>
  <c r="IS280" i="7"/>
  <c r="IT280" i="7"/>
  <c r="IU280" i="7"/>
  <c r="IV280" i="7"/>
  <c r="A279" i="7"/>
  <c r="B279" i="7"/>
  <c r="C279" i="7"/>
  <c r="D279" i="7"/>
  <c r="E279" i="7"/>
  <c r="F279" i="7"/>
  <c r="G279" i="7"/>
  <c r="H279" i="7"/>
  <c r="I279" i="7"/>
  <c r="J279" i="7"/>
  <c r="K279" i="7"/>
  <c r="L279" i="7"/>
  <c r="M279" i="7"/>
  <c r="N279" i="7"/>
  <c r="O279" i="7"/>
  <c r="P279" i="7"/>
  <c r="Q279" i="7"/>
  <c r="R279" i="7"/>
  <c r="S279" i="7"/>
  <c r="T279" i="7"/>
  <c r="U279" i="7"/>
  <c r="V279" i="7"/>
  <c r="W279" i="7"/>
  <c r="X279" i="7"/>
  <c r="Y279" i="7"/>
  <c r="Z279" i="7"/>
  <c r="AA279" i="7"/>
  <c r="AB279" i="7"/>
  <c r="AC279" i="7"/>
  <c r="AD279" i="7"/>
  <c r="AE279" i="7"/>
  <c r="AF279" i="7"/>
  <c r="AG279" i="7"/>
  <c r="AH279" i="7"/>
  <c r="AI279" i="7"/>
  <c r="AJ279" i="7"/>
  <c r="AK279" i="7"/>
  <c r="AL279" i="7"/>
  <c r="AM279" i="7"/>
  <c r="AN279" i="7"/>
  <c r="AO279" i="7"/>
  <c r="AP279" i="7"/>
  <c r="AQ279" i="7"/>
  <c r="AR279" i="7"/>
  <c r="AS279" i="7"/>
  <c r="AT279" i="7"/>
  <c r="AU279" i="7"/>
  <c r="AV279" i="7"/>
  <c r="AW279" i="7"/>
  <c r="AX279" i="7"/>
  <c r="AY279" i="7"/>
  <c r="AZ279" i="7"/>
  <c r="BA279" i="7"/>
  <c r="BB279" i="7"/>
  <c r="BC279" i="7"/>
  <c r="BD279" i="7"/>
  <c r="BE279" i="7"/>
  <c r="BF279" i="7"/>
  <c r="BG279" i="7"/>
  <c r="BH279" i="7"/>
  <c r="BI279" i="7"/>
  <c r="BJ279" i="7"/>
  <c r="BK279" i="7"/>
  <c r="BL279" i="7"/>
  <c r="BM279" i="7"/>
  <c r="BN279" i="7"/>
  <c r="BO279" i="7"/>
  <c r="BP279" i="7"/>
  <c r="BQ279" i="7"/>
  <c r="BR279" i="7"/>
  <c r="BS279" i="7"/>
  <c r="BT279" i="7"/>
  <c r="BU279" i="7"/>
  <c r="BV279" i="7"/>
  <c r="BW279" i="7"/>
  <c r="BX279" i="7"/>
  <c r="BY279" i="7"/>
  <c r="BZ279" i="7"/>
  <c r="CA279" i="7"/>
  <c r="CB279" i="7"/>
  <c r="CC279" i="7"/>
  <c r="CD279" i="7"/>
  <c r="CE279" i="7"/>
  <c r="CF279" i="7"/>
  <c r="CG279" i="7"/>
  <c r="CH279" i="7"/>
  <c r="CI279" i="7"/>
  <c r="CJ279" i="7"/>
  <c r="CK279" i="7"/>
  <c r="CL279" i="7"/>
  <c r="CM279" i="7"/>
  <c r="CN279" i="7"/>
  <c r="CO279" i="7"/>
  <c r="CP279" i="7"/>
  <c r="CQ279" i="7"/>
  <c r="CR279" i="7"/>
  <c r="CS279" i="7"/>
  <c r="CT279" i="7"/>
  <c r="CU279" i="7"/>
  <c r="CV279" i="7"/>
  <c r="CW279" i="7"/>
  <c r="CX279" i="7"/>
  <c r="CY279" i="7"/>
  <c r="CZ279" i="7"/>
  <c r="DA279" i="7"/>
  <c r="DB279" i="7"/>
  <c r="DC279" i="7"/>
  <c r="DD279" i="7"/>
  <c r="DE279" i="7"/>
  <c r="DF279" i="7"/>
  <c r="DG279" i="7"/>
  <c r="DH279" i="7"/>
  <c r="DI279" i="7"/>
  <c r="DJ279" i="7"/>
  <c r="DK279" i="7"/>
  <c r="DL279" i="7"/>
  <c r="DM279" i="7"/>
  <c r="DN279" i="7"/>
  <c r="DO279" i="7"/>
  <c r="DP279" i="7"/>
  <c r="DQ279" i="7"/>
  <c r="DR279" i="7"/>
  <c r="DS279" i="7"/>
  <c r="DT279" i="7"/>
  <c r="DU279" i="7"/>
  <c r="DV279" i="7"/>
  <c r="DW279" i="7"/>
  <c r="DX279" i="7"/>
  <c r="DY279" i="7"/>
  <c r="DZ279" i="7"/>
  <c r="EA279" i="7"/>
  <c r="EB279" i="7"/>
  <c r="EC279" i="7"/>
  <c r="ED279" i="7"/>
  <c r="EE279" i="7"/>
  <c r="EF279" i="7"/>
  <c r="EG279" i="7"/>
  <c r="EH279" i="7"/>
  <c r="EI279" i="7"/>
  <c r="EJ279" i="7"/>
  <c r="EK279" i="7"/>
  <c r="EL279" i="7"/>
  <c r="EM279" i="7"/>
  <c r="EN279" i="7"/>
  <c r="EO279" i="7"/>
  <c r="EP279" i="7"/>
  <c r="EQ279" i="7"/>
  <c r="ER279" i="7"/>
  <c r="ES279" i="7"/>
  <c r="ET279" i="7"/>
  <c r="EU279" i="7"/>
  <c r="EV279" i="7"/>
  <c r="EW279" i="7"/>
  <c r="EX279" i="7"/>
  <c r="EY279" i="7"/>
  <c r="EZ279" i="7"/>
  <c r="FA279" i="7"/>
  <c r="FB279" i="7"/>
  <c r="FC279" i="7"/>
  <c r="FD279" i="7"/>
  <c r="FE279" i="7"/>
  <c r="FF279" i="7"/>
  <c r="FG279" i="7"/>
  <c r="FH279" i="7"/>
  <c r="FI279" i="7"/>
  <c r="FJ279" i="7"/>
  <c r="FK279" i="7"/>
  <c r="FL279" i="7"/>
  <c r="FM279" i="7"/>
  <c r="FN279" i="7"/>
  <c r="FO279" i="7"/>
  <c r="FP279" i="7"/>
  <c r="FQ279" i="7"/>
  <c r="FR279" i="7"/>
  <c r="FS279" i="7"/>
  <c r="FT279" i="7"/>
  <c r="FU279" i="7"/>
  <c r="FV279" i="7"/>
  <c r="FW279" i="7"/>
  <c r="FX279" i="7"/>
  <c r="FY279" i="7"/>
  <c r="FZ279" i="7"/>
  <c r="GA279" i="7"/>
  <c r="GB279" i="7"/>
  <c r="GC279" i="7"/>
  <c r="GD279" i="7"/>
  <c r="GE279" i="7"/>
  <c r="GF279" i="7"/>
  <c r="GG279" i="7"/>
  <c r="GH279" i="7"/>
  <c r="GI279" i="7"/>
  <c r="GJ279" i="7"/>
  <c r="GK279" i="7"/>
  <c r="GL279" i="7"/>
  <c r="GM279" i="7"/>
  <c r="GN279" i="7"/>
  <c r="GO279" i="7"/>
  <c r="GP279" i="7"/>
  <c r="GQ279" i="7"/>
  <c r="GR279" i="7"/>
  <c r="GS279" i="7"/>
  <c r="GT279" i="7"/>
  <c r="GU279" i="7"/>
  <c r="GV279" i="7"/>
  <c r="GW279" i="7"/>
  <c r="GX279" i="7"/>
  <c r="GY279" i="7"/>
  <c r="GZ279" i="7"/>
  <c r="HA279" i="7"/>
  <c r="HB279" i="7"/>
  <c r="HC279" i="7"/>
  <c r="HD279" i="7"/>
  <c r="HE279" i="7"/>
  <c r="HF279" i="7"/>
  <c r="HG279" i="7"/>
  <c r="HH279" i="7"/>
  <c r="HI279" i="7"/>
  <c r="HJ279" i="7"/>
  <c r="HK279" i="7"/>
  <c r="HL279" i="7"/>
  <c r="HM279" i="7"/>
  <c r="HN279" i="7"/>
  <c r="HO279" i="7"/>
  <c r="HP279" i="7"/>
  <c r="HQ279" i="7"/>
  <c r="HR279" i="7"/>
  <c r="HS279" i="7"/>
  <c r="HT279" i="7"/>
  <c r="HU279" i="7"/>
  <c r="HV279" i="7"/>
  <c r="HW279" i="7"/>
  <c r="HX279" i="7"/>
  <c r="HY279" i="7"/>
  <c r="HZ279" i="7"/>
  <c r="IA279" i="7"/>
  <c r="IB279" i="7"/>
  <c r="IC279" i="7"/>
  <c r="ID279" i="7"/>
  <c r="IE279" i="7"/>
  <c r="IF279" i="7"/>
  <c r="IG279" i="7"/>
  <c r="IH279" i="7"/>
  <c r="II279" i="7"/>
  <c r="IJ279" i="7"/>
  <c r="IK279" i="7"/>
  <c r="IL279" i="7"/>
  <c r="IM279" i="7"/>
  <c r="IN279" i="7"/>
  <c r="IO279" i="7"/>
  <c r="IP279" i="7"/>
  <c r="IQ279" i="7"/>
  <c r="IR279" i="7"/>
  <c r="IS279" i="7"/>
  <c r="IT279" i="7"/>
  <c r="IU279" i="7"/>
  <c r="IV279" i="7"/>
  <c r="A278" i="7"/>
  <c r="B278" i="7"/>
  <c r="C278" i="7"/>
  <c r="D278" i="7"/>
  <c r="E278" i="7"/>
  <c r="F278" i="7"/>
  <c r="G278" i="7"/>
  <c r="H278" i="7"/>
  <c r="I278" i="7"/>
  <c r="J278" i="7"/>
  <c r="K278" i="7"/>
  <c r="L278" i="7"/>
  <c r="M278" i="7"/>
  <c r="N278" i="7"/>
  <c r="O278" i="7"/>
  <c r="P278" i="7"/>
  <c r="Q278" i="7"/>
  <c r="R278" i="7"/>
  <c r="S278" i="7"/>
  <c r="T278" i="7"/>
  <c r="U278" i="7"/>
  <c r="V278" i="7"/>
  <c r="W278" i="7"/>
  <c r="X278" i="7"/>
  <c r="Y278" i="7"/>
  <c r="Z278" i="7"/>
  <c r="AA278" i="7"/>
  <c r="AB278" i="7"/>
  <c r="AC278" i="7"/>
  <c r="AD278" i="7"/>
  <c r="AE278" i="7"/>
  <c r="AF278" i="7"/>
  <c r="AG278" i="7"/>
  <c r="AH278" i="7"/>
  <c r="AI278" i="7"/>
  <c r="AJ278" i="7"/>
  <c r="AK278" i="7"/>
  <c r="AL278" i="7"/>
  <c r="AM278" i="7"/>
  <c r="AN278" i="7"/>
  <c r="AO278" i="7"/>
  <c r="AP278" i="7"/>
  <c r="AQ278" i="7"/>
  <c r="AR278" i="7"/>
  <c r="AS278" i="7"/>
  <c r="AT278" i="7"/>
  <c r="AU278" i="7"/>
  <c r="AV278" i="7"/>
  <c r="AW278" i="7"/>
  <c r="AX278" i="7"/>
  <c r="AY278" i="7"/>
  <c r="AZ278" i="7"/>
  <c r="BA278" i="7"/>
  <c r="BB278" i="7"/>
  <c r="BC278" i="7"/>
  <c r="BD278" i="7"/>
  <c r="BE278" i="7"/>
  <c r="BF278" i="7"/>
  <c r="BG278" i="7"/>
  <c r="BH278" i="7"/>
  <c r="BI278" i="7"/>
  <c r="BJ278" i="7"/>
  <c r="BK278" i="7"/>
  <c r="BL278" i="7"/>
  <c r="BM278" i="7"/>
  <c r="BN278" i="7"/>
  <c r="BO278" i="7"/>
  <c r="BP278" i="7"/>
  <c r="BQ278" i="7"/>
  <c r="BR278" i="7"/>
  <c r="BS278" i="7"/>
  <c r="BT278" i="7"/>
  <c r="BU278" i="7"/>
  <c r="BV278" i="7"/>
  <c r="BW278" i="7"/>
  <c r="BX278" i="7"/>
  <c r="BY278" i="7"/>
  <c r="BZ278" i="7"/>
  <c r="CA278" i="7"/>
  <c r="CB278" i="7"/>
  <c r="CC278" i="7"/>
  <c r="CD278" i="7"/>
  <c r="CE278" i="7"/>
  <c r="CF278" i="7"/>
  <c r="CG278" i="7"/>
  <c r="CH278" i="7"/>
  <c r="CI278" i="7"/>
  <c r="CJ278" i="7"/>
  <c r="CK278" i="7"/>
  <c r="CL278" i="7"/>
  <c r="CM278" i="7"/>
  <c r="CN278" i="7"/>
  <c r="CO278" i="7"/>
  <c r="CP278" i="7"/>
  <c r="CQ278" i="7"/>
  <c r="CR278" i="7"/>
  <c r="CS278" i="7"/>
  <c r="CT278" i="7"/>
  <c r="CU278" i="7"/>
  <c r="CV278" i="7"/>
  <c r="CW278" i="7"/>
  <c r="CX278" i="7"/>
  <c r="CY278" i="7"/>
  <c r="CZ278" i="7"/>
  <c r="DA278" i="7"/>
  <c r="DB278" i="7"/>
  <c r="DC278" i="7"/>
  <c r="DD278" i="7"/>
  <c r="DE278" i="7"/>
  <c r="DF278" i="7"/>
  <c r="DG278" i="7"/>
  <c r="DH278" i="7"/>
  <c r="DI278" i="7"/>
  <c r="DJ278" i="7"/>
  <c r="DK278" i="7"/>
  <c r="DL278" i="7"/>
  <c r="DM278" i="7"/>
  <c r="DN278" i="7"/>
  <c r="DO278" i="7"/>
  <c r="DP278" i="7"/>
  <c r="DQ278" i="7"/>
  <c r="DR278" i="7"/>
  <c r="DS278" i="7"/>
  <c r="DT278" i="7"/>
  <c r="DU278" i="7"/>
  <c r="DV278" i="7"/>
  <c r="DW278" i="7"/>
  <c r="DX278" i="7"/>
  <c r="DY278" i="7"/>
  <c r="DZ278" i="7"/>
  <c r="EA278" i="7"/>
  <c r="EB278" i="7"/>
  <c r="EC278" i="7"/>
  <c r="ED278" i="7"/>
  <c r="EE278" i="7"/>
  <c r="EF278" i="7"/>
  <c r="EG278" i="7"/>
  <c r="EH278" i="7"/>
  <c r="EI278" i="7"/>
  <c r="EJ278" i="7"/>
  <c r="EK278" i="7"/>
  <c r="EL278" i="7"/>
  <c r="EM278" i="7"/>
  <c r="EN278" i="7"/>
  <c r="EO278" i="7"/>
  <c r="EP278" i="7"/>
  <c r="EQ278" i="7"/>
  <c r="ER278" i="7"/>
  <c r="ES278" i="7"/>
  <c r="ET278" i="7"/>
  <c r="EU278" i="7"/>
  <c r="EV278" i="7"/>
  <c r="EW278" i="7"/>
  <c r="EX278" i="7"/>
  <c r="EY278" i="7"/>
  <c r="EZ278" i="7"/>
  <c r="FA278" i="7"/>
  <c r="FB278" i="7"/>
  <c r="FC278" i="7"/>
  <c r="FD278" i="7"/>
  <c r="FE278" i="7"/>
  <c r="FF278" i="7"/>
  <c r="FG278" i="7"/>
  <c r="FH278" i="7"/>
  <c r="FI278" i="7"/>
  <c r="FJ278" i="7"/>
  <c r="FK278" i="7"/>
  <c r="FL278" i="7"/>
  <c r="FM278" i="7"/>
  <c r="FN278" i="7"/>
  <c r="FO278" i="7"/>
  <c r="FP278" i="7"/>
  <c r="FQ278" i="7"/>
  <c r="FR278" i="7"/>
  <c r="FS278" i="7"/>
  <c r="FT278" i="7"/>
  <c r="FU278" i="7"/>
  <c r="FV278" i="7"/>
  <c r="FW278" i="7"/>
  <c r="FX278" i="7"/>
  <c r="FY278" i="7"/>
  <c r="FZ278" i="7"/>
  <c r="GA278" i="7"/>
  <c r="GB278" i="7"/>
  <c r="GC278" i="7"/>
  <c r="GD278" i="7"/>
  <c r="GE278" i="7"/>
  <c r="GF278" i="7"/>
  <c r="GG278" i="7"/>
  <c r="GH278" i="7"/>
  <c r="GI278" i="7"/>
  <c r="GJ278" i="7"/>
  <c r="GK278" i="7"/>
  <c r="GL278" i="7"/>
  <c r="GM278" i="7"/>
  <c r="GN278" i="7"/>
  <c r="GO278" i="7"/>
  <c r="GP278" i="7"/>
  <c r="GQ278" i="7"/>
  <c r="GR278" i="7"/>
  <c r="GS278" i="7"/>
  <c r="GT278" i="7"/>
  <c r="GU278" i="7"/>
  <c r="GV278" i="7"/>
  <c r="GW278" i="7"/>
  <c r="GX278" i="7"/>
  <c r="GY278" i="7"/>
  <c r="GZ278" i="7"/>
  <c r="HA278" i="7"/>
  <c r="HB278" i="7"/>
  <c r="HC278" i="7"/>
  <c r="HD278" i="7"/>
  <c r="HE278" i="7"/>
  <c r="HF278" i="7"/>
  <c r="HG278" i="7"/>
  <c r="HH278" i="7"/>
  <c r="HI278" i="7"/>
  <c r="HJ278" i="7"/>
  <c r="HK278" i="7"/>
  <c r="HL278" i="7"/>
  <c r="HM278" i="7"/>
  <c r="HN278" i="7"/>
  <c r="HO278" i="7"/>
  <c r="HP278" i="7"/>
  <c r="HQ278" i="7"/>
  <c r="HR278" i="7"/>
  <c r="HS278" i="7"/>
  <c r="HT278" i="7"/>
  <c r="HU278" i="7"/>
  <c r="HV278" i="7"/>
  <c r="HW278" i="7"/>
  <c r="HX278" i="7"/>
  <c r="HY278" i="7"/>
  <c r="HZ278" i="7"/>
  <c r="IA278" i="7"/>
  <c r="IB278" i="7"/>
  <c r="IC278" i="7"/>
  <c r="ID278" i="7"/>
  <c r="IE278" i="7"/>
  <c r="IF278" i="7"/>
  <c r="IG278" i="7"/>
  <c r="IH278" i="7"/>
  <c r="II278" i="7"/>
  <c r="IJ278" i="7"/>
  <c r="IK278" i="7"/>
  <c r="IL278" i="7"/>
  <c r="IM278" i="7"/>
  <c r="IN278" i="7"/>
  <c r="IO278" i="7"/>
  <c r="IP278" i="7"/>
  <c r="IQ278" i="7"/>
  <c r="IR278" i="7"/>
  <c r="IS278" i="7"/>
  <c r="IT278" i="7"/>
  <c r="IU278" i="7"/>
  <c r="IV278" i="7"/>
  <c r="A277" i="7"/>
  <c r="B277" i="7"/>
  <c r="C277" i="7"/>
  <c r="D277" i="7"/>
  <c r="E277" i="7"/>
  <c r="F277" i="7"/>
  <c r="G277" i="7"/>
  <c r="H277" i="7"/>
  <c r="I277" i="7"/>
  <c r="J277" i="7"/>
  <c r="K277" i="7"/>
  <c r="L277" i="7"/>
  <c r="M277" i="7"/>
  <c r="N277" i="7"/>
  <c r="O277" i="7"/>
  <c r="P277" i="7"/>
  <c r="Q277" i="7"/>
  <c r="R277" i="7"/>
  <c r="S277" i="7"/>
  <c r="T277" i="7"/>
  <c r="U277" i="7"/>
  <c r="V277" i="7"/>
  <c r="W277" i="7"/>
  <c r="X277" i="7"/>
  <c r="Y277" i="7"/>
  <c r="Z277" i="7"/>
  <c r="AA277" i="7"/>
  <c r="AB277" i="7"/>
  <c r="AC277" i="7"/>
  <c r="AD277" i="7"/>
  <c r="AE277" i="7"/>
  <c r="AF277" i="7"/>
  <c r="AG277" i="7"/>
  <c r="AH277" i="7"/>
  <c r="AI277" i="7"/>
  <c r="AJ277" i="7"/>
  <c r="AK277" i="7"/>
  <c r="AL277" i="7"/>
  <c r="AM277" i="7"/>
  <c r="AN277" i="7"/>
  <c r="AO277" i="7"/>
  <c r="AP277" i="7"/>
  <c r="AQ277" i="7"/>
  <c r="AR277" i="7"/>
  <c r="AS277" i="7"/>
  <c r="AT277" i="7"/>
  <c r="AU277" i="7"/>
  <c r="AV277" i="7"/>
  <c r="AW277" i="7"/>
  <c r="AX277" i="7"/>
  <c r="AY277" i="7"/>
  <c r="AZ277" i="7"/>
  <c r="BA277" i="7"/>
  <c r="BB277" i="7"/>
  <c r="BC277" i="7"/>
  <c r="BD277" i="7"/>
  <c r="BE277" i="7"/>
  <c r="BF277" i="7"/>
  <c r="BG277" i="7"/>
  <c r="BH277" i="7"/>
  <c r="BI277" i="7"/>
  <c r="BJ277" i="7"/>
  <c r="BK277" i="7"/>
  <c r="BL277" i="7"/>
  <c r="BM277" i="7"/>
  <c r="BN277" i="7"/>
  <c r="BO277" i="7"/>
  <c r="BP277" i="7"/>
  <c r="BQ277" i="7"/>
  <c r="BR277" i="7"/>
  <c r="BS277" i="7"/>
  <c r="BT277" i="7"/>
  <c r="BU277" i="7"/>
  <c r="BV277" i="7"/>
  <c r="BW277" i="7"/>
  <c r="BX277" i="7"/>
  <c r="BY277" i="7"/>
  <c r="BZ277" i="7"/>
  <c r="CA277" i="7"/>
  <c r="CB277" i="7"/>
  <c r="CC277" i="7"/>
  <c r="CD277" i="7"/>
  <c r="CE277" i="7"/>
  <c r="CF277" i="7"/>
  <c r="CG277" i="7"/>
  <c r="CH277" i="7"/>
  <c r="CI277" i="7"/>
  <c r="CJ277" i="7"/>
  <c r="CK277" i="7"/>
  <c r="CL277" i="7"/>
  <c r="CM277" i="7"/>
  <c r="CN277" i="7"/>
  <c r="CO277" i="7"/>
  <c r="CP277" i="7"/>
  <c r="CQ277" i="7"/>
  <c r="CR277" i="7"/>
  <c r="CS277" i="7"/>
  <c r="CT277" i="7"/>
  <c r="CU277" i="7"/>
  <c r="CV277" i="7"/>
  <c r="CW277" i="7"/>
  <c r="CX277" i="7"/>
  <c r="CY277" i="7"/>
  <c r="CZ277" i="7"/>
  <c r="DA277" i="7"/>
  <c r="DB277" i="7"/>
  <c r="DC277" i="7"/>
  <c r="DD277" i="7"/>
  <c r="DE277" i="7"/>
  <c r="DF277" i="7"/>
  <c r="DG277" i="7"/>
  <c r="DH277" i="7"/>
  <c r="DI277" i="7"/>
  <c r="DJ277" i="7"/>
  <c r="DK277" i="7"/>
  <c r="DL277" i="7"/>
  <c r="DM277" i="7"/>
  <c r="DN277" i="7"/>
  <c r="DO277" i="7"/>
  <c r="DP277" i="7"/>
  <c r="DQ277" i="7"/>
  <c r="DR277" i="7"/>
  <c r="DS277" i="7"/>
  <c r="DT277" i="7"/>
  <c r="DU277" i="7"/>
  <c r="DV277" i="7"/>
  <c r="DW277" i="7"/>
  <c r="DX277" i="7"/>
  <c r="DY277" i="7"/>
  <c r="DZ277" i="7"/>
  <c r="EA277" i="7"/>
  <c r="EB277" i="7"/>
  <c r="EC277" i="7"/>
  <c r="ED277" i="7"/>
  <c r="EE277" i="7"/>
  <c r="EF277" i="7"/>
  <c r="EG277" i="7"/>
  <c r="EH277" i="7"/>
  <c r="EI277" i="7"/>
  <c r="EJ277" i="7"/>
  <c r="EK277" i="7"/>
  <c r="EL277" i="7"/>
  <c r="EM277" i="7"/>
  <c r="EN277" i="7"/>
  <c r="EO277" i="7"/>
  <c r="EP277" i="7"/>
  <c r="EQ277" i="7"/>
  <c r="ER277" i="7"/>
  <c r="ES277" i="7"/>
  <c r="ET277" i="7"/>
  <c r="EU277" i="7"/>
  <c r="EV277" i="7"/>
  <c r="EW277" i="7"/>
  <c r="EX277" i="7"/>
  <c r="EY277" i="7"/>
  <c r="EZ277" i="7"/>
  <c r="FA277" i="7"/>
  <c r="FB277" i="7"/>
  <c r="FC277" i="7"/>
  <c r="FD277" i="7"/>
  <c r="FE277" i="7"/>
  <c r="FF277" i="7"/>
  <c r="FG277" i="7"/>
  <c r="FH277" i="7"/>
  <c r="FI277" i="7"/>
  <c r="FJ277" i="7"/>
  <c r="FK277" i="7"/>
  <c r="FL277" i="7"/>
  <c r="FM277" i="7"/>
  <c r="FN277" i="7"/>
  <c r="FO277" i="7"/>
  <c r="FP277" i="7"/>
  <c r="FQ277" i="7"/>
  <c r="FR277" i="7"/>
  <c r="FS277" i="7"/>
  <c r="FT277" i="7"/>
  <c r="FU277" i="7"/>
  <c r="FV277" i="7"/>
  <c r="FW277" i="7"/>
  <c r="FX277" i="7"/>
  <c r="FY277" i="7"/>
  <c r="FZ277" i="7"/>
  <c r="GA277" i="7"/>
  <c r="GB277" i="7"/>
  <c r="GC277" i="7"/>
  <c r="GD277" i="7"/>
  <c r="GE277" i="7"/>
  <c r="GF277" i="7"/>
  <c r="GG277" i="7"/>
  <c r="GH277" i="7"/>
  <c r="GI277" i="7"/>
  <c r="GJ277" i="7"/>
  <c r="GK277" i="7"/>
  <c r="GL277" i="7"/>
  <c r="GM277" i="7"/>
  <c r="GN277" i="7"/>
  <c r="GO277" i="7"/>
  <c r="GP277" i="7"/>
  <c r="GQ277" i="7"/>
  <c r="GR277" i="7"/>
  <c r="GS277" i="7"/>
  <c r="GT277" i="7"/>
  <c r="GU277" i="7"/>
  <c r="GV277" i="7"/>
  <c r="GW277" i="7"/>
  <c r="GX277" i="7"/>
  <c r="GY277" i="7"/>
  <c r="GZ277" i="7"/>
  <c r="HA277" i="7"/>
  <c r="HB277" i="7"/>
  <c r="HC277" i="7"/>
  <c r="HD277" i="7"/>
  <c r="HE277" i="7"/>
  <c r="HF277" i="7"/>
  <c r="HG277" i="7"/>
  <c r="HH277" i="7"/>
  <c r="HI277" i="7"/>
  <c r="HJ277" i="7"/>
  <c r="HK277" i="7"/>
  <c r="HL277" i="7"/>
  <c r="HM277" i="7"/>
  <c r="HN277" i="7"/>
  <c r="HO277" i="7"/>
  <c r="HP277" i="7"/>
  <c r="HQ277" i="7"/>
  <c r="HR277" i="7"/>
  <c r="HS277" i="7"/>
  <c r="HT277" i="7"/>
  <c r="HU277" i="7"/>
  <c r="HV277" i="7"/>
  <c r="HW277" i="7"/>
  <c r="HX277" i="7"/>
  <c r="HY277" i="7"/>
  <c r="HZ277" i="7"/>
  <c r="IA277" i="7"/>
  <c r="IB277" i="7"/>
  <c r="IC277" i="7"/>
  <c r="ID277" i="7"/>
  <c r="IE277" i="7"/>
  <c r="IF277" i="7"/>
  <c r="IG277" i="7"/>
  <c r="IH277" i="7"/>
  <c r="II277" i="7"/>
  <c r="IJ277" i="7"/>
  <c r="IK277" i="7"/>
  <c r="IL277" i="7"/>
  <c r="IM277" i="7"/>
  <c r="IN277" i="7"/>
  <c r="IO277" i="7"/>
  <c r="IP277" i="7"/>
  <c r="IQ277" i="7"/>
  <c r="IR277" i="7"/>
  <c r="IS277" i="7"/>
  <c r="IT277" i="7"/>
  <c r="IU277" i="7"/>
  <c r="IV277" i="7"/>
  <c r="A276" i="7"/>
  <c r="B276" i="7"/>
  <c r="C276" i="7"/>
  <c r="D276" i="7"/>
  <c r="E276" i="7"/>
  <c r="F276" i="7"/>
  <c r="G276" i="7"/>
  <c r="H276" i="7"/>
  <c r="I276" i="7"/>
  <c r="J276" i="7"/>
  <c r="K276" i="7"/>
  <c r="L276" i="7"/>
  <c r="M276" i="7"/>
  <c r="N276" i="7"/>
  <c r="O276" i="7"/>
  <c r="P276" i="7"/>
  <c r="Q276" i="7"/>
  <c r="R276" i="7"/>
  <c r="S276" i="7"/>
  <c r="T276" i="7"/>
  <c r="U276" i="7"/>
  <c r="V276" i="7"/>
  <c r="W276" i="7"/>
  <c r="X276" i="7"/>
  <c r="Y276" i="7"/>
  <c r="Z276" i="7"/>
  <c r="AA276" i="7"/>
  <c r="AB276" i="7"/>
  <c r="AC276" i="7"/>
  <c r="AD276" i="7"/>
  <c r="AE276" i="7"/>
  <c r="AF276" i="7"/>
  <c r="AG276" i="7"/>
  <c r="AH276" i="7"/>
  <c r="AI276" i="7"/>
  <c r="AJ276" i="7"/>
  <c r="AK276" i="7"/>
  <c r="AL276" i="7"/>
  <c r="AM276" i="7"/>
  <c r="AN276" i="7"/>
  <c r="AO276" i="7"/>
  <c r="AP276" i="7"/>
  <c r="AQ276" i="7"/>
  <c r="AR276" i="7"/>
  <c r="AS276" i="7"/>
  <c r="AT276" i="7"/>
  <c r="AU276" i="7"/>
  <c r="AV276" i="7"/>
  <c r="AW276" i="7"/>
  <c r="AX276" i="7"/>
  <c r="AY276" i="7"/>
  <c r="AZ276" i="7"/>
  <c r="BA276" i="7"/>
  <c r="BB276" i="7"/>
  <c r="BC276" i="7"/>
  <c r="BD276" i="7"/>
  <c r="BE276" i="7"/>
  <c r="BF276" i="7"/>
  <c r="BG276" i="7"/>
  <c r="BH276" i="7"/>
  <c r="BI276" i="7"/>
  <c r="BJ276" i="7"/>
  <c r="BK276" i="7"/>
  <c r="BL276" i="7"/>
  <c r="BM276" i="7"/>
  <c r="BN276" i="7"/>
  <c r="BO276" i="7"/>
  <c r="BP276" i="7"/>
  <c r="BQ276" i="7"/>
  <c r="BR276" i="7"/>
  <c r="BS276" i="7"/>
  <c r="BT276" i="7"/>
  <c r="BU276" i="7"/>
  <c r="BV276" i="7"/>
  <c r="BW276" i="7"/>
  <c r="BX276" i="7"/>
  <c r="BY276" i="7"/>
  <c r="BZ276" i="7"/>
  <c r="CA276" i="7"/>
  <c r="CB276" i="7"/>
  <c r="CC276" i="7"/>
  <c r="CD276" i="7"/>
  <c r="CE276" i="7"/>
  <c r="CF276" i="7"/>
  <c r="CG276" i="7"/>
  <c r="CH276" i="7"/>
  <c r="CI276" i="7"/>
  <c r="CJ276" i="7"/>
  <c r="CK276" i="7"/>
  <c r="CL276" i="7"/>
  <c r="CM276" i="7"/>
  <c r="CN276" i="7"/>
  <c r="CO276" i="7"/>
  <c r="CP276" i="7"/>
  <c r="CQ276" i="7"/>
  <c r="CR276" i="7"/>
  <c r="CS276" i="7"/>
  <c r="CT276" i="7"/>
  <c r="CU276" i="7"/>
  <c r="CV276" i="7"/>
  <c r="CW276" i="7"/>
  <c r="CX276" i="7"/>
  <c r="CY276" i="7"/>
  <c r="CZ276" i="7"/>
  <c r="DA276" i="7"/>
  <c r="DB276" i="7"/>
  <c r="DC276" i="7"/>
  <c r="DD276" i="7"/>
  <c r="DE276" i="7"/>
  <c r="DF276" i="7"/>
  <c r="DG276" i="7"/>
  <c r="DH276" i="7"/>
  <c r="DI276" i="7"/>
  <c r="DJ276" i="7"/>
  <c r="DK276" i="7"/>
  <c r="DL276" i="7"/>
  <c r="DM276" i="7"/>
  <c r="DN276" i="7"/>
  <c r="DO276" i="7"/>
  <c r="DP276" i="7"/>
  <c r="DQ276" i="7"/>
  <c r="DR276" i="7"/>
  <c r="DS276" i="7"/>
  <c r="DT276" i="7"/>
  <c r="DU276" i="7"/>
  <c r="DV276" i="7"/>
  <c r="DW276" i="7"/>
  <c r="DX276" i="7"/>
  <c r="DY276" i="7"/>
  <c r="DZ276" i="7"/>
  <c r="EA276" i="7"/>
  <c r="EB276" i="7"/>
  <c r="EC276" i="7"/>
  <c r="ED276" i="7"/>
  <c r="EE276" i="7"/>
  <c r="EF276" i="7"/>
  <c r="EG276" i="7"/>
  <c r="EH276" i="7"/>
  <c r="EI276" i="7"/>
  <c r="EJ276" i="7"/>
  <c r="EK276" i="7"/>
  <c r="EL276" i="7"/>
  <c r="EM276" i="7"/>
  <c r="EN276" i="7"/>
  <c r="EO276" i="7"/>
  <c r="EP276" i="7"/>
  <c r="EQ276" i="7"/>
  <c r="ER276" i="7"/>
  <c r="ES276" i="7"/>
  <c r="ET276" i="7"/>
  <c r="EU276" i="7"/>
  <c r="EV276" i="7"/>
  <c r="EW276" i="7"/>
  <c r="EX276" i="7"/>
  <c r="EY276" i="7"/>
  <c r="EZ276" i="7"/>
  <c r="FA276" i="7"/>
  <c r="FB276" i="7"/>
  <c r="FC276" i="7"/>
  <c r="FD276" i="7"/>
  <c r="FE276" i="7"/>
  <c r="FF276" i="7"/>
  <c r="FG276" i="7"/>
  <c r="FH276" i="7"/>
  <c r="FI276" i="7"/>
  <c r="FJ276" i="7"/>
  <c r="FK276" i="7"/>
  <c r="FL276" i="7"/>
  <c r="FM276" i="7"/>
  <c r="FN276" i="7"/>
  <c r="FO276" i="7"/>
  <c r="FP276" i="7"/>
  <c r="FQ276" i="7"/>
  <c r="FR276" i="7"/>
  <c r="FS276" i="7"/>
  <c r="FT276" i="7"/>
  <c r="FU276" i="7"/>
  <c r="FV276" i="7"/>
  <c r="FW276" i="7"/>
  <c r="FX276" i="7"/>
  <c r="FY276" i="7"/>
  <c r="FZ276" i="7"/>
  <c r="GA276" i="7"/>
  <c r="GB276" i="7"/>
  <c r="GC276" i="7"/>
  <c r="GD276" i="7"/>
  <c r="GE276" i="7"/>
  <c r="GF276" i="7"/>
  <c r="GG276" i="7"/>
  <c r="GH276" i="7"/>
  <c r="GI276" i="7"/>
  <c r="GJ276" i="7"/>
  <c r="GK276" i="7"/>
  <c r="GL276" i="7"/>
  <c r="GM276" i="7"/>
  <c r="GN276" i="7"/>
  <c r="GO276" i="7"/>
  <c r="GP276" i="7"/>
  <c r="GQ276" i="7"/>
  <c r="GR276" i="7"/>
  <c r="GS276" i="7"/>
  <c r="GT276" i="7"/>
  <c r="GU276" i="7"/>
  <c r="GV276" i="7"/>
  <c r="GW276" i="7"/>
  <c r="GX276" i="7"/>
  <c r="GY276" i="7"/>
  <c r="GZ276" i="7"/>
  <c r="HA276" i="7"/>
  <c r="HB276" i="7"/>
  <c r="HC276" i="7"/>
  <c r="HD276" i="7"/>
  <c r="HE276" i="7"/>
  <c r="HF276" i="7"/>
  <c r="HG276" i="7"/>
  <c r="HH276" i="7"/>
  <c r="HI276" i="7"/>
  <c r="HJ276" i="7"/>
  <c r="HK276" i="7"/>
  <c r="HL276" i="7"/>
  <c r="HM276" i="7"/>
  <c r="HN276" i="7"/>
  <c r="HO276" i="7"/>
  <c r="HP276" i="7"/>
  <c r="HQ276" i="7"/>
  <c r="HR276" i="7"/>
  <c r="HS276" i="7"/>
  <c r="HT276" i="7"/>
  <c r="HU276" i="7"/>
  <c r="HV276" i="7"/>
  <c r="HW276" i="7"/>
  <c r="HX276" i="7"/>
  <c r="HY276" i="7"/>
  <c r="HZ276" i="7"/>
  <c r="IA276" i="7"/>
  <c r="IB276" i="7"/>
  <c r="IC276" i="7"/>
  <c r="ID276" i="7"/>
  <c r="IE276" i="7"/>
  <c r="IF276" i="7"/>
  <c r="IG276" i="7"/>
  <c r="IH276" i="7"/>
  <c r="II276" i="7"/>
  <c r="IJ276" i="7"/>
  <c r="IK276" i="7"/>
  <c r="IL276" i="7"/>
  <c r="IM276" i="7"/>
  <c r="IN276" i="7"/>
  <c r="IO276" i="7"/>
  <c r="IP276" i="7"/>
  <c r="IQ276" i="7"/>
  <c r="IR276" i="7"/>
  <c r="IS276" i="7"/>
  <c r="IT276" i="7"/>
  <c r="IU276" i="7"/>
  <c r="IV276" i="7"/>
  <c r="A275" i="7"/>
  <c r="B275" i="7"/>
  <c r="C275" i="7"/>
  <c r="D275" i="7"/>
  <c r="E275" i="7"/>
  <c r="F275" i="7"/>
  <c r="G275" i="7"/>
  <c r="H275" i="7"/>
  <c r="I275" i="7"/>
  <c r="J275" i="7"/>
  <c r="K275" i="7"/>
  <c r="L275" i="7"/>
  <c r="M275" i="7"/>
  <c r="N275" i="7"/>
  <c r="O275" i="7"/>
  <c r="P275" i="7"/>
  <c r="Q275" i="7"/>
  <c r="R275" i="7"/>
  <c r="S275" i="7"/>
  <c r="T275" i="7"/>
  <c r="U275" i="7"/>
  <c r="V275" i="7"/>
  <c r="W275" i="7"/>
  <c r="X275" i="7"/>
  <c r="Y275" i="7"/>
  <c r="Z275" i="7"/>
  <c r="AA275" i="7"/>
  <c r="AB275" i="7"/>
  <c r="AC275" i="7"/>
  <c r="AD275" i="7"/>
  <c r="AE275" i="7"/>
  <c r="AF275" i="7"/>
  <c r="AG275" i="7"/>
  <c r="AH275" i="7"/>
  <c r="AI275" i="7"/>
  <c r="AJ275" i="7"/>
  <c r="AK275" i="7"/>
  <c r="AL275" i="7"/>
  <c r="AM275" i="7"/>
  <c r="AN275" i="7"/>
  <c r="AO275" i="7"/>
  <c r="AP275" i="7"/>
  <c r="AQ275" i="7"/>
  <c r="AR275" i="7"/>
  <c r="AS275" i="7"/>
  <c r="AT275" i="7"/>
  <c r="AU275" i="7"/>
  <c r="AV275" i="7"/>
  <c r="AW275" i="7"/>
  <c r="AX275" i="7"/>
  <c r="AY275" i="7"/>
  <c r="AZ275" i="7"/>
  <c r="BA275" i="7"/>
  <c r="BB275" i="7"/>
  <c r="BC275" i="7"/>
  <c r="BD275" i="7"/>
  <c r="BE275" i="7"/>
  <c r="BF275" i="7"/>
  <c r="BG275" i="7"/>
  <c r="BH275" i="7"/>
  <c r="BI275" i="7"/>
  <c r="BJ275" i="7"/>
  <c r="BK275" i="7"/>
  <c r="BL275" i="7"/>
  <c r="BM275" i="7"/>
  <c r="BN275" i="7"/>
  <c r="BO275" i="7"/>
  <c r="BP275" i="7"/>
  <c r="BQ275" i="7"/>
  <c r="BR275" i="7"/>
  <c r="BS275" i="7"/>
  <c r="BT275" i="7"/>
  <c r="BU275" i="7"/>
  <c r="BV275" i="7"/>
  <c r="BW275" i="7"/>
  <c r="BX275" i="7"/>
  <c r="BY275" i="7"/>
  <c r="BZ275" i="7"/>
  <c r="CA275" i="7"/>
  <c r="CB275" i="7"/>
  <c r="CC275" i="7"/>
  <c r="CD275" i="7"/>
  <c r="CE275" i="7"/>
  <c r="CF275" i="7"/>
  <c r="CG275" i="7"/>
  <c r="CH275" i="7"/>
  <c r="CI275" i="7"/>
  <c r="CJ275" i="7"/>
  <c r="CK275" i="7"/>
  <c r="CL275" i="7"/>
  <c r="CM275" i="7"/>
  <c r="CN275" i="7"/>
  <c r="CO275" i="7"/>
  <c r="CP275" i="7"/>
  <c r="CQ275" i="7"/>
  <c r="CR275" i="7"/>
  <c r="CS275" i="7"/>
  <c r="CT275" i="7"/>
  <c r="CU275" i="7"/>
  <c r="CV275" i="7"/>
  <c r="CW275" i="7"/>
  <c r="CX275" i="7"/>
  <c r="CY275" i="7"/>
  <c r="CZ275" i="7"/>
  <c r="DA275" i="7"/>
  <c r="DB275" i="7"/>
  <c r="DC275" i="7"/>
  <c r="DD275" i="7"/>
  <c r="DE275" i="7"/>
  <c r="DF275" i="7"/>
  <c r="DG275" i="7"/>
  <c r="DH275" i="7"/>
  <c r="DI275" i="7"/>
  <c r="DJ275" i="7"/>
  <c r="DK275" i="7"/>
  <c r="DL275" i="7"/>
  <c r="DM275" i="7"/>
  <c r="DN275" i="7"/>
  <c r="DO275" i="7"/>
  <c r="DP275" i="7"/>
  <c r="DQ275" i="7"/>
  <c r="DR275" i="7"/>
  <c r="DS275" i="7"/>
  <c r="DT275" i="7"/>
  <c r="DU275" i="7"/>
  <c r="DV275" i="7"/>
  <c r="DW275" i="7"/>
  <c r="DX275" i="7"/>
  <c r="DY275" i="7"/>
  <c r="DZ275" i="7"/>
  <c r="EA275" i="7"/>
  <c r="EB275" i="7"/>
  <c r="EC275" i="7"/>
  <c r="ED275" i="7"/>
  <c r="EE275" i="7"/>
  <c r="EF275" i="7"/>
  <c r="EG275" i="7"/>
  <c r="EH275" i="7"/>
  <c r="EI275" i="7"/>
  <c r="EJ275" i="7"/>
  <c r="EK275" i="7"/>
  <c r="EL275" i="7"/>
  <c r="EM275" i="7"/>
  <c r="EN275" i="7"/>
  <c r="EO275" i="7"/>
  <c r="EP275" i="7"/>
  <c r="EQ275" i="7"/>
  <c r="ER275" i="7"/>
  <c r="ES275" i="7"/>
  <c r="ET275" i="7"/>
  <c r="EU275" i="7"/>
  <c r="EV275" i="7"/>
  <c r="EW275" i="7"/>
  <c r="EX275" i="7"/>
  <c r="EY275" i="7"/>
  <c r="EZ275" i="7"/>
  <c r="FA275" i="7"/>
  <c r="FB275" i="7"/>
  <c r="FC275" i="7"/>
  <c r="FD275" i="7"/>
  <c r="FE275" i="7"/>
  <c r="FF275" i="7"/>
  <c r="FG275" i="7"/>
  <c r="FH275" i="7"/>
  <c r="FI275" i="7"/>
  <c r="FJ275" i="7"/>
  <c r="FK275" i="7"/>
  <c r="FL275" i="7"/>
  <c r="FM275" i="7"/>
  <c r="FN275" i="7"/>
  <c r="FO275" i="7"/>
  <c r="FP275" i="7"/>
  <c r="FQ275" i="7"/>
  <c r="FR275" i="7"/>
  <c r="FS275" i="7"/>
  <c r="FT275" i="7"/>
  <c r="FU275" i="7"/>
  <c r="FV275" i="7"/>
  <c r="FW275" i="7"/>
  <c r="FX275" i="7"/>
  <c r="FY275" i="7"/>
  <c r="FZ275" i="7"/>
  <c r="GA275" i="7"/>
  <c r="GB275" i="7"/>
  <c r="GC275" i="7"/>
  <c r="GD275" i="7"/>
  <c r="GE275" i="7"/>
  <c r="GF275" i="7"/>
  <c r="GG275" i="7"/>
  <c r="GH275" i="7"/>
  <c r="GI275" i="7"/>
  <c r="GJ275" i="7"/>
  <c r="GK275" i="7"/>
  <c r="GL275" i="7"/>
  <c r="GM275" i="7"/>
  <c r="GN275" i="7"/>
  <c r="GO275" i="7"/>
  <c r="GP275" i="7"/>
  <c r="GQ275" i="7"/>
  <c r="GR275" i="7"/>
  <c r="GS275" i="7"/>
  <c r="GT275" i="7"/>
  <c r="GU275" i="7"/>
  <c r="GV275" i="7"/>
  <c r="GW275" i="7"/>
  <c r="GX275" i="7"/>
  <c r="GY275" i="7"/>
  <c r="GZ275" i="7"/>
  <c r="HA275" i="7"/>
  <c r="HB275" i="7"/>
  <c r="HC275" i="7"/>
  <c r="HD275" i="7"/>
  <c r="HE275" i="7"/>
  <c r="HF275" i="7"/>
  <c r="HG275" i="7"/>
  <c r="HH275" i="7"/>
  <c r="HI275" i="7"/>
  <c r="HJ275" i="7"/>
  <c r="HK275" i="7"/>
  <c r="HL275" i="7"/>
  <c r="HM275" i="7"/>
  <c r="HN275" i="7"/>
  <c r="HO275" i="7"/>
  <c r="HP275" i="7"/>
  <c r="HQ275" i="7"/>
  <c r="HR275" i="7"/>
  <c r="HS275" i="7"/>
  <c r="HT275" i="7"/>
  <c r="HU275" i="7"/>
  <c r="HV275" i="7"/>
  <c r="HW275" i="7"/>
  <c r="HX275" i="7"/>
  <c r="HY275" i="7"/>
  <c r="HZ275" i="7"/>
  <c r="IA275" i="7"/>
  <c r="IB275" i="7"/>
  <c r="IC275" i="7"/>
  <c r="ID275" i="7"/>
  <c r="IE275" i="7"/>
  <c r="IF275" i="7"/>
  <c r="IG275" i="7"/>
  <c r="IH275" i="7"/>
  <c r="II275" i="7"/>
  <c r="IJ275" i="7"/>
  <c r="IK275" i="7"/>
  <c r="IL275" i="7"/>
  <c r="IM275" i="7"/>
  <c r="IN275" i="7"/>
  <c r="IO275" i="7"/>
  <c r="IP275" i="7"/>
  <c r="IQ275" i="7"/>
  <c r="IR275" i="7"/>
  <c r="IS275" i="7"/>
  <c r="IT275" i="7"/>
  <c r="IU275" i="7"/>
  <c r="IV275" i="7"/>
  <c r="A274" i="7"/>
  <c r="B274" i="7"/>
  <c r="C274" i="7"/>
  <c r="D274" i="7"/>
  <c r="E274" i="7"/>
  <c r="F274" i="7"/>
  <c r="G274" i="7"/>
  <c r="H274" i="7"/>
  <c r="I274" i="7"/>
  <c r="J274" i="7"/>
  <c r="K274" i="7"/>
  <c r="L274" i="7"/>
  <c r="M274" i="7"/>
  <c r="N274" i="7"/>
  <c r="O274" i="7"/>
  <c r="P274" i="7"/>
  <c r="Q274" i="7"/>
  <c r="R274" i="7"/>
  <c r="S274" i="7"/>
  <c r="T274" i="7"/>
  <c r="U274" i="7"/>
  <c r="V274" i="7"/>
  <c r="W274" i="7"/>
  <c r="X274" i="7"/>
  <c r="Y274" i="7"/>
  <c r="Z274" i="7"/>
  <c r="AA274" i="7"/>
  <c r="AB274" i="7"/>
  <c r="AC274" i="7"/>
  <c r="AD274" i="7"/>
  <c r="AE274" i="7"/>
  <c r="AF274" i="7"/>
  <c r="AG274" i="7"/>
  <c r="AH274" i="7"/>
  <c r="AI274" i="7"/>
  <c r="AJ274" i="7"/>
  <c r="AK274" i="7"/>
  <c r="AL274" i="7"/>
  <c r="AM274" i="7"/>
  <c r="AN274" i="7"/>
  <c r="AO274" i="7"/>
  <c r="AP274" i="7"/>
  <c r="AQ274" i="7"/>
  <c r="AR274" i="7"/>
  <c r="AS274" i="7"/>
  <c r="AT274" i="7"/>
  <c r="AU274" i="7"/>
  <c r="AV274" i="7"/>
  <c r="AW274" i="7"/>
  <c r="AX274" i="7"/>
  <c r="AY274" i="7"/>
  <c r="AZ274" i="7"/>
  <c r="BA274" i="7"/>
  <c r="BB274" i="7"/>
  <c r="BC274" i="7"/>
  <c r="BD274" i="7"/>
  <c r="BE274" i="7"/>
  <c r="BF274" i="7"/>
  <c r="BG274" i="7"/>
  <c r="BH274" i="7"/>
  <c r="BI274" i="7"/>
  <c r="BJ274" i="7"/>
  <c r="BK274" i="7"/>
  <c r="BL274" i="7"/>
  <c r="BM274" i="7"/>
  <c r="BN274" i="7"/>
  <c r="BO274" i="7"/>
  <c r="BP274" i="7"/>
  <c r="BQ274" i="7"/>
  <c r="BR274" i="7"/>
  <c r="BS274" i="7"/>
  <c r="BT274" i="7"/>
  <c r="BU274" i="7"/>
  <c r="BV274" i="7"/>
  <c r="BW274" i="7"/>
  <c r="BX274" i="7"/>
  <c r="BY274" i="7"/>
  <c r="BZ274" i="7"/>
  <c r="CA274" i="7"/>
  <c r="CB274" i="7"/>
  <c r="CC274" i="7"/>
  <c r="CD274" i="7"/>
  <c r="CE274" i="7"/>
  <c r="CF274" i="7"/>
  <c r="CG274" i="7"/>
  <c r="CH274" i="7"/>
  <c r="CI274" i="7"/>
  <c r="CJ274" i="7"/>
  <c r="CK274" i="7"/>
  <c r="CL274" i="7"/>
  <c r="CM274" i="7"/>
  <c r="CN274" i="7"/>
  <c r="CO274" i="7"/>
  <c r="CP274" i="7"/>
  <c r="CQ274" i="7"/>
  <c r="CR274" i="7"/>
  <c r="CS274" i="7"/>
  <c r="CT274" i="7"/>
  <c r="CU274" i="7"/>
  <c r="CV274" i="7"/>
  <c r="CW274" i="7"/>
  <c r="CX274" i="7"/>
  <c r="CY274" i="7"/>
  <c r="CZ274" i="7"/>
  <c r="DA274" i="7"/>
  <c r="DB274" i="7"/>
  <c r="DC274" i="7"/>
  <c r="DD274" i="7"/>
  <c r="DE274" i="7"/>
  <c r="DF274" i="7"/>
  <c r="DG274" i="7"/>
  <c r="DH274" i="7"/>
  <c r="DI274" i="7"/>
  <c r="DJ274" i="7"/>
  <c r="DK274" i="7"/>
  <c r="DL274" i="7"/>
  <c r="DM274" i="7"/>
  <c r="DN274" i="7"/>
  <c r="DO274" i="7"/>
  <c r="DP274" i="7"/>
  <c r="DQ274" i="7"/>
  <c r="DR274" i="7"/>
  <c r="DS274" i="7"/>
  <c r="DT274" i="7"/>
  <c r="DU274" i="7"/>
  <c r="DV274" i="7"/>
  <c r="DW274" i="7"/>
  <c r="DX274" i="7"/>
  <c r="DY274" i="7"/>
  <c r="DZ274" i="7"/>
  <c r="EA274" i="7"/>
  <c r="EB274" i="7"/>
  <c r="EC274" i="7"/>
  <c r="ED274" i="7"/>
  <c r="EE274" i="7"/>
  <c r="EF274" i="7"/>
  <c r="EG274" i="7"/>
  <c r="EH274" i="7"/>
  <c r="EI274" i="7"/>
  <c r="EJ274" i="7"/>
  <c r="EK274" i="7"/>
  <c r="EL274" i="7"/>
  <c r="EM274" i="7"/>
  <c r="EN274" i="7"/>
  <c r="EO274" i="7"/>
  <c r="EP274" i="7"/>
  <c r="EQ274" i="7"/>
  <c r="ER274" i="7"/>
  <c r="ES274" i="7"/>
  <c r="ET274" i="7"/>
  <c r="EU274" i="7"/>
  <c r="EV274" i="7"/>
  <c r="EW274" i="7"/>
  <c r="EX274" i="7"/>
  <c r="EY274" i="7"/>
  <c r="EZ274" i="7"/>
  <c r="FA274" i="7"/>
  <c r="FB274" i="7"/>
  <c r="FC274" i="7"/>
  <c r="FD274" i="7"/>
  <c r="FE274" i="7"/>
  <c r="FF274" i="7"/>
  <c r="FG274" i="7"/>
  <c r="FH274" i="7"/>
  <c r="FI274" i="7"/>
  <c r="FJ274" i="7"/>
  <c r="FK274" i="7"/>
  <c r="FL274" i="7"/>
  <c r="FM274" i="7"/>
  <c r="FN274" i="7"/>
  <c r="FO274" i="7"/>
  <c r="FP274" i="7"/>
  <c r="FQ274" i="7"/>
  <c r="FR274" i="7"/>
  <c r="FS274" i="7"/>
  <c r="FT274" i="7"/>
  <c r="FU274" i="7"/>
  <c r="FV274" i="7"/>
  <c r="FW274" i="7"/>
  <c r="FX274" i="7"/>
  <c r="FY274" i="7"/>
  <c r="FZ274" i="7"/>
  <c r="GA274" i="7"/>
  <c r="GB274" i="7"/>
  <c r="GC274" i="7"/>
  <c r="GD274" i="7"/>
  <c r="GE274" i="7"/>
  <c r="GF274" i="7"/>
  <c r="GG274" i="7"/>
  <c r="GH274" i="7"/>
  <c r="GI274" i="7"/>
  <c r="GJ274" i="7"/>
  <c r="GK274" i="7"/>
  <c r="GL274" i="7"/>
  <c r="GM274" i="7"/>
  <c r="GN274" i="7"/>
  <c r="GO274" i="7"/>
  <c r="GP274" i="7"/>
  <c r="GQ274" i="7"/>
  <c r="GR274" i="7"/>
  <c r="GS274" i="7"/>
  <c r="GT274" i="7"/>
  <c r="GU274" i="7"/>
  <c r="GV274" i="7"/>
  <c r="GW274" i="7"/>
  <c r="GX274" i="7"/>
  <c r="GY274" i="7"/>
  <c r="GZ274" i="7"/>
  <c r="HA274" i="7"/>
  <c r="HB274" i="7"/>
  <c r="HC274" i="7"/>
  <c r="HD274" i="7"/>
  <c r="HE274" i="7"/>
  <c r="HF274" i="7"/>
  <c r="HG274" i="7"/>
  <c r="HH274" i="7"/>
  <c r="HI274" i="7"/>
  <c r="HJ274" i="7"/>
  <c r="HK274" i="7"/>
  <c r="HL274" i="7"/>
  <c r="HM274" i="7"/>
  <c r="HN274" i="7"/>
  <c r="HO274" i="7"/>
  <c r="HP274" i="7"/>
  <c r="HQ274" i="7"/>
  <c r="HR274" i="7"/>
  <c r="HS274" i="7"/>
  <c r="HT274" i="7"/>
  <c r="HU274" i="7"/>
  <c r="HV274" i="7"/>
  <c r="HW274" i="7"/>
  <c r="HX274" i="7"/>
  <c r="HY274" i="7"/>
  <c r="HZ274" i="7"/>
  <c r="IA274" i="7"/>
  <c r="IB274" i="7"/>
  <c r="IC274" i="7"/>
  <c r="ID274" i="7"/>
  <c r="IE274" i="7"/>
  <c r="IF274" i="7"/>
  <c r="IG274" i="7"/>
  <c r="IH274" i="7"/>
  <c r="II274" i="7"/>
  <c r="IJ274" i="7"/>
  <c r="IK274" i="7"/>
  <c r="IL274" i="7"/>
  <c r="IM274" i="7"/>
  <c r="IN274" i="7"/>
  <c r="IO274" i="7"/>
  <c r="IP274" i="7"/>
  <c r="IQ274" i="7"/>
  <c r="IR274" i="7"/>
  <c r="IS274" i="7"/>
  <c r="IT274" i="7"/>
  <c r="IU274" i="7"/>
  <c r="IV274" i="7"/>
  <c r="A273" i="7"/>
  <c r="B273" i="7"/>
  <c r="C273" i="7"/>
  <c r="D273" i="7"/>
  <c r="E273" i="7"/>
  <c r="F273" i="7"/>
  <c r="G273" i="7"/>
  <c r="H273" i="7"/>
  <c r="I273" i="7"/>
  <c r="J273" i="7"/>
  <c r="K273" i="7"/>
  <c r="L273" i="7"/>
  <c r="M273" i="7"/>
  <c r="N273" i="7"/>
  <c r="O273" i="7"/>
  <c r="P273" i="7"/>
  <c r="Q273" i="7"/>
  <c r="R273" i="7"/>
  <c r="S273" i="7"/>
  <c r="T273" i="7"/>
  <c r="U273" i="7"/>
  <c r="V273" i="7"/>
  <c r="W273" i="7"/>
  <c r="X273" i="7"/>
  <c r="Y273" i="7"/>
  <c r="Z273" i="7"/>
  <c r="AA273" i="7"/>
  <c r="AB273" i="7"/>
  <c r="AC273" i="7"/>
  <c r="AD273" i="7"/>
  <c r="AE273" i="7"/>
  <c r="AF273" i="7"/>
  <c r="AG273" i="7"/>
  <c r="AH273" i="7"/>
  <c r="AI273" i="7"/>
  <c r="AJ273" i="7"/>
  <c r="AK273" i="7"/>
  <c r="AL273" i="7"/>
  <c r="AM273" i="7"/>
  <c r="AN273" i="7"/>
  <c r="AO273" i="7"/>
  <c r="AP273" i="7"/>
  <c r="AQ273" i="7"/>
  <c r="AR273" i="7"/>
  <c r="AS273" i="7"/>
  <c r="AT273" i="7"/>
  <c r="AU273" i="7"/>
  <c r="AV273" i="7"/>
  <c r="AW273" i="7"/>
  <c r="AX273" i="7"/>
  <c r="AY273" i="7"/>
  <c r="AZ273" i="7"/>
  <c r="BA273" i="7"/>
  <c r="BB273" i="7"/>
  <c r="BC273" i="7"/>
  <c r="BD273" i="7"/>
  <c r="BE273" i="7"/>
  <c r="BF273" i="7"/>
  <c r="BG273" i="7"/>
  <c r="BH273" i="7"/>
  <c r="BI273" i="7"/>
  <c r="BJ273" i="7"/>
  <c r="BK273" i="7"/>
  <c r="BL273" i="7"/>
  <c r="BM273" i="7"/>
  <c r="BN273" i="7"/>
  <c r="BO273" i="7"/>
  <c r="BP273" i="7"/>
  <c r="BQ273" i="7"/>
  <c r="BR273" i="7"/>
  <c r="BS273" i="7"/>
  <c r="BT273" i="7"/>
  <c r="BU273" i="7"/>
  <c r="BV273" i="7"/>
  <c r="BW273" i="7"/>
  <c r="BX273" i="7"/>
  <c r="BY273" i="7"/>
  <c r="BZ273" i="7"/>
  <c r="CA273" i="7"/>
  <c r="CB273" i="7"/>
  <c r="CC273" i="7"/>
  <c r="CD273" i="7"/>
  <c r="CE273" i="7"/>
  <c r="CF273" i="7"/>
  <c r="CG273" i="7"/>
  <c r="CH273" i="7"/>
  <c r="CI273" i="7"/>
  <c r="CJ273" i="7"/>
  <c r="CK273" i="7"/>
  <c r="CL273" i="7"/>
  <c r="CM273" i="7"/>
  <c r="CN273" i="7"/>
  <c r="CO273" i="7"/>
  <c r="CP273" i="7"/>
  <c r="CQ273" i="7"/>
  <c r="CR273" i="7"/>
  <c r="CS273" i="7"/>
  <c r="CT273" i="7"/>
  <c r="CU273" i="7"/>
  <c r="CV273" i="7"/>
  <c r="CW273" i="7"/>
  <c r="CX273" i="7"/>
  <c r="CY273" i="7"/>
  <c r="CZ273" i="7"/>
  <c r="DA273" i="7"/>
  <c r="DB273" i="7"/>
  <c r="DC273" i="7"/>
  <c r="DD273" i="7"/>
  <c r="DE273" i="7"/>
  <c r="DF273" i="7"/>
  <c r="DG273" i="7"/>
  <c r="DH273" i="7"/>
  <c r="DI273" i="7"/>
  <c r="DJ273" i="7"/>
  <c r="DK273" i="7"/>
  <c r="DL273" i="7"/>
  <c r="DM273" i="7"/>
  <c r="DN273" i="7"/>
  <c r="DO273" i="7"/>
  <c r="DP273" i="7"/>
  <c r="DQ273" i="7"/>
  <c r="DR273" i="7"/>
  <c r="DS273" i="7"/>
  <c r="DT273" i="7"/>
  <c r="DU273" i="7"/>
  <c r="DV273" i="7"/>
  <c r="DW273" i="7"/>
  <c r="DX273" i="7"/>
  <c r="DY273" i="7"/>
  <c r="DZ273" i="7"/>
  <c r="EA273" i="7"/>
  <c r="EB273" i="7"/>
  <c r="EC273" i="7"/>
  <c r="ED273" i="7"/>
  <c r="EE273" i="7"/>
  <c r="EF273" i="7"/>
  <c r="EG273" i="7"/>
  <c r="EH273" i="7"/>
  <c r="EI273" i="7"/>
  <c r="EJ273" i="7"/>
  <c r="EK273" i="7"/>
  <c r="EL273" i="7"/>
  <c r="EM273" i="7"/>
  <c r="EN273" i="7"/>
  <c r="EO273" i="7"/>
  <c r="EP273" i="7"/>
  <c r="EQ273" i="7"/>
  <c r="ER273" i="7"/>
  <c r="ES273" i="7"/>
  <c r="ET273" i="7"/>
  <c r="EU273" i="7"/>
  <c r="EV273" i="7"/>
  <c r="EW273" i="7"/>
  <c r="EX273" i="7"/>
  <c r="EY273" i="7"/>
  <c r="EZ273" i="7"/>
  <c r="FA273" i="7"/>
  <c r="FB273" i="7"/>
  <c r="FC273" i="7"/>
  <c r="FD273" i="7"/>
  <c r="FE273" i="7"/>
  <c r="FF273" i="7"/>
  <c r="FG273" i="7"/>
  <c r="FH273" i="7"/>
  <c r="FI273" i="7"/>
  <c r="FJ273" i="7"/>
  <c r="FK273" i="7"/>
  <c r="FL273" i="7"/>
  <c r="FM273" i="7"/>
  <c r="FN273" i="7"/>
  <c r="FO273" i="7"/>
  <c r="FP273" i="7"/>
  <c r="FQ273" i="7"/>
  <c r="FR273" i="7"/>
  <c r="FS273" i="7"/>
  <c r="FT273" i="7"/>
  <c r="FU273" i="7"/>
  <c r="FV273" i="7"/>
  <c r="FW273" i="7"/>
  <c r="FX273" i="7"/>
  <c r="FY273" i="7"/>
  <c r="FZ273" i="7"/>
  <c r="GA273" i="7"/>
  <c r="GB273" i="7"/>
  <c r="GC273" i="7"/>
  <c r="GD273" i="7"/>
  <c r="GE273" i="7"/>
  <c r="GF273" i="7"/>
  <c r="GG273" i="7"/>
  <c r="GH273" i="7"/>
  <c r="GI273" i="7"/>
  <c r="GJ273" i="7"/>
  <c r="GK273" i="7"/>
  <c r="GL273" i="7"/>
  <c r="GM273" i="7"/>
  <c r="GN273" i="7"/>
  <c r="GO273" i="7"/>
  <c r="GP273" i="7"/>
  <c r="GQ273" i="7"/>
  <c r="GR273" i="7"/>
  <c r="GS273" i="7"/>
  <c r="GT273" i="7"/>
  <c r="GU273" i="7"/>
  <c r="GV273" i="7"/>
  <c r="GW273" i="7"/>
  <c r="GX273" i="7"/>
  <c r="GY273" i="7"/>
  <c r="GZ273" i="7"/>
  <c r="HA273" i="7"/>
  <c r="HB273" i="7"/>
  <c r="HC273" i="7"/>
  <c r="HD273" i="7"/>
  <c r="HE273" i="7"/>
  <c r="HF273" i="7"/>
  <c r="HG273" i="7"/>
  <c r="HH273" i="7"/>
  <c r="HI273" i="7"/>
  <c r="HJ273" i="7"/>
  <c r="HK273" i="7"/>
  <c r="HL273" i="7"/>
  <c r="HM273" i="7"/>
  <c r="HN273" i="7"/>
  <c r="HO273" i="7"/>
  <c r="HP273" i="7"/>
  <c r="HQ273" i="7"/>
  <c r="HR273" i="7"/>
  <c r="HS273" i="7"/>
  <c r="HT273" i="7"/>
  <c r="HU273" i="7"/>
  <c r="HV273" i="7"/>
  <c r="HW273" i="7"/>
  <c r="HX273" i="7"/>
  <c r="HY273" i="7"/>
  <c r="HZ273" i="7"/>
  <c r="IA273" i="7"/>
  <c r="IB273" i="7"/>
  <c r="IC273" i="7"/>
  <c r="ID273" i="7"/>
  <c r="IE273" i="7"/>
  <c r="IF273" i="7"/>
  <c r="IG273" i="7"/>
  <c r="IH273" i="7"/>
  <c r="II273" i="7"/>
  <c r="IJ273" i="7"/>
  <c r="IK273" i="7"/>
  <c r="IL273" i="7"/>
  <c r="IM273" i="7"/>
  <c r="IN273" i="7"/>
  <c r="IO273" i="7"/>
  <c r="IP273" i="7"/>
  <c r="IQ273" i="7"/>
  <c r="IR273" i="7"/>
  <c r="IS273" i="7"/>
  <c r="IT273" i="7"/>
  <c r="IU273" i="7"/>
  <c r="IV273" i="7"/>
  <c r="A272" i="7"/>
  <c r="B272" i="7"/>
  <c r="C272" i="7"/>
  <c r="D272" i="7"/>
  <c r="E272" i="7"/>
  <c r="F272" i="7"/>
  <c r="G272" i="7"/>
  <c r="H272" i="7"/>
  <c r="I272" i="7"/>
  <c r="J272" i="7"/>
  <c r="K272" i="7"/>
  <c r="L272" i="7"/>
  <c r="M272" i="7"/>
  <c r="N272" i="7"/>
  <c r="O272" i="7"/>
  <c r="P272" i="7"/>
  <c r="Q272" i="7"/>
  <c r="R272" i="7"/>
  <c r="S272" i="7"/>
  <c r="T272" i="7"/>
  <c r="U272" i="7"/>
  <c r="V272" i="7"/>
  <c r="W272" i="7"/>
  <c r="X272" i="7"/>
  <c r="Y272" i="7"/>
  <c r="Z272" i="7"/>
  <c r="AA272" i="7"/>
  <c r="AB272" i="7"/>
  <c r="AC272" i="7"/>
  <c r="AD272" i="7"/>
  <c r="AE272" i="7"/>
  <c r="AF272" i="7"/>
  <c r="AG272" i="7"/>
  <c r="AH272" i="7"/>
  <c r="AI272" i="7"/>
  <c r="AJ272" i="7"/>
  <c r="AK272" i="7"/>
  <c r="AL272" i="7"/>
  <c r="AM272" i="7"/>
  <c r="AN272" i="7"/>
  <c r="AO272" i="7"/>
  <c r="AP272" i="7"/>
  <c r="AQ272" i="7"/>
  <c r="AR272" i="7"/>
  <c r="AS272" i="7"/>
  <c r="AT272" i="7"/>
  <c r="AU272" i="7"/>
  <c r="AV272" i="7"/>
  <c r="AW272" i="7"/>
  <c r="AX272" i="7"/>
  <c r="AY272" i="7"/>
  <c r="AZ272" i="7"/>
  <c r="BA272" i="7"/>
  <c r="BB272" i="7"/>
  <c r="BC272" i="7"/>
  <c r="BD272" i="7"/>
  <c r="BE272" i="7"/>
  <c r="BF272" i="7"/>
  <c r="BG272" i="7"/>
  <c r="BH272" i="7"/>
  <c r="BI272" i="7"/>
  <c r="BJ272" i="7"/>
  <c r="BK272" i="7"/>
  <c r="BL272" i="7"/>
  <c r="BM272" i="7"/>
  <c r="BN272" i="7"/>
  <c r="BO272" i="7"/>
  <c r="BP272" i="7"/>
  <c r="BQ272" i="7"/>
  <c r="BR272" i="7"/>
  <c r="BS272" i="7"/>
  <c r="BT272" i="7"/>
  <c r="BU272" i="7"/>
  <c r="BV272" i="7"/>
  <c r="BW272" i="7"/>
  <c r="BX272" i="7"/>
  <c r="BY272" i="7"/>
  <c r="BZ272" i="7"/>
  <c r="CA272" i="7"/>
  <c r="CB272" i="7"/>
  <c r="CC272" i="7"/>
  <c r="CD272" i="7"/>
  <c r="CE272" i="7"/>
  <c r="CF272" i="7"/>
  <c r="CG272" i="7"/>
  <c r="CH272" i="7"/>
  <c r="CI272" i="7"/>
  <c r="CJ272" i="7"/>
  <c r="CK272" i="7"/>
  <c r="CL272" i="7"/>
  <c r="CM272" i="7"/>
  <c r="CN272" i="7"/>
  <c r="CO272" i="7"/>
  <c r="CP272" i="7"/>
  <c r="CQ272" i="7"/>
  <c r="CR272" i="7"/>
  <c r="CS272" i="7"/>
  <c r="CT272" i="7"/>
  <c r="CU272" i="7"/>
  <c r="CV272" i="7"/>
  <c r="CW272" i="7"/>
  <c r="CX272" i="7"/>
  <c r="CY272" i="7"/>
  <c r="CZ272" i="7"/>
  <c r="DA272" i="7"/>
  <c r="DB272" i="7"/>
  <c r="DC272" i="7"/>
  <c r="DD272" i="7"/>
  <c r="DE272" i="7"/>
  <c r="DF272" i="7"/>
  <c r="DG272" i="7"/>
  <c r="DH272" i="7"/>
  <c r="DI272" i="7"/>
  <c r="DJ272" i="7"/>
  <c r="DK272" i="7"/>
  <c r="DL272" i="7"/>
  <c r="DM272" i="7"/>
  <c r="DN272" i="7"/>
  <c r="DO272" i="7"/>
  <c r="DP272" i="7"/>
  <c r="DQ272" i="7"/>
  <c r="DR272" i="7"/>
  <c r="DS272" i="7"/>
  <c r="DT272" i="7"/>
  <c r="DU272" i="7"/>
  <c r="DV272" i="7"/>
  <c r="DW272" i="7"/>
  <c r="DX272" i="7"/>
  <c r="DY272" i="7"/>
  <c r="DZ272" i="7"/>
  <c r="EA272" i="7"/>
  <c r="EB272" i="7"/>
  <c r="EC272" i="7"/>
  <c r="ED272" i="7"/>
  <c r="EE272" i="7"/>
  <c r="EF272" i="7"/>
  <c r="EG272" i="7"/>
  <c r="EH272" i="7"/>
  <c r="EI272" i="7"/>
  <c r="EJ272" i="7"/>
  <c r="EK272" i="7"/>
  <c r="EL272" i="7"/>
  <c r="EM272" i="7"/>
  <c r="EN272" i="7"/>
  <c r="EO272" i="7"/>
  <c r="EP272" i="7"/>
  <c r="EQ272" i="7"/>
  <c r="ER272" i="7"/>
  <c r="ES272" i="7"/>
  <c r="ET272" i="7"/>
  <c r="EU272" i="7"/>
  <c r="EV272" i="7"/>
  <c r="EW272" i="7"/>
  <c r="EX272" i="7"/>
  <c r="EY272" i="7"/>
  <c r="EZ272" i="7"/>
  <c r="FA272" i="7"/>
  <c r="FB272" i="7"/>
  <c r="FC272" i="7"/>
  <c r="FD272" i="7"/>
  <c r="FE272" i="7"/>
  <c r="FF272" i="7"/>
  <c r="FG272" i="7"/>
  <c r="FH272" i="7"/>
  <c r="FI272" i="7"/>
  <c r="FJ272" i="7"/>
  <c r="FK272" i="7"/>
  <c r="FL272" i="7"/>
  <c r="FM272" i="7"/>
  <c r="FN272" i="7"/>
  <c r="FO272" i="7"/>
  <c r="FP272" i="7"/>
  <c r="FQ272" i="7"/>
  <c r="FR272" i="7"/>
  <c r="FS272" i="7"/>
  <c r="FT272" i="7"/>
  <c r="FU272" i="7"/>
  <c r="FV272" i="7"/>
  <c r="FW272" i="7"/>
  <c r="FX272" i="7"/>
  <c r="FY272" i="7"/>
  <c r="FZ272" i="7"/>
  <c r="GA272" i="7"/>
  <c r="GB272" i="7"/>
  <c r="GC272" i="7"/>
  <c r="GD272" i="7"/>
  <c r="GE272" i="7"/>
  <c r="GF272" i="7"/>
  <c r="GG272" i="7"/>
  <c r="GH272" i="7"/>
  <c r="GI272" i="7"/>
  <c r="GJ272" i="7"/>
  <c r="GK272" i="7"/>
  <c r="GL272" i="7"/>
  <c r="GM272" i="7"/>
  <c r="GN272" i="7"/>
  <c r="GO272" i="7"/>
  <c r="GP272" i="7"/>
  <c r="GQ272" i="7"/>
  <c r="GR272" i="7"/>
  <c r="GS272" i="7"/>
  <c r="GT272" i="7"/>
  <c r="GU272" i="7"/>
  <c r="GV272" i="7"/>
  <c r="GW272" i="7"/>
  <c r="GX272" i="7"/>
  <c r="GY272" i="7"/>
  <c r="GZ272" i="7"/>
  <c r="HA272" i="7"/>
  <c r="HB272" i="7"/>
  <c r="HC272" i="7"/>
  <c r="HD272" i="7"/>
  <c r="HE272" i="7"/>
  <c r="HF272" i="7"/>
  <c r="HG272" i="7"/>
  <c r="HH272" i="7"/>
  <c r="HI272" i="7"/>
  <c r="HJ272" i="7"/>
  <c r="HK272" i="7"/>
  <c r="HL272" i="7"/>
  <c r="HM272" i="7"/>
  <c r="HN272" i="7"/>
  <c r="HO272" i="7"/>
  <c r="HP272" i="7"/>
  <c r="HQ272" i="7"/>
  <c r="HR272" i="7"/>
  <c r="HS272" i="7"/>
  <c r="HT272" i="7"/>
  <c r="HU272" i="7"/>
  <c r="HV272" i="7"/>
  <c r="HW272" i="7"/>
  <c r="HX272" i="7"/>
  <c r="HY272" i="7"/>
  <c r="HZ272" i="7"/>
  <c r="IA272" i="7"/>
  <c r="IB272" i="7"/>
  <c r="IC272" i="7"/>
  <c r="ID272" i="7"/>
  <c r="IE272" i="7"/>
  <c r="IF272" i="7"/>
  <c r="IG272" i="7"/>
  <c r="IH272" i="7"/>
  <c r="II272" i="7"/>
  <c r="IJ272" i="7"/>
  <c r="IK272" i="7"/>
  <c r="IL272" i="7"/>
  <c r="IM272" i="7"/>
  <c r="IN272" i="7"/>
  <c r="IO272" i="7"/>
  <c r="IP272" i="7"/>
  <c r="IQ272" i="7"/>
  <c r="IR272" i="7"/>
  <c r="IS272" i="7"/>
  <c r="IT272" i="7"/>
  <c r="IU272" i="7"/>
  <c r="IV272" i="7"/>
  <c r="A271" i="7"/>
  <c r="B271" i="7"/>
  <c r="C271" i="7"/>
  <c r="D271" i="7"/>
  <c r="E271" i="7"/>
  <c r="F271" i="7"/>
  <c r="G271" i="7"/>
  <c r="H271" i="7"/>
  <c r="I271" i="7"/>
  <c r="J271" i="7"/>
  <c r="K271" i="7"/>
  <c r="L271" i="7"/>
  <c r="M271" i="7"/>
  <c r="N271" i="7"/>
  <c r="O271" i="7"/>
  <c r="P271" i="7"/>
  <c r="Q271" i="7"/>
  <c r="R271" i="7"/>
  <c r="S271" i="7"/>
  <c r="T271" i="7"/>
  <c r="U271" i="7"/>
  <c r="V271" i="7"/>
  <c r="W271" i="7"/>
  <c r="X271" i="7"/>
  <c r="Y271" i="7"/>
  <c r="Z271" i="7"/>
  <c r="AA271" i="7"/>
  <c r="AB271" i="7"/>
  <c r="AC271" i="7"/>
  <c r="AD271" i="7"/>
  <c r="AE271" i="7"/>
  <c r="AF271" i="7"/>
  <c r="AG271" i="7"/>
  <c r="AH271" i="7"/>
  <c r="AI271" i="7"/>
  <c r="AJ271" i="7"/>
  <c r="AK271" i="7"/>
  <c r="AL271" i="7"/>
  <c r="AM271" i="7"/>
  <c r="AN271" i="7"/>
  <c r="AO271" i="7"/>
  <c r="AP271" i="7"/>
  <c r="AQ271" i="7"/>
  <c r="AR271" i="7"/>
  <c r="AS271" i="7"/>
  <c r="AT271" i="7"/>
  <c r="AU271" i="7"/>
  <c r="AV271" i="7"/>
  <c r="AW271" i="7"/>
  <c r="AX271" i="7"/>
  <c r="AY271" i="7"/>
  <c r="AZ271" i="7"/>
  <c r="BA271" i="7"/>
  <c r="BB271" i="7"/>
  <c r="BC271" i="7"/>
  <c r="BD271" i="7"/>
  <c r="BE271" i="7"/>
  <c r="BF271" i="7"/>
  <c r="BG271" i="7"/>
  <c r="BH271" i="7"/>
  <c r="BI271" i="7"/>
  <c r="BJ271" i="7"/>
  <c r="BK271" i="7"/>
  <c r="BL271" i="7"/>
  <c r="BM271" i="7"/>
  <c r="BN271" i="7"/>
  <c r="BO271" i="7"/>
  <c r="BP271" i="7"/>
  <c r="BQ271" i="7"/>
  <c r="BR271" i="7"/>
  <c r="BS271" i="7"/>
  <c r="BT271" i="7"/>
  <c r="BU271" i="7"/>
  <c r="BV271" i="7"/>
  <c r="BW271" i="7"/>
  <c r="BX271" i="7"/>
  <c r="BY271" i="7"/>
  <c r="BZ271" i="7"/>
  <c r="CA271" i="7"/>
  <c r="CB271" i="7"/>
  <c r="CC271" i="7"/>
  <c r="CD271" i="7"/>
  <c r="CE271" i="7"/>
  <c r="CF271" i="7"/>
  <c r="CG271" i="7"/>
  <c r="CH271" i="7"/>
  <c r="CI271" i="7"/>
  <c r="CJ271" i="7"/>
  <c r="CK271" i="7"/>
  <c r="CL271" i="7"/>
  <c r="CM271" i="7"/>
  <c r="CN271" i="7"/>
  <c r="CO271" i="7"/>
  <c r="CP271" i="7"/>
  <c r="CQ271" i="7"/>
  <c r="CR271" i="7"/>
  <c r="CS271" i="7"/>
  <c r="CT271" i="7"/>
  <c r="CU271" i="7"/>
  <c r="CV271" i="7"/>
  <c r="CW271" i="7"/>
  <c r="CX271" i="7"/>
  <c r="CY271" i="7"/>
  <c r="CZ271" i="7"/>
  <c r="DA271" i="7"/>
  <c r="DB271" i="7"/>
  <c r="DC271" i="7"/>
  <c r="DD271" i="7"/>
  <c r="DE271" i="7"/>
  <c r="DF271" i="7"/>
  <c r="DG271" i="7"/>
  <c r="DH271" i="7"/>
  <c r="DI271" i="7"/>
  <c r="DJ271" i="7"/>
  <c r="DK271" i="7"/>
  <c r="DL271" i="7"/>
  <c r="DM271" i="7"/>
  <c r="DN271" i="7"/>
  <c r="DO271" i="7"/>
  <c r="DP271" i="7"/>
  <c r="DQ271" i="7"/>
  <c r="DR271" i="7"/>
  <c r="DS271" i="7"/>
  <c r="DT271" i="7"/>
  <c r="DU271" i="7"/>
  <c r="DV271" i="7"/>
  <c r="DW271" i="7"/>
  <c r="DX271" i="7"/>
  <c r="DY271" i="7"/>
  <c r="DZ271" i="7"/>
  <c r="EA271" i="7"/>
  <c r="EB271" i="7"/>
  <c r="EC271" i="7"/>
  <c r="ED271" i="7"/>
  <c r="EE271" i="7"/>
  <c r="EF271" i="7"/>
  <c r="EG271" i="7"/>
  <c r="EH271" i="7"/>
  <c r="EI271" i="7"/>
  <c r="EJ271" i="7"/>
  <c r="EK271" i="7"/>
  <c r="EL271" i="7"/>
  <c r="EM271" i="7"/>
  <c r="EN271" i="7"/>
  <c r="EO271" i="7"/>
  <c r="EP271" i="7"/>
  <c r="EQ271" i="7"/>
  <c r="ER271" i="7"/>
  <c r="ES271" i="7"/>
  <c r="ET271" i="7"/>
  <c r="EU271" i="7"/>
  <c r="EV271" i="7"/>
  <c r="EW271" i="7"/>
  <c r="EX271" i="7"/>
  <c r="EY271" i="7"/>
  <c r="EZ271" i="7"/>
  <c r="FA271" i="7"/>
  <c r="FB271" i="7"/>
  <c r="FC271" i="7"/>
  <c r="FD271" i="7"/>
  <c r="FE271" i="7"/>
  <c r="FF271" i="7"/>
  <c r="FG271" i="7"/>
  <c r="FH271" i="7"/>
  <c r="FI271" i="7"/>
  <c r="FJ271" i="7"/>
  <c r="FK271" i="7"/>
  <c r="FL271" i="7"/>
  <c r="FM271" i="7"/>
  <c r="FN271" i="7"/>
  <c r="FO271" i="7"/>
  <c r="FP271" i="7"/>
  <c r="FQ271" i="7"/>
  <c r="FR271" i="7"/>
  <c r="FS271" i="7"/>
  <c r="FT271" i="7"/>
  <c r="FU271" i="7"/>
  <c r="FV271" i="7"/>
  <c r="FW271" i="7"/>
  <c r="FX271" i="7"/>
  <c r="FY271" i="7"/>
  <c r="FZ271" i="7"/>
  <c r="GA271" i="7"/>
  <c r="GB271" i="7"/>
  <c r="GC271" i="7"/>
  <c r="GD271" i="7"/>
  <c r="GE271" i="7"/>
  <c r="GF271" i="7"/>
  <c r="GG271" i="7"/>
  <c r="GH271" i="7"/>
  <c r="GI271" i="7"/>
  <c r="GJ271" i="7"/>
  <c r="GK271" i="7"/>
  <c r="GL271" i="7"/>
  <c r="GM271" i="7"/>
  <c r="GN271" i="7"/>
  <c r="GO271" i="7"/>
  <c r="GP271" i="7"/>
  <c r="GQ271" i="7"/>
  <c r="GR271" i="7"/>
  <c r="GS271" i="7"/>
  <c r="GT271" i="7"/>
  <c r="GU271" i="7"/>
  <c r="GV271" i="7"/>
  <c r="GW271" i="7"/>
  <c r="GX271" i="7"/>
  <c r="GY271" i="7"/>
  <c r="GZ271" i="7"/>
  <c r="HA271" i="7"/>
  <c r="HB271" i="7"/>
  <c r="HC271" i="7"/>
  <c r="HD271" i="7"/>
  <c r="HE271" i="7"/>
  <c r="HF271" i="7"/>
  <c r="HG271" i="7"/>
  <c r="HH271" i="7"/>
  <c r="HI271" i="7"/>
  <c r="HJ271" i="7"/>
  <c r="HK271" i="7"/>
  <c r="HL271" i="7"/>
  <c r="HM271" i="7"/>
  <c r="HN271" i="7"/>
  <c r="HO271" i="7"/>
  <c r="HP271" i="7"/>
  <c r="HQ271" i="7"/>
  <c r="HR271" i="7"/>
  <c r="HS271" i="7"/>
  <c r="HT271" i="7"/>
  <c r="HU271" i="7"/>
  <c r="HV271" i="7"/>
  <c r="HW271" i="7"/>
  <c r="HX271" i="7"/>
  <c r="HY271" i="7"/>
  <c r="HZ271" i="7"/>
  <c r="IA271" i="7"/>
  <c r="IB271" i="7"/>
  <c r="IC271" i="7"/>
  <c r="ID271" i="7"/>
  <c r="IE271" i="7"/>
  <c r="IF271" i="7"/>
  <c r="IG271" i="7"/>
  <c r="IH271" i="7"/>
  <c r="II271" i="7"/>
  <c r="IJ271" i="7"/>
  <c r="IK271" i="7"/>
  <c r="IL271" i="7"/>
  <c r="IM271" i="7"/>
  <c r="IN271" i="7"/>
  <c r="IO271" i="7"/>
  <c r="IP271" i="7"/>
  <c r="IQ271" i="7"/>
  <c r="IR271" i="7"/>
  <c r="IS271" i="7"/>
  <c r="IT271" i="7"/>
  <c r="IU271" i="7"/>
  <c r="IV271" i="7"/>
  <c r="A270" i="7"/>
  <c r="B270" i="7"/>
  <c r="C270" i="7"/>
  <c r="D270" i="7"/>
  <c r="E270" i="7"/>
  <c r="F270" i="7"/>
  <c r="G270" i="7"/>
  <c r="H270" i="7"/>
  <c r="I270" i="7"/>
  <c r="J270" i="7"/>
  <c r="K270" i="7"/>
  <c r="L270" i="7"/>
  <c r="M270" i="7"/>
  <c r="N270" i="7"/>
  <c r="O270" i="7"/>
  <c r="P270" i="7"/>
  <c r="Q270" i="7"/>
  <c r="R270" i="7"/>
  <c r="S270" i="7"/>
  <c r="T270" i="7"/>
  <c r="U270" i="7"/>
  <c r="V270" i="7"/>
  <c r="W270" i="7"/>
  <c r="X270" i="7"/>
  <c r="Y270" i="7"/>
  <c r="Z270" i="7"/>
  <c r="AA270" i="7"/>
  <c r="AB270" i="7"/>
  <c r="AC270" i="7"/>
  <c r="AD270" i="7"/>
  <c r="AE270" i="7"/>
  <c r="AF270" i="7"/>
  <c r="AG270" i="7"/>
  <c r="AH270" i="7"/>
  <c r="AI270" i="7"/>
  <c r="AJ270" i="7"/>
  <c r="AK270" i="7"/>
  <c r="AL270" i="7"/>
  <c r="AM270" i="7"/>
  <c r="AN270" i="7"/>
  <c r="AO270" i="7"/>
  <c r="AP270" i="7"/>
  <c r="AQ270" i="7"/>
  <c r="AR270" i="7"/>
  <c r="AS270" i="7"/>
  <c r="AT270" i="7"/>
  <c r="AU270" i="7"/>
  <c r="AV270" i="7"/>
  <c r="AW270" i="7"/>
  <c r="AX270" i="7"/>
  <c r="AY270" i="7"/>
  <c r="AZ270" i="7"/>
  <c r="BA270" i="7"/>
  <c r="BB270" i="7"/>
  <c r="BC270" i="7"/>
  <c r="BD270" i="7"/>
  <c r="BE270" i="7"/>
  <c r="BF270" i="7"/>
  <c r="BG270" i="7"/>
  <c r="BH270" i="7"/>
  <c r="BI270" i="7"/>
  <c r="BJ270" i="7"/>
  <c r="BK270" i="7"/>
  <c r="BL270" i="7"/>
  <c r="BM270" i="7"/>
  <c r="BN270" i="7"/>
  <c r="BO270" i="7"/>
  <c r="BP270" i="7"/>
  <c r="BQ270" i="7"/>
  <c r="BR270" i="7"/>
  <c r="BS270" i="7"/>
  <c r="BT270" i="7"/>
  <c r="BU270" i="7"/>
  <c r="BV270" i="7"/>
  <c r="BW270" i="7"/>
  <c r="BX270" i="7"/>
  <c r="BY270" i="7"/>
  <c r="BZ270" i="7"/>
  <c r="CA270" i="7"/>
  <c r="CB270" i="7"/>
  <c r="CC270" i="7"/>
  <c r="CD270" i="7"/>
  <c r="CE270" i="7"/>
  <c r="CF270" i="7"/>
  <c r="CG270" i="7"/>
  <c r="CH270" i="7"/>
  <c r="CI270" i="7"/>
  <c r="CJ270" i="7"/>
  <c r="CK270" i="7"/>
  <c r="CL270" i="7"/>
  <c r="CM270" i="7"/>
  <c r="CN270" i="7"/>
  <c r="CO270" i="7"/>
  <c r="CP270" i="7"/>
  <c r="CQ270" i="7"/>
  <c r="CR270" i="7"/>
  <c r="CS270" i="7"/>
  <c r="CT270" i="7"/>
  <c r="CU270" i="7"/>
  <c r="CV270" i="7"/>
  <c r="CW270" i="7"/>
  <c r="CX270" i="7"/>
  <c r="CY270" i="7"/>
  <c r="CZ270" i="7"/>
  <c r="DA270" i="7"/>
  <c r="DB270" i="7"/>
  <c r="DC270" i="7"/>
  <c r="DD270" i="7"/>
  <c r="DE270" i="7"/>
  <c r="DF270" i="7"/>
  <c r="DG270" i="7"/>
  <c r="DH270" i="7"/>
  <c r="DI270" i="7"/>
  <c r="DJ270" i="7"/>
  <c r="DK270" i="7"/>
  <c r="DL270" i="7"/>
  <c r="DM270" i="7"/>
  <c r="DN270" i="7"/>
  <c r="DO270" i="7"/>
  <c r="DP270" i="7"/>
  <c r="DQ270" i="7"/>
  <c r="DR270" i="7"/>
  <c r="DS270" i="7"/>
  <c r="DT270" i="7"/>
  <c r="DU270" i="7"/>
  <c r="DV270" i="7"/>
  <c r="DW270" i="7"/>
  <c r="DX270" i="7"/>
  <c r="DY270" i="7"/>
  <c r="DZ270" i="7"/>
  <c r="EA270" i="7"/>
  <c r="EB270" i="7"/>
  <c r="EC270" i="7"/>
  <c r="ED270" i="7"/>
  <c r="EE270" i="7"/>
  <c r="EF270" i="7"/>
  <c r="EG270" i="7"/>
  <c r="EH270" i="7"/>
  <c r="EI270" i="7"/>
  <c r="EJ270" i="7"/>
  <c r="EK270" i="7"/>
  <c r="EL270" i="7"/>
  <c r="EM270" i="7"/>
  <c r="EN270" i="7"/>
  <c r="EO270" i="7"/>
  <c r="EP270" i="7"/>
  <c r="EQ270" i="7"/>
  <c r="ER270" i="7"/>
  <c r="ES270" i="7"/>
  <c r="ET270" i="7"/>
  <c r="EU270" i="7"/>
  <c r="EV270" i="7"/>
  <c r="EW270" i="7"/>
  <c r="EX270" i="7"/>
  <c r="EY270" i="7"/>
  <c r="EZ270" i="7"/>
  <c r="FA270" i="7"/>
  <c r="FB270" i="7"/>
  <c r="FC270" i="7"/>
  <c r="FD270" i="7"/>
  <c r="FE270" i="7"/>
  <c r="FF270" i="7"/>
  <c r="FG270" i="7"/>
  <c r="FH270" i="7"/>
  <c r="FI270" i="7"/>
  <c r="FJ270" i="7"/>
  <c r="FK270" i="7"/>
  <c r="FL270" i="7"/>
  <c r="FM270" i="7"/>
  <c r="FN270" i="7"/>
  <c r="FO270" i="7"/>
  <c r="FP270" i="7"/>
  <c r="FQ270" i="7"/>
  <c r="FR270" i="7"/>
  <c r="FS270" i="7"/>
  <c r="FT270" i="7"/>
  <c r="FU270" i="7"/>
  <c r="FV270" i="7"/>
  <c r="FW270" i="7"/>
  <c r="FX270" i="7"/>
  <c r="FY270" i="7"/>
  <c r="FZ270" i="7"/>
  <c r="GA270" i="7"/>
  <c r="GB270" i="7"/>
  <c r="GC270" i="7"/>
  <c r="GD270" i="7"/>
  <c r="GE270" i="7"/>
  <c r="GF270" i="7"/>
  <c r="GG270" i="7"/>
  <c r="GH270" i="7"/>
  <c r="GI270" i="7"/>
  <c r="GJ270" i="7"/>
  <c r="GK270" i="7"/>
  <c r="GL270" i="7"/>
  <c r="GM270" i="7"/>
  <c r="GN270" i="7"/>
  <c r="GO270" i="7"/>
  <c r="GP270" i="7"/>
  <c r="GQ270" i="7"/>
  <c r="GR270" i="7"/>
  <c r="GS270" i="7"/>
  <c r="GT270" i="7"/>
  <c r="GU270" i="7"/>
  <c r="GV270" i="7"/>
  <c r="GW270" i="7"/>
  <c r="GX270" i="7"/>
  <c r="GY270" i="7"/>
  <c r="GZ270" i="7"/>
  <c r="HA270" i="7"/>
  <c r="HB270" i="7"/>
  <c r="HC270" i="7"/>
  <c r="HD270" i="7"/>
  <c r="HE270" i="7"/>
  <c r="HF270" i="7"/>
  <c r="HG270" i="7"/>
  <c r="HH270" i="7"/>
  <c r="HI270" i="7"/>
  <c r="HJ270" i="7"/>
  <c r="HK270" i="7"/>
  <c r="HL270" i="7"/>
  <c r="HM270" i="7"/>
  <c r="HN270" i="7"/>
  <c r="HO270" i="7"/>
  <c r="HP270" i="7"/>
  <c r="HQ270" i="7"/>
  <c r="HR270" i="7"/>
  <c r="HS270" i="7"/>
  <c r="HT270" i="7"/>
  <c r="HU270" i="7"/>
  <c r="HV270" i="7"/>
  <c r="HW270" i="7"/>
  <c r="HX270" i="7"/>
  <c r="HY270" i="7"/>
  <c r="HZ270" i="7"/>
  <c r="IA270" i="7"/>
  <c r="IB270" i="7"/>
  <c r="IC270" i="7"/>
  <c r="ID270" i="7"/>
  <c r="IE270" i="7"/>
  <c r="IF270" i="7"/>
  <c r="IG270" i="7"/>
  <c r="IH270" i="7"/>
  <c r="II270" i="7"/>
  <c r="IJ270" i="7"/>
  <c r="IK270" i="7"/>
  <c r="IL270" i="7"/>
  <c r="IM270" i="7"/>
  <c r="IN270" i="7"/>
  <c r="IO270" i="7"/>
  <c r="IP270" i="7"/>
  <c r="IQ270" i="7"/>
  <c r="IR270" i="7"/>
  <c r="IS270" i="7"/>
  <c r="IT270" i="7"/>
  <c r="IU270" i="7"/>
  <c r="IV270" i="7"/>
  <c r="A269" i="7"/>
  <c r="B269" i="7"/>
  <c r="C269" i="7"/>
  <c r="D269" i="7"/>
  <c r="E269" i="7"/>
  <c r="F269" i="7"/>
  <c r="G269" i="7"/>
  <c r="H269" i="7"/>
  <c r="I269" i="7"/>
  <c r="J269" i="7"/>
  <c r="K269" i="7"/>
  <c r="L269" i="7"/>
  <c r="M269" i="7"/>
  <c r="N269" i="7"/>
  <c r="O269" i="7"/>
  <c r="P269" i="7"/>
  <c r="Q269" i="7"/>
  <c r="R269" i="7"/>
  <c r="S269" i="7"/>
  <c r="T269" i="7"/>
  <c r="U269" i="7"/>
  <c r="V269" i="7"/>
  <c r="W269" i="7"/>
  <c r="X269" i="7"/>
  <c r="Y269" i="7"/>
  <c r="Z269" i="7"/>
  <c r="AA269" i="7"/>
  <c r="AB269" i="7"/>
  <c r="AC269" i="7"/>
  <c r="AD269" i="7"/>
  <c r="AE269" i="7"/>
  <c r="AF269" i="7"/>
  <c r="AG269" i="7"/>
  <c r="AH269" i="7"/>
  <c r="AI269" i="7"/>
  <c r="AJ269" i="7"/>
  <c r="AK269" i="7"/>
  <c r="AL269" i="7"/>
  <c r="AM269" i="7"/>
  <c r="AN269" i="7"/>
  <c r="AO269" i="7"/>
  <c r="AP269" i="7"/>
  <c r="AQ269" i="7"/>
  <c r="AR269" i="7"/>
  <c r="AS269" i="7"/>
  <c r="AT269" i="7"/>
  <c r="AU269" i="7"/>
  <c r="AV269" i="7"/>
  <c r="AW269" i="7"/>
  <c r="AX269" i="7"/>
  <c r="AY269" i="7"/>
  <c r="AZ269" i="7"/>
  <c r="BA269" i="7"/>
  <c r="BB269" i="7"/>
  <c r="BC269" i="7"/>
  <c r="BD269" i="7"/>
  <c r="BE269" i="7"/>
  <c r="BF269" i="7"/>
  <c r="BG269" i="7"/>
  <c r="BH269" i="7"/>
  <c r="BI269" i="7"/>
  <c r="BJ269" i="7"/>
  <c r="BK269" i="7"/>
  <c r="BL269" i="7"/>
  <c r="BM269" i="7"/>
  <c r="BN269" i="7"/>
  <c r="BO269" i="7"/>
  <c r="BP269" i="7"/>
  <c r="BQ269" i="7"/>
  <c r="BR269" i="7"/>
  <c r="BS269" i="7"/>
  <c r="BT269" i="7"/>
  <c r="BU269" i="7"/>
  <c r="BV269" i="7"/>
  <c r="BW269" i="7"/>
  <c r="BX269" i="7"/>
  <c r="BY269" i="7"/>
  <c r="BZ269" i="7"/>
  <c r="CA269" i="7"/>
  <c r="CB269" i="7"/>
  <c r="CC269" i="7"/>
  <c r="CD269" i="7"/>
  <c r="CE269" i="7"/>
  <c r="CF269" i="7"/>
  <c r="CG269" i="7"/>
  <c r="CH269" i="7"/>
  <c r="CI269" i="7"/>
  <c r="CJ269" i="7"/>
  <c r="CK269" i="7"/>
  <c r="CL269" i="7"/>
  <c r="CM269" i="7"/>
  <c r="CN269" i="7"/>
  <c r="CO269" i="7"/>
  <c r="CP269" i="7"/>
  <c r="CQ269" i="7"/>
  <c r="CR269" i="7"/>
  <c r="CS269" i="7"/>
  <c r="CT269" i="7"/>
  <c r="CU269" i="7"/>
  <c r="CV269" i="7"/>
  <c r="CW269" i="7"/>
  <c r="CX269" i="7"/>
  <c r="CY269" i="7"/>
  <c r="CZ269" i="7"/>
  <c r="DA269" i="7"/>
  <c r="DB269" i="7"/>
  <c r="DC269" i="7"/>
  <c r="DD269" i="7"/>
  <c r="DE269" i="7"/>
  <c r="DF269" i="7"/>
  <c r="DG269" i="7"/>
  <c r="DH269" i="7"/>
  <c r="DI269" i="7"/>
  <c r="DJ269" i="7"/>
  <c r="DK269" i="7"/>
  <c r="DL269" i="7"/>
  <c r="DM269" i="7"/>
  <c r="DN269" i="7"/>
  <c r="DO269" i="7"/>
  <c r="DP269" i="7"/>
  <c r="DQ269" i="7"/>
  <c r="DR269" i="7"/>
  <c r="DS269" i="7"/>
  <c r="DT269" i="7"/>
  <c r="DU269" i="7"/>
  <c r="DV269" i="7"/>
  <c r="DW269" i="7"/>
  <c r="DX269" i="7"/>
  <c r="DY269" i="7"/>
  <c r="DZ269" i="7"/>
  <c r="EA269" i="7"/>
  <c r="EB269" i="7"/>
  <c r="EC269" i="7"/>
  <c r="ED269" i="7"/>
  <c r="EE269" i="7"/>
  <c r="EF269" i="7"/>
  <c r="EG269" i="7"/>
  <c r="EH269" i="7"/>
  <c r="EI269" i="7"/>
  <c r="EJ269" i="7"/>
  <c r="EK269" i="7"/>
  <c r="EL269" i="7"/>
  <c r="EM269" i="7"/>
  <c r="EN269" i="7"/>
  <c r="EO269" i="7"/>
  <c r="EP269" i="7"/>
  <c r="EQ269" i="7"/>
  <c r="ER269" i="7"/>
  <c r="ES269" i="7"/>
  <c r="ET269" i="7"/>
  <c r="EU269" i="7"/>
  <c r="EV269" i="7"/>
  <c r="EW269" i="7"/>
  <c r="EX269" i="7"/>
  <c r="EY269" i="7"/>
  <c r="EZ269" i="7"/>
  <c r="FA269" i="7"/>
  <c r="FB269" i="7"/>
  <c r="FC269" i="7"/>
  <c r="FD269" i="7"/>
  <c r="FE269" i="7"/>
  <c r="FF269" i="7"/>
  <c r="FG269" i="7"/>
  <c r="FH269" i="7"/>
  <c r="FI269" i="7"/>
  <c r="FJ269" i="7"/>
  <c r="FK269" i="7"/>
  <c r="FL269" i="7"/>
  <c r="FM269" i="7"/>
  <c r="FN269" i="7"/>
  <c r="FO269" i="7"/>
  <c r="FP269" i="7"/>
  <c r="FQ269" i="7"/>
  <c r="FR269" i="7"/>
  <c r="FS269" i="7"/>
  <c r="FT269" i="7"/>
  <c r="FU269" i="7"/>
  <c r="FV269" i="7"/>
  <c r="FW269" i="7"/>
  <c r="FX269" i="7"/>
  <c r="FY269" i="7"/>
  <c r="FZ269" i="7"/>
  <c r="GA269" i="7"/>
  <c r="GB269" i="7"/>
  <c r="GC269" i="7"/>
  <c r="GD269" i="7"/>
  <c r="GE269" i="7"/>
  <c r="GF269" i="7"/>
  <c r="GG269" i="7"/>
  <c r="GH269" i="7"/>
  <c r="GI269" i="7"/>
  <c r="GJ269" i="7"/>
  <c r="GK269" i="7"/>
  <c r="GL269" i="7"/>
  <c r="GM269" i="7"/>
  <c r="GN269" i="7"/>
  <c r="GO269" i="7"/>
  <c r="GP269" i="7"/>
  <c r="GQ269" i="7"/>
  <c r="GR269" i="7"/>
  <c r="GS269" i="7"/>
  <c r="GT269" i="7"/>
  <c r="GU269" i="7"/>
  <c r="GV269" i="7"/>
  <c r="GW269" i="7"/>
  <c r="GX269" i="7"/>
  <c r="GY269" i="7"/>
  <c r="GZ269" i="7"/>
  <c r="HA269" i="7"/>
  <c r="HB269" i="7"/>
  <c r="HC269" i="7"/>
  <c r="HD269" i="7"/>
  <c r="HE269" i="7"/>
  <c r="HF269" i="7"/>
  <c r="HG269" i="7"/>
  <c r="HH269" i="7"/>
  <c r="HI269" i="7"/>
  <c r="HJ269" i="7"/>
  <c r="HK269" i="7"/>
  <c r="HL269" i="7"/>
  <c r="HM269" i="7"/>
  <c r="HN269" i="7"/>
  <c r="HO269" i="7"/>
  <c r="HP269" i="7"/>
  <c r="HQ269" i="7"/>
  <c r="HR269" i="7"/>
  <c r="HS269" i="7"/>
  <c r="HT269" i="7"/>
  <c r="HU269" i="7"/>
  <c r="HV269" i="7"/>
  <c r="HW269" i="7"/>
  <c r="HX269" i="7"/>
  <c r="HY269" i="7"/>
  <c r="HZ269" i="7"/>
  <c r="IA269" i="7"/>
  <c r="IB269" i="7"/>
  <c r="IC269" i="7"/>
  <c r="ID269" i="7"/>
  <c r="IE269" i="7"/>
  <c r="IF269" i="7"/>
  <c r="IG269" i="7"/>
  <c r="IH269" i="7"/>
  <c r="II269" i="7"/>
  <c r="IJ269" i="7"/>
  <c r="IK269" i="7"/>
  <c r="IL269" i="7"/>
  <c r="IM269" i="7"/>
  <c r="IN269" i="7"/>
  <c r="IO269" i="7"/>
  <c r="IP269" i="7"/>
  <c r="IQ269" i="7"/>
  <c r="IR269" i="7"/>
  <c r="IS269" i="7"/>
  <c r="IT269" i="7"/>
  <c r="IU269" i="7"/>
  <c r="IV269" i="7"/>
  <c r="A268" i="7"/>
  <c r="B268" i="7"/>
  <c r="C268" i="7"/>
  <c r="D268" i="7"/>
  <c r="E268" i="7"/>
  <c r="F268" i="7"/>
  <c r="G268" i="7"/>
  <c r="H268" i="7"/>
  <c r="I268" i="7"/>
  <c r="J268" i="7"/>
  <c r="K268" i="7"/>
  <c r="L268" i="7"/>
  <c r="M268" i="7"/>
  <c r="N268" i="7"/>
  <c r="O268" i="7"/>
  <c r="P268" i="7"/>
  <c r="Q268" i="7"/>
  <c r="R268" i="7"/>
  <c r="S268" i="7"/>
  <c r="T268" i="7"/>
  <c r="U268" i="7"/>
  <c r="V268" i="7"/>
  <c r="W268" i="7"/>
  <c r="X268" i="7"/>
  <c r="Y268" i="7"/>
  <c r="Z268" i="7"/>
  <c r="AA268" i="7"/>
  <c r="AB268" i="7"/>
  <c r="AC268" i="7"/>
  <c r="AD268" i="7"/>
  <c r="AE268" i="7"/>
  <c r="AF268" i="7"/>
  <c r="AG268" i="7"/>
  <c r="AH268" i="7"/>
  <c r="AI268" i="7"/>
  <c r="AJ268" i="7"/>
  <c r="AK268" i="7"/>
  <c r="AL268" i="7"/>
  <c r="AM268" i="7"/>
  <c r="AN268" i="7"/>
  <c r="AO268" i="7"/>
  <c r="AP268" i="7"/>
  <c r="AQ268" i="7"/>
  <c r="AR268" i="7"/>
  <c r="AS268" i="7"/>
  <c r="AT268" i="7"/>
  <c r="AU268" i="7"/>
  <c r="AV268" i="7"/>
  <c r="AW268" i="7"/>
  <c r="AX268" i="7"/>
  <c r="AY268" i="7"/>
  <c r="AZ268" i="7"/>
  <c r="BA268" i="7"/>
  <c r="BB268" i="7"/>
  <c r="BC268" i="7"/>
  <c r="BD268" i="7"/>
  <c r="BE268" i="7"/>
  <c r="BF268" i="7"/>
  <c r="BG268" i="7"/>
  <c r="BH268" i="7"/>
  <c r="BI268" i="7"/>
  <c r="BJ268" i="7"/>
  <c r="BK268" i="7"/>
  <c r="BL268" i="7"/>
  <c r="BM268" i="7"/>
  <c r="BN268" i="7"/>
  <c r="BO268" i="7"/>
  <c r="BP268" i="7"/>
  <c r="BQ268" i="7"/>
  <c r="BR268" i="7"/>
  <c r="BS268" i="7"/>
  <c r="BT268" i="7"/>
  <c r="BU268" i="7"/>
  <c r="BV268" i="7"/>
  <c r="BW268" i="7"/>
  <c r="BX268" i="7"/>
  <c r="BY268" i="7"/>
  <c r="BZ268" i="7"/>
  <c r="CA268" i="7"/>
  <c r="CB268" i="7"/>
  <c r="CC268" i="7"/>
  <c r="CD268" i="7"/>
  <c r="CE268" i="7"/>
  <c r="CF268" i="7"/>
  <c r="CG268" i="7"/>
  <c r="CH268" i="7"/>
  <c r="CI268" i="7"/>
  <c r="CJ268" i="7"/>
  <c r="CK268" i="7"/>
  <c r="CL268" i="7"/>
  <c r="CM268" i="7"/>
  <c r="CN268" i="7"/>
  <c r="CO268" i="7"/>
  <c r="CP268" i="7"/>
  <c r="CQ268" i="7"/>
  <c r="CR268" i="7"/>
  <c r="CS268" i="7"/>
  <c r="CT268" i="7"/>
  <c r="CU268" i="7"/>
  <c r="CV268" i="7"/>
  <c r="CW268" i="7"/>
  <c r="CX268" i="7"/>
  <c r="CY268" i="7"/>
  <c r="CZ268" i="7"/>
  <c r="DA268" i="7"/>
  <c r="DB268" i="7"/>
  <c r="DC268" i="7"/>
  <c r="DD268" i="7"/>
  <c r="DE268" i="7"/>
  <c r="DF268" i="7"/>
  <c r="DG268" i="7"/>
  <c r="DH268" i="7"/>
  <c r="DI268" i="7"/>
  <c r="DJ268" i="7"/>
  <c r="DK268" i="7"/>
  <c r="DL268" i="7"/>
  <c r="DM268" i="7"/>
  <c r="DN268" i="7"/>
  <c r="DO268" i="7"/>
  <c r="DP268" i="7"/>
  <c r="DQ268" i="7"/>
  <c r="DR268" i="7"/>
  <c r="DS268" i="7"/>
  <c r="DT268" i="7"/>
  <c r="DU268" i="7"/>
  <c r="DV268" i="7"/>
  <c r="DW268" i="7"/>
  <c r="DX268" i="7"/>
  <c r="DY268" i="7"/>
  <c r="DZ268" i="7"/>
  <c r="EA268" i="7"/>
  <c r="EB268" i="7"/>
  <c r="EC268" i="7"/>
  <c r="ED268" i="7"/>
  <c r="EE268" i="7"/>
  <c r="EF268" i="7"/>
  <c r="EG268" i="7"/>
  <c r="EH268" i="7"/>
  <c r="EI268" i="7"/>
  <c r="EJ268" i="7"/>
  <c r="EK268" i="7"/>
  <c r="EL268" i="7"/>
  <c r="EM268" i="7"/>
  <c r="EN268" i="7"/>
  <c r="EO268" i="7"/>
  <c r="EP268" i="7"/>
  <c r="EQ268" i="7"/>
  <c r="ER268" i="7"/>
  <c r="ES268" i="7"/>
  <c r="ET268" i="7"/>
  <c r="EU268" i="7"/>
  <c r="EV268" i="7"/>
  <c r="EW268" i="7"/>
  <c r="EX268" i="7"/>
  <c r="EY268" i="7"/>
  <c r="EZ268" i="7"/>
  <c r="FA268" i="7"/>
  <c r="FB268" i="7"/>
  <c r="FC268" i="7"/>
  <c r="FD268" i="7"/>
  <c r="FE268" i="7"/>
  <c r="FF268" i="7"/>
  <c r="FG268" i="7"/>
  <c r="FH268" i="7"/>
  <c r="FI268" i="7"/>
  <c r="FJ268" i="7"/>
  <c r="FK268" i="7"/>
  <c r="FL268" i="7"/>
  <c r="FM268" i="7"/>
  <c r="FN268" i="7"/>
  <c r="FO268" i="7"/>
  <c r="FP268" i="7"/>
  <c r="FQ268" i="7"/>
  <c r="FR268" i="7"/>
  <c r="FS268" i="7"/>
  <c r="FT268" i="7"/>
  <c r="FU268" i="7"/>
  <c r="FV268" i="7"/>
  <c r="FW268" i="7"/>
  <c r="FX268" i="7"/>
  <c r="FY268" i="7"/>
  <c r="FZ268" i="7"/>
  <c r="GA268" i="7"/>
  <c r="GB268" i="7"/>
  <c r="GC268" i="7"/>
  <c r="GD268" i="7"/>
  <c r="GE268" i="7"/>
  <c r="GF268" i="7"/>
  <c r="GG268" i="7"/>
  <c r="GH268" i="7"/>
  <c r="GI268" i="7"/>
  <c r="GJ268" i="7"/>
  <c r="GK268" i="7"/>
  <c r="GL268" i="7"/>
  <c r="GM268" i="7"/>
  <c r="GN268" i="7"/>
  <c r="GO268" i="7"/>
  <c r="GP268" i="7"/>
  <c r="GQ268" i="7"/>
  <c r="GR268" i="7"/>
  <c r="GS268" i="7"/>
  <c r="GT268" i="7"/>
  <c r="GU268" i="7"/>
  <c r="GV268" i="7"/>
  <c r="GW268" i="7"/>
  <c r="GX268" i="7"/>
  <c r="GY268" i="7"/>
  <c r="GZ268" i="7"/>
  <c r="HA268" i="7"/>
  <c r="HB268" i="7"/>
  <c r="HC268" i="7"/>
  <c r="HD268" i="7"/>
  <c r="HE268" i="7"/>
  <c r="HF268" i="7"/>
  <c r="HG268" i="7"/>
  <c r="HH268" i="7"/>
  <c r="HI268" i="7"/>
  <c r="HJ268" i="7"/>
  <c r="HK268" i="7"/>
  <c r="HL268" i="7"/>
  <c r="HM268" i="7"/>
  <c r="HN268" i="7"/>
  <c r="HO268" i="7"/>
  <c r="HP268" i="7"/>
  <c r="HQ268" i="7"/>
  <c r="HR268" i="7"/>
  <c r="HS268" i="7"/>
  <c r="HT268" i="7"/>
  <c r="HU268" i="7"/>
  <c r="HV268" i="7"/>
  <c r="HW268" i="7"/>
  <c r="HX268" i="7"/>
  <c r="HY268" i="7"/>
  <c r="HZ268" i="7"/>
  <c r="IA268" i="7"/>
  <c r="IB268" i="7"/>
  <c r="IC268" i="7"/>
  <c r="ID268" i="7"/>
  <c r="IE268" i="7"/>
  <c r="IF268" i="7"/>
  <c r="IG268" i="7"/>
  <c r="IH268" i="7"/>
  <c r="II268" i="7"/>
  <c r="IJ268" i="7"/>
  <c r="IK268" i="7"/>
  <c r="IL268" i="7"/>
  <c r="IM268" i="7"/>
  <c r="IN268" i="7"/>
  <c r="IO268" i="7"/>
  <c r="IP268" i="7"/>
  <c r="IQ268" i="7"/>
  <c r="IR268" i="7"/>
  <c r="IS268" i="7"/>
  <c r="IT268" i="7"/>
  <c r="IU268" i="7"/>
  <c r="IV268" i="7"/>
  <c r="A267" i="7"/>
  <c r="B267" i="7"/>
  <c r="C267" i="7"/>
  <c r="D267" i="7"/>
  <c r="E267" i="7"/>
  <c r="F267" i="7"/>
  <c r="G267" i="7"/>
  <c r="H267" i="7"/>
  <c r="I267" i="7"/>
  <c r="J267" i="7"/>
  <c r="K267" i="7"/>
  <c r="L267" i="7"/>
  <c r="M267" i="7"/>
  <c r="N267" i="7"/>
  <c r="O267" i="7"/>
  <c r="P267" i="7"/>
  <c r="Q267" i="7"/>
  <c r="R267" i="7"/>
  <c r="S267" i="7"/>
  <c r="T267" i="7"/>
  <c r="U267" i="7"/>
  <c r="V267" i="7"/>
  <c r="W267" i="7"/>
  <c r="X267" i="7"/>
  <c r="Y267" i="7"/>
  <c r="Z267" i="7"/>
  <c r="AA267" i="7"/>
  <c r="AB267" i="7"/>
  <c r="AC267" i="7"/>
  <c r="AD267" i="7"/>
  <c r="AE267" i="7"/>
  <c r="AF267" i="7"/>
  <c r="AG267" i="7"/>
  <c r="AH267" i="7"/>
  <c r="AI267" i="7"/>
  <c r="AJ267" i="7"/>
  <c r="AK267" i="7"/>
  <c r="AL267" i="7"/>
  <c r="AM267" i="7"/>
  <c r="AN267" i="7"/>
  <c r="AO267" i="7"/>
  <c r="AP267" i="7"/>
  <c r="AQ267" i="7"/>
  <c r="AR267" i="7"/>
  <c r="AS267" i="7"/>
  <c r="AT267" i="7"/>
  <c r="AU267" i="7"/>
  <c r="AV267" i="7"/>
  <c r="AW267" i="7"/>
  <c r="AX267" i="7"/>
  <c r="AY267" i="7"/>
  <c r="AZ267" i="7"/>
  <c r="BA267" i="7"/>
  <c r="BB267" i="7"/>
  <c r="BC267" i="7"/>
  <c r="BD267" i="7"/>
  <c r="BE267" i="7"/>
  <c r="BF267" i="7"/>
  <c r="BG267" i="7"/>
  <c r="BH267" i="7"/>
  <c r="BI267" i="7"/>
  <c r="BJ267" i="7"/>
  <c r="BK267" i="7"/>
  <c r="BL267" i="7"/>
  <c r="BM267" i="7"/>
  <c r="BN267" i="7"/>
  <c r="BO267" i="7"/>
  <c r="BP267" i="7"/>
  <c r="BQ267" i="7"/>
  <c r="BR267" i="7"/>
  <c r="BS267" i="7"/>
  <c r="BT267" i="7"/>
  <c r="BU267" i="7"/>
  <c r="BV267" i="7"/>
  <c r="BW267" i="7"/>
  <c r="BX267" i="7"/>
  <c r="BY267" i="7"/>
  <c r="BZ267" i="7"/>
  <c r="CA267" i="7"/>
  <c r="CB267" i="7"/>
  <c r="CC267" i="7"/>
  <c r="CD267" i="7"/>
  <c r="CE267" i="7"/>
  <c r="CF267" i="7"/>
  <c r="CG267" i="7"/>
  <c r="CH267" i="7"/>
  <c r="CI267" i="7"/>
  <c r="CJ267" i="7"/>
  <c r="CK267" i="7"/>
  <c r="CL267" i="7"/>
  <c r="CM267" i="7"/>
  <c r="CN267" i="7"/>
  <c r="CO267" i="7"/>
  <c r="CP267" i="7"/>
  <c r="CQ267" i="7"/>
  <c r="CR267" i="7"/>
  <c r="CS267" i="7"/>
  <c r="CT267" i="7"/>
  <c r="CU267" i="7"/>
  <c r="CV267" i="7"/>
  <c r="CW267" i="7"/>
  <c r="CX267" i="7"/>
  <c r="CY267" i="7"/>
  <c r="CZ267" i="7"/>
  <c r="DA267" i="7"/>
  <c r="DB267" i="7"/>
  <c r="DC267" i="7"/>
  <c r="DD267" i="7"/>
  <c r="DE267" i="7"/>
  <c r="DF267" i="7"/>
  <c r="DG267" i="7"/>
  <c r="DH267" i="7"/>
  <c r="DI267" i="7"/>
  <c r="DJ267" i="7"/>
  <c r="DK267" i="7"/>
  <c r="DL267" i="7"/>
  <c r="DM267" i="7"/>
  <c r="DN267" i="7"/>
  <c r="DO267" i="7"/>
  <c r="DP267" i="7"/>
  <c r="DQ267" i="7"/>
  <c r="DR267" i="7"/>
  <c r="DS267" i="7"/>
  <c r="DT267" i="7"/>
  <c r="DU267" i="7"/>
  <c r="DV267" i="7"/>
  <c r="DW267" i="7"/>
  <c r="DX267" i="7"/>
  <c r="DY267" i="7"/>
  <c r="DZ267" i="7"/>
  <c r="EA267" i="7"/>
  <c r="EB267" i="7"/>
  <c r="EC267" i="7"/>
  <c r="ED267" i="7"/>
  <c r="EE267" i="7"/>
  <c r="EF267" i="7"/>
  <c r="EG267" i="7"/>
  <c r="EH267" i="7"/>
  <c r="EI267" i="7"/>
  <c r="EJ267" i="7"/>
  <c r="EK267" i="7"/>
  <c r="EL267" i="7"/>
  <c r="EM267" i="7"/>
  <c r="EN267" i="7"/>
  <c r="EO267" i="7"/>
  <c r="EP267" i="7"/>
  <c r="EQ267" i="7"/>
  <c r="ER267" i="7"/>
  <c r="ES267" i="7"/>
  <c r="ET267" i="7"/>
  <c r="EU267" i="7"/>
  <c r="EV267" i="7"/>
  <c r="EW267" i="7"/>
  <c r="EX267" i="7"/>
  <c r="EY267" i="7"/>
  <c r="EZ267" i="7"/>
  <c r="FA267" i="7"/>
  <c r="FB267" i="7"/>
  <c r="FC267" i="7"/>
  <c r="FD267" i="7"/>
  <c r="FE267" i="7"/>
  <c r="FF267" i="7"/>
  <c r="FG267" i="7"/>
  <c r="FH267" i="7"/>
  <c r="FI267" i="7"/>
  <c r="FJ267" i="7"/>
  <c r="FK267" i="7"/>
  <c r="FL267" i="7"/>
  <c r="FM267" i="7"/>
  <c r="FN267" i="7"/>
  <c r="FO267" i="7"/>
  <c r="FP267" i="7"/>
  <c r="FQ267" i="7"/>
  <c r="FR267" i="7"/>
  <c r="FS267" i="7"/>
  <c r="FT267" i="7"/>
  <c r="FU267" i="7"/>
  <c r="FV267" i="7"/>
  <c r="FW267" i="7"/>
  <c r="FX267" i="7"/>
  <c r="FY267" i="7"/>
  <c r="FZ267" i="7"/>
  <c r="GA267" i="7"/>
  <c r="GB267" i="7"/>
  <c r="GC267" i="7"/>
  <c r="GD267" i="7"/>
  <c r="GE267" i="7"/>
  <c r="GF267" i="7"/>
  <c r="GG267" i="7"/>
  <c r="GH267" i="7"/>
  <c r="GI267" i="7"/>
  <c r="GJ267" i="7"/>
  <c r="GK267" i="7"/>
  <c r="GL267" i="7"/>
  <c r="GM267" i="7"/>
  <c r="GN267" i="7"/>
  <c r="GO267" i="7"/>
  <c r="GP267" i="7"/>
  <c r="GQ267" i="7"/>
  <c r="GR267" i="7"/>
  <c r="GS267" i="7"/>
  <c r="GT267" i="7"/>
  <c r="GU267" i="7"/>
  <c r="GV267" i="7"/>
  <c r="GW267" i="7"/>
  <c r="GX267" i="7"/>
  <c r="GY267" i="7"/>
  <c r="GZ267" i="7"/>
  <c r="HA267" i="7"/>
  <c r="HB267" i="7"/>
  <c r="HC267" i="7"/>
  <c r="HD267" i="7"/>
  <c r="HE267" i="7"/>
  <c r="HF267" i="7"/>
  <c r="HG267" i="7"/>
  <c r="HH267" i="7"/>
  <c r="HI267" i="7"/>
  <c r="HJ267" i="7"/>
  <c r="HK267" i="7"/>
  <c r="HL267" i="7"/>
  <c r="HM267" i="7"/>
  <c r="HN267" i="7"/>
  <c r="HO267" i="7"/>
  <c r="HP267" i="7"/>
  <c r="HQ267" i="7"/>
  <c r="HR267" i="7"/>
  <c r="HS267" i="7"/>
  <c r="HT267" i="7"/>
  <c r="HU267" i="7"/>
  <c r="HV267" i="7"/>
  <c r="HW267" i="7"/>
  <c r="HX267" i="7"/>
  <c r="HY267" i="7"/>
  <c r="HZ267" i="7"/>
  <c r="IA267" i="7"/>
  <c r="IB267" i="7"/>
  <c r="IC267" i="7"/>
  <c r="ID267" i="7"/>
  <c r="IE267" i="7"/>
  <c r="IF267" i="7"/>
  <c r="IG267" i="7"/>
  <c r="IH267" i="7"/>
  <c r="II267" i="7"/>
  <c r="IJ267" i="7"/>
  <c r="IK267" i="7"/>
  <c r="IL267" i="7"/>
  <c r="IM267" i="7"/>
  <c r="IN267" i="7"/>
  <c r="IO267" i="7"/>
  <c r="IP267" i="7"/>
  <c r="IQ267" i="7"/>
  <c r="IR267" i="7"/>
  <c r="IS267" i="7"/>
  <c r="IT267" i="7"/>
  <c r="IU267" i="7"/>
  <c r="IV267" i="7"/>
  <c r="A266" i="7"/>
  <c r="B266" i="7"/>
  <c r="C266" i="7"/>
  <c r="D266" i="7"/>
  <c r="E266" i="7"/>
  <c r="F266" i="7"/>
  <c r="G266" i="7"/>
  <c r="H266" i="7"/>
  <c r="I266" i="7"/>
  <c r="J266" i="7"/>
  <c r="K266" i="7"/>
  <c r="L266" i="7"/>
  <c r="M266" i="7"/>
  <c r="N266" i="7"/>
  <c r="O266" i="7"/>
  <c r="P266" i="7"/>
  <c r="Q266" i="7"/>
  <c r="R266" i="7"/>
  <c r="S266" i="7"/>
  <c r="T266" i="7"/>
  <c r="U266" i="7"/>
  <c r="V266" i="7"/>
  <c r="W266" i="7"/>
  <c r="X266" i="7"/>
  <c r="Y266" i="7"/>
  <c r="Z266" i="7"/>
  <c r="AA266" i="7"/>
  <c r="AB266" i="7"/>
  <c r="AC266" i="7"/>
  <c r="AD266" i="7"/>
  <c r="AE266" i="7"/>
  <c r="AF266" i="7"/>
  <c r="AG266" i="7"/>
  <c r="AH266" i="7"/>
  <c r="AI266" i="7"/>
  <c r="AJ266" i="7"/>
  <c r="AK266" i="7"/>
  <c r="AL266" i="7"/>
  <c r="AM266" i="7"/>
  <c r="AN266" i="7"/>
  <c r="AO266" i="7"/>
  <c r="AP266" i="7"/>
  <c r="AQ266" i="7"/>
  <c r="AR266" i="7"/>
  <c r="AS266" i="7"/>
  <c r="AT266" i="7"/>
  <c r="AU266" i="7"/>
  <c r="AV266" i="7"/>
  <c r="AW266" i="7"/>
  <c r="AX266" i="7"/>
  <c r="AY266" i="7"/>
  <c r="AZ266" i="7"/>
  <c r="BA266" i="7"/>
  <c r="BB266" i="7"/>
  <c r="BC266" i="7"/>
  <c r="BD266" i="7"/>
  <c r="BE266" i="7"/>
  <c r="BF266" i="7"/>
  <c r="BG266" i="7"/>
  <c r="BH266" i="7"/>
  <c r="BI266" i="7"/>
  <c r="BJ266" i="7"/>
  <c r="BK266" i="7"/>
  <c r="BL266" i="7"/>
  <c r="BM266" i="7"/>
  <c r="BN266" i="7"/>
  <c r="BO266" i="7"/>
  <c r="BP266" i="7"/>
  <c r="BQ266" i="7"/>
  <c r="BR266" i="7"/>
  <c r="BS266" i="7"/>
  <c r="BT266" i="7"/>
  <c r="BU266" i="7"/>
  <c r="BV266" i="7"/>
  <c r="BW266" i="7"/>
  <c r="BX266" i="7"/>
  <c r="BY266" i="7"/>
  <c r="BZ266" i="7"/>
  <c r="CA266" i="7"/>
  <c r="CB266" i="7"/>
  <c r="CC266" i="7"/>
  <c r="CD266" i="7"/>
  <c r="CE266" i="7"/>
  <c r="CF266" i="7"/>
  <c r="CG266" i="7"/>
  <c r="CH266" i="7"/>
  <c r="CI266" i="7"/>
  <c r="CJ266" i="7"/>
  <c r="CK266" i="7"/>
  <c r="CL266" i="7"/>
  <c r="CM266" i="7"/>
  <c r="CN266" i="7"/>
  <c r="CO266" i="7"/>
  <c r="CP266" i="7"/>
  <c r="CQ266" i="7"/>
  <c r="CR266" i="7"/>
  <c r="CS266" i="7"/>
  <c r="CT266" i="7"/>
  <c r="CU266" i="7"/>
  <c r="CV266" i="7"/>
  <c r="CW266" i="7"/>
  <c r="CX266" i="7"/>
  <c r="CY266" i="7"/>
  <c r="CZ266" i="7"/>
  <c r="DA266" i="7"/>
  <c r="DB266" i="7"/>
  <c r="DC266" i="7"/>
  <c r="DD266" i="7"/>
  <c r="DE266" i="7"/>
  <c r="DF266" i="7"/>
  <c r="DG266" i="7"/>
  <c r="DH266" i="7"/>
  <c r="DI266" i="7"/>
  <c r="DJ266" i="7"/>
  <c r="DK266" i="7"/>
  <c r="DL266" i="7"/>
  <c r="DM266" i="7"/>
  <c r="DN266" i="7"/>
  <c r="DO266" i="7"/>
  <c r="DP266" i="7"/>
  <c r="DQ266" i="7"/>
  <c r="DR266" i="7"/>
  <c r="DS266" i="7"/>
  <c r="DT266" i="7"/>
  <c r="DU266" i="7"/>
  <c r="DV266" i="7"/>
  <c r="DW266" i="7"/>
  <c r="DX266" i="7"/>
  <c r="DY266" i="7"/>
  <c r="DZ266" i="7"/>
  <c r="EA266" i="7"/>
  <c r="EB266" i="7"/>
  <c r="EC266" i="7"/>
  <c r="ED266" i="7"/>
  <c r="EE266" i="7"/>
  <c r="EF266" i="7"/>
  <c r="EG266" i="7"/>
  <c r="EH266" i="7"/>
  <c r="EI266" i="7"/>
  <c r="EJ266" i="7"/>
  <c r="EK266" i="7"/>
  <c r="EL266" i="7"/>
  <c r="EM266" i="7"/>
  <c r="EN266" i="7"/>
  <c r="EO266" i="7"/>
  <c r="EP266" i="7"/>
  <c r="EQ266" i="7"/>
  <c r="ER266" i="7"/>
  <c r="ES266" i="7"/>
  <c r="ET266" i="7"/>
  <c r="EU266" i="7"/>
  <c r="EV266" i="7"/>
  <c r="EW266" i="7"/>
  <c r="EX266" i="7"/>
  <c r="EY266" i="7"/>
  <c r="EZ266" i="7"/>
  <c r="FA266" i="7"/>
  <c r="FB266" i="7"/>
  <c r="FC266" i="7"/>
  <c r="FD266" i="7"/>
  <c r="FE266" i="7"/>
  <c r="FF266" i="7"/>
  <c r="FG266" i="7"/>
  <c r="FH266" i="7"/>
  <c r="FI266" i="7"/>
  <c r="FJ266" i="7"/>
  <c r="FK266" i="7"/>
  <c r="FL266" i="7"/>
  <c r="FM266" i="7"/>
  <c r="FN266" i="7"/>
  <c r="FO266" i="7"/>
  <c r="FP266" i="7"/>
  <c r="FQ266" i="7"/>
  <c r="FR266" i="7"/>
  <c r="FS266" i="7"/>
  <c r="FT266" i="7"/>
  <c r="FU266" i="7"/>
  <c r="FV266" i="7"/>
  <c r="FW266" i="7"/>
  <c r="FX266" i="7"/>
  <c r="FY266" i="7"/>
  <c r="FZ266" i="7"/>
  <c r="GA266" i="7"/>
  <c r="GB266" i="7"/>
  <c r="GC266" i="7"/>
  <c r="GD266" i="7"/>
  <c r="GE266" i="7"/>
  <c r="GF266" i="7"/>
  <c r="GG266" i="7"/>
  <c r="GH266" i="7"/>
  <c r="GI266" i="7"/>
  <c r="GJ266" i="7"/>
  <c r="GK266" i="7"/>
  <c r="GL266" i="7"/>
  <c r="GM266" i="7"/>
  <c r="GN266" i="7"/>
  <c r="GO266" i="7"/>
  <c r="GP266" i="7"/>
  <c r="GQ266" i="7"/>
  <c r="GR266" i="7"/>
  <c r="GS266" i="7"/>
  <c r="GT266" i="7"/>
  <c r="GU266" i="7"/>
  <c r="GV266" i="7"/>
  <c r="GW266" i="7"/>
  <c r="GX266" i="7"/>
  <c r="GY266" i="7"/>
  <c r="GZ266" i="7"/>
  <c r="HA266" i="7"/>
  <c r="HB266" i="7"/>
  <c r="HC266" i="7"/>
  <c r="HD266" i="7"/>
  <c r="HE266" i="7"/>
  <c r="HF266" i="7"/>
  <c r="HG266" i="7"/>
  <c r="HH266" i="7"/>
  <c r="HI266" i="7"/>
  <c r="HJ266" i="7"/>
  <c r="HK266" i="7"/>
  <c r="HL266" i="7"/>
  <c r="HM266" i="7"/>
  <c r="HN266" i="7"/>
  <c r="HO266" i="7"/>
  <c r="HP266" i="7"/>
  <c r="HQ266" i="7"/>
  <c r="HR266" i="7"/>
  <c r="HS266" i="7"/>
  <c r="HT266" i="7"/>
  <c r="HU266" i="7"/>
  <c r="HV266" i="7"/>
  <c r="HW266" i="7"/>
  <c r="HX266" i="7"/>
  <c r="HY266" i="7"/>
  <c r="HZ266" i="7"/>
  <c r="IA266" i="7"/>
  <c r="IB266" i="7"/>
  <c r="IC266" i="7"/>
  <c r="ID266" i="7"/>
  <c r="IE266" i="7"/>
  <c r="IF266" i="7"/>
  <c r="IG266" i="7"/>
  <c r="IH266" i="7"/>
  <c r="II266" i="7"/>
  <c r="IJ266" i="7"/>
  <c r="IK266" i="7"/>
  <c r="IL266" i="7"/>
  <c r="IM266" i="7"/>
  <c r="IN266" i="7"/>
  <c r="IO266" i="7"/>
  <c r="IP266" i="7"/>
  <c r="IQ266" i="7"/>
  <c r="IR266" i="7"/>
  <c r="IS266" i="7"/>
  <c r="IT266" i="7"/>
  <c r="IU266" i="7"/>
  <c r="IV266" i="7"/>
  <c r="A265" i="7"/>
  <c r="B265" i="7"/>
  <c r="C265" i="7"/>
  <c r="D265" i="7"/>
  <c r="E265" i="7"/>
  <c r="F265" i="7"/>
  <c r="G265" i="7"/>
  <c r="H265" i="7"/>
  <c r="I265" i="7"/>
  <c r="J265" i="7"/>
  <c r="K265" i="7"/>
  <c r="L265" i="7"/>
  <c r="M265" i="7"/>
  <c r="N265" i="7"/>
  <c r="O265" i="7"/>
  <c r="P265" i="7"/>
  <c r="Q265" i="7"/>
  <c r="R265" i="7"/>
  <c r="S265" i="7"/>
  <c r="T265" i="7"/>
  <c r="U265" i="7"/>
  <c r="V265" i="7"/>
  <c r="W265" i="7"/>
  <c r="X265" i="7"/>
  <c r="Y265" i="7"/>
  <c r="Z265" i="7"/>
  <c r="AA265" i="7"/>
  <c r="AB265" i="7"/>
  <c r="AC265" i="7"/>
  <c r="AD265" i="7"/>
  <c r="AE265" i="7"/>
  <c r="AF265" i="7"/>
  <c r="AG265" i="7"/>
  <c r="AH265" i="7"/>
  <c r="AI265" i="7"/>
  <c r="AJ265" i="7"/>
  <c r="AK265" i="7"/>
  <c r="AL265" i="7"/>
  <c r="AM265" i="7"/>
  <c r="AN265" i="7"/>
  <c r="AO265" i="7"/>
  <c r="AP265" i="7"/>
  <c r="AQ265" i="7"/>
  <c r="AR265" i="7"/>
  <c r="AS265" i="7"/>
  <c r="AT265" i="7"/>
  <c r="AU265" i="7"/>
  <c r="AV265" i="7"/>
  <c r="AW265" i="7"/>
  <c r="AX265" i="7"/>
  <c r="AY265" i="7"/>
  <c r="AZ265" i="7"/>
  <c r="BA265" i="7"/>
  <c r="BB265" i="7"/>
  <c r="BC265" i="7"/>
  <c r="BD265" i="7"/>
  <c r="BE265" i="7"/>
  <c r="BF265" i="7"/>
  <c r="BG265" i="7"/>
  <c r="BH265" i="7"/>
  <c r="BI265" i="7"/>
  <c r="BJ265" i="7"/>
  <c r="BK265" i="7"/>
  <c r="BL265" i="7"/>
  <c r="BM265" i="7"/>
  <c r="BN265" i="7"/>
  <c r="BO265" i="7"/>
  <c r="BP265" i="7"/>
  <c r="BQ265" i="7"/>
  <c r="BR265" i="7"/>
  <c r="BS265" i="7"/>
  <c r="BT265" i="7"/>
  <c r="BU265" i="7"/>
  <c r="BV265" i="7"/>
  <c r="BW265" i="7"/>
  <c r="BX265" i="7"/>
  <c r="BY265" i="7"/>
  <c r="BZ265" i="7"/>
  <c r="CA265" i="7"/>
  <c r="CB265" i="7"/>
  <c r="CC265" i="7"/>
  <c r="CD265" i="7"/>
  <c r="CE265" i="7"/>
  <c r="CF265" i="7"/>
  <c r="CG265" i="7"/>
  <c r="CH265" i="7"/>
  <c r="CI265" i="7"/>
  <c r="CJ265" i="7"/>
  <c r="CK265" i="7"/>
  <c r="CL265" i="7"/>
  <c r="CM265" i="7"/>
  <c r="CN265" i="7"/>
  <c r="CO265" i="7"/>
  <c r="CP265" i="7"/>
  <c r="CQ265" i="7"/>
  <c r="CR265" i="7"/>
  <c r="CS265" i="7"/>
  <c r="CT265" i="7"/>
  <c r="CU265" i="7"/>
  <c r="CV265" i="7"/>
  <c r="CW265" i="7"/>
  <c r="CX265" i="7"/>
  <c r="CY265" i="7"/>
  <c r="CZ265" i="7"/>
  <c r="DA265" i="7"/>
  <c r="DB265" i="7"/>
  <c r="DC265" i="7"/>
  <c r="DD265" i="7"/>
  <c r="DE265" i="7"/>
  <c r="DF265" i="7"/>
  <c r="DG265" i="7"/>
  <c r="DH265" i="7"/>
  <c r="DI265" i="7"/>
  <c r="DJ265" i="7"/>
  <c r="DK265" i="7"/>
  <c r="DL265" i="7"/>
  <c r="DM265" i="7"/>
  <c r="DN265" i="7"/>
  <c r="DO265" i="7"/>
  <c r="DP265" i="7"/>
  <c r="DQ265" i="7"/>
  <c r="DR265" i="7"/>
  <c r="DS265" i="7"/>
  <c r="DT265" i="7"/>
  <c r="DU265" i="7"/>
  <c r="DV265" i="7"/>
  <c r="DW265" i="7"/>
  <c r="DX265" i="7"/>
  <c r="DY265" i="7"/>
  <c r="DZ265" i="7"/>
  <c r="EA265" i="7"/>
  <c r="EB265" i="7"/>
  <c r="EC265" i="7"/>
  <c r="ED265" i="7"/>
  <c r="EE265" i="7"/>
  <c r="EF265" i="7"/>
  <c r="EG265" i="7"/>
  <c r="EH265" i="7"/>
  <c r="EI265" i="7"/>
  <c r="EJ265" i="7"/>
  <c r="EK265" i="7"/>
  <c r="EL265" i="7"/>
  <c r="EM265" i="7"/>
  <c r="EN265" i="7"/>
  <c r="EO265" i="7"/>
  <c r="EP265" i="7"/>
  <c r="EQ265" i="7"/>
  <c r="ER265" i="7"/>
  <c r="ES265" i="7"/>
  <c r="ET265" i="7"/>
  <c r="EU265" i="7"/>
  <c r="EV265" i="7"/>
  <c r="EW265" i="7"/>
  <c r="EX265" i="7"/>
  <c r="EY265" i="7"/>
  <c r="EZ265" i="7"/>
  <c r="FA265" i="7"/>
  <c r="FB265" i="7"/>
  <c r="FC265" i="7"/>
  <c r="FD265" i="7"/>
  <c r="FE265" i="7"/>
  <c r="FF265" i="7"/>
  <c r="FG265" i="7"/>
  <c r="FH265" i="7"/>
  <c r="FI265" i="7"/>
  <c r="FJ265" i="7"/>
  <c r="FK265" i="7"/>
  <c r="FL265" i="7"/>
  <c r="FM265" i="7"/>
  <c r="FN265" i="7"/>
  <c r="FO265" i="7"/>
  <c r="FP265" i="7"/>
  <c r="FQ265" i="7"/>
  <c r="FR265" i="7"/>
  <c r="FS265" i="7"/>
  <c r="FT265" i="7"/>
  <c r="FU265" i="7"/>
  <c r="FV265" i="7"/>
  <c r="FW265" i="7"/>
  <c r="FX265" i="7"/>
  <c r="FY265" i="7"/>
  <c r="FZ265" i="7"/>
  <c r="GA265" i="7"/>
  <c r="GB265" i="7"/>
  <c r="GC265" i="7"/>
  <c r="GD265" i="7"/>
  <c r="GE265" i="7"/>
  <c r="GF265" i="7"/>
  <c r="GG265" i="7"/>
  <c r="GH265" i="7"/>
  <c r="GI265" i="7"/>
  <c r="GJ265" i="7"/>
  <c r="GK265" i="7"/>
  <c r="GL265" i="7"/>
  <c r="GM265" i="7"/>
  <c r="GN265" i="7"/>
  <c r="GO265" i="7"/>
  <c r="GP265" i="7"/>
  <c r="GQ265" i="7"/>
  <c r="GR265" i="7"/>
  <c r="GS265" i="7"/>
  <c r="GT265" i="7"/>
  <c r="GU265" i="7"/>
  <c r="GV265" i="7"/>
  <c r="GW265" i="7"/>
  <c r="GX265" i="7"/>
  <c r="GY265" i="7"/>
  <c r="GZ265" i="7"/>
  <c r="HA265" i="7"/>
  <c r="HB265" i="7"/>
  <c r="HC265" i="7"/>
  <c r="HD265" i="7"/>
  <c r="HE265" i="7"/>
  <c r="HF265" i="7"/>
  <c r="HG265" i="7"/>
  <c r="HH265" i="7"/>
  <c r="HI265" i="7"/>
  <c r="HJ265" i="7"/>
  <c r="HK265" i="7"/>
  <c r="HL265" i="7"/>
  <c r="HM265" i="7"/>
  <c r="HN265" i="7"/>
  <c r="HO265" i="7"/>
  <c r="HP265" i="7"/>
  <c r="HQ265" i="7"/>
  <c r="HR265" i="7"/>
  <c r="HS265" i="7"/>
  <c r="HT265" i="7"/>
  <c r="HU265" i="7"/>
  <c r="HV265" i="7"/>
  <c r="HW265" i="7"/>
  <c r="HX265" i="7"/>
  <c r="HY265" i="7"/>
  <c r="HZ265" i="7"/>
  <c r="IA265" i="7"/>
  <c r="IB265" i="7"/>
  <c r="IC265" i="7"/>
  <c r="ID265" i="7"/>
  <c r="IE265" i="7"/>
  <c r="IF265" i="7"/>
  <c r="IG265" i="7"/>
  <c r="IH265" i="7"/>
  <c r="II265" i="7"/>
  <c r="IJ265" i="7"/>
  <c r="IK265" i="7"/>
  <c r="IL265" i="7"/>
  <c r="IM265" i="7"/>
  <c r="IN265" i="7"/>
  <c r="IO265" i="7"/>
  <c r="IP265" i="7"/>
  <c r="IQ265" i="7"/>
  <c r="IR265" i="7"/>
  <c r="IS265" i="7"/>
  <c r="IT265" i="7"/>
  <c r="IU265" i="7"/>
  <c r="IV265" i="7"/>
  <c r="A264" i="7"/>
  <c r="B264" i="7"/>
  <c r="C264" i="7"/>
  <c r="D264" i="7"/>
  <c r="E264" i="7"/>
  <c r="F264" i="7"/>
  <c r="G264" i="7"/>
  <c r="H264" i="7"/>
  <c r="I264" i="7"/>
  <c r="J264" i="7"/>
  <c r="K264" i="7"/>
  <c r="L264" i="7"/>
  <c r="M264" i="7"/>
  <c r="N264" i="7"/>
  <c r="O264" i="7"/>
  <c r="P264" i="7"/>
  <c r="Q264" i="7"/>
  <c r="R264" i="7"/>
  <c r="S264" i="7"/>
  <c r="T264" i="7"/>
  <c r="U264" i="7"/>
  <c r="V264" i="7"/>
  <c r="W264" i="7"/>
  <c r="X264" i="7"/>
  <c r="Y264" i="7"/>
  <c r="Z264" i="7"/>
  <c r="AA264" i="7"/>
  <c r="AB264" i="7"/>
  <c r="AC264" i="7"/>
  <c r="AD264" i="7"/>
  <c r="AE264" i="7"/>
  <c r="AF264" i="7"/>
  <c r="AG264" i="7"/>
  <c r="AH264" i="7"/>
  <c r="AI264" i="7"/>
  <c r="AJ264" i="7"/>
  <c r="AK264" i="7"/>
  <c r="AL264" i="7"/>
  <c r="AM264" i="7"/>
  <c r="AN264" i="7"/>
  <c r="AO264" i="7"/>
  <c r="AP264" i="7"/>
  <c r="AQ264" i="7"/>
  <c r="AR264" i="7"/>
  <c r="AS264" i="7"/>
  <c r="AT264" i="7"/>
  <c r="AU264" i="7"/>
  <c r="AV264" i="7"/>
  <c r="AW264" i="7"/>
  <c r="AX264" i="7"/>
  <c r="AY264" i="7"/>
  <c r="AZ264" i="7"/>
  <c r="BA264" i="7"/>
  <c r="BB264" i="7"/>
  <c r="BC264" i="7"/>
  <c r="BD264" i="7"/>
  <c r="BE264" i="7"/>
  <c r="BF264" i="7"/>
  <c r="BG264" i="7"/>
  <c r="BH264" i="7"/>
  <c r="BI264" i="7"/>
  <c r="BJ264" i="7"/>
  <c r="BK264" i="7"/>
  <c r="BL264" i="7"/>
  <c r="BM264" i="7"/>
  <c r="BN264" i="7"/>
  <c r="BO264" i="7"/>
  <c r="BP264" i="7"/>
  <c r="BQ264" i="7"/>
  <c r="BR264" i="7"/>
  <c r="BS264" i="7"/>
  <c r="BT264" i="7"/>
  <c r="BU264" i="7"/>
  <c r="BV264" i="7"/>
  <c r="BW264" i="7"/>
  <c r="BX264" i="7"/>
  <c r="BY264" i="7"/>
  <c r="BZ264" i="7"/>
  <c r="CA264" i="7"/>
  <c r="CB264" i="7"/>
  <c r="CC264" i="7"/>
  <c r="CD264" i="7"/>
  <c r="CE264" i="7"/>
  <c r="CF264" i="7"/>
  <c r="CG264" i="7"/>
  <c r="CH264" i="7"/>
  <c r="CI264" i="7"/>
  <c r="CJ264" i="7"/>
  <c r="CK264" i="7"/>
  <c r="CL264" i="7"/>
  <c r="CM264" i="7"/>
  <c r="CN264" i="7"/>
  <c r="CO264" i="7"/>
  <c r="CP264" i="7"/>
  <c r="CQ264" i="7"/>
  <c r="CR264" i="7"/>
  <c r="CS264" i="7"/>
  <c r="CT264" i="7"/>
  <c r="CU264" i="7"/>
  <c r="CV264" i="7"/>
  <c r="CW264" i="7"/>
  <c r="CX264" i="7"/>
  <c r="CY264" i="7"/>
  <c r="CZ264" i="7"/>
  <c r="DA264" i="7"/>
  <c r="DB264" i="7"/>
  <c r="DC264" i="7"/>
  <c r="DD264" i="7"/>
  <c r="DE264" i="7"/>
  <c r="DF264" i="7"/>
  <c r="DG264" i="7"/>
  <c r="DH264" i="7"/>
  <c r="DI264" i="7"/>
  <c r="DJ264" i="7"/>
  <c r="DK264" i="7"/>
  <c r="DL264" i="7"/>
  <c r="DM264" i="7"/>
  <c r="DN264" i="7"/>
  <c r="DO264" i="7"/>
  <c r="DP264" i="7"/>
  <c r="DQ264" i="7"/>
  <c r="DR264" i="7"/>
  <c r="DS264" i="7"/>
  <c r="DT264" i="7"/>
  <c r="DU264" i="7"/>
  <c r="DV264" i="7"/>
  <c r="DW264" i="7"/>
  <c r="DX264" i="7"/>
  <c r="DY264" i="7"/>
  <c r="DZ264" i="7"/>
  <c r="EA264" i="7"/>
  <c r="EB264" i="7"/>
  <c r="EC264" i="7"/>
  <c r="ED264" i="7"/>
  <c r="EE264" i="7"/>
  <c r="EF264" i="7"/>
  <c r="EG264" i="7"/>
  <c r="EH264" i="7"/>
  <c r="EI264" i="7"/>
  <c r="EJ264" i="7"/>
  <c r="EK264" i="7"/>
  <c r="EL264" i="7"/>
  <c r="EM264" i="7"/>
  <c r="EN264" i="7"/>
  <c r="EO264" i="7"/>
  <c r="EP264" i="7"/>
  <c r="EQ264" i="7"/>
  <c r="ER264" i="7"/>
  <c r="ES264" i="7"/>
  <c r="ET264" i="7"/>
  <c r="EU264" i="7"/>
  <c r="EV264" i="7"/>
  <c r="EW264" i="7"/>
  <c r="EX264" i="7"/>
  <c r="EY264" i="7"/>
  <c r="EZ264" i="7"/>
  <c r="FA264" i="7"/>
  <c r="FB264" i="7"/>
  <c r="FC264" i="7"/>
  <c r="FD264" i="7"/>
  <c r="FE264" i="7"/>
  <c r="FF264" i="7"/>
  <c r="FG264" i="7"/>
  <c r="FH264" i="7"/>
  <c r="FI264" i="7"/>
  <c r="FJ264" i="7"/>
  <c r="FK264" i="7"/>
  <c r="FL264" i="7"/>
  <c r="FM264" i="7"/>
  <c r="FN264" i="7"/>
  <c r="FO264" i="7"/>
  <c r="FP264" i="7"/>
  <c r="FQ264" i="7"/>
  <c r="FR264" i="7"/>
  <c r="FS264" i="7"/>
  <c r="FT264" i="7"/>
  <c r="FU264" i="7"/>
  <c r="FV264" i="7"/>
  <c r="FW264" i="7"/>
  <c r="FX264" i="7"/>
  <c r="FY264" i="7"/>
  <c r="FZ264" i="7"/>
  <c r="GA264" i="7"/>
  <c r="GB264" i="7"/>
  <c r="GC264" i="7"/>
  <c r="GD264" i="7"/>
  <c r="GE264" i="7"/>
  <c r="GF264" i="7"/>
  <c r="GG264" i="7"/>
  <c r="GH264" i="7"/>
  <c r="GI264" i="7"/>
  <c r="GJ264" i="7"/>
  <c r="GK264" i="7"/>
  <c r="GL264" i="7"/>
  <c r="GM264" i="7"/>
  <c r="GN264" i="7"/>
  <c r="GO264" i="7"/>
  <c r="GP264" i="7"/>
  <c r="GQ264" i="7"/>
  <c r="GR264" i="7"/>
  <c r="GS264" i="7"/>
  <c r="GT264" i="7"/>
  <c r="GU264" i="7"/>
  <c r="GV264" i="7"/>
  <c r="GW264" i="7"/>
  <c r="GX264" i="7"/>
  <c r="GY264" i="7"/>
  <c r="GZ264" i="7"/>
  <c r="HA264" i="7"/>
  <c r="HB264" i="7"/>
  <c r="HC264" i="7"/>
  <c r="HD264" i="7"/>
  <c r="HE264" i="7"/>
  <c r="HF264" i="7"/>
  <c r="HG264" i="7"/>
  <c r="HH264" i="7"/>
  <c r="HI264" i="7"/>
  <c r="HJ264" i="7"/>
  <c r="HK264" i="7"/>
  <c r="HL264" i="7"/>
  <c r="HM264" i="7"/>
  <c r="HN264" i="7"/>
  <c r="HO264" i="7"/>
  <c r="HP264" i="7"/>
  <c r="HQ264" i="7"/>
  <c r="HR264" i="7"/>
  <c r="HS264" i="7"/>
  <c r="HT264" i="7"/>
  <c r="HU264" i="7"/>
  <c r="HV264" i="7"/>
  <c r="HW264" i="7"/>
  <c r="HX264" i="7"/>
  <c r="HY264" i="7"/>
  <c r="HZ264" i="7"/>
  <c r="IA264" i="7"/>
  <c r="IB264" i="7"/>
  <c r="IC264" i="7"/>
  <c r="ID264" i="7"/>
  <c r="IE264" i="7"/>
  <c r="IF264" i="7"/>
  <c r="IG264" i="7"/>
  <c r="IH264" i="7"/>
  <c r="II264" i="7"/>
  <c r="IJ264" i="7"/>
  <c r="IK264" i="7"/>
  <c r="IL264" i="7"/>
  <c r="IM264" i="7"/>
  <c r="IN264" i="7"/>
  <c r="IO264" i="7"/>
  <c r="IP264" i="7"/>
  <c r="IQ264" i="7"/>
  <c r="IR264" i="7"/>
  <c r="IS264" i="7"/>
  <c r="IT264" i="7"/>
  <c r="IU264" i="7"/>
  <c r="IV264" i="7"/>
  <c r="A263" i="7"/>
  <c r="B263" i="7"/>
  <c r="C263" i="7"/>
  <c r="D263" i="7"/>
  <c r="E263" i="7"/>
  <c r="F263" i="7"/>
  <c r="G263" i="7"/>
  <c r="H263" i="7"/>
  <c r="I263" i="7"/>
  <c r="J263" i="7"/>
  <c r="K263" i="7"/>
  <c r="L263" i="7"/>
  <c r="M263" i="7"/>
  <c r="N263" i="7"/>
  <c r="O263" i="7"/>
  <c r="P263" i="7"/>
  <c r="Q263" i="7"/>
  <c r="R263" i="7"/>
  <c r="S263" i="7"/>
  <c r="T263" i="7"/>
  <c r="U263" i="7"/>
  <c r="V263" i="7"/>
  <c r="W263" i="7"/>
  <c r="X263" i="7"/>
  <c r="Y263" i="7"/>
  <c r="Z263" i="7"/>
  <c r="AA263" i="7"/>
  <c r="AB263" i="7"/>
  <c r="AC263" i="7"/>
  <c r="AD263" i="7"/>
  <c r="AE263" i="7"/>
  <c r="AF263" i="7"/>
  <c r="AG263" i="7"/>
  <c r="AH263" i="7"/>
  <c r="AI263" i="7"/>
  <c r="AJ263" i="7"/>
  <c r="AK263" i="7"/>
  <c r="AL263" i="7"/>
  <c r="AM263" i="7"/>
  <c r="AN263" i="7"/>
  <c r="AO263" i="7"/>
  <c r="AP263" i="7"/>
  <c r="AQ263" i="7"/>
  <c r="AR263" i="7"/>
  <c r="AS263" i="7"/>
  <c r="AT263" i="7"/>
  <c r="AU263" i="7"/>
  <c r="AV263" i="7"/>
  <c r="AW263" i="7"/>
  <c r="AX263" i="7"/>
  <c r="AY263" i="7"/>
  <c r="AZ263" i="7"/>
  <c r="BA263" i="7"/>
  <c r="BB263" i="7"/>
  <c r="BC263" i="7"/>
  <c r="BD263" i="7"/>
  <c r="BE263" i="7"/>
  <c r="BF263" i="7"/>
  <c r="BG263" i="7"/>
  <c r="BH263" i="7"/>
  <c r="BI263" i="7"/>
  <c r="BJ263" i="7"/>
  <c r="BK263" i="7"/>
  <c r="BL263" i="7"/>
  <c r="BM263" i="7"/>
  <c r="BN263" i="7"/>
  <c r="BO263" i="7"/>
  <c r="BP263" i="7"/>
  <c r="BQ263" i="7"/>
  <c r="BR263" i="7"/>
  <c r="BS263" i="7"/>
  <c r="BT263" i="7"/>
  <c r="BU263" i="7"/>
  <c r="BV263" i="7"/>
  <c r="BW263" i="7"/>
  <c r="BX263" i="7"/>
  <c r="BY263" i="7"/>
  <c r="BZ263" i="7"/>
  <c r="CA263" i="7"/>
  <c r="CB263" i="7"/>
  <c r="CC263" i="7"/>
  <c r="CD263" i="7"/>
  <c r="CE263" i="7"/>
  <c r="CF263" i="7"/>
  <c r="CG263" i="7"/>
  <c r="CH263" i="7"/>
  <c r="CI263" i="7"/>
  <c r="CJ263" i="7"/>
  <c r="CK263" i="7"/>
  <c r="CL263" i="7"/>
  <c r="CM263" i="7"/>
  <c r="CN263" i="7"/>
  <c r="CO263" i="7"/>
  <c r="CP263" i="7"/>
  <c r="CQ263" i="7"/>
  <c r="CR263" i="7"/>
  <c r="CS263" i="7"/>
  <c r="CT263" i="7"/>
  <c r="CU263" i="7"/>
  <c r="CV263" i="7"/>
  <c r="CW263" i="7"/>
  <c r="CX263" i="7"/>
  <c r="CY263" i="7"/>
  <c r="CZ263" i="7"/>
  <c r="DA263" i="7"/>
  <c r="DB263" i="7"/>
  <c r="DC263" i="7"/>
  <c r="DD263" i="7"/>
  <c r="DE263" i="7"/>
  <c r="DF263" i="7"/>
  <c r="DG263" i="7"/>
  <c r="DH263" i="7"/>
  <c r="DI263" i="7"/>
  <c r="DJ263" i="7"/>
  <c r="DK263" i="7"/>
  <c r="DL263" i="7"/>
  <c r="DM263" i="7"/>
  <c r="DN263" i="7"/>
  <c r="DO263" i="7"/>
  <c r="DP263" i="7"/>
  <c r="DQ263" i="7"/>
  <c r="DR263" i="7"/>
  <c r="DS263" i="7"/>
  <c r="DT263" i="7"/>
  <c r="DU263" i="7"/>
  <c r="DV263" i="7"/>
  <c r="DW263" i="7"/>
  <c r="DX263" i="7"/>
  <c r="DY263" i="7"/>
  <c r="DZ263" i="7"/>
  <c r="EA263" i="7"/>
  <c r="EB263" i="7"/>
  <c r="EC263" i="7"/>
  <c r="ED263" i="7"/>
  <c r="EE263" i="7"/>
  <c r="EF263" i="7"/>
  <c r="EG263" i="7"/>
  <c r="EH263" i="7"/>
  <c r="EI263" i="7"/>
  <c r="EJ263" i="7"/>
  <c r="EK263" i="7"/>
  <c r="EL263" i="7"/>
  <c r="EM263" i="7"/>
  <c r="EN263" i="7"/>
  <c r="EO263" i="7"/>
  <c r="EP263" i="7"/>
  <c r="EQ263" i="7"/>
  <c r="ER263" i="7"/>
  <c r="ES263" i="7"/>
  <c r="ET263" i="7"/>
  <c r="EU263" i="7"/>
  <c r="EV263" i="7"/>
  <c r="EW263" i="7"/>
  <c r="EX263" i="7"/>
  <c r="EY263" i="7"/>
  <c r="EZ263" i="7"/>
  <c r="FA263" i="7"/>
  <c r="FB263" i="7"/>
  <c r="FC263" i="7"/>
  <c r="FD263" i="7"/>
  <c r="FE263" i="7"/>
  <c r="FF263" i="7"/>
  <c r="FG263" i="7"/>
  <c r="FH263" i="7"/>
  <c r="FI263" i="7"/>
  <c r="FJ263" i="7"/>
  <c r="FK263" i="7"/>
  <c r="FL263" i="7"/>
  <c r="FM263" i="7"/>
  <c r="FN263" i="7"/>
  <c r="FO263" i="7"/>
  <c r="FP263" i="7"/>
  <c r="FQ263" i="7"/>
  <c r="FR263" i="7"/>
  <c r="FS263" i="7"/>
  <c r="FT263" i="7"/>
  <c r="FU263" i="7"/>
  <c r="FV263" i="7"/>
  <c r="FW263" i="7"/>
  <c r="FX263" i="7"/>
  <c r="FY263" i="7"/>
  <c r="FZ263" i="7"/>
  <c r="GA263" i="7"/>
  <c r="GB263" i="7"/>
  <c r="GC263" i="7"/>
  <c r="GD263" i="7"/>
  <c r="GE263" i="7"/>
  <c r="GF263" i="7"/>
  <c r="GG263" i="7"/>
  <c r="GH263" i="7"/>
  <c r="GI263" i="7"/>
  <c r="GJ263" i="7"/>
  <c r="GK263" i="7"/>
  <c r="GL263" i="7"/>
  <c r="GM263" i="7"/>
  <c r="GN263" i="7"/>
  <c r="GO263" i="7"/>
  <c r="GP263" i="7"/>
  <c r="GQ263" i="7"/>
  <c r="GR263" i="7"/>
  <c r="GS263" i="7"/>
  <c r="GT263" i="7"/>
  <c r="GU263" i="7"/>
  <c r="GV263" i="7"/>
  <c r="GW263" i="7"/>
  <c r="GX263" i="7"/>
  <c r="GY263" i="7"/>
  <c r="GZ263" i="7"/>
  <c r="HA263" i="7"/>
  <c r="HB263" i="7"/>
  <c r="HC263" i="7"/>
  <c r="HD263" i="7"/>
  <c r="HE263" i="7"/>
  <c r="HF263" i="7"/>
  <c r="HG263" i="7"/>
  <c r="HH263" i="7"/>
  <c r="HI263" i="7"/>
  <c r="HJ263" i="7"/>
  <c r="HK263" i="7"/>
  <c r="HL263" i="7"/>
  <c r="HM263" i="7"/>
  <c r="HN263" i="7"/>
  <c r="HO263" i="7"/>
  <c r="HP263" i="7"/>
  <c r="HQ263" i="7"/>
  <c r="HR263" i="7"/>
  <c r="HS263" i="7"/>
  <c r="HT263" i="7"/>
  <c r="HU263" i="7"/>
  <c r="HV263" i="7"/>
  <c r="HW263" i="7"/>
  <c r="HX263" i="7"/>
  <c r="HY263" i="7"/>
  <c r="HZ263" i="7"/>
  <c r="IA263" i="7"/>
  <c r="IB263" i="7"/>
  <c r="IC263" i="7"/>
  <c r="ID263" i="7"/>
  <c r="IE263" i="7"/>
  <c r="IF263" i="7"/>
  <c r="IG263" i="7"/>
  <c r="IH263" i="7"/>
  <c r="II263" i="7"/>
  <c r="IJ263" i="7"/>
  <c r="IK263" i="7"/>
  <c r="IL263" i="7"/>
  <c r="IM263" i="7"/>
  <c r="IN263" i="7"/>
  <c r="IO263" i="7"/>
  <c r="IP263" i="7"/>
  <c r="IQ263" i="7"/>
  <c r="IR263" i="7"/>
  <c r="IS263" i="7"/>
  <c r="IT263" i="7"/>
  <c r="IU263" i="7"/>
  <c r="IV263" i="7"/>
  <c r="A262" i="7"/>
  <c r="B262" i="7"/>
  <c r="C262" i="7"/>
  <c r="D262" i="7"/>
  <c r="E262" i="7"/>
  <c r="F262" i="7"/>
  <c r="G262" i="7"/>
  <c r="H262" i="7"/>
  <c r="I262" i="7"/>
  <c r="J262" i="7"/>
  <c r="K262" i="7"/>
  <c r="L262" i="7"/>
  <c r="M262" i="7"/>
  <c r="N262" i="7"/>
  <c r="O262" i="7"/>
  <c r="P262" i="7"/>
  <c r="Q262" i="7"/>
  <c r="R262" i="7"/>
  <c r="S262" i="7"/>
  <c r="T262" i="7"/>
  <c r="U262" i="7"/>
  <c r="V262" i="7"/>
  <c r="W262" i="7"/>
  <c r="X262" i="7"/>
  <c r="Y262" i="7"/>
  <c r="Z262" i="7"/>
  <c r="AA262" i="7"/>
  <c r="AB262" i="7"/>
  <c r="AC262" i="7"/>
  <c r="AD262" i="7"/>
  <c r="AE262" i="7"/>
  <c r="AF262" i="7"/>
  <c r="AG262" i="7"/>
  <c r="AH262" i="7"/>
  <c r="AI262" i="7"/>
  <c r="AJ262" i="7"/>
  <c r="AK262" i="7"/>
  <c r="AL262" i="7"/>
  <c r="AM262" i="7"/>
  <c r="AN262" i="7"/>
  <c r="AO262" i="7"/>
  <c r="AP262" i="7"/>
  <c r="AQ262" i="7"/>
  <c r="AR262" i="7"/>
  <c r="AS262" i="7"/>
  <c r="AT262" i="7"/>
  <c r="AU262" i="7"/>
  <c r="AV262" i="7"/>
  <c r="AW262" i="7"/>
  <c r="AX262" i="7"/>
  <c r="AY262" i="7"/>
  <c r="AZ262" i="7"/>
  <c r="BA262" i="7"/>
  <c r="BB262" i="7"/>
  <c r="BC262" i="7"/>
  <c r="BD262" i="7"/>
  <c r="BE262" i="7"/>
  <c r="BF262" i="7"/>
  <c r="BG262" i="7"/>
  <c r="BH262" i="7"/>
  <c r="BI262" i="7"/>
  <c r="BJ262" i="7"/>
  <c r="BK262" i="7"/>
  <c r="BL262" i="7"/>
  <c r="BM262" i="7"/>
  <c r="BN262" i="7"/>
  <c r="BO262" i="7"/>
  <c r="BP262" i="7"/>
  <c r="BQ262" i="7"/>
  <c r="BR262" i="7"/>
  <c r="BS262" i="7"/>
  <c r="BT262" i="7"/>
  <c r="BU262" i="7"/>
  <c r="BV262" i="7"/>
  <c r="BW262" i="7"/>
  <c r="BX262" i="7"/>
  <c r="BY262" i="7"/>
  <c r="BZ262" i="7"/>
  <c r="CA262" i="7"/>
  <c r="CB262" i="7"/>
  <c r="CC262" i="7"/>
  <c r="CD262" i="7"/>
  <c r="CE262" i="7"/>
  <c r="CF262" i="7"/>
  <c r="CG262" i="7"/>
  <c r="CH262" i="7"/>
  <c r="CI262" i="7"/>
  <c r="CJ262" i="7"/>
  <c r="CK262" i="7"/>
  <c r="CL262" i="7"/>
  <c r="CM262" i="7"/>
  <c r="CN262" i="7"/>
  <c r="CO262" i="7"/>
  <c r="CP262" i="7"/>
  <c r="CQ262" i="7"/>
  <c r="CR262" i="7"/>
  <c r="CS262" i="7"/>
  <c r="CT262" i="7"/>
  <c r="CU262" i="7"/>
  <c r="CV262" i="7"/>
  <c r="CW262" i="7"/>
  <c r="CX262" i="7"/>
  <c r="CY262" i="7"/>
  <c r="CZ262" i="7"/>
  <c r="DA262" i="7"/>
  <c r="DB262" i="7"/>
  <c r="DC262" i="7"/>
  <c r="DD262" i="7"/>
  <c r="DE262" i="7"/>
  <c r="DF262" i="7"/>
  <c r="DG262" i="7"/>
  <c r="DH262" i="7"/>
  <c r="DI262" i="7"/>
  <c r="DJ262" i="7"/>
  <c r="DK262" i="7"/>
  <c r="DL262" i="7"/>
  <c r="DM262" i="7"/>
  <c r="DN262" i="7"/>
  <c r="DO262" i="7"/>
  <c r="DP262" i="7"/>
  <c r="DQ262" i="7"/>
  <c r="DR262" i="7"/>
  <c r="DS262" i="7"/>
  <c r="DT262" i="7"/>
  <c r="DU262" i="7"/>
  <c r="DV262" i="7"/>
  <c r="DW262" i="7"/>
  <c r="DX262" i="7"/>
  <c r="DY262" i="7"/>
  <c r="DZ262" i="7"/>
  <c r="EA262" i="7"/>
  <c r="EB262" i="7"/>
  <c r="EC262" i="7"/>
  <c r="ED262" i="7"/>
  <c r="EE262" i="7"/>
  <c r="EF262" i="7"/>
  <c r="EG262" i="7"/>
  <c r="EH262" i="7"/>
  <c r="EI262" i="7"/>
  <c r="EJ262" i="7"/>
  <c r="EK262" i="7"/>
  <c r="EL262" i="7"/>
  <c r="EM262" i="7"/>
  <c r="EN262" i="7"/>
  <c r="EO262" i="7"/>
  <c r="EP262" i="7"/>
  <c r="EQ262" i="7"/>
  <c r="ER262" i="7"/>
  <c r="ES262" i="7"/>
  <c r="ET262" i="7"/>
  <c r="EU262" i="7"/>
  <c r="EV262" i="7"/>
  <c r="EW262" i="7"/>
  <c r="EX262" i="7"/>
  <c r="EY262" i="7"/>
  <c r="EZ262" i="7"/>
  <c r="FA262" i="7"/>
  <c r="FB262" i="7"/>
  <c r="FC262" i="7"/>
  <c r="FD262" i="7"/>
  <c r="FE262" i="7"/>
  <c r="FF262" i="7"/>
  <c r="FG262" i="7"/>
  <c r="FH262" i="7"/>
  <c r="FI262" i="7"/>
  <c r="FJ262" i="7"/>
  <c r="FK262" i="7"/>
  <c r="FL262" i="7"/>
  <c r="FM262" i="7"/>
  <c r="FN262" i="7"/>
  <c r="FO262" i="7"/>
  <c r="FP262" i="7"/>
  <c r="FQ262" i="7"/>
  <c r="FR262" i="7"/>
  <c r="FS262" i="7"/>
  <c r="FT262" i="7"/>
  <c r="FU262" i="7"/>
  <c r="FV262" i="7"/>
  <c r="FW262" i="7"/>
  <c r="FX262" i="7"/>
  <c r="FY262" i="7"/>
  <c r="FZ262" i="7"/>
  <c r="GA262" i="7"/>
  <c r="GB262" i="7"/>
  <c r="GC262" i="7"/>
  <c r="GD262" i="7"/>
  <c r="GE262" i="7"/>
  <c r="GF262" i="7"/>
  <c r="GG262" i="7"/>
  <c r="GH262" i="7"/>
  <c r="GI262" i="7"/>
  <c r="GJ262" i="7"/>
  <c r="GK262" i="7"/>
  <c r="GL262" i="7"/>
  <c r="GM262" i="7"/>
  <c r="GN262" i="7"/>
  <c r="GO262" i="7"/>
  <c r="GP262" i="7"/>
  <c r="GQ262" i="7"/>
  <c r="GR262" i="7"/>
  <c r="GS262" i="7"/>
  <c r="GT262" i="7"/>
  <c r="GU262" i="7"/>
  <c r="GV262" i="7"/>
  <c r="GW262" i="7"/>
  <c r="GX262" i="7"/>
  <c r="GY262" i="7"/>
  <c r="GZ262" i="7"/>
  <c r="HA262" i="7"/>
  <c r="HB262" i="7"/>
  <c r="HC262" i="7"/>
  <c r="HD262" i="7"/>
  <c r="HE262" i="7"/>
  <c r="HF262" i="7"/>
  <c r="HG262" i="7"/>
  <c r="HH262" i="7"/>
  <c r="HI262" i="7"/>
  <c r="HJ262" i="7"/>
  <c r="HK262" i="7"/>
  <c r="HL262" i="7"/>
  <c r="HM262" i="7"/>
  <c r="HN262" i="7"/>
  <c r="HO262" i="7"/>
  <c r="HP262" i="7"/>
  <c r="HQ262" i="7"/>
  <c r="HR262" i="7"/>
  <c r="HS262" i="7"/>
  <c r="HT262" i="7"/>
  <c r="HU262" i="7"/>
  <c r="HV262" i="7"/>
  <c r="HW262" i="7"/>
  <c r="HX262" i="7"/>
  <c r="HY262" i="7"/>
  <c r="HZ262" i="7"/>
  <c r="IA262" i="7"/>
  <c r="IB262" i="7"/>
  <c r="IC262" i="7"/>
  <c r="ID262" i="7"/>
  <c r="IE262" i="7"/>
  <c r="IF262" i="7"/>
  <c r="IG262" i="7"/>
  <c r="IH262" i="7"/>
  <c r="II262" i="7"/>
  <c r="IJ262" i="7"/>
  <c r="IK262" i="7"/>
  <c r="IL262" i="7"/>
  <c r="IM262" i="7"/>
  <c r="IN262" i="7"/>
  <c r="IO262" i="7"/>
  <c r="IP262" i="7"/>
  <c r="IQ262" i="7"/>
  <c r="IR262" i="7"/>
  <c r="IS262" i="7"/>
  <c r="IT262" i="7"/>
  <c r="IU262" i="7"/>
  <c r="IV262" i="7"/>
  <c r="A261" i="7"/>
  <c r="B261" i="7"/>
  <c r="C261" i="7"/>
  <c r="D261" i="7"/>
  <c r="E261" i="7"/>
  <c r="F261" i="7"/>
  <c r="G261" i="7"/>
  <c r="H261" i="7"/>
  <c r="I261" i="7"/>
  <c r="J261" i="7"/>
  <c r="K261" i="7"/>
  <c r="L261" i="7"/>
  <c r="M261" i="7"/>
  <c r="N261" i="7"/>
  <c r="O261" i="7"/>
  <c r="P261" i="7"/>
  <c r="Q261" i="7"/>
  <c r="R261" i="7"/>
  <c r="S261" i="7"/>
  <c r="T261" i="7"/>
  <c r="U261" i="7"/>
  <c r="V261" i="7"/>
  <c r="W261" i="7"/>
  <c r="X261" i="7"/>
  <c r="Y261" i="7"/>
  <c r="Z261" i="7"/>
  <c r="AA261" i="7"/>
  <c r="AB261" i="7"/>
  <c r="AC261" i="7"/>
  <c r="AD261" i="7"/>
  <c r="AE261" i="7"/>
  <c r="AF261" i="7"/>
  <c r="AG261" i="7"/>
  <c r="AH261" i="7"/>
  <c r="AI261" i="7"/>
  <c r="AJ261" i="7"/>
  <c r="AK261" i="7"/>
  <c r="AL261" i="7"/>
  <c r="AM261" i="7"/>
  <c r="AN261" i="7"/>
  <c r="AO261" i="7"/>
  <c r="AP261" i="7"/>
  <c r="AQ261" i="7"/>
  <c r="AR261" i="7"/>
  <c r="AS261" i="7"/>
  <c r="AT261" i="7"/>
  <c r="AU261" i="7"/>
  <c r="AV261" i="7"/>
  <c r="AW261" i="7"/>
  <c r="AX261" i="7"/>
  <c r="AY261" i="7"/>
  <c r="AZ261" i="7"/>
  <c r="BA261" i="7"/>
  <c r="BB261" i="7"/>
  <c r="BC261" i="7"/>
  <c r="BD261" i="7"/>
  <c r="BE261" i="7"/>
  <c r="BF261" i="7"/>
  <c r="BG261" i="7"/>
  <c r="BH261" i="7"/>
  <c r="BI261" i="7"/>
  <c r="BJ261" i="7"/>
  <c r="BK261" i="7"/>
  <c r="BL261" i="7"/>
  <c r="BM261" i="7"/>
  <c r="BN261" i="7"/>
  <c r="BO261" i="7"/>
  <c r="BP261" i="7"/>
  <c r="BQ261" i="7"/>
  <c r="BR261" i="7"/>
  <c r="BS261" i="7"/>
  <c r="BT261" i="7"/>
  <c r="BU261" i="7"/>
  <c r="BV261" i="7"/>
  <c r="BW261" i="7"/>
  <c r="BX261" i="7"/>
  <c r="BY261" i="7"/>
  <c r="BZ261" i="7"/>
  <c r="CA261" i="7"/>
  <c r="CB261" i="7"/>
  <c r="CC261" i="7"/>
  <c r="CD261" i="7"/>
  <c r="CE261" i="7"/>
  <c r="CF261" i="7"/>
  <c r="CG261" i="7"/>
  <c r="CH261" i="7"/>
  <c r="CI261" i="7"/>
  <c r="CJ261" i="7"/>
  <c r="CK261" i="7"/>
  <c r="CL261" i="7"/>
  <c r="CM261" i="7"/>
  <c r="CN261" i="7"/>
  <c r="CO261" i="7"/>
  <c r="CP261" i="7"/>
  <c r="CQ261" i="7"/>
  <c r="CR261" i="7"/>
  <c r="CS261" i="7"/>
  <c r="CT261" i="7"/>
  <c r="CU261" i="7"/>
  <c r="CV261" i="7"/>
  <c r="CW261" i="7"/>
  <c r="CX261" i="7"/>
  <c r="CY261" i="7"/>
  <c r="CZ261" i="7"/>
  <c r="DA261" i="7"/>
  <c r="DB261" i="7"/>
  <c r="DC261" i="7"/>
  <c r="DD261" i="7"/>
  <c r="DE261" i="7"/>
  <c r="DF261" i="7"/>
  <c r="DG261" i="7"/>
  <c r="DH261" i="7"/>
  <c r="DI261" i="7"/>
  <c r="DJ261" i="7"/>
  <c r="DK261" i="7"/>
  <c r="DL261" i="7"/>
  <c r="DM261" i="7"/>
  <c r="DN261" i="7"/>
  <c r="DO261" i="7"/>
  <c r="DP261" i="7"/>
  <c r="DQ261" i="7"/>
  <c r="DR261" i="7"/>
  <c r="DS261" i="7"/>
  <c r="DT261" i="7"/>
  <c r="DU261" i="7"/>
  <c r="DV261" i="7"/>
  <c r="DW261" i="7"/>
  <c r="DX261" i="7"/>
  <c r="DY261" i="7"/>
  <c r="DZ261" i="7"/>
  <c r="EA261" i="7"/>
  <c r="EB261" i="7"/>
  <c r="EC261" i="7"/>
  <c r="ED261" i="7"/>
  <c r="EE261" i="7"/>
  <c r="EF261" i="7"/>
  <c r="EG261" i="7"/>
  <c r="EH261" i="7"/>
  <c r="EI261" i="7"/>
  <c r="EJ261" i="7"/>
  <c r="EK261" i="7"/>
  <c r="EL261" i="7"/>
  <c r="EM261" i="7"/>
  <c r="EN261" i="7"/>
  <c r="EO261" i="7"/>
  <c r="EP261" i="7"/>
  <c r="EQ261" i="7"/>
  <c r="ER261" i="7"/>
  <c r="ES261" i="7"/>
  <c r="ET261" i="7"/>
  <c r="EU261" i="7"/>
  <c r="EV261" i="7"/>
  <c r="EW261" i="7"/>
  <c r="EX261" i="7"/>
  <c r="EY261" i="7"/>
  <c r="EZ261" i="7"/>
  <c r="FA261" i="7"/>
  <c r="FB261" i="7"/>
  <c r="FC261" i="7"/>
  <c r="FD261" i="7"/>
  <c r="FE261" i="7"/>
  <c r="FF261" i="7"/>
  <c r="FG261" i="7"/>
  <c r="FH261" i="7"/>
  <c r="FI261" i="7"/>
  <c r="FJ261" i="7"/>
  <c r="FK261" i="7"/>
  <c r="FL261" i="7"/>
  <c r="FM261" i="7"/>
  <c r="FN261" i="7"/>
  <c r="FO261" i="7"/>
  <c r="FP261" i="7"/>
  <c r="FQ261" i="7"/>
  <c r="FR261" i="7"/>
  <c r="FS261" i="7"/>
  <c r="FT261" i="7"/>
  <c r="FU261" i="7"/>
  <c r="FV261" i="7"/>
  <c r="FW261" i="7"/>
  <c r="FX261" i="7"/>
  <c r="FY261" i="7"/>
  <c r="FZ261" i="7"/>
  <c r="GA261" i="7"/>
  <c r="GB261" i="7"/>
  <c r="GC261" i="7"/>
  <c r="GD261" i="7"/>
  <c r="GE261" i="7"/>
  <c r="GF261" i="7"/>
  <c r="GG261" i="7"/>
  <c r="GH261" i="7"/>
  <c r="GI261" i="7"/>
  <c r="GJ261" i="7"/>
  <c r="GK261" i="7"/>
  <c r="GL261" i="7"/>
  <c r="GM261" i="7"/>
  <c r="GN261" i="7"/>
  <c r="GO261" i="7"/>
  <c r="GP261" i="7"/>
  <c r="GQ261" i="7"/>
  <c r="GR261" i="7"/>
  <c r="GS261" i="7"/>
  <c r="GT261" i="7"/>
  <c r="GU261" i="7"/>
  <c r="GV261" i="7"/>
  <c r="GW261" i="7"/>
  <c r="GX261" i="7"/>
  <c r="GY261" i="7"/>
  <c r="GZ261" i="7"/>
  <c r="HA261" i="7"/>
  <c r="HB261" i="7"/>
  <c r="HC261" i="7"/>
  <c r="HD261" i="7"/>
  <c r="HE261" i="7"/>
  <c r="HF261" i="7"/>
  <c r="HG261" i="7"/>
  <c r="HH261" i="7"/>
  <c r="HI261" i="7"/>
  <c r="HJ261" i="7"/>
  <c r="HK261" i="7"/>
  <c r="HL261" i="7"/>
  <c r="HM261" i="7"/>
  <c r="HN261" i="7"/>
  <c r="HO261" i="7"/>
  <c r="HP261" i="7"/>
  <c r="HQ261" i="7"/>
  <c r="HR261" i="7"/>
  <c r="HS261" i="7"/>
  <c r="HT261" i="7"/>
  <c r="HU261" i="7"/>
  <c r="HV261" i="7"/>
  <c r="HW261" i="7"/>
  <c r="HX261" i="7"/>
  <c r="HY261" i="7"/>
  <c r="HZ261" i="7"/>
  <c r="IA261" i="7"/>
  <c r="IB261" i="7"/>
  <c r="IC261" i="7"/>
  <c r="ID261" i="7"/>
  <c r="IE261" i="7"/>
  <c r="IF261" i="7"/>
  <c r="IG261" i="7"/>
  <c r="IH261" i="7"/>
  <c r="II261" i="7"/>
  <c r="IJ261" i="7"/>
  <c r="IK261" i="7"/>
  <c r="IL261" i="7"/>
  <c r="IM261" i="7"/>
  <c r="IN261" i="7"/>
  <c r="IO261" i="7"/>
  <c r="IP261" i="7"/>
  <c r="IQ261" i="7"/>
  <c r="IR261" i="7"/>
  <c r="IS261" i="7"/>
  <c r="IT261" i="7"/>
  <c r="IU261" i="7"/>
  <c r="IV261" i="7"/>
  <c r="A260" i="7"/>
  <c r="B260" i="7"/>
  <c r="C260" i="7"/>
  <c r="D260" i="7"/>
  <c r="E260" i="7"/>
  <c r="F260" i="7"/>
  <c r="G260" i="7"/>
  <c r="H260" i="7"/>
  <c r="I260" i="7"/>
  <c r="J260" i="7"/>
  <c r="K260" i="7"/>
  <c r="L260" i="7"/>
  <c r="M260" i="7"/>
  <c r="N260" i="7"/>
  <c r="O260" i="7"/>
  <c r="P260" i="7"/>
  <c r="Q260" i="7"/>
  <c r="R260" i="7"/>
  <c r="S260" i="7"/>
  <c r="T260" i="7"/>
  <c r="U260" i="7"/>
  <c r="V260" i="7"/>
  <c r="W260" i="7"/>
  <c r="X260" i="7"/>
  <c r="Y260" i="7"/>
  <c r="Z260" i="7"/>
  <c r="AA260" i="7"/>
  <c r="AB260" i="7"/>
  <c r="AC260" i="7"/>
  <c r="AD260" i="7"/>
  <c r="AE260" i="7"/>
  <c r="AF260" i="7"/>
  <c r="AG260" i="7"/>
  <c r="AH260" i="7"/>
  <c r="AI260" i="7"/>
  <c r="AJ260" i="7"/>
  <c r="AK260" i="7"/>
  <c r="AL260" i="7"/>
  <c r="AM260" i="7"/>
  <c r="AN260" i="7"/>
  <c r="AO260" i="7"/>
  <c r="AP260" i="7"/>
  <c r="AQ260" i="7"/>
  <c r="AR260" i="7"/>
  <c r="AS260" i="7"/>
  <c r="AT260" i="7"/>
  <c r="AU260" i="7"/>
  <c r="AV260" i="7"/>
  <c r="AW260" i="7"/>
  <c r="AX260" i="7"/>
  <c r="AY260" i="7"/>
  <c r="AZ260" i="7"/>
  <c r="BA260" i="7"/>
  <c r="BB260" i="7"/>
  <c r="BC260" i="7"/>
  <c r="BD260" i="7"/>
  <c r="BE260" i="7"/>
  <c r="BF260" i="7"/>
  <c r="BG260" i="7"/>
  <c r="BH260" i="7"/>
  <c r="BI260" i="7"/>
  <c r="BJ260" i="7"/>
  <c r="BK260" i="7"/>
  <c r="BL260" i="7"/>
  <c r="BM260" i="7"/>
  <c r="BN260" i="7"/>
  <c r="BO260" i="7"/>
  <c r="BP260" i="7"/>
  <c r="BQ260" i="7"/>
  <c r="BR260" i="7"/>
  <c r="BS260" i="7"/>
  <c r="BT260" i="7"/>
  <c r="BU260" i="7"/>
  <c r="BV260" i="7"/>
  <c r="BW260" i="7"/>
  <c r="BX260" i="7"/>
  <c r="BY260" i="7"/>
  <c r="BZ260" i="7"/>
  <c r="CA260" i="7"/>
  <c r="CB260" i="7"/>
  <c r="CC260" i="7"/>
  <c r="CD260" i="7"/>
  <c r="CE260" i="7"/>
  <c r="CF260" i="7"/>
  <c r="CG260" i="7"/>
  <c r="CH260" i="7"/>
  <c r="CI260" i="7"/>
  <c r="CJ260" i="7"/>
  <c r="CK260" i="7"/>
  <c r="CL260" i="7"/>
  <c r="CM260" i="7"/>
  <c r="CN260" i="7"/>
  <c r="CO260" i="7"/>
  <c r="CP260" i="7"/>
  <c r="CQ260" i="7"/>
  <c r="CR260" i="7"/>
  <c r="CS260" i="7"/>
  <c r="CT260" i="7"/>
  <c r="CU260" i="7"/>
  <c r="CV260" i="7"/>
  <c r="CW260" i="7"/>
  <c r="CX260" i="7"/>
  <c r="CY260" i="7"/>
  <c r="CZ260" i="7"/>
  <c r="DA260" i="7"/>
  <c r="DB260" i="7"/>
  <c r="DC260" i="7"/>
  <c r="DD260" i="7"/>
  <c r="DE260" i="7"/>
  <c r="DF260" i="7"/>
  <c r="DG260" i="7"/>
  <c r="DH260" i="7"/>
  <c r="DI260" i="7"/>
  <c r="DJ260" i="7"/>
  <c r="DK260" i="7"/>
  <c r="DL260" i="7"/>
  <c r="DM260" i="7"/>
  <c r="DN260" i="7"/>
  <c r="DO260" i="7"/>
  <c r="DP260" i="7"/>
  <c r="DQ260" i="7"/>
  <c r="DR260" i="7"/>
  <c r="DS260" i="7"/>
  <c r="DT260" i="7"/>
  <c r="DU260" i="7"/>
  <c r="DV260" i="7"/>
  <c r="DW260" i="7"/>
  <c r="DX260" i="7"/>
  <c r="DY260" i="7"/>
  <c r="DZ260" i="7"/>
  <c r="EA260" i="7"/>
  <c r="EB260" i="7"/>
  <c r="EC260" i="7"/>
  <c r="ED260" i="7"/>
  <c r="EE260" i="7"/>
  <c r="EF260" i="7"/>
  <c r="EG260" i="7"/>
  <c r="EH260" i="7"/>
  <c r="EI260" i="7"/>
  <c r="EJ260" i="7"/>
  <c r="EK260" i="7"/>
  <c r="EL260" i="7"/>
  <c r="EM260" i="7"/>
  <c r="EN260" i="7"/>
  <c r="EO260" i="7"/>
  <c r="EP260" i="7"/>
  <c r="EQ260" i="7"/>
  <c r="ER260" i="7"/>
  <c r="ES260" i="7"/>
  <c r="ET260" i="7"/>
  <c r="EU260" i="7"/>
  <c r="EV260" i="7"/>
  <c r="EW260" i="7"/>
  <c r="EX260" i="7"/>
  <c r="EY260" i="7"/>
  <c r="EZ260" i="7"/>
  <c r="FA260" i="7"/>
  <c r="FB260" i="7"/>
  <c r="FC260" i="7"/>
  <c r="FD260" i="7"/>
  <c r="FE260" i="7"/>
  <c r="FF260" i="7"/>
  <c r="FG260" i="7"/>
  <c r="FH260" i="7"/>
  <c r="FI260" i="7"/>
  <c r="FJ260" i="7"/>
  <c r="FK260" i="7"/>
  <c r="FL260" i="7"/>
  <c r="FM260" i="7"/>
  <c r="FN260" i="7"/>
  <c r="FO260" i="7"/>
  <c r="FP260" i="7"/>
  <c r="FQ260" i="7"/>
  <c r="FR260" i="7"/>
  <c r="FS260" i="7"/>
  <c r="FT260" i="7"/>
  <c r="FU260" i="7"/>
  <c r="FV260" i="7"/>
  <c r="FW260" i="7"/>
  <c r="FX260" i="7"/>
  <c r="FY260" i="7"/>
  <c r="FZ260" i="7"/>
  <c r="GA260" i="7"/>
  <c r="GB260" i="7"/>
  <c r="GC260" i="7"/>
  <c r="GD260" i="7"/>
  <c r="GE260" i="7"/>
  <c r="GF260" i="7"/>
  <c r="GG260" i="7"/>
  <c r="GH260" i="7"/>
  <c r="GI260" i="7"/>
  <c r="GJ260" i="7"/>
  <c r="GK260" i="7"/>
  <c r="GL260" i="7"/>
  <c r="GM260" i="7"/>
  <c r="GN260" i="7"/>
  <c r="GO260" i="7"/>
  <c r="GP260" i="7"/>
  <c r="GQ260" i="7"/>
  <c r="GR260" i="7"/>
  <c r="GS260" i="7"/>
  <c r="GT260" i="7"/>
  <c r="GU260" i="7"/>
  <c r="GV260" i="7"/>
  <c r="GW260" i="7"/>
  <c r="GX260" i="7"/>
  <c r="GY260" i="7"/>
  <c r="GZ260" i="7"/>
  <c r="HA260" i="7"/>
  <c r="HB260" i="7"/>
  <c r="HC260" i="7"/>
  <c r="HD260" i="7"/>
  <c r="HE260" i="7"/>
  <c r="HF260" i="7"/>
  <c r="HG260" i="7"/>
  <c r="HH260" i="7"/>
  <c r="HI260" i="7"/>
  <c r="HJ260" i="7"/>
  <c r="HK260" i="7"/>
  <c r="HL260" i="7"/>
  <c r="HM260" i="7"/>
  <c r="HN260" i="7"/>
  <c r="HO260" i="7"/>
  <c r="HP260" i="7"/>
  <c r="HQ260" i="7"/>
  <c r="HR260" i="7"/>
  <c r="HS260" i="7"/>
  <c r="HT260" i="7"/>
  <c r="HU260" i="7"/>
  <c r="HV260" i="7"/>
  <c r="HW260" i="7"/>
  <c r="HX260" i="7"/>
  <c r="HY260" i="7"/>
  <c r="HZ260" i="7"/>
  <c r="IA260" i="7"/>
  <c r="IB260" i="7"/>
  <c r="IC260" i="7"/>
  <c r="ID260" i="7"/>
  <c r="IE260" i="7"/>
  <c r="IF260" i="7"/>
  <c r="IG260" i="7"/>
  <c r="IH260" i="7"/>
  <c r="II260" i="7"/>
  <c r="IJ260" i="7"/>
  <c r="IK260" i="7"/>
  <c r="IL260" i="7"/>
  <c r="IM260" i="7"/>
  <c r="IN260" i="7"/>
  <c r="IO260" i="7"/>
  <c r="IP260" i="7"/>
  <c r="IQ260" i="7"/>
  <c r="IR260" i="7"/>
  <c r="IS260" i="7"/>
  <c r="IT260" i="7"/>
  <c r="IU260" i="7"/>
  <c r="IV260" i="7"/>
  <c r="A259" i="7"/>
  <c r="B259" i="7"/>
  <c r="C259" i="7"/>
  <c r="D259" i="7"/>
  <c r="E259" i="7"/>
  <c r="F259" i="7"/>
  <c r="G259" i="7"/>
  <c r="H259" i="7"/>
  <c r="I259" i="7"/>
  <c r="J259" i="7"/>
  <c r="K259" i="7"/>
  <c r="L259" i="7"/>
  <c r="M259" i="7"/>
  <c r="N259" i="7"/>
  <c r="O259" i="7"/>
  <c r="P259" i="7"/>
  <c r="Q259" i="7"/>
  <c r="R259" i="7"/>
  <c r="S259" i="7"/>
  <c r="T259" i="7"/>
  <c r="U259" i="7"/>
  <c r="V259" i="7"/>
  <c r="W259" i="7"/>
  <c r="X259" i="7"/>
  <c r="Y259" i="7"/>
  <c r="Z259" i="7"/>
  <c r="AA259" i="7"/>
  <c r="AB259" i="7"/>
  <c r="AC259" i="7"/>
  <c r="AD259" i="7"/>
  <c r="AE259" i="7"/>
  <c r="AF259" i="7"/>
  <c r="AG259" i="7"/>
  <c r="AH259" i="7"/>
  <c r="AI259" i="7"/>
  <c r="AJ259" i="7"/>
  <c r="AK259" i="7"/>
  <c r="AL259" i="7"/>
  <c r="AM259" i="7"/>
  <c r="AN259" i="7"/>
  <c r="AO259" i="7"/>
  <c r="AP259" i="7"/>
  <c r="AQ259" i="7"/>
  <c r="AR259" i="7"/>
  <c r="AS259" i="7"/>
  <c r="AT259" i="7"/>
  <c r="AU259" i="7"/>
  <c r="AV259" i="7"/>
  <c r="AW259" i="7"/>
  <c r="AX259" i="7"/>
  <c r="AY259" i="7"/>
  <c r="AZ259" i="7"/>
  <c r="BA259" i="7"/>
  <c r="BB259" i="7"/>
  <c r="BC259" i="7"/>
  <c r="BD259" i="7"/>
  <c r="BE259" i="7"/>
  <c r="BF259" i="7"/>
  <c r="BG259" i="7"/>
  <c r="BH259" i="7"/>
  <c r="BI259" i="7"/>
  <c r="BJ259" i="7"/>
  <c r="BK259" i="7"/>
  <c r="BL259" i="7"/>
  <c r="BM259" i="7"/>
  <c r="BN259" i="7"/>
  <c r="BO259" i="7"/>
  <c r="BP259" i="7"/>
  <c r="BQ259" i="7"/>
  <c r="BR259" i="7"/>
  <c r="BS259" i="7"/>
  <c r="BT259" i="7"/>
  <c r="BU259" i="7"/>
  <c r="BV259" i="7"/>
  <c r="BW259" i="7"/>
  <c r="BX259" i="7"/>
  <c r="BY259" i="7"/>
  <c r="BZ259" i="7"/>
  <c r="CA259" i="7"/>
  <c r="CB259" i="7"/>
  <c r="CC259" i="7"/>
  <c r="CD259" i="7"/>
  <c r="CE259" i="7"/>
  <c r="CF259" i="7"/>
  <c r="CG259" i="7"/>
  <c r="CH259" i="7"/>
  <c r="CI259" i="7"/>
  <c r="CJ259" i="7"/>
  <c r="CK259" i="7"/>
  <c r="CL259" i="7"/>
  <c r="CM259" i="7"/>
  <c r="CN259" i="7"/>
  <c r="CO259" i="7"/>
  <c r="CP259" i="7"/>
  <c r="CQ259" i="7"/>
  <c r="CR259" i="7"/>
  <c r="CS259" i="7"/>
  <c r="CT259" i="7"/>
  <c r="CU259" i="7"/>
  <c r="CV259" i="7"/>
  <c r="CW259" i="7"/>
  <c r="CX259" i="7"/>
  <c r="CY259" i="7"/>
  <c r="CZ259" i="7"/>
  <c r="DA259" i="7"/>
  <c r="DB259" i="7"/>
  <c r="DC259" i="7"/>
  <c r="DD259" i="7"/>
  <c r="DE259" i="7"/>
  <c r="DF259" i="7"/>
  <c r="DG259" i="7"/>
  <c r="DH259" i="7"/>
  <c r="DI259" i="7"/>
  <c r="DJ259" i="7"/>
  <c r="DK259" i="7"/>
  <c r="DL259" i="7"/>
  <c r="DM259" i="7"/>
  <c r="DN259" i="7"/>
  <c r="DO259" i="7"/>
  <c r="DP259" i="7"/>
  <c r="DQ259" i="7"/>
  <c r="DR259" i="7"/>
  <c r="DS259" i="7"/>
  <c r="DT259" i="7"/>
  <c r="DU259" i="7"/>
  <c r="DV259" i="7"/>
  <c r="DW259" i="7"/>
  <c r="DX259" i="7"/>
  <c r="DY259" i="7"/>
  <c r="DZ259" i="7"/>
  <c r="EA259" i="7"/>
  <c r="EB259" i="7"/>
  <c r="EC259" i="7"/>
  <c r="ED259" i="7"/>
  <c r="EE259" i="7"/>
  <c r="EF259" i="7"/>
  <c r="EG259" i="7"/>
  <c r="EH259" i="7"/>
  <c r="EI259" i="7"/>
  <c r="EJ259" i="7"/>
  <c r="EK259" i="7"/>
  <c r="EL259" i="7"/>
  <c r="EM259" i="7"/>
  <c r="EN259" i="7"/>
  <c r="EO259" i="7"/>
  <c r="EP259" i="7"/>
  <c r="EQ259" i="7"/>
  <c r="ER259" i="7"/>
  <c r="ES259" i="7"/>
  <c r="ET259" i="7"/>
  <c r="EU259" i="7"/>
  <c r="EV259" i="7"/>
  <c r="EW259" i="7"/>
  <c r="EX259" i="7"/>
  <c r="EY259" i="7"/>
  <c r="EZ259" i="7"/>
  <c r="FA259" i="7"/>
  <c r="FB259" i="7"/>
  <c r="FC259" i="7"/>
  <c r="FD259" i="7"/>
  <c r="FE259" i="7"/>
  <c r="FF259" i="7"/>
  <c r="FG259" i="7"/>
  <c r="FH259" i="7"/>
  <c r="FI259" i="7"/>
  <c r="FJ259" i="7"/>
  <c r="FK259" i="7"/>
  <c r="FL259" i="7"/>
  <c r="FM259" i="7"/>
  <c r="FN259" i="7"/>
  <c r="FO259" i="7"/>
  <c r="FP259" i="7"/>
  <c r="FQ259" i="7"/>
  <c r="FR259" i="7"/>
  <c r="FS259" i="7"/>
  <c r="FT259" i="7"/>
  <c r="FU259" i="7"/>
  <c r="FV259" i="7"/>
  <c r="FW259" i="7"/>
  <c r="FX259" i="7"/>
  <c r="FY259" i="7"/>
  <c r="FZ259" i="7"/>
  <c r="GA259" i="7"/>
  <c r="GB259" i="7"/>
  <c r="GC259" i="7"/>
  <c r="GD259" i="7"/>
  <c r="GE259" i="7"/>
  <c r="GF259" i="7"/>
  <c r="GG259" i="7"/>
  <c r="GH259" i="7"/>
  <c r="GI259" i="7"/>
  <c r="GJ259" i="7"/>
  <c r="GK259" i="7"/>
  <c r="GL259" i="7"/>
  <c r="GM259" i="7"/>
  <c r="GN259" i="7"/>
  <c r="GO259" i="7"/>
  <c r="GP259" i="7"/>
  <c r="GQ259" i="7"/>
  <c r="GR259" i="7"/>
  <c r="GS259" i="7"/>
  <c r="GT259" i="7"/>
  <c r="GU259" i="7"/>
  <c r="GV259" i="7"/>
  <c r="GW259" i="7"/>
  <c r="GX259" i="7"/>
  <c r="GY259" i="7"/>
  <c r="GZ259" i="7"/>
  <c r="HA259" i="7"/>
  <c r="HB259" i="7"/>
  <c r="HC259" i="7"/>
  <c r="HD259" i="7"/>
  <c r="HE259" i="7"/>
  <c r="HF259" i="7"/>
  <c r="HG259" i="7"/>
  <c r="HH259" i="7"/>
  <c r="HI259" i="7"/>
  <c r="HJ259" i="7"/>
  <c r="HK259" i="7"/>
  <c r="HL259" i="7"/>
  <c r="HM259" i="7"/>
  <c r="HN259" i="7"/>
  <c r="HO259" i="7"/>
  <c r="HP259" i="7"/>
  <c r="HQ259" i="7"/>
  <c r="HR259" i="7"/>
  <c r="HS259" i="7"/>
  <c r="HT259" i="7"/>
  <c r="HU259" i="7"/>
  <c r="HV259" i="7"/>
  <c r="HW259" i="7"/>
  <c r="HX259" i="7"/>
  <c r="HY259" i="7"/>
  <c r="HZ259" i="7"/>
  <c r="IA259" i="7"/>
  <c r="IB259" i="7"/>
  <c r="IC259" i="7"/>
  <c r="ID259" i="7"/>
  <c r="IE259" i="7"/>
  <c r="IF259" i="7"/>
  <c r="IG259" i="7"/>
  <c r="IH259" i="7"/>
  <c r="II259" i="7"/>
  <c r="IJ259" i="7"/>
  <c r="IK259" i="7"/>
  <c r="IL259" i="7"/>
  <c r="IM259" i="7"/>
  <c r="IN259" i="7"/>
  <c r="IO259" i="7"/>
  <c r="IP259" i="7"/>
  <c r="IQ259" i="7"/>
  <c r="IR259" i="7"/>
  <c r="IS259" i="7"/>
  <c r="IT259" i="7"/>
  <c r="IU259" i="7"/>
  <c r="IV259" i="7"/>
  <c r="A258" i="7"/>
  <c r="B258" i="7"/>
  <c r="C258" i="7"/>
  <c r="D258" i="7"/>
  <c r="E258" i="7"/>
  <c r="F258" i="7"/>
  <c r="G258" i="7"/>
  <c r="H258" i="7"/>
  <c r="I258" i="7"/>
  <c r="J258" i="7"/>
  <c r="K258" i="7"/>
  <c r="L258" i="7"/>
  <c r="M258" i="7"/>
  <c r="N258" i="7"/>
  <c r="O258" i="7"/>
  <c r="P258" i="7"/>
  <c r="Q258" i="7"/>
  <c r="R258" i="7"/>
  <c r="S258" i="7"/>
  <c r="T258" i="7"/>
  <c r="U258" i="7"/>
  <c r="V258" i="7"/>
  <c r="W258" i="7"/>
  <c r="X258" i="7"/>
  <c r="Y258" i="7"/>
  <c r="Z258" i="7"/>
  <c r="AA258" i="7"/>
  <c r="AB258" i="7"/>
  <c r="AC258" i="7"/>
  <c r="AD258" i="7"/>
  <c r="AE258" i="7"/>
  <c r="AF258" i="7"/>
  <c r="AG258" i="7"/>
  <c r="AH258" i="7"/>
  <c r="AI258" i="7"/>
  <c r="AJ258" i="7"/>
  <c r="AK258" i="7"/>
  <c r="AL258" i="7"/>
  <c r="AM258" i="7"/>
  <c r="AN258" i="7"/>
  <c r="AO258" i="7"/>
  <c r="AP258" i="7"/>
  <c r="AQ258" i="7"/>
  <c r="AR258" i="7"/>
  <c r="AS258" i="7"/>
  <c r="AT258" i="7"/>
  <c r="AU258" i="7"/>
  <c r="AV258" i="7"/>
  <c r="AW258" i="7"/>
  <c r="AX258" i="7"/>
  <c r="AY258" i="7"/>
  <c r="AZ258" i="7"/>
  <c r="BA258" i="7"/>
  <c r="BB258" i="7"/>
  <c r="BC258" i="7"/>
  <c r="BD258" i="7"/>
  <c r="BE258" i="7"/>
  <c r="BF258" i="7"/>
  <c r="BG258" i="7"/>
  <c r="BH258" i="7"/>
  <c r="BI258" i="7"/>
  <c r="BJ258" i="7"/>
  <c r="BK258" i="7"/>
  <c r="BL258" i="7"/>
  <c r="BM258" i="7"/>
  <c r="BN258" i="7"/>
  <c r="BO258" i="7"/>
  <c r="BP258" i="7"/>
  <c r="BQ258" i="7"/>
  <c r="BR258" i="7"/>
  <c r="BS258" i="7"/>
  <c r="BT258" i="7"/>
  <c r="BU258" i="7"/>
  <c r="BV258" i="7"/>
  <c r="BW258" i="7"/>
  <c r="BX258" i="7"/>
  <c r="BY258" i="7"/>
  <c r="BZ258" i="7"/>
  <c r="CA258" i="7"/>
  <c r="CB258" i="7"/>
  <c r="CC258" i="7"/>
  <c r="CD258" i="7"/>
  <c r="CE258" i="7"/>
  <c r="CF258" i="7"/>
  <c r="CG258" i="7"/>
  <c r="CH258" i="7"/>
  <c r="CI258" i="7"/>
  <c r="CJ258" i="7"/>
  <c r="CK258" i="7"/>
  <c r="CL258" i="7"/>
  <c r="CM258" i="7"/>
  <c r="CN258" i="7"/>
  <c r="CO258" i="7"/>
  <c r="CP258" i="7"/>
  <c r="CQ258" i="7"/>
  <c r="CR258" i="7"/>
  <c r="CS258" i="7"/>
  <c r="CT258" i="7"/>
  <c r="CU258" i="7"/>
  <c r="CV258" i="7"/>
  <c r="CW258" i="7"/>
  <c r="CX258" i="7"/>
  <c r="CY258" i="7"/>
  <c r="CZ258" i="7"/>
  <c r="DA258" i="7"/>
  <c r="DB258" i="7"/>
  <c r="DC258" i="7"/>
  <c r="DD258" i="7"/>
  <c r="DE258" i="7"/>
  <c r="DF258" i="7"/>
  <c r="DG258" i="7"/>
  <c r="DH258" i="7"/>
  <c r="DI258" i="7"/>
  <c r="DJ258" i="7"/>
  <c r="DK258" i="7"/>
  <c r="DL258" i="7"/>
  <c r="DM258" i="7"/>
  <c r="DN258" i="7"/>
  <c r="DO258" i="7"/>
  <c r="DP258" i="7"/>
  <c r="DQ258" i="7"/>
  <c r="DR258" i="7"/>
  <c r="DS258" i="7"/>
  <c r="DT258" i="7"/>
  <c r="DU258" i="7"/>
  <c r="DV258" i="7"/>
  <c r="DW258" i="7"/>
  <c r="DX258" i="7"/>
  <c r="DY258" i="7"/>
  <c r="DZ258" i="7"/>
  <c r="EA258" i="7"/>
  <c r="EB258" i="7"/>
  <c r="EC258" i="7"/>
  <c r="ED258" i="7"/>
  <c r="EE258" i="7"/>
  <c r="EF258" i="7"/>
  <c r="EG258" i="7"/>
  <c r="EH258" i="7"/>
  <c r="EI258" i="7"/>
  <c r="EJ258" i="7"/>
  <c r="EK258" i="7"/>
  <c r="EL258" i="7"/>
  <c r="EM258" i="7"/>
  <c r="EN258" i="7"/>
  <c r="EO258" i="7"/>
  <c r="EP258" i="7"/>
  <c r="EQ258" i="7"/>
  <c r="ER258" i="7"/>
  <c r="ES258" i="7"/>
  <c r="ET258" i="7"/>
  <c r="EU258" i="7"/>
  <c r="EV258" i="7"/>
  <c r="EW258" i="7"/>
  <c r="EX258" i="7"/>
  <c r="EY258" i="7"/>
  <c r="EZ258" i="7"/>
  <c r="FA258" i="7"/>
  <c r="FB258" i="7"/>
  <c r="FC258" i="7"/>
  <c r="FD258" i="7"/>
  <c r="FE258" i="7"/>
  <c r="FF258" i="7"/>
  <c r="FG258" i="7"/>
  <c r="FH258" i="7"/>
  <c r="FI258" i="7"/>
  <c r="FJ258" i="7"/>
  <c r="FK258" i="7"/>
  <c r="FL258" i="7"/>
  <c r="FM258" i="7"/>
  <c r="FN258" i="7"/>
  <c r="FO258" i="7"/>
  <c r="FP258" i="7"/>
  <c r="FQ258" i="7"/>
  <c r="FR258" i="7"/>
  <c r="FS258" i="7"/>
  <c r="FT258" i="7"/>
  <c r="FU258" i="7"/>
  <c r="FV258" i="7"/>
  <c r="FW258" i="7"/>
  <c r="FX258" i="7"/>
  <c r="FY258" i="7"/>
  <c r="FZ258" i="7"/>
  <c r="GA258" i="7"/>
  <c r="GB258" i="7"/>
  <c r="GC258" i="7"/>
  <c r="GD258" i="7"/>
  <c r="GE258" i="7"/>
  <c r="GF258" i="7"/>
  <c r="GG258" i="7"/>
  <c r="GH258" i="7"/>
  <c r="GI258" i="7"/>
  <c r="GJ258" i="7"/>
  <c r="GK258" i="7"/>
  <c r="GL258" i="7"/>
  <c r="GM258" i="7"/>
  <c r="GN258" i="7"/>
  <c r="GO258" i="7"/>
  <c r="GP258" i="7"/>
  <c r="GQ258" i="7"/>
  <c r="GR258" i="7"/>
  <c r="GS258" i="7"/>
  <c r="GT258" i="7"/>
  <c r="GU258" i="7"/>
  <c r="GV258" i="7"/>
  <c r="GW258" i="7"/>
  <c r="GX258" i="7"/>
  <c r="GY258" i="7"/>
  <c r="GZ258" i="7"/>
  <c r="HA258" i="7"/>
  <c r="HB258" i="7"/>
  <c r="HC258" i="7"/>
  <c r="HD258" i="7"/>
  <c r="HE258" i="7"/>
  <c r="HF258" i="7"/>
  <c r="HG258" i="7"/>
  <c r="HH258" i="7"/>
  <c r="HI258" i="7"/>
  <c r="HJ258" i="7"/>
  <c r="HK258" i="7"/>
  <c r="HL258" i="7"/>
  <c r="HM258" i="7"/>
  <c r="HN258" i="7"/>
  <c r="HO258" i="7"/>
  <c r="HP258" i="7"/>
  <c r="HQ258" i="7"/>
  <c r="HR258" i="7"/>
  <c r="HS258" i="7"/>
  <c r="HT258" i="7"/>
  <c r="HU258" i="7"/>
  <c r="HV258" i="7"/>
  <c r="HW258" i="7"/>
  <c r="HX258" i="7"/>
  <c r="HY258" i="7"/>
  <c r="HZ258" i="7"/>
  <c r="IA258" i="7"/>
  <c r="IB258" i="7"/>
  <c r="IC258" i="7"/>
  <c r="ID258" i="7"/>
  <c r="IE258" i="7"/>
  <c r="IF258" i="7"/>
  <c r="IG258" i="7"/>
  <c r="IH258" i="7"/>
  <c r="II258" i="7"/>
  <c r="IJ258" i="7"/>
  <c r="IK258" i="7"/>
  <c r="IL258" i="7"/>
  <c r="IM258" i="7"/>
  <c r="IN258" i="7"/>
  <c r="IO258" i="7"/>
  <c r="IP258" i="7"/>
  <c r="IQ258" i="7"/>
  <c r="IR258" i="7"/>
  <c r="IS258" i="7"/>
  <c r="IT258" i="7"/>
  <c r="IU258" i="7"/>
  <c r="IV258" i="7"/>
  <c r="A257" i="7"/>
  <c r="B257" i="7"/>
  <c r="C257" i="7"/>
  <c r="D257" i="7"/>
  <c r="E257" i="7"/>
  <c r="F257" i="7"/>
  <c r="G257" i="7"/>
  <c r="H257" i="7"/>
  <c r="I257" i="7"/>
  <c r="J257" i="7"/>
  <c r="K257" i="7"/>
  <c r="L257" i="7"/>
  <c r="M257" i="7"/>
  <c r="N257" i="7"/>
  <c r="O257" i="7"/>
  <c r="P257" i="7"/>
  <c r="Q257" i="7"/>
  <c r="R257" i="7"/>
  <c r="S257" i="7"/>
  <c r="T257" i="7"/>
  <c r="U257" i="7"/>
  <c r="V257" i="7"/>
  <c r="W257" i="7"/>
  <c r="X257" i="7"/>
  <c r="Y257" i="7"/>
  <c r="Z257" i="7"/>
  <c r="AA257" i="7"/>
  <c r="AB257" i="7"/>
  <c r="AC257" i="7"/>
  <c r="AD257" i="7"/>
  <c r="AE257" i="7"/>
  <c r="AF257" i="7"/>
  <c r="AG257" i="7"/>
  <c r="AH257" i="7"/>
  <c r="AI257" i="7"/>
  <c r="AJ257" i="7"/>
  <c r="AK257" i="7"/>
  <c r="AL257" i="7"/>
  <c r="AM257" i="7"/>
  <c r="AN257" i="7"/>
  <c r="AO257" i="7"/>
  <c r="AP257" i="7"/>
  <c r="AQ257" i="7"/>
  <c r="AR257" i="7"/>
  <c r="AS257" i="7"/>
  <c r="AT257" i="7"/>
  <c r="AU257" i="7"/>
  <c r="AV257" i="7"/>
  <c r="AW257" i="7"/>
  <c r="AX257" i="7"/>
  <c r="AY257" i="7"/>
  <c r="AZ257" i="7"/>
  <c r="BA257" i="7"/>
  <c r="BB257" i="7"/>
  <c r="BC257" i="7"/>
  <c r="BD257" i="7"/>
  <c r="BE257" i="7"/>
  <c r="BF257" i="7"/>
  <c r="BG257" i="7"/>
  <c r="BH257" i="7"/>
  <c r="BI257" i="7"/>
  <c r="BJ257" i="7"/>
  <c r="BK257" i="7"/>
  <c r="BL257" i="7"/>
  <c r="BM257" i="7"/>
  <c r="BN257" i="7"/>
  <c r="BO257" i="7"/>
  <c r="BP257" i="7"/>
  <c r="BQ257" i="7"/>
  <c r="BR257" i="7"/>
  <c r="BS257" i="7"/>
  <c r="BT257" i="7"/>
  <c r="BU257" i="7"/>
  <c r="BV257" i="7"/>
  <c r="BW257" i="7"/>
  <c r="BX257" i="7"/>
  <c r="BY257" i="7"/>
  <c r="BZ257" i="7"/>
  <c r="CA257" i="7"/>
  <c r="CB257" i="7"/>
  <c r="CC257" i="7"/>
  <c r="CD257" i="7"/>
  <c r="CE257" i="7"/>
  <c r="CF257" i="7"/>
  <c r="CG257" i="7"/>
  <c r="CH257" i="7"/>
  <c r="CI257" i="7"/>
  <c r="CJ257" i="7"/>
  <c r="CK257" i="7"/>
  <c r="CL257" i="7"/>
  <c r="CM257" i="7"/>
  <c r="CN257" i="7"/>
  <c r="CO257" i="7"/>
  <c r="CP257" i="7"/>
  <c r="CQ257" i="7"/>
  <c r="CR257" i="7"/>
  <c r="CS257" i="7"/>
  <c r="CT257" i="7"/>
  <c r="CU257" i="7"/>
  <c r="CV257" i="7"/>
  <c r="CW257" i="7"/>
  <c r="CX257" i="7"/>
  <c r="CY257" i="7"/>
  <c r="CZ257" i="7"/>
  <c r="DA257" i="7"/>
  <c r="DB257" i="7"/>
  <c r="DC257" i="7"/>
  <c r="DD257" i="7"/>
  <c r="DE257" i="7"/>
  <c r="DF257" i="7"/>
  <c r="DG257" i="7"/>
  <c r="DH257" i="7"/>
  <c r="DI257" i="7"/>
  <c r="DJ257" i="7"/>
  <c r="DK257" i="7"/>
  <c r="DL257" i="7"/>
  <c r="DM257" i="7"/>
  <c r="DN257" i="7"/>
  <c r="DO257" i="7"/>
  <c r="DP257" i="7"/>
  <c r="DQ257" i="7"/>
  <c r="DR257" i="7"/>
  <c r="DS257" i="7"/>
  <c r="DT257" i="7"/>
  <c r="DU257" i="7"/>
  <c r="DV257" i="7"/>
  <c r="DW257" i="7"/>
  <c r="DX257" i="7"/>
  <c r="DY257" i="7"/>
  <c r="DZ257" i="7"/>
  <c r="EA257" i="7"/>
  <c r="EB257" i="7"/>
  <c r="EC257" i="7"/>
  <c r="ED257" i="7"/>
  <c r="EE257" i="7"/>
  <c r="EF257" i="7"/>
  <c r="EG257" i="7"/>
  <c r="EH257" i="7"/>
  <c r="EI257" i="7"/>
  <c r="EJ257" i="7"/>
  <c r="EK257" i="7"/>
  <c r="EL257" i="7"/>
  <c r="EM257" i="7"/>
  <c r="EN257" i="7"/>
  <c r="EO257" i="7"/>
  <c r="EP257" i="7"/>
  <c r="EQ257" i="7"/>
  <c r="ER257" i="7"/>
  <c r="ES257" i="7"/>
  <c r="ET257" i="7"/>
  <c r="EU257" i="7"/>
  <c r="EV257" i="7"/>
  <c r="EW257" i="7"/>
  <c r="EX257" i="7"/>
  <c r="EY257" i="7"/>
  <c r="EZ257" i="7"/>
  <c r="FA257" i="7"/>
  <c r="FB257" i="7"/>
  <c r="FC257" i="7"/>
  <c r="FD257" i="7"/>
  <c r="FE257" i="7"/>
  <c r="FF257" i="7"/>
  <c r="FG257" i="7"/>
  <c r="FH257" i="7"/>
  <c r="FI257" i="7"/>
  <c r="FJ257" i="7"/>
  <c r="FK257" i="7"/>
  <c r="FL257" i="7"/>
  <c r="FM257" i="7"/>
  <c r="FN257" i="7"/>
  <c r="FO257" i="7"/>
  <c r="FP257" i="7"/>
  <c r="FQ257" i="7"/>
  <c r="FR257" i="7"/>
  <c r="FS257" i="7"/>
  <c r="FT257" i="7"/>
  <c r="FU257" i="7"/>
  <c r="FV257" i="7"/>
  <c r="FW257" i="7"/>
  <c r="FX257" i="7"/>
  <c r="FY257" i="7"/>
  <c r="FZ257" i="7"/>
  <c r="GA257" i="7"/>
  <c r="GB257" i="7"/>
  <c r="GC257" i="7"/>
  <c r="GD257" i="7"/>
  <c r="GE257" i="7"/>
  <c r="GF257" i="7"/>
  <c r="GG257" i="7"/>
  <c r="GH257" i="7"/>
  <c r="GI257" i="7"/>
  <c r="GJ257" i="7"/>
  <c r="GK257" i="7"/>
  <c r="GL257" i="7"/>
  <c r="GM257" i="7"/>
  <c r="GN257" i="7"/>
  <c r="GO257" i="7"/>
  <c r="GP257" i="7"/>
  <c r="GQ257" i="7"/>
  <c r="GR257" i="7"/>
  <c r="GS257" i="7"/>
  <c r="GT257" i="7"/>
  <c r="GU257" i="7"/>
  <c r="GV257" i="7"/>
  <c r="GW257" i="7"/>
  <c r="GX257" i="7"/>
  <c r="GY257" i="7"/>
  <c r="GZ257" i="7"/>
  <c r="HA257" i="7"/>
  <c r="HB257" i="7"/>
  <c r="HC257" i="7"/>
  <c r="HD257" i="7"/>
  <c r="HE257" i="7"/>
  <c r="HF257" i="7"/>
  <c r="HG257" i="7"/>
  <c r="HH257" i="7"/>
  <c r="HI257" i="7"/>
  <c r="HJ257" i="7"/>
  <c r="HK257" i="7"/>
  <c r="HL257" i="7"/>
  <c r="HM257" i="7"/>
  <c r="HN257" i="7"/>
  <c r="HO257" i="7"/>
  <c r="HP257" i="7"/>
  <c r="HQ257" i="7"/>
  <c r="HR257" i="7"/>
  <c r="HS257" i="7"/>
  <c r="HT257" i="7"/>
  <c r="HU257" i="7"/>
  <c r="HV257" i="7"/>
  <c r="HW257" i="7"/>
  <c r="HX257" i="7"/>
  <c r="HY257" i="7"/>
  <c r="HZ257" i="7"/>
  <c r="IA257" i="7"/>
  <c r="IB257" i="7"/>
  <c r="IC257" i="7"/>
  <c r="ID257" i="7"/>
  <c r="IE257" i="7"/>
  <c r="IF257" i="7"/>
  <c r="IG257" i="7"/>
  <c r="IH257" i="7"/>
  <c r="II257" i="7"/>
  <c r="IJ257" i="7"/>
  <c r="IK257" i="7"/>
  <c r="IL257" i="7"/>
  <c r="IM257" i="7"/>
  <c r="IN257" i="7"/>
  <c r="IO257" i="7"/>
  <c r="IP257" i="7"/>
  <c r="IQ257" i="7"/>
  <c r="IR257" i="7"/>
  <c r="IS257" i="7"/>
  <c r="IT257" i="7"/>
  <c r="IU257" i="7"/>
  <c r="IV257" i="7"/>
  <c r="A256" i="7"/>
  <c r="B256" i="7"/>
  <c r="C256" i="7"/>
  <c r="D256" i="7"/>
  <c r="E256" i="7"/>
  <c r="F256" i="7"/>
  <c r="G256" i="7"/>
  <c r="H256" i="7"/>
  <c r="I256" i="7"/>
  <c r="J256" i="7"/>
  <c r="K256" i="7"/>
  <c r="L256" i="7"/>
  <c r="M256" i="7"/>
  <c r="N256" i="7"/>
  <c r="O256" i="7"/>
  <c r="P256" i="7"/>
  <c r="Q256" i="7"/>
  <c r="R256" i="7"/>
  <c r="S256" i="7"/>
  <c r="T256" i="7"/>
  <c r="U256" i="7"/>
  <c r="V256" i="7"/>
  <c r="W256" i="7"/>
  <c r="X256" i="7"/>
  <c r="Y256" i="7"/>
  <c r="Z256" i="7"/>
  <c r="AA256" i="7"/>
  <c r="AB256" i="7"/>
  <c r="AC256" i="7"/>
  <c r="AD256" i="7"/>
  <c r="AE256" i="7"/>
  <c r="AF256" i="7"/>
  <c r="AG256" i="7"/>
  <c r="AH256" i="7"/>
  <c r="AI256" i="7"/>
  <c r="AJ256" i="7"/>
  <c r="AK256" i="7"/>
  <c r="AL256" i="7"/>
  <c r="AM256" i="7"/>
  <c r="AN256" i="7"/>
  <c r="AO256" i="7"/>
  <c r="AP256" i="7"/>
  <c r="AQ256" i="7"/>
  <c r="AR256" i="7"/>
  <c r="AS256" i="7"/>
  <c r="AT256" i="7"/>
  <c r="AU256" i="7"/>
  <c r="AV256" i="7"/>
  <c r="AW256" i="7"/>
  <c r="AX256" i="7"/>
  <c r="AY256" i="7"/>
  <c r="AZ256" i="7"/>
  <c r="BA256" i="7"/>
  <c r="BB256" i="7"/>
  <c r="BC256" i="7"/>
  <c r="BD256" i="7"/>
  <c r="BE256" i="7"/>
  <c r="BF256" i="7"/>
  <c r="BG256" i="7"/>
  <c r="BH256" i="7"/>
  <c r="BI256" i="7"/>
  <c r="BJ256" i="7"/>
  <c r="BK256" i="7"/>
  <c r="BL256" i="7"/>
  <c r="BM256" i="7"/>
  <c r="BN256" i="7"/>
  <c r="BO256" i="7"/>
  <c r="BP256" i="7"/>
  <c r="BQ256" i="7"/>
  <c r="BR256" i="7"/>
  <c r="BS256" i="7"/>
  <c r="BT256" i="7"/>
  <c r="BU256" i="7"/>
  <c r="BV256" i="7"/>
  <c r="BW256" i="7"/>
  <c r="BX256" i="7"/>
  <c r="BY256" i="7"/>
  <c r="BZ256" i="7"/>
  <c r="CA256" i="7"/>
  <c r="CB256" i="7"/>
  <c r="CC256" i="7"/>
  <c r="CD256" i="7"/>
  <c r="CE256" i="7"/>
  <c r="CF256" i="7"/>
  <c r="CG256" i="7"/>
  <c r="CH256" i="7"/>
  <c r="CI256" i="7"/>
  <c r="CJ256" i="7"/>
  <c r="CK256" i="7"/>
  <c r="CL256" i="7"/>
  <c r="CM256" i="7"/>
  <c r="CN256" i="7"/>
  <c r="CO256" i="7"/>
  <c r="CP256" i="7"/>
  <c r="CQ256" i="7"/>
  <c r="CR256" i="7"/>
  <c r="CS256" i="7"/>
  <c r="CT256" i="7"/>
  <c r="CU256" i="7"/>
  <c r="CV256" i="7"/>
  <c r="CW256" i="7"/>
  <c r="CX256" i="7"/>
  <c r="CY256" i="7"/>
  <c r="CZ256" i="7"/>
  <c r="DA256" i="7"/>
  <c r="DB256" i="7"/>
  <c r="DC256" i="7"/>
  <c r="DD256" i="7"/>
  <c r="DE256" i="7"/>
  <c r="DF256" i="7"/>
  <c r="DG256" i="7"/>
  <c r="DH256" i="7"/>
  <c r="DI256" i="7"/>
  <c r="DJ256" i="7"/>
  <c r="DK256" i="7"/>
  <c r="DL256" i="7"/>
  <c r="DM256" i="7"/>
  <c r="DN256" i="7"/>
  <c r="DO256" i="7"/>
  <c r="DP256" i="7"/>
  <c r="DQ256" i="7"/>
  <c r="DR256" i="7"/>
  <c r="DS256" i="7"/>
  <c r="DT256" i="7"/>
  <c r="DU256" i="7"/>
  <c r="DV256" i="7"/>
  <c r="DW256" i="7"/>
  <c r="DX256" i="7"/>
  <c r="DY256" i="7"/>
  <c r="DZ256" i="7"/>
  <c r="EA256" i="7"/>
  <c r="EB256" i="7"/>
  <c r="EC256" i="7"/>
  <c r="ED256" i="7"/>
  <c r="EE256" i="7"/>
  <c r="EF256" i="7"/>
  <c r="EG256" i="7"/>
  <c r="EH256" i="7"/>
  <c r="EI256" i="7"/>
  <c r="EJ256" i="7"/>
  <c r="EK256" i="7"/>
  <c r="EL256" i="7"/>
  <c r="EM256" i="7"/>
  <c r="EN256" i="7"/>
  <c r="EO256" i="7"/>
  <c r="EP256" i="7"/>
  <c r="EQ256" i="7"/>
  <c r="ER256" i="7"/>
  <c r="ES256" i="7"/>
  <c r="ET256" i="7"/>
  <c r="EU256" i="7"/>
  <c r="EV256" i="7"/>
  <c r="EW256" i="7"/>
  <c r="EX256" i="7"/>
  <c r="EY256" i="7"/>
  <c r="EZ256" i="7"/>
  <c r="FA256" i="7"/>
  <c r="FB256" i="7"/>
  <c r="FC256" i="7"/>
  <c r="FD256" i="7"/>
  <c r="FE256" i="7"/>
  <c r="FF256" i="7"/>
  <c r="FG256" i="7"/>
  <c r="FH256" i="7"/>
  <c r="FI256" i="7"/>
  <c r="FJ256" i="7"/>
  <c r="FK256" i="7"/>
  <c r="FL256" i="7"/>
  <c r="FM256" i="7"/>
  <c r="FN256" i="7"/>
  <c r="FO256" i="7"/>
  <c r="FP256" i="7"/>
  <c r="FQ256" i="7"/>
  <c r="FR256" i="7"/>
  <c r="FS256" i="7"/>
  <c r="FT256" i="7"/>
  <c r="FU256" i="7"/>
  <c r="FV256" i="7"/>
  <c r="FW256" i="7"/>
  <c r="FX256" i="7"/>
  <c r="FY256" i="7"/>
  <c r="FZ256" i="7"/>
  <c r="GA256" i="7"/>
  <c r="GB256" i="7"/>
  <c r="GC256" i="7"/>
  <c r="GD256" i="7"/>
  <c r="GE256" i="7"/>
  <c r="GF256" i="7"/>
  <c r="GG256" i="7"/>
  <c r="GH256" i="7"/>
  <c r="GI256" i="7"/>
  <c r="GJ256" i="7"/>
  <c r="GK256" i="7"/>
  <c r="GL256" i="7"/>
  <c r="GM256" i="7"/>
  <c r="GN256" i="7"/>
  <c r="GO256" i="7"/>
  <c r="GP256" i="7"/>
  <c r="GQ256" i="7"/>
  <c r="GR256" i="7"/>
  <c r="GS256" i="7"/>
  <c r="GT256" i="7"/>
  <c r="GU256" i="7"/>
  <c r="GV256" i="7"/>
  <c r="GW256" i="7"/>
  <c r="GX256" i="7"/>
  <c r="GY256" i="7"/>
  <c r="GZ256" i="7"/>
  <c r="HA256" i="7"/>
  <c r="HB256" i="7"/>
  <c r="HC256" i="7"/>
  <c r="HD256" i="7"/>
  <c r="HE256" i="7"/>
  <c r="HF256" i="7"/>
  <c r="HG256" i="7"/>
  <c r="HH256" i="7"/>
  <c r="HI256" i="7"/>
  <c r="HJ256" i="7"/>
  <c r="HK256" i="7"/>
  <c r="HL256" i="7"/>
  <c r="HM256" i="7"/>
  <c r="HN256" i="7"/>
  <c r="HO256" i="7"/>
  <c r="HP256" i="7"/>
  <c r="HQ256" i="7"/>
  <c r="HR256" i="7"/>
  <c r="HS256" i="7"/>
  <c r="HT256" i="7"/>
  <c r="HU256" i="7"/>
  <c r="HV256" i="7"/>
  <c r="HW256" i="7"/>
  <c r="HX256" i="7"/>
  <c r="HY256" i="7"/>
  <c r="HZ256" i="7"/>
  <c r="IA256" i="7"/>
  <c r="IB256" i="7"/>
  <c r="IC256" i="7"/>
  <c r="ID256" i="7"/>
  <c r="IE256" i="7"/>
  <c r="IF256" i="7"/>
  <c r="IG256" i="7"/>
  <c r="IH256" i="7"/>
  <c r="II256" i="7"/>
  <c r="IJ256" i="7"/>
  <c r="IK256" i="7"/>
  <c r="IL256" i="7"/>
  <c r="IM256" i="7"/>
  <c r="IN256" i="7"/>
  <c r="IO256" i="7"/>
  <c r="IP256" i="7"/>
  <c r="IQ256" i="7"/>
  <c r="IR256" i="7"/>
  <c r="IS256" i="7"/>
  <c r="IT256" i="7"/>
  <c r="IU256" i="7"/>
  <c r="IV256" i="7"/>
  <c r="A255" i="7"/>
  <c r="B255" i="7"/>
  <c r="C255" i="7"/>
  <c r="D255" i="7"/>
  <c r="E255" i="7"/>
  <c r="F255" i="7"/>
  <c r="G255" i="7"/>
  <c r="H255" i="7"/>
  <c r="I255" i="7"/>
  <c r="J255" i="7"/>
  <c r="K255" i="7"/>
  <c r="L255" i="7"/>
  <c r="M255" i="7"/>
  <c r="N255" i="7"/>
  <c r="O255" i="7"/>
  <c r="P255" i="7"/>
  <c r="Q255" i="7"/>
  <c r="R255" i="7"/>
  <c r="S255" i="7"/>
  <c r="T255" i="7"/>
  <c r="U255" i="7"/>
  <c r="V255" i="7"/>
  <c r="W255" i="7"/>
  <c r="X255" i="7"/>
  <c r="Y255" i="7"/>
  <c r="Z255" i="7"/>
  <c r="AA255" i="7"/>
  <c r="AB255" i="7"/>
  <c r="AC255" i="7"/>
  <c r="AD255" i="7"/>
  <c r="AE255" i="7"/>
  <c r="AF255" i="7"/>
  <c r="AG255" i="7"/>
  <c r="AH255" i="7"/>
  <c r="AI255" i="7"/>
  <c r="AJ255" i="7"/>
  <c r="AK255" i="7"/>
  <c r="AL255" i="7"/>
  <c r="AM255" i="7"/>
  <c r="AN255" i="7"/>
  <c r="AO255" i="7"/>
  <c r="AP255" i="7"/>
  <c r="AQ255" i="7"/>
  <c r="AR255" i="7"/>
  <c r="AS255" i="7"/>
  <c r="AT255" i="7"/>
  <c r="AU255" i="7"/>
  <c r="AV255" i="7"/>
  <c r="AW255" i="7"/>
  <c r="AX255" i="7"/>
  <c r="AY255" i="7"/>
  <c r="AZ255" i="7"/>
  <c r="BA255" i="7"/>
  <c r="BB255" i="7"/>
  <c r="BC255" i="7"/>
  <c r="BD255" i="7"/>
  <c r="BE255" i="7"/>
  <c r="BF255" i="7"/>
  <c r="BG255" i="7"/>
  <c r="BH255" i="7"/>
  <c r="BI255" i="7"/>
  <c r="BJ255" i="7"/>
  <c r="BK255" i="7"/>
  <c r="BL255" i="7"/>
  <c r="BM255" i="7"/>
  <c r="BN255" i="7"/>
  <c r="BO255" i="7"/>
  <c r="BP255" i="7"/>
  <c r="BQ255" i="7"/>
  <c r="BR255" i="7"/>
  <c r="BS255" i="7"/>
  <c r="BT255" i="7"/>
  <c r="BU255" i="7"/>
  <c r="BV255" i="7"/>
  <c r="BW255" i="7"/>
  <c r="BX255" i="7"/>
  <c r="BY255" i="7"/>
  <c r="BZ255" i="7"/>
  <c r="CA255" i="7"/>
  <c r="CB255" i="7"/>
  <c r="CC255" i="7"/>
  <c r="CD255" i="7"/>
  <c r="CE255" i="7"/>
  <c r="CF255" i="7"/>
  <c r="CG255" i="7"/>
  <c r="CH255" i="7"/>
  <c r="CI255" i="7"/>
  <c r="CJ255" i="7"/>
  <c r="CK255" i="7"/>
  <c r="CL255" i="7"/>
  <c r="CM255" i="7"/>
  <c r="CN255" i="7"/>
  <c r="CO255" i="7"/>
  <c r="CP255" i="7"/>
  <c r="CQ255" i="7"/>
  <c r="CR255" i="7"/>
  <c r="CS255" i="7"/>
  <c r="CT255" i="7"/>
  <c r="CU255" i="7"/>
  <c r="CV255" i="7"/>
  <c r="CW255" i="7"/>
  <c r="CX255" i="7"/>
  <c r="CY255" i="7"/>
  <c r="CZ255" i="7"/>
  <c r="DA255" i="7"/>
  <c r="DB255" i="7"/>
  <c r="DC255" i="7"/>
  <c r="DD255" i="7"/>
  <c r="DE255" i="7"/>
  <c r="DF255" i="7"/>
  <c r="DG255" i="7"/>
  <c r="DH255" i="7"/>
  <c r="DI255" i="7"/>
  <c r="DJ255" i="7"/>
  <c r="DK255" i="7"/>
  <c r="DL255" i="7"/>
  <c r="DM255" i="7"/>
  <c r="DN255" i="7"/>
  <c r="DO255" i="7"/>
  <c r="DP255" i="7"/>
  <c r="DQ255" i="7"/>
  <c r="DR255" i="7"/>
  <c r="DS255" i="7"/>
  <c r="DT255" i="7"/>
  <c r="DU255" i="7"/>
  <c r="DV255" i="7"/>
  <c r="DW255" i="7"/>
  <c r="DX255" i="7"/>
  <c r="DY255" i="7"/>
  <c r="DZ255" i="7"/>
  <c r="EA255" i="7"/>
  <c r="EB255" i="7"/>
  <c r="EC255" i="7"/>
  <c r="ED255" i="7"/>
  <c r="EE255" i="7"/>
  <c r="EF255" i="7"/>
  <c r="EG255" i="7"/>
  <c r="EH255" i="7"/>
  <c r="EI255" i="7"/>
  <c r="EJ255" i="7"/>
  <c r="EK255" i="7"/>
  <c r="EL255" i="7"/>
  <c r="EM255" i="7"/>
  <c r="EN255" i="7"/>
  <c r="EO255" i="7"/>
  <c r="EP255" i="7"/>
  <c r="EQ255" i="7"/>
  <c r="ER255" i="7"/>
  <c r="ES255" i="7"/>
  <c r="ET255" i="7"/>
  <c r="EU255" i="7"/>
  <c r="EV255" i="7"/>
  <c r="EW255" i="7"/>
  <c r="EX255" i="7"/>
  <c r="EY255" i="7"/>
  <c r="EZ255" i="7"/>
  <c r="FA255" i="7"/>
  <c r="FB255" i="7"/>
  <c r="FC255" i="7"/>
  <c r="FD255" i="7"/>
  <c r="FE255" i="7"/>
  <c r="FF255" i="7"/>
  <c r="FG255" i="7"/>
  <c r="FH255" i="7"/>
  <c r="FI255" i="7"/>
  <c r="FJ255" i="7"/>
  <c r="FK255" i="7"/>
  <c r="FL255" i="7"/>
  <c r="FM255" i="7"/>
  <c r="FN255" i="7"/>
  <c r="FO255" i="7"/>
  <c r="FP255" i="7"/>
  <c r="FQ255" i="7"/>
  <c r="FR255" i="7"/>
  <c r="FS255" i="7"/>
  <c r="FT255" i="7"/>
  <c r="FU255" i="7"/>
  <c r="FV255" i="7"/>
  <c r="FW255" i="7"/>
  <c r="FX255" i="7"/>
  <c r="FY255" i="7"/>
  <c r="FZ255" i="7"/>
  <c r="GA255" i="7"/>
  <c r="GB255" i="7"/>
  <c r="GC255" i="7"/>
  <c r="GD255" i="7"/>
  <c r="GE255" i="7"/>
  <c r="GF255" i="7"/>
  <c r="GG255" i="7"/>
  <c r="GH255" i="7"/>
  <c r="GI255" i="7"/>
  <c r="GJ255" i="7"/>
  <c r="GK255" i="7"/>
  <c r="GL255" i="7"/>
  <c r="GM255" i="7"/>
  <c r="GN255" i="7"/>
  <c r="GO255" i="7"/>
  <c r="GP255" i="7"/>
  <c r="GQ255" i="7"/>
  <c r="GR255" i="7"/>
  <c r="GS255" i="7"/>
  <c r="GT255" i="7"/>
  <c r="GU255" i="7"/>
  <c r="GV255" i="7"/>
  <c r="GW255" i="7"/>
  <c r="GX255" i="7"/>
  <c r="GY255" i="7"/>
  <c r="GZ255" i="7"/>
  <c r="HA255" i="7"/>
  <c r="HB255" i="7"/>
  <c r="HC255" i="7"/>
  <c r="HD255" i="7"/>
  <c r="HE255" i="7"/>
  <c r="HF255" i="7"/>
  <c r="HG255" i="7"/>
  <c r="HH255" i="7"/>
  <c r="HI255" i="7"/>
  <c r="HJ255" i="7"/>
  <c r="HK255" i="7"/>
  <c r="HL255" i="7"/>
  <c r="HM255" i="7"/>
  <c r="HN255" i="7"/>
  <c r="HO255" i="7"/>
  <c r="HP255" i="7"/>
  <c r="HQ255" i="7"/>
  <c r="HR255" i="7"/>
  <c r="HS255" i="7"/>
  <c r="HT255" i="7"/>
  <c r="HU255" i="7"/>
  <c r="HV255" i="7"/>
  <c r="HW255" i="7"/>
  <c r="HX255" i="7"/>
  <c r="HY255" i="7"/>
  <c r="HZ255" i="7"/>
  <c r="IA255" i="7"/>
  <c r="IB255" i="7"/>
  <c r="IC255" i="7"/>
  <c r="ID255" i="7"/>
  <c r="IE255" i="7"/>
  <c r="IF255" i="7"/>
  <c r="IG255" i="7"/>
  <c r="IH255" i="7"/>
  <c r="II255" i="7"/>
  <c r="IJ255" i="7"/>
  <c r="IK255" i="7"/>
  <c r="IL255" i="7"/>
  <c r="IM255" i="7"/>
  <c r="IN255" i="7"/>
  <c r="IO255" i="7"/>
  <c r="IP255" i="7"/>
  <c r="IQ255" i="7"/>
  <c r="IR255" i="7"/>
  <c r="IS255" i="7"/>
  <c r="IT255" i="7"/>
  <c r="IU255" i="7"/>
  <c r="IV255" i="7"/>
  <c r="A254" i="7"/>
  <c r="B254" i="7"/>
  <c r="C254" i="7"/>
  <c r="D254" i="7"/>
  <c r="E254" i="7"/>
  <c r="F254" i="7"/>
  <c r="G254" i="7"/>
  <c r="H254" i="7"/>
  <c r="I254" i="7"/>
  <c r="J254" i="7"/>
  <c r="K254" i="7"/>
  <c r="L254" i="7"/>
  <c r="M254" i="7"/>
  <c r="N254" i="7"/>
  <c r="O254" i="7"/>
  <c r="P254" i="7"/>
  <c r="Q254" i="7"/>
  <c r="R254" i="7"/>
  <c r="S254" i="7"/>
  <c r="T254" i="7"/>
  <c r="U254" i="7"/>
  <c r="V254" i="7"/>
  <c r="W254" i="7"/>
  <c r="X254" i="7"/>
  <c r="Y254" i="7"/>
  <c r="Z254" i="7"/>
  <c r="AA254" i="7"/>
  <c r="AB254" i="7"/>
  <c r="AC254" i="7"/>
  <c r="AD254" i="7"/>
  <c r="AE254" i="7"/>
  <c r="AF254" i="7"/>
  <c r="AG254" i="7"/>
  <c r="AH254" i="7"/>
  <c r="AI254" i="7"/>
  <c r="AJ254" i="7"/>
  <c r="AK254" i="7"/>
  <c r="AL254" i="7"/>
  <c r="AM254" i="7"/>
  <c r="AN254" i="7"/>
  <c r="AO254" i="7"/>
  <c r="AP254" i="7"/>
  <c r="AQ254" i="7"/>
  <c r="AR254" i="7"/>
  <c r="AS254" i="7"/>
  <c r="AT254" i="7"/>
  <c r="AU254" i="7"/>
  <c r="AV254" i="7"/>
  <c r="AW254" i="7"/>
  <c r="AX254" i="7"/>
  <c r="AY254" i="7"/>
  <c r="AZ254" i="7"/>
  <c r="BA254" i="7"/>
  <c r="BB254" i="7"/>
  <c r="BC254" i="7"/>
  <c r="BD254" i="7"/>
  <c r="BE254" i="7"/>
  <c r="BF254" i="7"/>
  <c r="BG254" i="7"/>
  <c r="BH254" i="7"/>
  <c r="BI254" i="7"/>
  <c r="BJ254" i="7"/>
  <c r="BK254" i="7"/>
  <c r="BL254" i="7"/>
  <c r="BM254" i="7"/>
  <c r="BN254" i="7"/>
  <c r="BO254" i="7"/>
  <c r="BP254" i="7"/>
  <c r="BQ254" i="7"/>
  <c r="BR254" i="7"/>
  <c r="BS254" i="7"/>
  <c r="BT254" i="7"/>
  <c r="BU254" i="7"/>
  <c r="BV254" i="7"/>
  <c r="BW254" i="7"/>
  <c r="BX254" i="7"/>
  <c r="BY254" i="7"/>
  <c r="BZ254" i="7"/>
  <c r="CA254" i="7"/>
  <c r="CB254" i="7"/>
  <c r="CC254" i="7"/>
  <c r="CD254" i="7"/>
  <c r="CE254" i="7"/>
  <c r="CF254" i="7"/>
  <c r="CG254" i="7"/>
  <c r="CH254" i="7"/>
  <c r="CI254" i="7"/>
  <c r="CJ254" i="7"/>
  <c r="CK254" i="7"/>
  <c r="CL254" i="7"/>
  <c r="CM254" i="7"/>
  <c r="CN254" i="7"/>
  <c r="CO254" i="7"/>
  <c r="CP254" i="7"/>
  <c r="CQ254" i="7"/>
  <c r="CR254" i="7"/>
  <c r="CS254" i="7"/>
  <c r="CT254" i="7"/>
  <c r="CU254" i="7"/>
  <c r="CV254" i="7"/>
  <c r="CW254" i="7"/>
  <c r="CX254" i="7"/>
  <c r="CY254" i="7"/>
  <c r="CZ254" i="7"/>
  <c r="DA254" i="7"/>
  <c r="DB254" i="7"/>
  <c r="DC254" i="7"/>
  <c r="DD254" i="7"/>
  <c r="DE254" i="7"/>
  <c r="DF254" i="7"/>
  <c r="DG254" i="7"/>
  <c r="DH254" i="7"/>
  <c r="DI254" i="7"/>
  <c r="DJ254" i="7"/>
  <c r="DK254" i="7"/>
  <c r="DL254" i="7"/>
  <c r="DM254" i="7"/>
  <c r="DN254" i="7"/>
  <c r="DO254" i="7"/>
  <c r="DP254" i="7"/>
  <c r="DQ254" i="7"/>
  <c r="DR254" i="7"/>
  <c r="DS254" i="7"/>
  <c r="DT254" i="7"/>
  <c r="DU254" i="7"/>
  <c r="DV254" i="7"/>
  <c r="DW254" i="7"/>
  <c r="DX254" i="7"/>
  <c r="DY254" i="7"/>
  <c r="DZ254" i="7"/>
  <c r="EA254" i="7"/>
  <c r="EB254" i="7"/>
  <c r="EC254" i="7"/>
  <c r="ED254" i="7"/>
  <c r="EE254" i="7"/>
  <c r="EF254" i="7"/>
  <c r="EG254" i="7"/>
  <c r="EH254" i="7"/>
  <c r="EI254" i="7"/>
  <c r="EJ254" i="7"/>
  <c r="EK254" i="7"/>
  <c r="EL254" i="7"/>
  <c r="EM254" i="7"/>
  <c r="EN254" i="7"/>
  <c r="EO254" i="7"/>
  <c r="EP254" i="7"/>
  <c r="EQ254" i="7"/>
  <c r="ER254" i="7"/>
  <c r="ES254" i="7"/>
  <c r="ET254" i="7"/>
  <c r="EU254" i="7"/>
  <c r="EV254" i="7"/>
  <c r="EW254" i="7"/>
  <c r="EX254" i="7"/>
  <c r="EY254" i="7"/>
  <c r="EZ254" i="7"/>
  <c r="FA254" i="7"/>
  <c r="FB254" i="7"/>
  <c r="FC254" i="7"/>
  <c r="FD254" i="7"/>
  <c r="FE254" i="7"/>
  <c r="FF254" i="7"/>
  <c r="FG254" i="7"/>
  <c r="FH254" i="7"/>
  <c r="FI254" i="7"/>
  <c r="FJ254" i="7"/>
  <c r="FK254" i="7"/>
  <c r="FL254" i="7"/>
  <c r="FM254" i="7"/>
  <c r="FN254" i="7"/>
  <c r="FO254" i="7"/>
  <c r="FP254" i="7"/>
  <c r="FQ254" i="7"/>
  <c r="FR254" i="7"/>
  <c r="FS254" i="7"/>
  <c r="FT254" i="7"/>
  <c r="FU254" i="7"/>
  <c r="FV254" i="7"/>
  <c r="FW254" i="7"/>
  <c r="FX254" i="7"/>
  <c r="FY254" i="7"/>
  <c r="FZ254" i="7"/>
  <c r="GA254" i="7"/>
  <c r="GB254" i="7"/>
  <c r="GC254" i="7"/>
  <c r="GD254" i="7"/>
  <c r="GE254" i="7"/>
  <c r="GF254" i="7"/>
  <c r="GG254" i="7"/>
  <c r="GH254" i="7"/>
  <c r="GI254" i="7"/>
  <c r="GJ254" i="7"/>
  <c r="GK254" i="7"/>
  <c r="GL254" i="7"/>
  <c r="GM254" i="7"/>
  <c r="GN254" i="7"/>
  <c r="GO254" i="7"/>
  <c r="GP254" i="7"/>
  <c r="GQ254" i="7"/>
  <c r="GR254" i="7"/>
  <c r="GS254" i="7"/>
  <c r="GT254" i="7"/>
  <c r="GU254" i="7"/>
  <c r="GV254" i="7"/>
  <c r="GW254" i="7"/>
  <c r="GX254" i="7"/>
  <c r="GY254" i="7"/>
  <c r="GZ254" i="7"/>
  <c r="HA254" i="7"/>
  <c r="HB254" i="7"/>
  <c r="HC254" i="7"/>
  <c r="HD254" i="7"/>
  <c r="HE254" i="7"/>
  <c r="HF254" i="7"/>
  <c r="HG254" i="7"/>
  <c r="HH254" i="7"/>
  <c r="HI254" i="7"/>
  <c r="HJ254" i="7"/>
  <c r="HK254" i="7"/>
  <c r="HL254" i="7"/>
  <c r="HM254" i="7"/>
  <c r="HN254" i="7"/>
  <c r="HO254" i="7"/>
  <c r="HP254" i="7"/>
  <c r="HQ254" i="7"/>
  <c r="HR254" i="7"/>
  <c r="HS254" i="7"/>
  <c r="HT254" i="7"/>
  <c r="HU254" i="7"/>
  <c r="HV254" i="7"/>
  <c r="HW254" i="7"/>
  <c r="HX254" i="7"/>
  <c r="HY254" i="7"/>
  <c r="HZ254" i="7"/>
  <c r="IA254" i="7"/>
  <c r="IB254" i="7"/>
  <c r="IC254" i="7"/>
  <c r="ID254" i="7"/>
  <c r="IE254" i="7"/>
  <c r="IF254" i="7"/>
  <c r="IG254" i="7"/>
  <c r="IH254" i="7"/>
  <c r="II254" i="7"/>
  <c r="IJ254" i="7"/>
  <c r="IK254" i="7"/>
  <c r="IL254" i="7"/>
  <c r="IM254" i="7"/>
  <c r="IN254" i="7"/>
  <c r="IO254" i="7"/>
  <c r="IP254" i="7"/>
  <c r="IQ254" i="7"/>
  <c r="IR254" i="7"/>
  <c r="IS254" i="7"/>
  <c r="IT254" i="7"/>
  <c r="IU254" i="7"/>
  <c r="IV254" i="7"/>
  <c r="A253" i="7"/>
  <c r="B253" i="7"/>
  <c r="C253" i="7"/>
  <c r="D253" i="7"/>
  <c r="E253" i="7"/>
  <c r="F253" i="7"/>
  <c r="G253" i="7"/>
  <c r="H253" i="7"/>
  <c r="I253" i="7"/>
  <c r="J253" i="7"/>
  <c r="K253" i="7"/>
  <c r="L253" i="7"/>
  <c r="M253" i="7"/>
  <c r="N253" i="7"/>
  <c r="O253" i="7"/>
  <c r="P253" i="7"/>
  <c r="Q253" i="7"/>
  <c r="R253" i="7"/>
  <c r="S253" i="7"/>
  <c r="T253" i="7"/>
  <c r="U253" i="7"/>
  <c r="V253" i="7"/>
  <c r="W253" i="7"/>
  <c r="X253" i="7"/>
  <c r="Y253" i="7"/>
  <c r="Z253" i="7"/>
  <c r="AA253" i="7"/>
  <c r="AB253" i="7"/>
  <c r="AC253" i="7"/>
  <c r="AD253" i="7"/>
  <c r="AE253" i="7"/>
  <c r="AF253" i="7"/>
  <c r="AG253" i="7"/>
  <c r="AH253" i="7"/>
  <c r="AI253" i="7"/>
  <c r="AJ253" i="7"/>
  <c r="AK253" i="7"/>
  <c r="AL253" i="7"/>
  <c r="AM253" i="7"/>
  <c r="AN253" i="7"/>
  <c r="AO253" i="7"/>
  <c r="AP253" i="7"/>
  <c r="AQ253" i="7"/>
  <c r="AR253" i="7"/>
  <c r="AS253" i="7"/>
  <c r="AT253" i="7"/>
  <c r="AU253" i="7"/>
  <c r="AV253" i="7"/>
  <c r="AW253" i="7"/>
  <c r="AX253" i="7"/>
  <c r="AY253" i="7"/>
  <c r="AZ253" i="7"/>
  <c r="BA253" i="7"/>
  <c r="BB253" i="7"/>
  <c r="BC253" i="7"/>
  <c r="BD253" i="7"/>
  <c r="BE253" i="7"/>
  <c r="BF253" i="7"/>
  <c r="BG253" i="7"/>
  <c r="BH253" i="7"/>
  <c r="BI253" i="7"/>
  <c r="BJ253" i="7"/>
  <c r="BK253" i="7"/>
  <c r="BL253" i="7"/>
  <c r="BM253" i="7"/>
  <c r="BN253" i="7"/>
  <c r="BO253" i="7"/>
  <c r="BP253" i="7"/>
  <c r="BQ253" i="7"/>
  <c r="BR253" i="7"/>
  <c r="BS253" i="7"/>
  <c r="BT253" i="7"/>
  <c r="BU253" i="7"/>
  <c r="BV253" i="7"/>
  <c r="BW253" i="7"/>
  <c r="BX253" i="7"/>
  <c r="BY253" i="7"/>
  <c r="BZ253" i="7"/>
  <c r="CA253" i="7"/>
  <c r="CB253" i="7"/>
  <c r="CC253" i="7"/>
  <c r="CD253" i="7"/>
  <c r="CE253" i="7"/>
  <c r="CF253" i="7"/>
  <c r="CG253" i="7"/>
  <c r="CH253" i="7"/>
  <c r="CI253" i="7"/>
  <c r="CJ253" i="7"/>
  <c r="CK253" i="7"/>
  <c r="CL253" i="7"/>
  <c r="CM253" i="7"/>
  <c r="CN253" i="7"/>
  <c r="CO253" i="7"/>
  <c r="CP253" i="7"/>
  <c r="CQ253" i="7"/>
  <c r="CR253" i="7"/>
  <c r="CS253" i="7"/>
  <c r="CT253" i="7"/>
  <c r="CU253" i="7"/>
  <c r="CV253" i="7"/>
  <c r="CW253" i="7"/>
  <c r="CX253" i="7"/>
  <c r="CY253" i="7"/>
  <c r="CZ253" i="7"/>
  <c r="DA253" i="7"/>
  <c r="DB253" i="7"/>
  <c r="DC253" i="7"/>
  <c r="DD253" i="7"/>
  <c r="DE253" i="7"/>
  <c r="DF253" i="7"/>
  <c r="DG253" i="7"/>
  <c r="DH253" i="7"/>
  <c r="DI253" i="7"/>
  <c r="DJ253" i="7"/>
  <c r="DK253" i="7"/>
  <c r="DL253" i="7"/>
  <c r="DM253" i="7"/>
  <c r="DN253" i="7"/>
  <c r="DO253" i="7"/>
  <c r="DP253" i="7"/>
  <c r="DQ253" i="7"/>
  <c r="DR253" i="7"/>
  <c r="DS253" i="7"/>
  <c r="DT253" i="7"/>
  <c r="DU253" i="7"/>
  <c r="DV253" i="7"/>
  <c r="DW253" i="7"/>
  <c r="DX253" i="7"/>
  <c r="DY253" i="7"/>
  <c r="DZ253" i="7"/>
  <c r="EA253" i="7"/>
  <c r="EB253" i="7"/>
  <c r="EC253" i="7"/>
  <c r="ED253" i="7"/>
  <c r="EE253" i="7"/>
  <c r="EF253" i="7"/>
  <c r="EG253" i="7"/>
  <c r="EH253" i="7"/>
  <c r="EI253" i="7"/>
  <c r="EJ253" i="7"/>
  <c r="EK253" i="7"/>
  <c r="EL253" i="7"/>
  <c r="EM253" i="7"/>
  <c r="EN253" i="7"/>
  <c r="EO253" i="7"/>
  <c r="EP253" i="7"/>
  <c r="EQ253" i="7"/>
  <c r="ER253" i="7"/>
  <c r="ES253" i="7"/>
  <c r="ET253" i="7"/>
  <c r="EU253" i="7"/>
  <c r="EV253" i="7"/>
  <c r="EW253" i="7"/>
  <c r="EX253" i="7"/>
  <c r="EY253" i="7"/>
  <c r="EZ253" i="7"/>
  <c r="FA253" i="7"/>
  <c r="FB253" i="7"/>
  <c r="FC253" i="7"/>
  <c r="FD253" i="7"/>
  <c r="FE253" i="7"/>
  <c r="FF253" i="7"/>
  <c r="FG253" i="7"/>
  <c r="FH253" i="7"/>
  <c r="FI253" i="7"/>
  <c r="FJ253" i="7"/>
  <c r="FK253" i="7"/>
  <c r="FL253" i="7"/>
  <c r="FM253" i="7"/>
  <c r="FN253" i="7"/>
  <c r="FO253" i="7"/>
  <c r="FP253" i="7"/>
  <c r="FQ253" i="7"/>
  <c r="FR253" i="7"/>
  <c r="FS253" i="7"/>
  <c r="FT253" i="7"/>
  <c r="FU253" i="7"/>
  <c r="FV253" i="7"/>
  <c r="FW253" i="7"/>
  <c r="FX253" i="7"/>
  <c r="FY253" i="7"/>
  <c r="FZ253" i="7"/>
  <c r="GA253" i="7"/>
  <c r="GB253" i="7"/>
  <c r="GC253" i="7"/>
  <c r="GD253" i="7"/>
  <c r="GE253" i="7"/>
  <c r="GF253" i="7"/>
  <c r="GG253" i="7"/>
  <c r="GH253" i="7"/>
  <c r="GI253" i="7"/>
  <c r="GJ253" i="7"/>
  <c r="GK253" i="7"/>
  <c r="GL253" i="7"/>
  <c r="GM253" i="7"/>
  <c r="GN253" i="7"/>
  <c r="GO253" i="7"/>
  <c r="GP253" i="7"/>
  <c r="GQ253" i="7"/>
  <c r="GR253" i="7"/>
  <c r="GS253" i="7"/>
  <c r="GT253" i="7"/>
  <c r="GU253" i="7"/>
  <c r="GV253" i="7"/>
  <c r="GW253" i="7"/>
  <c r="GX253" i="7"/>
  <c r="GY253" i="7"/>
  <c r="GZ253" i="7"/>
  <c r="HA253" i="7"/>
  <c r="HB253" i="7"/>
  <c r="HC253" i="7"/>
  <c r="HD253" i="7"/>
  <c r="HE253" i="7"/>
  <c r="HF253" i="7"/>
  <c r="HG253" i="7"/>
  <c r="HH253" i="7"/>
  <c r="HI253" i="7"/>
  <c r="HJ253" i="7"/>
  <c r="HK253" i="7"/>
  <c r="HL253" i="7"/>
  <c r="HM253" i="7"/>
  <c r="HN253" i="7"/>
  <c r="HO253" i="7"/>
  <c r="HP253" i="7"/>
  <c r="HQ253" i="7"/>
  <c r="HR253" i="7"/>
  <c r="HS253" i="7"/>
  <c r="HT253" i="7"/>
  <c r="HU253" i="7"/>
  <c r="HV253" i="7"/>
  <c r="HW253" i="7"/>
  <c r="HX253" i="7"/>
  <c r="HY253" i="7"/>
  <c r="HZ253" i="7"/>
  <c r="IA253" i="7"/>
  <c r="IB253" i="7"/>
  <c r="IC253" i="7"/>
  <c r="ID253" i="7"/>
  <c r="IE253" i="7"/>
  <c r="IF253" i="7"/>
  <c r="IG253" i="7"/>
  <c r="IH253" i="7"/>
  <c r="II253" i="7"/>
  <c r="IJ253" i="7"/>
  <c r="IK253" i="7"/>
  <c r="IL253" i="7"/>
  <c r="IM253" i="7"/>
  <c r="IN253" i="7"/>
  <c r="IO253" i="7"/>
  <c r="IP253" i="7"/>
  <c r="IQ253" i="7"/>
  <c r="IR253" i="7"/>
  <c r="IS253" i="7"/>
  <c r="IT253" i="7"/>
  <c r="IU253" i="7"/>
  <c r="IV253" i="7"/>
  <c r="A252" i="7"/>
  <c r="B252" i="7"/>
  <c r="C252" i="7"/>
  <c r="D252" i="7"/>
  <c r="E252" i="7"/>
  <c r="F252" i="7"/>
  <c r="G252" i="7"/>
  <c r="H252" i="7"/>
  <c r="I252" i="7"/>
  <c r="J252" i="7"/>
  <c r="K252" i="7"/>
  <c r="L252" i="7"/>
  <c r="M252" i="7"/>
  <c r="N252" i="7"/>
  <c r="O252" i="7"/>
  <c r="P252" i="7"/>
  <c r="Q252" i="7"/>
  <c r="R252" i="7"/>
  <c r="S252" i="7"/>
  <c r="T252" i="7"/>
  <c r="U252" i="7"/>
  <c r="V252" i="7"/>
  <c r="W252" i="7"/>
  <c r="X252" i="7"/>
  <c r="Y252" i="7"/>
  <c r="Z252" i="7"/>
  <c r="AA252" i="7"/>
  <c r="AB252" i="7"/>
  <c r="AC252" i="7"/>
  <c r="AD252" i="7"/>
  <c r="AE252" i="7"/>
  <c r="AF252" i="7"/>
  <c r="AG252" i="7"/>
  <c r="AH252" i="7"/>
  <c r="AI252" i="7"/>
  <c r="AJ252" i="7"/>
  <c r="AK252" i="7"/>
  <c r="AL252" i="7"/>
  <c r="AM252" i="7"/>
  <c r="AN252" i="7"/>
  <c r="AO252" i="7"/>
  <c r="AP252" i="7"/>
  <c r="AQ252" i="7"/>
  <c r="AR252" i="7"/>
  <c r="AS252" i="7"/>
  <c r="AT252" i="7"/>
  <c r="AU252" i="7"/>
  <c r="AV252" i="7"/>
  <c r="AW252" i="7"/>
  <c r="AX252" i="7"/>
  <c r="AY252" i="7"/>
  <c r="AZ252" i="7"/>
  <c r="BA252" i="7"/>
  <c r="BB252" i="7"/>
  <c r="BC252" i="7"/>
  <c r="BD252" i="7"/>
  <c r="BE252" i="7"/>
  <c r="BF252" i="7"/>
  <c r="BG252" i="7"/>
  <c r="BH252" i="7"/>
  <c r="BI252" i="7"/>
  <c r="BJ252" i="7"/>
  <c r="BK252" i="7"/>
  <c r="BL252" i="7"/>
  <c r="BM252" i="7"/>
  <c r="BN252" i="7"/>
  <c r="BO252" i="7"/>
  <c r="BP252" i="7"/>
  <c r="BQ252" i="7"/>
  <c r="BR252" i="7"/>
  <c r="BS252" i="7"/>
  <c r="BT252" i="7"/>
  <c r="BU252" i="7"/>
  <c r="BV252" i="7"/>
  <c r="BW252" i="7"/>
  <c r="BX252" i="7"/>
  <c r="BY252" i="7"/>
  <c r="BZ252" i="7"/>
  <c r="CA252" i="7"/>
  <c r="CB252" i="7"/>
  <c r="CC252" i="7"/>
  <c r="CD252" i="7"/>
  <c r="CE252" i="7"/>
  <c r="CF252" i="7"/>
  <c r="CG252" i="7"/>
  <c r="CH252" i="7"/>
  <c r="CI252" i="7"/>
  <c r="CJ252" i="7"/>
  <c r="CK252" i="7"/>
  <c r="CL252" i="7"/>
  <c r="CM252" i="7"/>
  <c r="CN252" i="7"/>
  <c r="CO252" i="7"/>
  <c r="CP252" i="7"/>
  <c r="CQ252" i="7"/>
  <c r="CR252" i="7"/>
  <c r="CS252" i="7"/>
  <c r="CT252" i="7"/>
  <c r="CU252" i="7"/>
  <c r="CV252" i="7"/>
  <c r="CW252" i="7"/>
  <c r="CX252" i="7"/>
  <c r="CY252" i="7"/>
  <c r="CZ252" i="7"/>
  <c r="DA252" i="7"/>
  <c r="DB252" i="7"/>
  <c r="DC252" i="7"/>
  <c r="DD252" i="7"/>
  <c r="DE252" i="7"/>
  <c r="DF252" i="7"/>
  <c r="DG252" i="7"/>
  <c r="DH252" i="7"/>
  <c r="DI252" i="7"/>
  <c r="DJ252" i="7"/>
  <c r="DK252" i="7"/>
  <c r="DL252" i="7"/>
  <c r="DM252" i="7"/>
  <c r="DN252" i="7"/>
  <c r="DO252" i="7"/>
  <c r="DP252" i="7"/>
  <c r="DQ252" i="7"/>
  <c r="DR252" i="7"/>
  <c r="DS252" i="7"/>
  <c r="DT252" i="7"/>
  <c r="DU252" i="7"/>
  <c r="DV252" i="7"/>
  <c r="DW252" i="7"/>
  <c r="DX252" i="7"/>
  <c r="DY252" i="7"/>
  <c r="DZ252" i="7"/>
  <c r="EA252" i="7"/>
  <c r="EB252" i="7"/>
  <c r="EC252" i="7"/>
  <c r="ED252" i="7"/>
  <c r="EE252" i="7"/>
  <c r="EF252" i="7"/>
  <c r="EG252" i="7"/>
  <c r="EH252" i="7"/>
  <c r="EI252" i="7"/>
  <c r="EJ252" i="7"/>
  <c r="EK252" i="7"/>
  <c r="EL252" i="7"/>
  <c r="EM252" i="7"/>
  <c r="EN252" i="7"/>
  <c r="EO252" i="7"/>
  <c r="EP252" i="7"/>
  <c r="EQ252" i="7"/>
  <c r="ER252" i="7"/>
  <c r="ES252" i="7"/>
  <c r="ET252" i="7"/>
  <c r="EU252" i="7"/>
  <c r="EV252" i="7"/>
  <c r="EW252" i="7"/>
  <c r="EX252" i="7"/>
  <c r="EY252" i="7"/>
  <c r="EZ252" i="7"/>
  <c r="FA252" i="7"/>
  <c r="FB252" i="7"/>
  <c r="FC252" i="7"/>
  <c r="FD252" i="7"/>
  <c r="FE252" i="7"/>
  <c r="FF252" i="7"/>
  <c r="FG252" i="7"/>
  <c r="FH252" i="7"/>
  <c r="FI252" i="7"/>
  <c r="FJ252" i="7"/>
  <c r="FK252" i="7"/>
  <c r="FL252" i="7"/>
  <c r="FM252" i="7"/>
  <c r="FN252" i="7"/>
  <c r="FO252" i="7"/>
  <c r="FP252" i="7"/>
  <c r="FQ252" i="7"/>
  <c r="FR252" i="7"/>
  <c r="FS252" i="7"/>
  <c r="FT252" i="7"/>
  <c r="FU252" i="7"/>
  <c r="FV252" i="7"/>
  <c r="FW252" i="7"/>
  <c r="FX252" i="7"/>
  <c r="FY252" i="7"/>
  <c r="FZ252" i="7"/>
  <c r="GA252" i="7"/>
  <c r="GB252" i="7"/>
  <c r="GC252" i="7"/>
  <c r="GD252" i="7"/>
  <c r="GE252" i="7"/>
  <c r="GF252" i="7"/>
  <c r="GG252" i="7"/>
  <c r="GH252" i="7"/>
  <c r="GI252" i="7"/>
  <c r="GJ252" i="7"/>
  <c r="GK252" i="7"/>
  <c r="GL252" i="7"/>
  <c r="GM252" i="7"/>
  <c r="GN252" i="7"/>
  <c r="GO252" i="7"/>
  <c r="GP252" i="7"/>
  <c r="GQ252" i="7"/>
  <c r="GR252" i="7"/>
  <c r="GS252" i="7"/>
  <c r="GT252" i="7"/>
  <c r="GU252" i="7"/>
  <c r="GV252" i="7"/>
  <c r="GW252" i="7"/>
  <c r="GX252" i="7"/>
  <c r="GY252" i="7"/>
  <c r="GZ252" i="7"/>
  <c r="HA252" i="7"/>
  <c r="HB252" i="7"/>
  <c r="HC252" i="7"/>
  <c r="HD252" i="7"/>
  <c r="HE252" i="7"/>
  <c r="HF252" i="7"/>
  <c r="HG252" i="7"/>
  <c r="HH252" i="7"/>
  <c r="HI252" i="7"/>
  <c r="HJ252" i="7"/>
  <c r="HK252" i="7"/>
  <c r="HL252" i="7"/>
  <c r="HM252" i="7"/>
  <c r="HN252" i="7"/>
  <c r="HO252" i="7"/>
  <c r="HP252" i="7"/>
  <c r="HQ252" i="7"/>
  <c r="HR252" i="7"/>
  <c r="HS252" i="7"/>
  <c r="HT252" i="7"/>
  <c r="HU252" i="7"/>
  <c r="HV252" i="7"/>
  <c r="HW252" i="7"/>
  <c r="HX252" i="7"/>
  <c r="HY252" i="7"/>
  <c r="HZ252" i="7"/>
  <c r="IA252" i="7"/>
  <c r="IB252" i="7"/>
  <c r="IC252" i="7"/>
  <c r="ID252" i="7"/>
  <c r="IE252" i="7"/>
  <c r="IF252" i="7"/>
  <c r="IG252" i="7"/>
  <c r="IH252" i="7"/>
  <c r="II252" i="7"/>
  <c r="IJ252" i="7"/>
  <c r="IK252" i="7"/>
  <c r="IL252" i="7"/>
  <c r="IM252" i="7"/>
  <c r="IN252" i="7"/>
  <c r="IO252" i="7"/>
  <c r="IP252" i="7"/>
  <c r="IQ252" i="7"/>
  <c r="IR252" i="7"/>
  <c r="IS252" i="7"/>
  <c r="IT252" i="7"/>
  <c r="IU252" i="7"/>
  <c r="IV252" i="7"/>
  <c r="A251" i="7"/>
  <c r="B251" i="7"/>
  <c r="C251" i="7"/>
  <c r="D251" i="7"/>
  <c r="E251" i="7"/>
  <c r="F251" i="7"/>
  <c r="G251" i="7"/>
  <c r="H251" i="7"/>
  <c r="I251" i="7"/>
  <c r="J251" i="7"/>
  <c r="K251" i="7"/>
  <c r="L251" i="7"/>
  <c r="M251" i="7"/>
  <c r="N251" i="7"/>
  <c r="O251" i="7"/>
  <c r="P251" i="7"/>
  <c r="Q251" i="7"/>
  <c r="R251" i="7"/>
  <c r="S251" i="7"/>
  <c r="T251" i="7"/>
  <c r="U251" i="7"/>
  <c r="V251" i="7"/>
  <c r="W251" i="7"/>
  <c r="X251" i="7"/>
  <c r="Y251" i="7"/>
  <c r="Z251" i="7"/>
  <c r="AA251" i="7"/>
  <c r="AB251" i="7"/>
  <c r="AC251" i="7"/>
  <c r="AD251" i="7"/>
  <c r="AE251" i="7"/>
  <c r="AF251" i="7"/>
  <c r="AG251" i="7"/>
  <c r="AH251" i="7"/>
  <c r="AI251" i="7"/>
  <c r="AJ251" i="7"/>
  <c r="AK251" i="7"/>
  <c r="AL251" i="7"/>
  <c r="AM251" i="7"/>
  <c r="AN251" i="7"/>
  <c r="AO251" i="7"/>
  <c r="AP251" i="7"/>
  <c r="AQ251" i="7"/>
  <c r="AR251" i="7"/>
  <c r="AS251" i="7"/>
  <c r="AT251" i="7"/>
  <c r="AU251" i="7"/>
  <c r="AV251" i="7"/>
  <c r="AW251" i="7"/>
  <c r="AX251" i="7"/>
  <c r="AY251" i="7"/>
  <c r="AZ251" i="7"/>
  <c r="BA251" i="7"/>
  <c r="BB251" i="7"/>
  <c r="BC251" i="7"/>
  <c r="BD251" i="7"/>
  <c r="BE251" i="7"/>
  <c r="BF251" i="7"/>
  <c r="BG251" i="7"/>
  <c r="BH251" i="7"/>
  <c r="BI251" i="7"/>
  <c r="BJ251" i="7"/>
  <c r="BK251" i="7"/>
  <c r="BL251" i="7"/>
  <c r="BM251" i="7"/>
  <c r="BN251" i="7"/>
  <c r="BO251" i="7"/>
  <c r="BP251" i="7"/>
  <c r="BQ251" i="7"/>
  <c r="BR251" i="7"/>
  <c r="BS251" i="7"/>
  <c r="BT251" i="7"/>
  <c r="BU251" i="7"/>
  <c r="BV251" i="7"/>
  <c r="BW251" i="7"/>
  <c r="BX251" i="7"/>
  <c r="BY251" i="7"/>
  <c r="BZ251" i="7"/>
  <c r="CA251" i="7"/>
  <c r="CB251" i="7"/>
  <c r="CC251" i="7"/>
  <c r="CD251" i="7"/>
  <c r="CE251" i="7"/>
  <c r="CF251" i="7"/>
  <c r="CG251" i="7"/>
  <c r="CH251" i="7"/>
  <c r="CI251" i="7"/>
  <c r="CJ251" i="7"/>
  <c r="CK251" i="7"/>
  <c r="CL251" i="7"/>
  <c r="CM251" i="7"/>
  <c r="CN251" i="7"/>
  <c r="CO251" i="7"/>
  <c r="CP251" i="7"/>
  <c r="CQ251" i="7"/>
  <c r="CR251" i="7"/>
  <c r="CS251" i="7"/>
  <c r="CT251" i="7"/>
  <c r="CU251" i="7"/>
  <c r="CV251" i="7"/>
  <c r="CW251" i="7"/>
  <c r="CX251" i="7"/>
  <c r="CY251" i="7"/>
  <c r="CZ251" i="7"/>
  <c r="DA251" i="7"/>
  <c r="DB251" i="7"/>
  <c r="DC251" i="7"/>
  <c r="DD251" i="7"/>
  <c r="DE251" i="7"/>
  <c r="DF251" i="7"/>
  <c r="DG251" i="7"/>
  <c r="DH251" i="7"/>
  <c r="DI251" i="7"/>
  <c r="DJ251" i="7"/>
  <c r="DK251" i="7"/>
  <c r="DL251" i="7"/>
  <c r="DM251" i="7"/>
  <c r="DN251" i="7"/>
  <c r="DO251" i="7"/>
  <c r="DP251" i="7"/>
  <c r="DQ251" i="7"/>
  <c r="DR251" i="7"/>
  <c r="DS251" i="7"/>
  <c r="DT251" i="7"/>
  <c r="DU251" i="7"/>
  <c r="DV251" i="7"/>
  <c r="DW251" i="7"/>
  <c r="DX251" i="7"/>
  <c r="DY251" i="7"/>
  <c r="DZ251" i="7"/>
  <c r="EA251" i="7"/>
  <c r="EB251" i="7"/>
  <c r="EC251" i="7"/>
  <c r="ED251" i="7"/>
  <c r="EE251" i="7"/>
  <c r="EF251" i="7"/>
  <c r="EG251" i="7"/>
  <c r="EH251" i="7"/>
  <c r="EI251" i="7"/>
  <c r="EJ251" i="7"/>
  <c r="EK251" i="7"/>
  <c r="EL251" i="7"/>
  <c r="EM251" i="7"/>
  <c r="EN251" i="7"/>
  <c r="EO251" i="7"/>
  <c r="EP251" i="7"/>
  <c r="EQ251" i="7"/>
  <c r="ER251" i="7"/>
  <c r="ES251" i="7"/>
  <c r="ET251" i="7"/>
  <c r="EU251" i="7"/>
  <c r="EV251" i="7"/>
  <c r="EW251" i="7"/>
  <c r="EX251" i="7"/>
  <c r="EY251" i="7"/>
  <c r="EZ251" i="7"/>
  <c r="FA251" i="7"/>
  <c r="FB251" i="7"/>
  <c r="FC251" i="7"/>
  <c r="FD251" i="7"/>
  <c r="FE251" i="7"/>
  <c r="FF251" i="7"/>
  <c r="FG251" i="7"/>
  <c r="FH251" i="7"/>
  <c r="FI251" i="7"/>
  <c r="FJ251" i="7"/>
  <c r="FK251" i="7"/>
  <c r="FL251" i="7"/>
  <c r="FM251" i="7"/>
  <c r="FN251" i="7"/>
  <c r="FO251" i="7"/>
  <c r="FP251" i="7"/>
  <c r="FQ251" i="7"/>
  <c r="FR251" i="7"/>
  <c r="FS251" i="7"/>
  <c r="FT251" i="7"/>
  <c r="FU251" i="7"/>
  <c r="FV251" i="7"/>
  <c r="FW251" i="7"/>
  <c r="FX251" i="7"/>
  <c r="FY251" i="7"/>
  <c r="FZ251" i="7"/>
  <c r="GA251" i="7"/>
  <c r="GB251" i="7"/>
  <c r="GC251" i="7"/>
  <c r="GD251" i="7"/>
  <c r="GE251" i="7"/>
  <c r="GF251" i="7"/>
  <c r="GG251" i="7"/>
  <c r="GH251" i="7"/>
  <c r="GI251" i="7"/>
  <c r="GJ251" i="7"/>
  <c r="GK251" i="7"/>
  <c r="GL251" i="7"/>
  <c r="GM251" i="7"/>
  <c r="GN251" i="7"/>
  <c r="GO251" i="7"/>
  <c r="GP251" i="7"/>
  <c r="GQ251" i="7"/>
  <c r="GR251" i="7"/>
  <c r="GS251" i="7"/>
  <c r="GT251" i="7"/>
  <c r="GU251" i="7"/>
  <c r="GV251" i="7"/>
  <c r="GW251" i="7"/>
  <c r="GX251" i="7"/>
  <c r="GY251" i="7"/>
  <c r="GZ251" i="7"/>
  <c r="HA251" i="7"/>
  <c r="HB251" i="7"/>
  <c r="HC251" i="7"/>
  <c r="HD251" i="7"/>
  <c r="HE251" i="7"/>
  <c r="HF251" i="7"/>
  <c r="HG251" i="7"/>
  <c r="HH251" i="7"/>
  <c r="HI251" i="7"/>
  <c r="HJ251" i="7"/>
  <c r="HK251" i="7"/>
  <c r="HL251" i="7"/>
  <c r="HM251" i="7"/>
  <c r="HN251" i="7"/>
  <c r="HO251" i="7"/>
  <c r="HP251" i="7"/>
  <c r="HQ251" i="7"/>
  <c r="HR251" i="7"/>
  <c r="HS251" i="7"/>
  <c r="HT251" i="7"/>
  <c r="HU251" i="7"/>
  <c r="HV251" i="7"/>
  <c r="HW251" i="7"/>
  <c r="HX251" i="7"/>
  <c r="HY251" i="7"/>
  <c r="HZ251" i="7"/>
  <c r="IA251" i="7"/>
  <c r="IB251" i="7"/>
  <c r="IC251" i="7"/>
  <c r="ID251" i="7"/>
  <c r="IE251" i="7"/>
  <c r="IF251" i="7"/>
  <c r="IG251" i="7"/>
  <c r="IH251" i="7"/>
  <c r="II251" i="7"/>
  <c r="IJ251" i="7"/>
  <c r="IK251" i="7"/>
  <c r="IL251" i="7"/>
  <c r="IM251" i="7"/>
  <c r="IN251" i="7"/>
  <c r="IO251" i="7"/>
  <c r="IP251" i="7"/>
  <c r="IQ251" i="7"/>
  <c r="IR251" i="7"/>
  <c r="IS251" i="7"/>
  <c r="IT251" i="7"/>
  <c r="IU251" i="7"/>
  <c r="IV251" i="7"/>
  <c r="A250" i="7"/>
  <c r="B250" i="7"/>
  <c r="C250" i="7"/>
  <c r="D250" i="7"/>
  <c r="E250" i="7"/>
  <c r="F250" i="7"/>
  <c r="G250" i="7"/>
  <c r="H250" i="7"/>
  <c r="I250" i="7"/>
  <c r="J250" i="7"/>
  <c r="K250" i="7"/>
  <c r="L250" i="7"/>
  <c r="M250" i="7"/>
  <c r="N250" i="7"/>
  <c r="O250" i="7"/>
  <c r="P250" i="7"/>
  <c r="Q250" i="7"/>
  <c r="R250" i="7"/>
  <c r="S250" i="7"/>
  <c r="T250" i="7"/>
  <c r="U250" i="7"/>
  <c r="V250" i="7"/>
  <c r="W250" i="7"/>
  <c r="X250" i="7"/>
  <c r="Y250" i="7"/>
  <c r="Z250" i="7"/>
  <c r="AA250" i="7"/>
  <c r="AB250" i="7"/>
  <c r="AC250" i="7"/>
  <c r="AD250" i="7"/>
  <c r="AE250" i="7"/>
  <c r="AF250" i="7"/>
  <c r="AG250" i="7"/>
  <c r="AH250" i="7"/>
  <c r="AI250" i="7"/>
  <c r="AJ250" i="7"/>
  <c r="AK250" i="7"/>
  <c r="AL250" i="7"/>
  <c r="AM250" i="7"/>
  <c r="AN250" i="7"/>
  <c r="AO250" i="7"/>
  <c r="AP250" i="7"/>
  <c r="AQ250" i="7"/>
  <c r="AR250" i="7"/>
  <c r="AS250" i="7"/>
  <c r="AT250" i="7"/>
  <c r="AU250" i="7"/>
  <c r="AV250" i="7"/>
  <c r="AW250" i="7"/>
  <c r="AX250" i="7"/>
  <c r="AY250" i="7"/>
  <c r="AZ250" i="7"/>
  <c r="BA250" i="7"/>
  <c r="BB250" i="7"/>
  <c r="BC250" i="7"/>
  <c r="BD250" i="7"/>
  <c r="BE250" i="7"/>
  <c r="BF250" i="7"/>
  <c r="BG250" i="7"/>
  <c r="BH250" i="7"/>
  <c r="BI250" i="7"/>
  <c r="BJ250" i="7"/>
  <c r="BK250" i="7"/>
  <c r="BL250" i="7"/>
  <c r="BM250" i="7"/>
  <c r="BN250" i="7"/>
  <c r="BO250" i="7"/>
  <c r="BP250" i="7"/>
  <c r="BQ250" i="7"/>
  <c r="BR250" i="7"/>
  <c r="BS250" i="7"/>
  <c r="BT250" i="7"/>
  <c r="BU250" i="7"/>
  <c r="BV250" i="7"/>
  <c r="BW250" i="7"/>
  <c r="BX250" i="7"/>
  <c r="BY250" i="7"/>
  <c r="BZ250" i="7"/>
  <c r="CA250" i="7"/>
  <c r="CB250" i="7"/>
  <c r="CC250" i="7"/>
  <c r="CD250" i="7"/>
  <c r="CE250" i="7"/>
  <c r="CF250" i="7"/>
  <c r="CG250" i="7"/>
  <c r="CH250" i="7"/>
  <c r="CI250" i="7"/>
  <c r="CJ250" i="7"/>
  <c r="CK250" i="7"/>
  <c r="CL250" i="7"/>
  <c r="CM250" i="7"/>
  <c r="CN250" i="7"/>
  <c r="CO250" i="7"/>
  <c r="CP250" i="7"/>
  <c r="CQ250" i="7"/>
  <c r="CR250" i="7"/>
  <c r="CS250" i="7"/>
  <c r="CT250" i="7"/>
  <c r="CU250" i="7"/>
  <c r="CV250" i="7"/>
  <c r="CW250" i="7"/>
  <c r="CX250" i="7"/>
  <c r="CY250" i="7"/>
  <c r="CZ250" i="7"/>
  <c r="DA250" i="7"/>
  <c r="DB250" i="7"/>
  <c r="DC250" i="7"/>
  <c r="DD250" i="7"/>
  <c r="DE250" i="7"/>
  <c r="DF250" i="7"/>
  <c r="DG250" i="7"/>
  <c r="DH250" i="7"/>
  <c r="DI250" i="7"/>
  <c r="DJ250" i="7"/>
  <c r="DK250" i="7"/>
  <c r="DL250" i="7"/>
  <c r="DM250" i="7"/>
  <c r="DN250" i="7"/>
  <c r="DO250" i="7"/>
  <c r="DP250" i="7"/>
  <c r="DQ250" i="7"/>
  <c r="DR250" i="7"/>
  <c r="DS250" i="7"/>
  <c r="DT250" i="7"/>
  <c r="DU250" i="7"/>
  <c r="DV250" i="7"/>
  <c r="DW250" i="7"/>
  <c r="DX250" i="7"/>
  <c r="DY250" i="7"/>
  <c r="DZ250" i="7"/>
  <c r="EA250" i="7"/>
  <c r="EB250" i="7"/>
  <c r="EC250" i="7"/>
  <c r="ED250" i="7"/>
  <c r="EE250" i="7"/>
  <c r="EF250" i="7"/>
  <c r="EG250" i="7"/>
  <c r="EH250" i="7"/>
  <c r="EI250" i="7"/>
  <c r="EJ250" i="7"/>
  <c r="EK250" i="7"/>
  <c r="EL250" i="7"/>
  <c r="EM250" i="7"/>
  <c r="EN250" i="7"/>
  <c r="EO250" i="7"/>
  <c r="EP250" i="7"/>
  <c r="EQ250" i="7"/>
  <c r="ER250" i="7"/>
  <c r="ES250" i="7"/>
  <c r="ET250" i="7"/>
  <c r="EU250" i="7"/>
  <c r="EV250" i="7"/>
  <c r="EW250" i="7"/>
  <c r="EX250" i="7"/>
  <c r="EY250" i="7"/>
  <c r="EZ250" i="7"/>
  <c r="FA250" i="7"/>
  <c r="FB250" i="7"/>
  <c r="FC250" i="7"/>
  <c r="FD250" i="7"/>
  <c r="FE250" i="7"/>
  <c r="FF250" i="7"/>
  <c r="FG250" i="7"/>
  <c r="FH250" i="7"/>
  <c r="FI250" i="7"/>
  <c r="FJ250" i="7"/>
  <c r="FK250" i="7"/>
  <c r="FL250" i="7"/>
  <c r="FM250" i="7"/>
  <c r="FN250" i="7"/>
  <c r="FO250" i="7"/>
  <c r="FP250" i="7"/>
  <c r="FQ250" i="7"/>
  <c r="FR250" i="7"/>
  <c r="FS250" i="7"/>
  <c r="FT250" i="7"/>
  <c r="FU250" i="7"/>
  <c r="FV250" i="7"/>
  <c r="FW250" i="7"/>
  <c r="FX250" i="7"/>
  <c r="FY250" i="7"/>
  <c r="FZ250" i="7"/>
  <c r="GA250" i="7"/>
  <c r="GB250" i="7"/>
  <c r="GC250" i="7"/>
  <c r="GD250" i="7"/>
  <c r="GE250" i="7"/>
  <c r="GF250" i="7"/>
  <c r="GG250" i="7"/>
  <c r="GH250" i="7"/>
  <c r="GI250" i="7"/>
  <c r="GJ250" i="7"/>
  <c r="GK250" i="7"/>
  <c r="GL250" i="7"/>
  <c r="GM250" i="7"/>
  <c r="GN250" i="7"/>
  <c r="GO250" i="7"/>
  <c r="GP250" i="7"/>
  <c r="GQ250" i="7"/>
  <c r="GR250" i="7"/>
  <c r="GS250" i="7"/>
  <c r="GT250" i="7"/>
  <c r="GU250" i="7"/>
  <c r="GV250" i="7"/>
  <c r="GW250" i="7"/>
  <c r="GX250" i="7"/>
  <c r="GY250" i="7"/>
  <c r="GZ250" i="7"/>
  <c r="HA250" i="7"/>
  <c r="HB250" i="7"/>
  <c r="HC250" i="7"/>
  <c r="HD250" i="7"/>
  <c r="HE250" i="7"/>
  <c r="HF250" i="7"/>
  <c r="HG250" i="7"/>
  <c r="HH250" i="7"/>
  <c r="HI250" i="7"/>
  <c r="HJ250" i="7"/>
  <c r="HK250" i="7"/>
  <c r="HL250" i="7"/>
  <c r="HM250" i="7"/>
  <c r="HN250" i="7"/>
  <c r="HO250" i="7"/>
  <c r="HP250" i="7"/>
  <c r="HQ250" i="7"/>
  <c r="HR250" i="7"/>
  <c r="HS250" i="7"/>
  <c r="HT250" i="7"/>
  <c r="HU250" i="7"/>
  <c r="HV250" i="7"/>
  <c r="HW250" i="7"/>
  <c r="HX250" i="7"/>
  <c r="HY250" i="7"/>
  <c r="HZ250" i="7"/>
  <c r="IA250" i="7"/>
  <c r="IB250" i="7"/>
  <c r="IC250" i="7"/>
  <c r="ID250" i="7"/>
  <c r="IE250" i="7"/>
  <c r="IF250" i="7"/>
  <c r="IG250" i="7"/>
  <c r="IH250" i="7"/>
  <c r="II250" i="7"/>
  <c r="IJ250" i="7"/>
  <c r="IK250" i="7"/>
  <c r="IL250" i="7"/>
  <c r="IM250" i="7"/>
  <c r="IN250" i="7"/>
  <c r="IO250" i="7"/>
  <c r="IP250" i="7"/>
  <c r="IQ250" i="7"/>
  <c r="IR250" i="7"/>
  <c r="IS250" i="7"/>
  <c r="IT250" i="7"/>
  <c r="IU250" i="7"/>
  <c r="IV250" i="7"/>
  <c r="A249" i="7"/>
  <c r="B249" i="7"/>
  <c r="C249" i="7"/>
  <c r="D249" i="7"/>
  <c r="E249" i="7"/>
  <c r="F249" i="7"/>
  <c r="G249" i="7"/>
  <c r="H249" i="7"/>
  <c r="I249" i="7"/>
  <c r="J249" i="7"/>
  <c r="K249" i="7"/>
  <c r="L249" i="7"/>
  <c r="M249" i="7"/>
  <c r="N249" i="7"/>
  <c r="O249" i="7"/>
  <c r="P249" i="7"/>
  <c r="Q249" i="7"/>
  <c r="R249" i="7"/>
  <c r="S249" i="7"/>
  <c r="T249" i="7"/>
  <c r="U249" i="7"/>
  <c r="V249" i="7"/>
  <c r="W249" i="7"/>
  <c r="X249" i="7"/>
  <c r="Y249" i="7"/>
  <c r="Z249" i="7"/>
  <c r="AA249" i="7"/>
  <c r="AB249" i="7"/>
  <c r="AC249" i="7"/>
  <c r="AD249" i="7"/>
  <c r="AE249" i="7"/>
  <c r="AF249" i="7"/>
  <c r="AG249" i="7"/>
  <c r="AH249" i="7"/>
  <c r="AI249" i="7"/>
  <c r="AJ249" i="7"/>
  <c r="AK249" i="7"/>
  <c r="AL249" i="7"/>
  <c r="AM249" i="7"/>
  <c r="AN249" i="7"/>
  <c r="AO249" i="7"/>
  <c r="AP249" i="7"/>
  <c r="AQ249" i="7"/>
  <c r="AR249" i="7"/>
  <c r="AS249" i="7"/>
  <c r="AT249" i="7"/>
  <c r="AU249" i="7"/>
  <c r="AV249" i="7"/>
  <c r="AW249" i="7"/>
  <c r="AX249" i="7"/>
  <c r="AY249" i="7"/>
  <c r="AZ249" i="7"/>
  <c r="BA249" i="7"/>
  <c r="BB249" i="7"/>
  <c r="BC249" i="7"/>
  <c r="BD249" i="7"/>
  <c r="BE249" i="7"/>
  <c r="BF249" i="7"/>
  <c r="BG249" i="7"/>
  <c r="BH249" i="7"/>
  <c r="BI249" i="7"/>
  <c r="BJ249" i="7"/>
  <c r="BK249" i="7"/>
  <c r="BL249" i="7"/>
  <c r="BM249" i="7"/>
  <c r="BN249" i="7"/>
  <c r="BO249" i="7"/>
  <c r="BP249" i="7"/>
  <c r="BQ249" i="7"/>
  <c r="BR249" i="7"/>
  <c r="BS249" i="7"/>
  <c r="BT249" i="7"/>
  <c r="BU249" i="7"/>
  <c r="BV249" i="7"/>
  <c r="BW249" i="7"/>
  <c r="BX249" i="7"/>
  <c r="BY249" i="7"/>
  <c r="BZ249" i="7"/>
  <c r="CA249" i="7"/>
  <c r="CB249" i="7"/>
  <c r="CC249" i="7"/>
  <c r="CD249" i="7"/>
  <c r="CE249" i="7"/>
  <c r="CF249" i="7"/>
  <c r="CG249" i="7"/>
  <c r="CH249" i="7"/>
  <c r="CI249" i="7"/>
  <c r="CJ249" i="7"/>
  <c r="CK249" i="7"/>
  <c r="CL249" i="7"/>
  <c r="CM249" i="7"/>
  <c r="CN249" i="7"/>
  <c r="CO249" i="7"/>
  <c r="CP249" i="7"/>
  <c r="CQ249" i="7"/>
  <c r="CR249" i="7"/>
  <c r="CS249" i="7"/>
  <c r="CT249" i="7"/>
  <c r="CU249" i="7"/>
  <c r="CV249" i="7"/>
  <c r="CW249" i="7"/>
  <c r="CX249" i="7"/>
  <c r="CY249" i="7"/>
  <c r="CZ249" i="7"/>
  <c r="DA249" i="7"/>
  <c r="DB249" i="7"/>
  <c r="DC249" i="7"/>
  <c r="DD249" i="7"/>
  <c r="DE249" i="7"/>
  <c r="DF249" i="7"/>
  <c r="DG249" i="7"/>
  <c r="DH249" i="7"/>
  <c r="DI249" i="7"/>
  <c r="DJ249" i="7"/>
  <c r="DK249" i="7"/>
  <c r="DL249" i="7"/>
  <c r="DM249" i="7"/>
  <c r="DN249" i="7"/>
  <c r="DO249" i="7"/>
  <c r="DP249" i="7"/>
  <c r="DQ249" i="7"/>
  <c r="DR249" i="7"/>
  <c r="DS249" i="7"/>
  <c r="DT249" i="7"/>
  <c r="DU249" i="7"/>
  <c r="DV249" i="7"/>
  <c r="DW249" i="7"/>
  <c r="DX249" i="7"/>
  <c r="DY249" i="7"/>
  <c r="DZ249" i="7"/>
  <c r="EA249" i="7"/>
  <c r="EB249" i="7"/>
  <c r="EC249" i="7"/>
  <c r="ED249" i="7"/>
  <c r="EE249" i="7"/>
  <c r="EF249" i="7"/>
  <c r="EG249" i="7"/>
  <c r="EH249" i="7"/>
  <c r="EI249" i="7"/>
  <c r="EJ249" i="7"/>
  <c r="EK249" i="7"/>
  <c r="EL249" i="7"/>
  <c r="EM249" i="7"/>
  <c r="EN249" i="7"/>
  <c r="EO249" i="7"/>
  <c r="EP249" i="7"/>
  <c r="EQ249" i="7"/>
  <c r="ER249" i="7"/>
  <c r="ES249" i="7"/>
  <c r="ET249" i="7"/>
  <c r="EU249" i="7"/>
  <c r="EV249" i="7"/>
  <c r="EW249" i="7"/>
  <c r="EX249" i="7"/>
  <c r="EY249" i="7"/>
  <c r="EZ249" i="7"/>
  <c r="FA249" i="7"/>
  <c r="FB249" i="7"/>
  <c r="FC249" i="7"/>
  <c r="FD249" i="7"/>
  <c r="FE249" i="7"/>
  <c r="FF249" i="7"/>
  <c r="FG249" i="7"/>
  <c r="FH249" i="7"/>
  <c r="FI249" i="7"/>
  <c r="FJ249" i="7"/>
  <c r="FK249" i="7"/>
  <c r="FL249" i="7"/>
  <c r="FM249" i="7"/>
  <c r="FN249" i="7"/>
  <c r="FO249" i="7"/>
  <c r="FP249" i="7"/>
  <c r="FQ249" i="7"/>
  <c r="FR249" i="7"/>
  <c r="FS249" i="7"/>
  <c r="FT249" i="7"/>
  <c r="FU249" i="7"/>
  <c r="FV249" i="7"/>
  <c r="FW249" i="7"/>
  <c r="FX249" i="7"/>
  <c r="FY249" i="7"/>
  <c r="FZ249" i="7"/>
  <c r="GA249" i="7"/>
  <c r="GB249" i="7"/>
  <c r="GC249" i="7"/>
  <c r="GD249" i="7"/>
  <c r="GE249" i="7"/>
  <c r="GF249" i="7"/>
  <c r="GG249" i="7"/>
  <c r="GH249" i="7"/>
  <c r="GI249" i="7"/>
  <c r="GJ249" i="7"/>
  <c r="GK249" i="7"/>
  <c r="GL249" i="7"/>
  <c r="GM249" i="7"/>
  <c r="GN249" i="7"/>
  <c r="GO249" i="7"/>
  <c r="GP249" i="7"/>
  <c r="GQ249" i="7"/>
  <c r="GR249" i="7"/>
  <c r="GS249" i="7"/>
  <c r="GT249" i="7"/>
  <c r="GU249" i="7"/>
  <c r="GV249" i="7"/>
  <c r="GW249" i="7"/>
  <c r="GX249" i="7"/>
  <c r="GY249" i="7"/>
  <c r="GZ249" i="7"/>
  <c r="HA249" i="7"/>
  <c r="HB249" i="7"/>
  <c r="HC249" i="7"/>
  <c r="HD249" i="7"/>
  <c r="HE249" i="7"/>
  <c r="HF249" i="7"/>
  <c r="HG249" i="7"/>
  <c r="HH249" i="7"/>
  <c r="HI249" i="7"/>
  <c r="HJ249" i="7"/>
  <c r="HK249" i="7"/>
  <c r="HL249" i="7"/>
  <c r="HM249" i="7"/>
  <c r="HN249" i="7"/>
  <c r="HO249" i="7"/>
  <c r="HP249" i="7"/>
  <c r="HQ249" i="7"/>
  <c r="HR249" i="7"/>
  <c r="HS249" i="7"/>
  <c r="HT249" i="7"/>
  <c r="HU249" i="7"/>
  <c r="HV249" i="7"/>
  <c r="HW249" i="7"/>
  <c r="HX249" i="7"/>
  <c r="HY249" i="7"/>
  <c r="HZ249" i="7"/>
  <c r="IA249" i="7"/>
  <c r="IB249" i="7"/>
  <c r="IC249" i="7"/>
  <c r="ID249" i="7"/>
  <c r="IE249" i="7"/>
  <c r="IF249" i="7"/>
  <c r="IG249" i="7"/>
  <c r="IH249" i="7"/>
  <c r="II249" i="7"/>
  <c r="IJ249" i="7"/>
  <c r="IK249" i="7"/>
  <c r="IL249" i="7"/>
  <c r="IM249" i="7"/>
  <c r="IN249" i="7"/>
  <c r="IO249" i="7"/>
  <c r="IP249" i="7"/>
  <c r="IQ249" i="7"/>
  <c r="IR249" i="7"/>
  <c r="IS249" i="7"/>
  <c r="IT249" i="7"/>
  <c r="IU249" i="7"/>
  <c r="IV249" i="7"/>
  <c r="A248" i="7"/>
  <c r="B248" i="7"/>
  <c r="C248" i="7"/>
  <c r="D248" i="7"/>
  <c r="E248" i="7"/>
  <c r="F248" i="7"/>
  <c r="G248" i="7"/>
  <c r="H248" i="7"/>
  <c r="I248" i="7"/>
  <c r="J248" i="7"/>
  <c r="K248" i="7"/>
  <c r="L248" i="7"/>
  <c r="M248" i="7"/>
  <c r="N248" i="7"/>
  <c r="O248" i="7"/>
  <c r="P248" i="7"/>
  <c r="Q248" i="7"/>
  <c r="R248" i="7"/>
  <c r="S248" i="7"/>
  <c r="T248" i="7"/>
  <c r="U248" i="7"/>
  <c r="V248" i="7"/>
  <c r="W248" i="7"/>
  <c r="X248" i="7"/>
  <c r="Y248" i="7"/>
  <c r="Z248" i="7"/>
  <c r="AA248" i="7"/>
  <c r="AB248" i="7"/>
  <c r="AC248" i="7"/>
  <c r="AD248" i="7"/>
  <c r="AE248" i="7"/>
  <c r="AF248" i="7"/>
  <c r="AG248" i="7"/>
  <c r="AH248" i="7"/>
  <c r="AI248" i="7"/>
  <c r="AJ248" i="7"/>
  <c r="AK248" i="7"/>
  <c r="AL248" i="7"/>
  <c r="AM248" i="7"/>
  <c r="AN248" i="7"/>
  <c r="AO248" i="7"/>
  <c r="AP248" i="7"/>
  <c r="AQ248" i="7"/>
  <c r="AR248" i="7"/>
  <c r="AS248" i="7"/>
  <c r="AT248" i="7"/>
  <c r="AU248" i="7"/>
  <c r="AV248" i="7"/>
  <c r="AW248" i="7"/>
  <c r="AX248" i="7"/>
  <c r="AY248" i="7"/>
  <c r="AZ248" i="7"/>
  <c r="BA248" i="7"/>
  <c r="BB248" i="7"/>
  <c r="BC248" i="7"/>
  <c r="BD248" i="7"/>
  <c r="BE248" i="7"/>
  <c r="BF248" i="7"/>
  <c r="BG248" i="7"/>
  <c r="BH248" i="7"/>
  <c r="BI248" i="7"/>
  <c r="BJ248" i="7"/>
  <c r="BK248" i="7"/>
  <c r="BL248" i="7"/>
  <c r="BM248" i="7"/>
  <c r="BN248" i="7"/>
  <c r="BO248" i="7"/>
  <c r="BP248" i="7"/>
  <c r="BQ248" i="7"/>
  <c r="BR248" i="7"/>
  <c r="BS248" i="7"/>
  <c r="BT248" i="7"/>
  <c r="BU248" i="7"/>
  <c r="BV248" i="7"/>
  <c r="BW248" i="7"/>
  <c r="BX248" i="7"/>
  <c r="BY248" i="7"/>
  <c r="BZ248" i="7"/>
  <c r="CA248" i="7"/>
  <c r="CB248" i="7"/>
  <c r="CC248" i="7"/>
  <c r="CD248" i="7"/>
  <c r="CE248" i="7"/>
  <c r="CF248" i="7"/>
  <c r="CG248" i="7"/>
  <c r="CH248" i="7"/>
  <c r="CI248" i="7"/>
  <c r="CJ248" i="7"/>
  <c r="CK248" i="7"/>
  <c r="CL248" i="7"/>
  <c r="CM248" i="7"/>
  <c r="CN248" i="7"/>
  <c r="CO248" i="7"/>
  <c r="CP248" i="7"/>
  <c r="CQ248" i="7"/>
  <c r="CR248" i="7"/>
  <c r="CS248" i="7"/>
  <c r="CT248" i="7"/>
  <c r="CU248" i="7"/>
  <c r="CV248" i="7"/>
  <c r="CW248" i="7"/>
  <c r="CX248" i="7"/>
  <c r="CY248" i="7"/>
  <c r="CZ248" i="7"/>
  <c r="DA248" i="7"/>
  <c r="DB248" i="7"/>
  <c r="DC248" i="7"/>
  <c r="DD248" i="7"/>
  <c r="DE248" i="7"/>
  <c r="DF248" i="7"/>
  <c r="DG248" i="7"/>
  <c r="DH248" i="7"/>
  <c r="DI248" i="7"/>
  <c r="DJ248" i="7"/>
  <c r="DK248" i="7"/>
  <c r="DL248" i="7"/>
  <c r="DM248" i="7"/>
  <c r="DN248" i="7"/>
  <c r="DO248" i="7"/>
  <c r="DP248" i="7"/>
  <c r="DQ248" i="7"/>
  <c r="DR248" i="7"/>
  <c r="DS248" i="7"/>
  <c r="DT248" i="7"/>
  <c r="DU248" i="7"/>
  <c r="DV248" i="7"/>
  <c r="DW248" i="7"/>
  <c r="DX248" i="7"/>
  <c r="DY248" i="7"/>
  <c r="DZ248" i="7"/>
  <c r="EA248" i="7"/>
  <c r="EB248" i="7"/>
  <c r="EC248" i="7"/>
  <c r="ED248" i="7"/>
  <c r="EE248" i="7"/>
  <c r="EF248" i="7"/>
  <c r="EG248" i="7"/>
  <c r="EH248" i="7"/>
  <c r="EI248" i="7"/>
  <c r="EJ248" i="7"/>
  <c r="EK248" i="7"/>
  <c r="EL248" i="7"/>
  <c r="EM248" i="7"/>
  <c r="EN248" i="7"/>
  <c r="EO248" i="7"/>
  <c r="EP248" i="7"/>
  <c r="EQ248" i="7"/>
  <c r="ER248" i="7"/>
  <c r="ES248" i="7"/>
  <c r="ET248" i="7"/>
  <c r="EU248" i="7"/>
  <c r="EV248" i="7"/>
  <c r="EW248" i="7"/>
  <c r="EX248" i="7"/>
  <c r="EY248" i="7"/>
  <c r="EZ248" i="7"/>
  <c r="FA248" i="7"/>
  <c r="FB248" i="7"/>
  <c r="FC248" i="7"/>
  <c r="FD248" i="7"/>
  <c r="FE248" i="7"/>
  <c r="FF248" i="7"/>
  <c r="FG248" i="7"/>
  <c r="FH248" i="7"/>
  <c r="FI248" i="7"/>
  <c r="FJ248" i="7"/>
  <c r="FK248" i="7"/>
  <c r="FL248" i="7"/>
  <c r="FM248" i="7"/>
  <c r="FN248" i="7"/>
  <c r="FO248" i="7"/>
  <c r="FP248" i="7"/>
  <c r="FQ248" i="7"/>
  <c r="FR248" i="7"/>
  <c r="FS248" i="7"/>
  <c r="FT248" i="7"/>
  <c r="FU248" i="7"/>
  <c r="FV248" i="7"/>
  <c r="FW248" i="7"/>
  <c r="FX248" i="7"/>
  <c r="FY248" i="7"/>
  <c r="FZ248" i="7"/>
  <c r="GA248" i="7"/>
  <c r="GB248" i="7"/>
  <c r="GC248" i="7"/>
  <c r="GD248" i="7"/>
  <c r="GE248" i="7"/>
  <c r="GF248" i="7"/>
  <c r="GG248" i="7"/>
  <c r="GH248" i="7"/>
  <c r="GI248" i="7"/>
  <c r="GJ248" i="7"/>
  <c r="GK248" i="7"/>
  <c r="GL248" i="7"/>
  <c r="GM248" i="7"/>
  <c r="GN248" i="7"/>
  <c r="GO248" i="7"/>
  <c r="GP248" i="7"/>
  <c r="GQ248" i="7"/>
  <c r="GR248" i="7"/>
  <c r="GS248" i="7"/>
  <c r="GT248" i="7"/>
  <c r="GU248" i="7"/>
  <c r="GV248" i="7"/>
  <c r="GW248" i="7"/>
  <c r="GX248" i="7"/>
  <c r="GY248" i="7"/>
  <c r="GZ248" i="7"/>
  <c r="HA248" i="7"/>
  <c r="HB248" i="7"/>
  <c r="HC248" i="7"/>
  <c r="HD248" i="7"/>
  <c r="HE248" i="7"/>
  <c r="HF248" i="7"/>
  <c r="HG248" i="7"/>
  <c r="HH248" i="7"/>
  <c r="HI248" i="7"/>
  <c r="HJ248" i="7"/>
  <c r="HK248" i="7"/>
  <c r="HL248" i="7"/>
  <c r="HM248" i="7"/>
  <c r="HN248" i="7"/>
  <c r="HO248" i="7"/>
  <c r="HP248" i="7"/>
  <c r="HQ248" i="7"/>
  <c r="HR248" i="7"/>
  <c r="HS248" i="7"/>
  <c r="HT248" i="7"/>
  <c r="HU248" i="7"/>
  <c r="HV248" i="7"/>
  <c r="HW248" i="7"/>
  <c r="HX248" i="7"/>
  <c r="HY248" i="7"/>
  <c r="HZ248" i="7"/>
  <c r="IA248" i="7"/>
  <c r="IB248" i="7"/>
  <c r="IC248" i="7"/>
  <c r="ID248" i="7"/>
  <c r="IE248" i="7"/>
  <c r="IF248" i="7"/>
  <c r="IG248" i="7"/>
  <c r="IH248" i="7"/>
  <c r="II248" i="7"/>
  <c r="IJ248" i="7"/>
  <c r="IK248" i="7"/>
  <c r="IL248" i="7"/>
  <c r="IM248" i="7"/>
  <c r="IN248" i="7"/>
  <c r="IO248" i="7"/>
  <c r="IP248" i="7"/>
  <c r="IQ248" i="7"/>
  <c r="IR248" i="7"/>
  <c r="IS248" i="7"/>
  <c r="IT248" i="7"/>
  <c r="IU248" i="7"/>
  <c r="IV248" i="7"/>
  <c r="A247" i="7"/>
  <c r="B247" i="7"/>
  <c r="C247" i="7"/>
  <c r="D247" i="7"/>
  <c r="E247" i="7"/>
  <c r="F247" i="7"/>
  <c r="G247" i="7"/>
  <c r="H247" i="7"/>
  <c r="I247" i="7"/>
  <c r="J247" i="7"/>
  <c r="K247" i="7"/>
  <c r="L247" i="7"/>
  <c r="M247" i="7"/>
  <c r="N247" i="7"/>
  <c r="O247" i="7"/>
  <c r="P247" i="7"/>
  <c r="Q247" i="7"/>
  <c r="R247" i="7"/>
  <c r="S247" i="7"/>
  <c r="T247" i="7"/>
  <c r="U247" i="7"/>
  <c r="V247" i="7"/>
  <c r="W247" i="7"/>
  <c r="X247" i="7"/>
  <c r="Y247" i="7"/>
  <c r="Z247" i="7"/>
  <c r="AA247" i="7"/>
  <c r="AB247" i="7"/>
  <c r="AC247" i="7"/>
  <c r="AD247" i="7"/>
  <c r="AE247" i="7"/>
  <c r="AF247" i="7"/>
  <c r="AG247" i="7"/>
  <c r="AH247" i="7"/>
  <c r="AI247" i="7"/>
  <c r="AJ247" i="7"/>
  <c r="AK247" i="7"/>
  <c r="AL247" i="7"/>
  <c r="AM247" i="7"/>
  <c r="AN247" i="7"/>
  <c r="AO247" i="7"/>
  <c r="AP247" i="7"/>
  <c r="AQ247" i="7"/>
  <c r="AR247" i="7"/>
  <c r="AS247" i="7"/>
  <c r="AT247" i="7"/>
  <c r="AU247" i="7"/>
  <c r="AV247" i="7"/>
  <c r="AW247" i="7"/>
  <c r="AX247" i="7"/>
  <c r="AY247" i="7"/>
  <c r="AZ247" i="7"/>
  <c r="BA247" i="7"/>
  <c r="BB247" i="7"/>
  <c r="BC247" i="7"/>
  <c r="BD247" i="7"/>
  <c r="BE247" i="7"/>
  <c r="BF247" i="7"/>
  <c r="BG247" i="7"/>
  <c r="BH247" i="7"/>
  <c r="BI247" i="7"/>
  <c r="BJ247" i="7"/>
  <c r="BK247" i="7"/>
  <c r="BL247" i="7"/>
  <c r="BM247" i="7"/>
  <c r="BN247" i="7"/>
  <c r="BO247" i="7"/>
  <c r="BP247" i="7"/>
  <c r="BQ247" i="7"/>
  <c r="BR247" i="7"/>
  <c r="BS247" i="7"/>
  <c r="BT247" i="7"/>
  <c r="BU247" i="7"/>
  <c r="BV247" i="7"/>
  <c r="BW247" i="7"/>
  <c r="BX247" i="7"/>
  <c r="BY247" i="7"/>
  <c r="BZ247" i="7"/>
  <c r="CA247" i="7"/>
  <c r="CB247" i="7"/>
  <c r="CC247" i="7"/>
  <c r="CD247" i="7"/>
  <c r="CE247" i="7"/>
  <c r="CF247" i="7"/>
  <c r="CG247" i="7"/>
  <c r="CH247" i="7"/>
  <c r="CI247" i="7"/>
  <c r="CJ247" i="7"/>
  <c r="CK247" i="7"/>
  <c r="CL247" i="7"/>
  <c r="CM247" i="7"/>
  <c r="CN247" i="7"/>
  <c r="CO247" i="7"/>
  <c r="CP247" i="7"/>
  <c r="CQ247" i="7"/>
  <c r="CR247" i="7"/>
  <c r="CS247" i="7"/>
  <c r="CT247" i="7"/>
  <c r="CU247" i="7"/>
  <c r="CV247" i="7"/>
  <c r="CW247" i="7"/>
  <c r="CX247" i="7"/>
  <c r="CY247" i="7"/>
  <c r="CZ247" i="7"/>
  <c r="DA247" i="7"/>
  <c r="DB247" i="7"/>
  <c r="DC247" i="7"/>
  <c r="DD247" i="7"/>
  <c r="DE247" i="7"/>
  <c r="DF247" i="7"/>
  <c r="DG247" i="7"/>
  <c r="DH247" i="7"/>
  <c r="DI247" i="7"/>
  <c r="DJ247" i="7"/>
  <c r="DK247" i="7"/>
  <c r="DL247" i="7"/>
  <c r="DM247" i="7"/>
  <c r="DN247" i="7"/>
  <c r="DO247" i="7"/>
  <c r="DP247" i="7"/>
  <c r="DQ247" i="7"/>
  <c r="DR247" i="7"/>
  <c r="DS247" i="7"/>
  <c r="DT247" i="7"/>
  <c r="DU247" i="7"/>
  <c r="DV247" i="7"/>
  <c r="DW247" i="7"/>
  <c r="DX247" i="7"/>
  <c r="DY247" i="7"/>
  <c r="DZ247" i="7"/>
  <c r="EA247" i="7"/>
  <c r="EB247" i="7"/>
  <c r="EC247" i="7"/>
  <c r="ED247" i="7"/>
  <c r="EE247" i="7"/>
  <c r="EF247" i="7"/>
  <c r="EG247" i="7"/>
  <c r="EH247" i="7"/>
  <c r="EI247" i="7"/>
  <c r="EJ247" i="7"/>
  <c r="EK247" i="7"/>
  <c r="EL247" i="7"/>
  <c r="EM247" i="7"/>
  <c r="EN247" i="7"/>
  <c r="EO247" i="7"/>
  <c r="EP247" i="7"/>
  <c r="EQ247" i="7"/>
  <c r="ER247" i="7"/>
  <c r="ES247" i="7"/>
  <c r="ET247" i="7"/>
  <c r="EU247" i="7"/>
  <c r="EV247" i="7"/>
  <c r="EW247" i="7"/>
  <c r="EX247" i="7"/>
  <c r="EY247" i="7"/>
  <c r="EZ247" i="7"/>
  <c r="FA247" i="7"/>
  <c r="FB247" i="7"/>
  <c r="FC247" i="7"/>
  <c r="FD247" i="7"/>
  <c r="FE247" i="7"/>
  <c r="FF247" i="7"/>
  <c r="FG247" i="7"/>
  <c r="FH247" i="7"/>
  <c r="FI247" i="7"/>
  <c r="FJ247" i="7"/>
  <c r="FK247" i="7"/>
  <c r="FL247" i="7"/>
  <c r="FM247" i="7"/>
  <c r="FN247" i="7"/>
  <c r="FO247" i="7"/>
  <c r="FP247" i="7"/>
  <c r="FQ247" i="7"/>
  <c r="FR247" i="7"/>
  <c r="FS247" i="7"/>
  <c r="FT247" i="7"/>
  <c r="FU247" i="7"/>
  <c r="FV247" i="7"/>
  <c r="FW247" i="7"/>
  <c r="FX247" i="7"/>
  <c r="FY247" i="7"/>
  <c r="FZ247" i="7"/>
  <c r="GA247" i="7"/>
  <c r="GB247" i="7"/>
  <c r="GC247" i="7"/>
  <c r="GD247" i="7"/>
  <c r="GE247" i="7"/>
  <c r="GF247" i="7"/>
  <c r="GG247" i="7"/>
  <c r="GH247" i="7"/>
  <c r="GI247" i="7"/>
  <c r="GJ247" i="7"/>
  <c r="GK247" i="7"/>
  <c r="GL247" i="7"/>
  <c r="GM247" i="7"/>
  <c r="GN247" i="7"/>
  <c r="GO247" i="7"/>
  <c r="GP247" i="7"/>
  <c r="GQ247" i="7"/>
  <c r="GR247" i="7"/>
  <c r="GS247" i="7"/>
  <c r="GT247" i="7"/>
  <c r="GU247" i="7"/>
  <c r="GV247" i="7"/>
  <c r="GW247" i="7"/>
  <c r="GX247" i="7"/>
  <c r="GY247" i="7"/>
  <c r="GZ247" i="7"/>
  <c r="HA247" i="7"/>
  <c r="HB247" i="7"/>
  <c r="HC247" i="7"/>
  <c r="HD247" i="7"/>
  <c r="HE247" i="7"/>
  <c r="HF247" i="7"/>
  <c r="HG247" i="7"/>
  <c r="HH247" i="7"/>
  <c r="HI247" i="7"/>
  <c r="HJ247" i="7"/>
  <c r="HK247" i="7"/>
  <c r="HL247" i="7"/>
  <c r="HM247" i="7"/>
  <c r="HN247" i="7"/>
  <c r="HO247" i="7"/>
  <c r="HP247" i="7"/>
  <c r="HQ247" i="7"/>
  <c r="HR247" i="7"/>
  <c r="HS247" i="7"/>
  <c r="HT247" i="7"/>
  <c r="HU247" i="7"/>
  <c r="HV247" i="7"/>
  <c r="HW247" i="7"/>
  <c r="HX247" i="7"/>
  <c r="HY247" i="7"/>
  <c r="HZ247" i="7"/>
  <c r="IA247" i="7"/>
  <c r="IB247" i="7"/>
  <c r="IC247" i="7"/>
  <c r="ID247" i="7"/>
  <c r="IE247" i="7"/>
  <c r="IF247" i="7"/>
  <c r="IG247" i="7"/>
  <c r="IH247" i="7"/>
  <c r="II247" i="7"/>
  <c r="IJ247" i="7"/>
  <c r="IK247" i="7"/>
  <c r="IL247" i="7"/>
  <c r="IM247" i="7"/>
  <c r="IN247" i="7"/>
  <c r="IO247" i="7"/>
  <c r="IP247" i="7"/>
  <c r="IQ247" i="7"/>
  <c r="IR247" i="7"/>
  <c r="IS247" i="7"/>
  <c r="IT247" i="7"/>
  <c r="IU247" i="7"/>
  <c r="IV247" i="7"/>
  <c r="A246" i="7"/>
  <c r="B246" i="7"/>
  <c r="C246" i="7"/>
  <c r="D246" i="7"/>
  <c r="E246" i="7"/>
  <c r="F246" i="7"/>
  <c r="G246" i="7"/>
  <c r="H246" i="7"/>
  <c r="I246" i="7"/>
  <c r="J246" i="7"/>
  <c r="K246" i="7"/>
  <c r="L246" i="7"/>
  <c r="M246" i="7"/>
  <c r="N246" i="7"/>
  <c r="O246" i="7"/>
  <c r="P246" i="7"/>
  <c r="Q246" i="7"/>
  <c r="R246" i="7"/>
  <c r="S246" i="7"/>
  <c r="T246" i="7"/>
  <c r="U246" i="7"/>
  <c r="V246" i="7"/>
  <c r="W246" i="7"/>
  <c r="X246" i="7"/>
  <c r="Y246" i="7"/>
  <c r="Z246" i="7"/>
  <c r="AA246" i="7"/>
  <c r="AB246" i="7"/>
  <c r="AC246" i="7"/>
  <c r="AD246" i="7"/>
  <c r="AE246" i="7"/>
  <c r="AF246" i="7"/>
  <c r="AG246" i="7"/>
  <c r="AH246" i="7"/>
  <c r="AI246" i="7"/>
  <c r="AJ246" i="7"/>
  <c r="AK246" i="7"/>
  <c r="AL246" i="7"/>
  <c r="AM246" i="7"/>
  <c r="AN246" i="7"/>
  <c r="AO246" i="7"/>
  <c r="AP246" i="7"/>
  <c r="AQ246" i="7"/>
  <c r="AR246" i="7"/>
  <c r="AS246" i="7"/>
  <c r="AT246" i="7"/>
  <c r="AU246" i="7"/>
  <c r="AV246" i="7"/>
  <c r="AW246" i="7"/>
  <c r="AX246" i="7"/>
  <c r="AY246" i="7"/>
  <c r="AZ246" i="7"/>
  <c r="BA246" i="7"/>
  <c r="BB246" i="7"/>
  <c r="BC246" i="7"/>
  <c r="BD246" i="7"/>
  <c r="BE246" i="7"/>
  <c r="BF246" i="7"/>
  <c r="BG246" i="7"/>
  <c r="BH246" i="7"/>
  <c r="BI246" i="7"/>
  <c r="BJ246" i="7"/>
  <c r="BK246" i="7"/>
  <c r="BL246" i="7"/>
  <c r="BM246" i="7"/>
  <c r="BN246" i="7"/>
  <c r="BO246" i="7"/>
  <c r="BP246" i="7"/>
  <c r="BQ246" i="7"/>
  <c r="BR246" i="7"/>
  <c r="BS246" i="7"/>
  <c r="BT246" i="7"/>
  <c r="BU246" i="7"/>
  <c r="BV246" i="7"/>
  <c r="BW246" i="7"/>
  <c r="BX246" i="7"/>
  <c r="BY246" i="7"/>
  <c r="BZ246" i="7"/>
  <c r="CA246" i="7"/>
  <c r="CB246" i="7"/>
  <c r="CC246" i="7"/>
  <c r="CD246" i="7"/>
  <c r="CE246" i="7"/>
  <c r="CF246" i="7"/>
  <c r="CG246" i="7"/>
  <c r="CH246" i="7"/>
  <c r="CI246" i="7"/>
  <c r="CJ246" i="7"/>
  <c r="CK246" i="7"/>
  <c r="CL246" i="7"/>
  <c r="CM246" i="7"/>
  <c r="CN246" i="7"/>
  <c r="CO246" i="7"/>
  <c r="CP246" i="7"/>
  <c r="CQ246" i="7"/>
  <c r="CR246" i="7"/>
  <c r="CS246" i="7"/>
  <c r="CT246" i="7"/>
  <c r="CU246" i="7"/>
  <c r="CV246" i="7"/>
  <c r="CW246" i="7"/>
  <c r="CX246" i="7"/>
  <c r="CY246" i="7"/>
  <c r="CZ246" i="7"/>
  <c r="DA246" i="7"/>
  <c r="DB246" i="7"/>
  <c r="DC246" i="7"/>
  <c r="DD246" i="7"/>
  <c r="DE246" i="7"/>
  <c r="DF246" i="7"/>
  <c r="DG246" i="7"/>
  <c r="DH246" i="7"/>
  <c r="DI246" i="7"/>
  <c r="DJ246" i="7"/>
  <c r="DK246" i="7"/>
  <c r="DL246" i="7"/>
  <c r="DM246" i="7"/>
  <c r="DN246" i="7"/>
  <c r="DO246" i="7"/>
  <c r="DP246" i="7"/>
  <c r="DQ246" i="7"/>
  <c r="DR246" i="7"/>
  <c r="DS246" i="7"/>
  <c r="DT246" i="7"/>
  <c r="DU246" i="7"/>
  <c r="DV246" i="7"/>
  <c r="DW246" i="7"/>
  <c r="DX246" i="7"/>
  <c r="DY246" i="7"/>
  <c r="DZ246" i="7"/>
  <c r="EA246" i="7"/>
  <c r="EB246" i="7"/>
  <c r="EC246" i="7"/>
  <c r="ED246" i="7"/>
  <c r="EE246" i="7"/>
  <c r="EF246" i="7"/>
  <c r="EG246" i="7"/>
  <c r="EH246" i="7"/>
  <c r="EI246" i="7"/>
  <c r="EJ246" i="7"/>
  <c r="EK246" i="7"/>
  <c r="EL246" i="7"/>
  <c r="EM246" i="7"/>
  <c r="EN246" i="7"/>
  <c r="EO246" i="7"/>
  <c r="EP246" i="7"/>
  <c r="EQ246" i="7"/>
  <c r="ER246" i="7"/>
  <c r="ES246" i="7"/>
  <c r="ET246" i="7"/>
  <c r="EU246" i="7"/>
  <c r="EV246" i="7"/>
  <c r="EW246" i="7"/>
  <c r="EX246" i="7"/>
  <c r="EY246" i="7"/>
  <c r="EZ246" i="7"/>
  <c r="FA246" i="7"/>
  <c r="FB246" i="7"/>
  <c r="FC246" i="7"/>
  <c r="FD246" i="7"/>
  <c r="FE246" i="7"/>
  <c r="FF246" i="7"/>
  <c r="FG246" i="7"/>
  <c r="FH246" i="7"/>
  <c r="FI246" i="7"/>
  <c r="FJ246" i="7"/>
  <c r="FK246" i="7"/>
  <c r="FL246" i="7"/>
  <c r="FM246" i="7"/>
  <c r="FN246" i="7"/>
  <c r="FO246" i="7"/>
  <c r="FP246" i="7"/>
  <c r="FQ246" i="7"/>
  <c r="FR246" i="7"/>
  <c r="FS246" i="7"/>
  <c r="FT246" i="7"/>
  <c r="FU246" i="7"/>
  <c r="FV246" i="7"/>
  <c r="FW246" i="7"/>
  <c r="FX246" i="7"/>
  <c r="FY246" i="7"/>
  <c r="FZ246" i="7"/>
  <c r="GA246" i="7"/>
  <c r="GB246" i="7"/>
  <c r="GC246" i="7"/>
  <c r="GD246" i="7"/>
  <c r="GE246" i="7"/>
  <c r="GF246" i="7"/>
  <c r="GG246" i="7"/>
  <c r="GH246" i="7"/>
  <c r="GI246" i="7"/>
  <c r="GJ246" i="7"/>
  <c r="GK246" i="7"/>
  <c r="GL246" i="7"/>
  <c r="GM246" i="7"/>
  <c r="GN246" i="7"/>
  <c r="GO246" i="7"/>
  <c r="GP246" i="7"/>
  <c r="GQ246" i="7"/>
  <c r="GR246" i="7"/>
  <c r="GS246" i="7"/>
  <c r="GT246" i="7"/>
  <c r="GU246" i="7"/>
  <c r="GV246" i="7"/>
  <c r="GW246" i="7"/>
  <c r="GX246" i="7"/>
  <c r="GY246" i="7"/>
  <c r="GZ246" i="7"/>
  <c r="HA246" i="7"/>
  <c r="HB246" i="7"/>
  <c r="HC246" i="7"/>
  <c r="HD246" i="7"/>
  <c r="HE246" i="7"/>
  <c r="HF246" i="7"/>
  <c r="HG246" i="7"/>
  <c r="HH246" i="7"/>
  <c r="HI246" i="7"/>
  <c r="HJ246" i="7"/>
  <c r="HK246" i="7"/>
  <c r="HL246" i="7"/>
  <c r="HM246" i="7"/>
  <c r="HN246" i="7"/>
  <c r="HO246" i="7"/>
  <c r="HP246" i="7"/>
  <c r="HQ246" i="7"/>
  <c r="HR246" i="7"/>
  <c r="HS246" i="7"/>
  <c r="HT246" i="7"/>
  <c r="HU246" i="7"/>
  <c r="HV246" i="7"/>
  <c r="HW246" i="7"/>
  <c r="HX246" i="7"/>
  <c r="HY246" i="7"/>
  <c r="HZ246" i="7"/>
  <c r="IA246" i="7"/>
  <c r="IB246" i="7"/>
  <c r="IC246" i="7"/>
  <c r="ID246" i="7"/>
  <c r="IE246" i="7"/>
  <c r="IF246" i="7"/>
  <c r="IG246" i="7"/>
  <c r="IH246" i="7"/>
  <c r="II246" i="7"/>
  <c r="IJ246" i="7"/>
  <c r="IK246" i="7"/>
  <c r="IL246" i="7"/>
  <c r="IM246" i="7"/>
  <c r="IN246" i="7"/>
  <c r="IO246" i="7"/>
  <c r="IP246" i="7"/>
  <c r="IQ246" i="7"/>
  <c r="IR246" i="7"/>
  <c r="IS246" i="7"/>
  <c r="IT246" i="7"/>
  <c r="IU246" i="7"/>
  <c r="IV246" i="7"/>
  <c r="A245" i="7"/>
  <c r="B245" i="7"/>
  <c r="C245" i="7"/>
  <c r="D245" i="7"/>
  <c r="E245" i="7"/>
  <c r="F245" i="7"/>
  <c r="G245" i="7"/>
  <c r="H245" i="7"/>
  <c r="I245" i="7"/>
  <c r="J245" i="7"/>
  <c r="K245" i="7"/>
  <c r="L245" i="7"/>
  <c r="M245" i="7"/>
  <c r="N245" i="7"/>
  <c r="O245" i="7"/>
  <c r="P245" i="7"/>
  <c r="Q245" i="7"/>
  <c r="R245" i="7"/>
  <c r="S245" i="7"/>
  <c r="T245" i="7"/>
  <c r="U245" i="7"/>
  <c r="V245" i="7"/>
  <c r="W245" i="7"/>
  <c r="X245" i="7"/>
  <c r="Y245" i="7"/>
  <c r="Z245" i="7"/>
  <c r="AA245" i="7"/>
  <c r="AB245" i="7"/>
  <c r="AC245" i="7"/>
  <c r="AD245" i="7"/>
  <c r="AE245" i="7"/>
  <c r="AF245" i="7"/>
  <c r="AG245" i="7"/>
  <c r="AH245" i="7"/>
  <c r="AI245" i="7"/>
  <c r="AJ245" i="7"/>
  <c r="AK245" i="7"/>
  <c r="AL245" i="7"/>
  <c r="AM245" i="7"/>
  <c r="AN245" i="7"/>
  <c r="AO245" i="7"/>
  <c r="AP245" i="7"/>
  <c r="AQ245" i="7"/>
  <c r="AR245" i="7"/>
  <c r="AS245" i="7"/>
  <c r="AT245" i="7"/>
  <c r="AU245" i="7"/>
  <c r="AV245" i="7"/>
  <c r="AW245" i="7"/>
  <c r="AX245" i="7"/>
  <c r="AY245" i="7"/>
  <c r="AZ245" i="7"/>
  <c r="BA245" i="7"/>
  <c r="BB245" i="7"/>
  <c r="BC245" i="7"/>
  <c r="BD245" i="7"/>
  <c r="BE245" i="7"/>
  <c r="BF245" i="7"/>
  <c r="BG245" i="7"/>
  <c r="BH245" i="7"/>
  <c r="BI245" i="7"/>
  <c r="BJ245" i="7"/>
  <c r="BK245" i="7"/>
  <c r="BL245" i="7"/>
  <c r="BM245" i="7"/>
  <c r="BN245" i="7"/>
  <c r="BO245" i="7"/>
  <c r="BP245" i="7"/>
  <c r="BQ245" i="7"/>
  <c r="BR245" i="7"/>
  <c r="BS245" i="7"/>
  <c r="BT245" i="7"/>
  <c r="BU245" i="7"/>
  <c r="BV245" i="7"/>
  <c r="BW245" i="7"/>
  <c r="BX245" i="7"/>
  <c r="BY245" i="7"/>
  <c r="BZ245" i="7"/>
  <c r="CA245" i="7"/>
  <c r="CB245" i="7"/>
  <c r="CC245" i="7"/>
  <c r="CD245" i="7"/>
  <c r="CE245" i="7"/>
  <c r="CF245" i="7"/>
  <c r="CG245" i="7"/>
  <c r="CH245" i="7"/>
  <c r="CI245" i="7"/>
  <c r="CJ245" i="7"/>
  <c r="CK245" i="7"/>
  <c r="CL245" i="7"/>
  <c r="CM245" i="7"/>
  <c r="CN245" i="7"/>
  <c r="CO245" i="7"/>
  <c r="CP245" i="7"/>
  <c r="CQ245" i="7"/>
  <c r="CR245" i="7"/>
  <c r="CS245" i="7"/>
  <c r="CT245" i="7"/>
  <c r="CU245" i="7"/>
  <c r="CV245" i="7"/>
  <c r="CW245" i="7"/>
  <c r="CX245" i="7"/>
  <c r="CY245" i="7"/>
  <c r="CZ245" i="7"/>
  <c r="DA245" i="7"/>
  <c r="DB245" i="7"/>
  <c r="DC245" i="7"/>
  <c r="DD245" i="7"/>
  <c r="DE245" i="7"/>
  <c r="DF245" i="7"/>
  <c r="DG245" i="7"/>
  <c r="DH245" i="7"/>
  <c r="DI245" i="7"/>
  <c r="DJ245" i="7"/>
  <c r="DK245" i="7"/>
  <c r="DL245" i="7"/>
  <c r="DM245" i="7"/>
  <c r="DN245" i="7"/>
  <c r="DO245" i="7"/>
  <c r="DP245" i="7"/>
  <c r="DQ245" i="7"/>
  <c r="DR245" i="7"/>
  <c r="DS245" i="7"/>
  <c r="DT245" i="7"/>
  <c r="DU245" i="7"/>
  <c r="DV245" i="7"/>
  <c r="DW245" i="7"/>
  <c r="DX245" i="7"/>
  <c r="DY245" i="7"/>
  <c r="DZ245" i="7"/>
  <c r="EA245" i="7"/>
  <c r="EB245" i="7"/>
  <c r="EC245" i="7"/>
  <c r="ED245" i="7"/>
  <c r="EE245" i="7"/>
  <c r="EF245" i="7"/>
  <c r="EG245" i="7"/>
  <c r="EH245" i="7"/>
  <c r="EI245" i="7"/>
  <c r="EJ245" i="7"/>
  <c r="EK245" i="7"/>
  <c r="EL245" i="7"/>
  <c r="EM245" i="7"/>
  <c r="EN245" i="7"/>
  <c r="EO245" i="7"/>
  <c r="EP245" i="7"/>
  <c r="EQ245" i="7"/>
  <c r="ER245" i="7"/>
  <c r="ES245" i="7"/>
  <c r="ET245" i="7"/>
  <c r="EU245" i="7"/>
  <c r="EV245" i="7"/>
  <c r="EW245" i="7"/>
  <c r="EX245" i="7"/>
  <c r="EY245" i="7"/>
  <c r="EZ245" i="7"/>
  <c r="FA245" i="7"/>
  <c r="FB245" i="7"/>
  <c r="FC245" i="7"/>
  <c r="FD245" i="7"/>
  <c r="FE245" i="7"/>
  <c r="FF245" i="7"/>
  <c r="FG245" i="7"/>
  <c r="FH245" i="7"/>
  <c r="FI245" i="7"/>
  <c r="FJ245" i="7"/>
  <c r="FK245" i="7"/>
  <c r="FL245" i="7"/>
  <c r="FM245" i="7"/>
  <c r="FN245" i="7"/>
  <c r="FO245" i="7"/>
  <c r="FP245" i="7"/>
  <c r="FQ245" i="7"/>
  <c r="FR245" i="7"/>
  <c r="FS245" i="7"/>
  <c r="FT245" i="7"/>
  <c r="FU245" i="7"/>
  <c r="FV245" i="7"/>
  <c r="FW245" i="7"/>
  <c r="FX245" i="7"/>
  <c r="FY245" i="7"/>
  <c r="FZ245" i="7"/>
  <c r="GA245" i="7"/>
  <c r="GB245" i="7"/>
  <c r="GC245" i="7"/>
  <c r="GD245" i="7"/>
  <c r="GE245" i="7"/>
  <c r="GF245" i="7"/>
  <c r="GG245" i="7"/>
  <c r="GH245" i="7"/>
  <c r="GI245" i="7"/>
  <c r="GJ245" i="7"/>
  <c r="GK245" i="7"/>
  <c r="GL245" i="7"/>
  <c r="GM245" i="7"/>
  <c r="GN245" i="7"/>
  <c r="GO245" i="7"/>
  <c r="GP245" i="7"/>
  <c r="GQ245" i="7"/>
  <c r="GR245" i="7"/>
  <c r="GS245" i="7"/>
  <c r="GT245" i="7"/>
  <c r="GU245" i="7"/>
  <c r="GV245" i="7"/>
  <c r="GW245" i="7"/>
  <c r="GX245" i="7"/>
  <c r="GY245" i="7"/>
  <c r="GZ245" i="7"/>
  <c r="HA245" i="7"/>
  <c r="HB245" i="7"/>
  <c r="HC245" i="7"/>
  <c r="HD245" i="7"/>
  <c r="HE245" i="7"/>
  <c r="HF245" i="7"/>
  <c r="HG245" i="7"/>
  <c r="HH245" i="7"/>
  <c r="HI245" i="7"/>
  <c r="HJ245" i="7"/>
  <c r="HK245" i="7"/>
  <c r="HL245" i="7"/>
  <c r="HM245" i="7"/>
  <c r="HN245" i="7"/>
  <c r="HO245" i="7"/>
  <c r="HP245" i="7"/>
  <c r="HQ245" i="7"/>
  <c r="HR245" i="7"/>
  <c r="HS245" i="7"/>
  <c r="HT245" i="7"/>
  <c r="HU245" i="7"/>
  <c r="HV245" i="7"/>
  <c r="HW245" i="7"/>
  <c r="HX245" i="7"/>
  <c r="HY245" i="7"/>
  <c r="HZ245" i="7"/>
  <c r="IA245" i="7"/>
  <c r="IB245" i="7"/>
  <c r="IC245" i="7"/>
  <c r="ID245" i="7"/>
  <c r="IE245" i="7"/>
  <c r="IF245" i="7"/>
  <c r="IG245" i="7"/>
  <c r="IH245" i="7"/>
  <c r="II245" i="7"/>
  <c r="IJ245" i="7"/>
  <c r="IK245" i="7"/>
  <c r="IL245" i="7"/>
  <c r="IM245" i="7"/>
  <c r="IN245" i="7"/>
  <c r="IO245" i="7"/>
  <c r="IP245" i="7"/>
  <c r="IQ245" i="7"/>
  <c r="IR245" i="7"/>
  <c r="IS245" i="7"/>
  <c r="IT245" i="7"/>
  <c r="IU245" i="7"/>
  <c r="IV245" i="7"/>
  <c r="A244" i="7"/>
  <c r="B244" i="7"/>
  <c r="C244" i="7"/>
  <c r="D244" i="7"/>
  <c r="E244" i="7"/>
  <c r="F244" i="7"/>
  <c r="G244" i="7"/>
  <c r="H244" i="7"/>
  <c r="I244" i="7"/>
  <c r="J244" i="7"/>
  <c r="K244" i="7"/>
  <c r="L244" i="7"/>
  <c r="M244" i="7"/>
  <c r="N244" i="7"/>
  <c r="O244" i="7"/>
  <c r="P244" i="7"/>
  <c r="Q244" i="7"/>
  <c r="R244" i="7"/>
  <c r="S244" i="7"/>
  <c r="T244" i="7"/>
  <c r="U244" i="7"/>
  <c r="V244" i="7"/>
  <c r="W244" i="7"/>
  <c r="X244" i="7"/>
  <c r="Y244" i="7"/>
  <c r="Z244" i="7"/>
  <c r="AA244" i="7"/>
  <c r="AB244" i="7"/>
  <c r="AC244" i="7"/>
  <c r="AD244" i="7"/>
  <c r="AE244" i="7"/>
  <c r="AF244" i="7"/>
  <c r="AG244" i="7"/>
  <c r="AH244" i="7"/>
  <c r="AI244" i="7"/>
  <c r="AJ244" i="7"/>
  <c r="AK244" i="7"/>
  <c r="AL244" i="7"/>
  <c r="AM244" i="7"/>
  <c r="AN244" i="7"/>
  <c r="AO244" i="7"/>
  <c r="AP244" i="7"/>
  <c r="AQ244" i="7"/>
  <c r="AR244" i="7"/>
  <c r="AS244" i="7"/>
  <c r="AT244" i="7"/>
  <c r="AU244" i="7"/>
  <c r="AV244" i="7"/>
  <c r="AW244" i="7"/>
  <c r="AX244" i="7"/>
  <c r="AY244" i="7"/>
  <c r="AZ244" i="7"/>
  <c r="BA244" i="7"/>
  <c r="BB244" i="7"/>
  <c r="BC244" i="7"/>
  <c r="BD244" i="7"/>
  <c r="BE244" i="7"/>
  <c r="BF244" i="7"/>
  <c r="BG244" i="7"/>
  <c r="BH244" i="7"/>
  <c r="BI244" i="7"/>
  <c r="BJ244" i="7"/>
  <c r="BK244" i="7"/>
  <c r="BL244" i="7"/>
  <c r="BM244" i="7"/>
  <c r="BN244" i="7"/>
  <c r="BO244" i="7"/>
  <c r="BP244" i="7"/>
  <c r="BQ244" i="7"/>
  <c r="BR244" i="7"/>
  <c r="BS244" i="7"/>
  <c r="BT244" i="7"/>
  <c r="BU244" i="7"/>
  <c r="BV244" i="7"/>
  <c r="BW244" i="7"/>
  <c r="BX244" i="7"/>
  <c r="BY244" i="7"/>
  <c r="BZ244" i="7"/>
  <c r="CA244" i="7"/>
  <c r="CB244" i="7"/>
  <c r="CC244" i="7"/>
  <c r="CD244" i="7"/>
  <c r="CE244" i="7"/>
  <c r="CF244" i="7"/>
  <c r="CG244" i="7"/>
  <c r="CH244" i="7"/>
  <c r="CI244" i="7"/>
  <c r="CJ244" i="7"/>
  <c r="CK244" i="7"/>
  <c r="CL244" i="7"/>
  <c r="CM244" i="7"/>
  <c r="CN244" i="7"/>
  <c r="CO244" i="7"/>
  <c r="CP244" i="7"/>
  <c r="CQ244" i="7"/>
  <c r="CR244" i="7"/>
  <c r="CS244" i="7"/>
  <c r="CT244" i="7"/>
  <c r="CU244" i="7"/>
  <c r="CV244" i="7"/>
  <c r="CW244" i="7"/>
  <c r="CX244" i="7"/>
  <c r="CY244" i="7"/>
  <c r="CZ244" i="7"/>
  <c r="DA244" i="7"/>
  <c r="DB244" i="7"/>
  <c r="DC244" i="7"/>
  <c r="DD244" i="7"/>
  <c r="DE244" i="7"/>
  <c r="DF244" i="7"/>
  <c r="DG244" i="7"/>
  <c r="DH244" i="7"/>
  <c r="DI244" i="7"/>
  <c r="DJ244" i="7"/>
  <c r="DK244" i="7"/>
  <c r="DL244" i="7"/>
  <c r="DM244" i="7"/>
  <c r="DN244" i="7"/>
  <c r="DO244" i="7"/>
  <c r="DP244" i="7"/>
  <c r="DQ244" i="7"/>
  <c r="DR244" i="7"/>
  <c r="DS244" i="7"/>
  <c r="DT244" i="7"/>
  <c r="DU244" i="7"/>
  <c r="DV244" i="7"/>
  <c r="DW244" i="7"/>
  <c r="DX244" i="7"/>
  <c r="DY244" i="7"/>
  <c r="DZ244" i="7"/>
  <c r="EA244" i="7"/>
  <c r="EB244" i="7"/>
  <c r="EC244" i="7"/>
  <c r="ED244" i="7"/>
  <c r="EE244" i="7"/>
  <c r="EF244" i="7"/>
  <c r="EG244" i="7"/>
  <c r="EH244" i="7"/>
  <c r="EI244" i="7"/>
  <c r="EJ244" i="7"/>
  <c r="EK244" i="7"/>
  <c r="EL244" i="7"/>
  <c r="EM244" i="7"/>
  <c r="EN244" i="7"/>
  <c r="EO244" i="7"/>
  <c r="EP244" i="7"/>
  <c r="EQ244" i="7"/>
  <c r="ER244" i="7"/>
  <c r="ES244" i="7"/>
  <c r="ET244" i="7"/>
  <c r="EU244" i="7"/>
  <c r="EV244" i="7"/>
  <c r="EW244" i="7"/>
  <c r="EX244" i="7"/>
  <c r="EY244" i="7"/>
  <c r="EZ244" i="7"/>
  <c r="FA244" i="7"/>
  <c r="FB244" i="7"/>
  <c r="FC244" i="7"/>
  <c r="FD244" i="7"/>
  <c r="FE244" i="7"/>
  <c r="FF244" i="7"/>
  <c r="FG244" i="7"/>
  <c r="FH244" i="7"/>
  <c r="FI244" i="7"/>
  <c r="FJ244" i="7"/>
  <c r="FK244" i="7"/>
  <c r="FL244" i="7"/>
  <c r="FM244" i="7"/>
  <c r="FN244" i="7"/>
  <c r="FO244" i="7"/>
  <c r="FP244" i="7"/>
  <c r="FQ244" i="7"/>
  <c r="FR244" i="7"/>
  <c r="FS244" i="7"/>
  <c r="FT244" i="7"/>
  <c r="FU244" i="7"/>
  <c r="FV244" i="7"/>
  <c r="FW244" i="7"/>
  <c r="FX244" i="7"/>
  <c r="FY244" i="7"/>
  <c r="FZ244" i="7"/>
  <c r="GA244" i="7"/>
  <c r="GB244" i="7"/>
  <c r="GC244" i="7"/>
  <c r="GD244" i="7"/>
  <c r="GE244" i="7"/>
  <c r="GF244" i="7"/>
  <c r="GG244" i="7"/>
  <c r="GH244" i="7"/>
  <c r="GI244" i="7"/>
  <c r="GJ244" i="7"/>
  <c r="GK244" i="7"/>
  <c r="GL244" i="7"/>
  <c r="GM244" i="7"/>
  <c r="GN244" i="7"/>
  <c r="GO244" i="7"/>
  <c r="GP244" i="7"/>
  <c r="GQ244" i="7"/>
  <c r="GR244" i="7"/>
  <c r="GS244" i="7"/>
  <c r="GT244" i="7"/>
  <c r="GU244" i="7"/>
  <c r="GV244" i="7"/>
  <c r="GW244" i="7"/>
  <c r="GX244" i="7"/>
  <c r="GY244" i="7"/>
  <c r="GZ244" i="7"/>
  <c r="HA244" i="7"/>
  <c r="HB244" i="7"/>
  <c r="HC244" i="7"/>
  <c r="HD244" i="7"/>
  <c r="HE244" i="7"/>
  <c r="HF244" i="7"/>
  <c r="HG244" i="7"/>
  <c r="HH244" i="7"/>
  <c r="HI244" i="7"/>
  <c r="HJ244" i="7"/>
  <c r="HK244" i="7"/>
  <c r="HL244" i="7"/>
  <c r="HM244" i="7"/>
  <c r="HN244" i="7"/>
  <c r="HO244" i="7"/>
  <c r="HP244" i="7"/>
  <c r="HQ244" i="7"/>
  <c r="HR244" i="7"/>
  <c r="HS244" i="7"/>
  <c r="HT244" i="7"/>
  <c r="HU244" i="7"/>
  <c r="HV244" i="7"/>
  <c r="HW244" i="7"/>
  <c r="HX244" i="7"/>
  <c r="HY244" i="7"/>
  <c r="HZ244" i="7"/>
  <c r="IA244" i="7"/>
  <c r="IB244" i="7"/>
  <c r="IC244" i="7"/>
  <c r="ID244" i="7"/>
  <c r="IE244" i="7"/>
  <c r="IF244" i="7"/>
  <c r="IG244" i="7"/>
  <c r="IH244" i="7"/>
  <c r="II244" i="7"/>
  <c r="IJ244" i="7"/>
  <c r="IK244" i="7"/>
  <c r="IL244" i="7"/>
  <c r="IM244" i="7"/>
  <c r="IN244" i="7"/>
  <c r="IO244" i="7"/>
  <c r="IP244" i="7"/>
  <c r="IQ244" i="7"/>
  <c r="IR244" i="7"/>
  <c r="IS244" i="7"/>
  <c r="IT244" i="7"/>
  <c r="IU244" i="7"/>
  <c r="IV244" i="7"/>
  <c r="A243" i="7"/>
  <c r="B243" i="7"/>
  <c r="C243" i="7"/>
  <c r="D243" i="7"/>
  <c r="E243" i="7"/>
  <c r="F243" i="7"/>
  <c r="G243" i="7"/>
  <c r="H243" i="7"/>
  <c r="I243" i="7"/>
  <c r="J243" i="7"/>
  <c r="K243" i="7"/>
  <c r="L243" i="7"/>
  <c r="M243" i="7"/>
  <c r="N243" i="7"/>
  <c r="O243" i="7"/>
  <c r="P243" i="7"/>
  <c r="Q243" i="7"/>
  <c r="R243" i="7"/>
  <c r="S243" i="7"/>
  <c r="T243" i="7"/>
  <c r="U243" i="7"/>
  <c r="V243" i="7"/>
  <c r="W243" i="7"/>
  <c r="X243" i="7"/>
  <c r="Y243" i="7"/>
  <c r="Z243" i="7"/>
  <c r="AA243" i="7"/>
  <c r="AB243" i="7"/>
  <c r="AC243" i="7"/>
  <c r="AD243" i="7"/>
  <c r="AE243" i="7"/>
  <c r="AF243" i="7"/>
  <c r="AG243" i="7"/>
  <c r="AH243" i="7"/>
  <c r="AI243" i="7"/>
  <c r="AJ243" i="7"/>
  <c r="AK243" i="7"/>
  <c r="AL243" i="7"/>
  <c r="AM243" i="7"/>
  <c r="AN243" i="7"/>
  <c r="AO243" i="7"/>
  <c r="AP243" i="7"/>
  <c r="AQ243" i="7"/>
  <c r="AR243" i="7"/>
  <c r="AS243" i="7"/>
  <c r="AT243" i="7"/>
  <c r="AU243" i="7"/>
  <c r="AV243" i="7"/>
  <c r="AW243" i="7"/>
  <c r="AX243" i="7"/>
  <c r="AY243" i="7"/>
  <c r="AZ243" i="7"/>
  <c r="BA243" i="7"/>
  <c r="BB243" i="7"/>
  <c r="BC243" i="7"/>
  <c r="BD243" i="7"/>
  <c r="BE243" i="7"/>
  <c r="BF243" i="7"/>
  <c r="BG243" i="7"/>
  <c r="BH243" i="7"/>
  <c r="BI243" i="7"/>
  <c r="BJ243" i="7"/>
  <c r="BK243" i="7"/>
  <c r="BL243" i="7"/>
  <c r="BM243" i="7"/>
  <c r="BN243" i="7"/>
  <c r="BO243" i="7"/>
  <c r="BP243" i="7"/>
  <c r="BQ243" i="7"/>
  <c r="BR243" i="7"/>
  <c r="BS243" i="7"/>
  <c r="BT243" i="7"/>
  <c r="BU243" i="7"/>
  <c r="BV243" i="7"/>
  <c r="BW243" i="7"/>
  <c r="BX243" i="7"/>
  <c r="BY243" i="7"/>
  <c r="BZ243" i="7"/>
  <c r="CA243" i="7"/>
  <c r="CB243" i="7"/>
  <c r="CC243" i="7"/>
  <c r="CD243" i="7"/>
  <c r="CE243" i="7"/>
  <c r="CF243" i="7"/>
  <c r="CG243" i="7"/>
  <c r="CH243" i="7"/>
  <c r="CI243" i="7"/>
  <c r="CJ243" i="7"/>
  <c r="CK243" i="7"/>
  <c r="CL243" i="7"/>
  <c r="CM243" i="7"/>
  <c r="CN243" i="7"/>
  <c r="CO243" i="7"/>
  <c r="CP243" i="7"/>
  <c r="CQ243" i="7"/>
  <c r="CR243" i="7"/>
  <c r="CS243" i="7"/>
  <c r="CT243" i="7"/>
  <c r="CU243" i="7"/>
  <c r="CV243" i="7"/>
  <c r="CW243" i="7"/>
  <c r="CX243" i="7"/>
  <c r="CY243" i="7"/>
  <c r="CZ243" i="7"/>
  <c r="DA243" i="7"/>
  <c r="DB243" i="7"/>
  <c r="DC243" i="7"/>
  <c r="DD243" i="7"/>
  <c r="DE243" i="7"/>
  <c r="DF243" i="7"/>
  <c r="DG243" i="7"/>
  <c r="DH243" i="7"/>
  <c r="DI243" i="7"/>
  <c r="DJ243" i="7"/>
  <c r="DK243" i="7"/>
  <c r="DL243" i="7"/>
  <c r="DM243" i="7"/>
  <c r="DN243" i="7"/>
  <c r="DO243" i="7"/>
  <c r="DP243" i="7"/>
  <c r="DQ243" i="7"/>
  <c r="DR243" i="7"/>
  <c r="DS243" i="7"/>
  <c r="DT243" i="7"/>
  <c r="DU243" i="7"/>
  <c r="DV243" i="7"/>
  <c r="DW243" i="7"/>
  <c r="DX243" i="7"/>
  <c r="DY243" i="7"/>
  <c r="DZ243" i="7"/>
  <c r="EA243" i="7"/>
  <c r="EB243" i="7"/>
  <c r="EC243" i="7"/>
  <c r="ED243" i="7"/>
  <c r="EE243" i="7"/>
  <c r="EF243" i="7"/>
  <c r="EG243" i="7"/>
  <c r="EH243" i="7"/>
  <c r="EI243" i="7"/>
  <c r="EJ243" i="7"/>
  <c r="EK243" i="7"/>
  <c r="EL243" i="7"/>
  <c r="EM243" i="7"/>
  <c r="EN243" i="7"/>
  <c r="EO243" i="7"/>
  <c r="EP243" i="7"/>
  <c r="EQ243" i="7"/>
  <c r="ER243" i="7"/>
  <c r="ES243" i="7"/>
  <c r="ET243" i="7"/>
  <c r="EU243" i="7"/>
  <c r="EV243" i="7"/>
  <c r="EW243" i="7"/>
  <c r="EX243" i="7"/>
  <c r="EY243" i="7"/>
  <c r="EZ243" i="7"/>
  <c r="FA243" i="7"/>
  <c r="FB243" i="7"/>
  <c r="FC243" i="7"/>
  <c r="FD243" i="7"/>
  <c r="FE243" i="7"/>
  <c r="FF243" i="7"/>
  <c r="FG243" i="7"/>
  <c r="FH243" i="7"/>
  <c r="FI243" i="7"/>
  <c r="FJ243" i="7"/>
  <c r="FK243" i="7"/>
  <c r="FL243" i="7"/>
  <c r="FM243" i="7"/>
  <c r="FN243" i="7"/>
  <c r="FO243" i="7"/>
  <c r="FP243" i="7"/>
  <c r="FQ243" i="7"/>
  <c r="FR243" i="7"/>
  <c r="FS243" i="7"/>
  <c r="FT243" i="7"/>
  <c r="FU243" i="7"/>
  <c r="FV243" i="7"/>
  <c r="FW243" i="7"/>
  <c r="FX243" i="7"/>
  <c r="FY243" i="7"/>
  <c r="FZ243" i="7"/>
  <c r="GA243" i="7"/>
  <c r="GB243" i="7"/>
  <c r="GC243" i="7"/>
  <c r="GD243" i="7"/>
  <c r="GE243" i="7"/>
  <c r="GF243" i="7"/>
  <c r="GG243" i="7"/>
  <c r="GH243" i="7"/>
  <c r="GI243" i="7"/>
  <c r="GJ243" i="7"/>
  <c r="GK243" i="7"/>
  <c r="GL243" i="7"/>
  <c r="GM243" i="7"/>
  <c r="GN243" i="7"/>
  <c r="GO243" i="7"/>
  <c r="GP243" i="7"/>
  <c r="GQ243" i="7"/>
  <c r="GR243" i="7"/>
  <c r="GS243" i="7"/>
  <c r="GT243" i="7"/>
  <c r="GU243" i="7"/>
  <c r="GV243" i="7"/>
  <c r="GW243" i="7"/>
  <c r="GX243" i="7"/>
  <c r="GY243" i="7"/>
  <c r="GZ243" i="7"/>
  <c r="HA243" i="7"/>
  <c r="HB243" i="7"/>
  <c r="HC243" i="7"/>
  <c r="HD243" i="7"/>
  <c r="HE243" i="7"/>
  <c r="HF243" i="7"/>
  <c r="HG243" i="7"/>
  <c r="HH243" i="7"/>
  <c r="HI243" i="7"/>
  <c r="HJ243" i="7"/>
  <c r="HK243" i="7"/>
  <c r="HL243" i="7"/>
  <c r="HM243" i="7"/>
  <c r="HN243" i="7"/>
  <c r="HO243" i="7"/>
  <c r="HP243" i="7"/>
  <c r="HQ243" i="7"/>
  <c r="HR243" i="7"/>
  <c r="HS243" i="7"/>
  <c r="HT243" i="7"/>
  <c r="HU243" i="7"/>
  <c r="HV243" i="7"/>
  <c r="HW243" i="7"/>
  <c r="HX243" i="7"/>
  <c r="HY243" i="7"/>
  <c r="HZ243" i="7"/>
  <c r="IA243" i="7"/>
  <c r="IB243" i="7"/>
  <c r="IC243" i="7"/>
  <c r="ID243" i="7"/>
  <c r="IE243" i="7"/>
  <c r="IF243" i="7"/>
  <c r="IG243" i="7"/>
  <c r="IH243" i="7"/>
  <c r="II243" i="7"/>
  <c r="IJ243" i="7"/>
  <c r="IK243" i="7"/>
  <c r="IL243" i="7"/>
  <c r="IM243" i="7"/>
  <c r="IN243" i="7"/>
  <c r="IO243" i="7"/>
  <c r="IP243" i="7"/>
  <c r="IQ243" i="7"/>
  <c r="IR243" i="7"/>
  <c r="IS243" i="7"/>
  <c r="IT243" i="7"/>
  <c r="IU243" i="7"/>
  <c r="IV243" i="7"/>
  <c r="A242" i="7"/>
  <c r="B242" i="7"/>
  <c r="C242" i="7"/>
  <c r="D242" i="7"/>
  <c r="E242" i="7"/>
  <c r="F242" i="7"/>
  <c r="G242" i="7"/>
  <c r="H242" i="7"/>
  <c r="I242" i="7"/>
  <c r="J242" i="7"/>
  <c r="K242" i="7"/>
  <c r="L242" i="7"/>
  <c r="M242" i="7"/>
  <c r="N242" i="7"/>
  <c r="O242" i="7"/>
  <c r="P242" i="7"/>
  <c r="Q242" i="7"/>
  <c r="R242" i="7"/>
  <c r="S242" i="7"/>
  <c r="T242" i="7"/>
  <c r="U242" i="7"/>
  <c r="V242" i="7"/>
  <c r="W242" i="7"/>
  <c r="X242" i="7"/>
  <c r="Y242" i="7"/>
  <c r="Z242" i="7"/>
  <c r="AA242" i="7"/>
  <c r="AB242" i="7"/>
  <c r="AC242" i="7"/>
  <c r="AD242" i="7"/>
  <c r="AE242" i="7"/>
  <c r="AF242" i="7"/>
  <c r="AG242" i="7"/>
  <c r="AH242" i="7"/>
  <c r="AI242" i="7"/>
  <c r="AJ242" i="7"/>
  <c r="AK242" i="7"/>
  <c r="AL242" i="7"/>
  <c r="AM242" i="7"/>
  <c r="AN242" i="7"/>
  <c r="AO242" i="7"/>
  <c r="AP242" i="7"/>
  <c r="AQ242" i="7"/>
  <c r="AR242" i="7"/>
  <c r="AS242" i="7"/>
  <c r="AT242" i="7"/>
  <c r="AU242" i="7"/>
  <c r="AV242" i="7"/>
  <c r="AW242" i="7"/>
  <c r="AX242" i="7"/>
  <c r="AY242" i="7"/>
  <c r="AZ242" i="7"/>
  <c r="BA242" i="7"/>
  <c r="BB242" i="7"/>
  <c r="BC242" i="7"/>
  <c r="BD242" i="7"/>
  <c r="BE242" i="7"/>
  <c r="BF242" i="7"/>
  <c r="BG242" i="7"/>
  <c r="BH242" i="7"/>
  <c r="BI242" i="7"/>
  <c r="BJ242" i="7"/>
  <c r="BK242" i="7"/>
  <c r="BL242" i="7"/>
  <c r="BM242" i="7"/>
  <c r="BN242" i="7"/>
  <c r="BO242" i="7"/>
  <c r="BP242" i="7"/>
  <c r="BQ242" i="7"/>
  <c r="BR242" i="7"/>
  <c r="BS242" i="7"/>
  <c r="BT242" i="7"/>
  <c r="BU242" i="7"/>
  <c r="BV242" i="7"/>
  <c r="BW242" i="7"/>
  <c r="BX242" i="7"/>
  <c r="BY242" i="7"/>
  <c r="BZ242" i="7"/>
  <c r="CA242" i="7"/>
  <c r="CB242" i="7"/>
  <c r="CC242" i="7"/>
  <c r="CD242" i="7"/>
  <c r="CE242" i="7"/>
  <c r="CF242" i="7"/>
  <c r="CG242" i="7"/>
  <c r="CH242" i="7"/>
  <c r="CI242" i="7"/>
  <c r="CJ242" i="7"/>
  <c r="CK242" i="7"/>
  <c r="CL242" i="7"/>
  <c r="CM242" i="7"/>
  <c r="CN242" i="7"/>
  <c r="CO242" i="7"/>
  <c r="CP242" i="7"/>
  <c r="CQ242" i="7"/>
  <c r="CR242" i="7"/>
  <c r="CS242" i="7"/>
  <c r="CT242" i="7"/>
  <c r="CU242" i="7"/>
  <c r="CV242" i="7"/>
  <c r="CW242" i="7"/>
  <c r="CX242" i="7"/>
  <c r="CY242" i="7"/>
  <c r="CZ242" i="7"/>
  <c r="DA242" i="7"/>
  <c r="DB242" i="7"/>
  <c r="DC242" i="7"/>
  <c r="DD242" i="7"/>
  <c r="DE242" i="7"/>
  <c r="DF242" i="7"/>
  <c r="DG242" i="7"/>
  <c r="DH242" i="7"/>
  <c r="DI242" i="7"/>
  <c r="DJ242" i="7"/>
  <c r="DK242" i="7"/>
  <c r="DL242" i="7"/>
  <c r="DM242" i="7"/>
  <c r="DN242" i="7"/>
  <c r="DO242" i="7"/>
  <c r="DP242" i="7"/>
  <c r="DQ242" i="7"/>
  <c r="DR242" i="7"/>
  <c r="DS242" i="7"/>
  <c r="DT242" i="7"/>
  <c r="DU242" i="7"/>
  <c r="DV242" i="7"/>
  <c r="DW242" i="7"/>
  <c r="DX242" i="7"/>
  <c r="DY242" i="7"/>
  <c r="DZ242" i="7"/>
  <c r="EA242" i="7"/>
  <c r="EB242" i="7"/>
  <c r="EC242" i="7"/>
  <c r="ED242" i="7"/>
  <c r="EE242" i="7"/>
  <c r="EF242" i="7"/>
  <c r="EG242" i="7"/>
  <c r="EH242" i="7"/>
  <c r="EI242" i="7"/>
  <c r="EJ242" i="7"/>
  <c r="EK242" i="7"/>
  <c r="EL242" i="7"/>
  <c r="EM242" i="7"/>
  <c r="EN242" i="7"/>
  <c r="EO242" i="7"/>
  <c r="EP242" i="7"/>
  <c r="EQ242" i="7"/>
  <c r="ER242" i="7"/>
  <c r="ES242" i="7"/>
  <c r="ET242" i="7"/>
  <c r="EU242" i="7"/>
  <c r="EV242" i="7"/>
  <c r="EW242" i="7"/>
  <c r="EX242" i="7"/>
  <c r="EY242" i="7"/>
  <c r="EZ242" i="7"/>
  <c r="FA242" i="7"/>
  <c r="FB242" i="7"/>
  <c r="FC242" i="7"/>
  <c r="FD242" i="7"/>
  <c r="FE242" i="7"/>
  <c r="FF242" i="7"/>
  <c r="FG242" i="7"/>
  <c r="FH242" i="7"/>
  <c r="FI242" i="7"/>
  <c r="FJ242" i="7"/>
  <c r="FK242" i="7"/>
  <c r="FL242" i="7"/>
  <c r="FM242" i="7"/>
  <c r="FN242" i="7"/>
  <c r="FO242" i="7"/>
  <c r="FP242" i="7"/>
  <c r="FQ242" i="7"/>
  <c r="FR242" i="7"/>
  <c r="FS242" i="7"/>
  <c r="FT242" i="7"/>
  <c r="FU242" i="7"/>
  <c r="FV242" i="7"/>
  <c r="FW242" i="7"/>
  <c r="FX242" i="7"/>
  <c r="FY242" i="7"/>
  <c r="FZ242" i="7"/>
  <c r="GA242" i="7"/>
  <c r="GB242" i="7"/>
  <c r="GC242" i="7"/>
  <c r="GD242" i="7"/>
  <c r="GE242" i="7"/>
  <c r="GF242" i="7"/>
  <c r="GG242" i="7"/>
  <c r="GH242" i="7"/>
  <c r="GI242" i="7"/>
  <c r="GJ242" i="7"/>
  <c r="GK242" i="7"/>
  <c r="GL242" i="7"/>
  <c r="GM242" i="7"/>
  <c r="GN242" i="7"/>
  <c r="GO242" i="7"/>
  <c r="GP242" i="7"/>
  <c r="GQ242" i="7"/>
  <c r="GR242" i="7"/>
  <c r="GS242" i="7"/>
  <c r="GT242" i="7"/>
  <c r="GU242" i="7"/>
  <c r="GV242" i="7"/>
  <c r="GW242" i="7"/>
  <c r="GX242" i="7"/>
  <c r="GY242" i="7"/>
  <c r="GZ242" i="7"/>
  <c r="HA242" i="7"/>
  <c r="HB242" i="7"/>
  <c r="HC242" i="7"/>
  <c r="HD242" i="7"/>
  <c r="HE242" i="7"/>
  <c r="HF242" i="7"/>
  <c r="HG242" i="7"/>
  <c r="HH242" i="7"/>
  <c r="HI242" i="7"/>
  <c r="HJ242" i="7"/>
  <c r="HK242" i="7"/>
  <c r="HL242" i="7"/>
  <c r="HM242" i="7"/>
  <c r="HN242" i="7"/>
  <c r="HO242" i="7"/>
  <c r="HP242" i="7"/>
  <c r="HQ242" i="7"/>
  <c r="HR242" i="7"/>
  <c r="HS242" i="7"/>
  <c r="HT242" i="7"/>
  <c r="HU242" i="7"/>
  <c r="HV242" i="7"/>
  <c r="HW242" i="7"/>
  <c r="HX242" i="7"/>
  <c r="HY242" i="7"/>
  <c r="HZ242" i="7"/>
  <c r="IA242" i="7"/>
  <c r="IB242" i="7"/>
  <c r="IC242" i="7"/>
  <c r="ID242" i="7"/>
  <c r="IE242" i="7"/>
  <c r="IF242" i="7"/>
  <c r="IG242" i="7"/>
  <c r="IH242" i="7"/>
  <c r="II242" i="7"/>
  <c r="IJ242" i="7"/>
  <c r="IK242" i="7"/>
  <c r="IL242" i="7"/>
  <c r="IM242" i="7"/>
  <c r="IN242" i="7"/>
  <c r="IO242" i="7"/>
  <c r="IP242" i="7"/>
  <c r="IQ242" i="7"/>
  <c r="IR242" i="7"/>
  <c r="IS242" i="7"/>
  <c r="IT242" i="7"/>
  <c r="IU242" i="7"/>
  <c r="IV242" i="7"/>
  <c r="A241" i="7"/>
  <c r="B241" i="7"/>
  <c r="C241" i="7"/>
  <c r="D241" i="7"/>
  <c r="E241" i="7"/>
  <c r="F241" i="7"/>
  <c r="G241" i="7"/>
  <c r="H241" i="7"/>
  <c r="I241" i="7"/>
  <c r="J241" i="7"/>
  <c r="K241" i="7"/>
  <c r="L241" i="7"/>
  <c r="M241" i="7"/>
  <c r="N241" i="7"/>
  <c r="O241" i="7"/>
  <c r="P241" i="7"/>
  <c r="Q241" i="7"/>
  <c r="R241" i="7"/>
  <c r="S241" i="7"/>
  <c r="T241" i="7"/>
  <c r="U241" i="7"/>
  <c r="V241" i="7"/>
  <c r="W241" i="7"/>
  <c r="X241" i="7"/>
  <c r="Y241" i="7"/>
  <c r="Z241" i="7"/>
  <c r="AA241" i="7"/>
  <c r="AB241" i="7"/>
  <c r="AC241" i="7"/>
  <c r="AD241" i="7"/>
  <c r="AE241" i="7"/>
  <c r="AF241" i="7"/>
  <c r="AG241" i="7"/>
  <c r="AH241" i="7"/>
  <c r="AI241" i="7"/>
  <c r="AJ241" i="7"/>
  <c r="AK241" i="7"/>
  <c r="AL241" i="7"/>
  <c r="AM241" i="7"/>
  <c r="AN241" i="7"/>
  <c r="AO241" i="7"/>
  <c r="AP241" i="7"/>
  <c r="AQ241" i="7"/>
  <c r="AR241" i="7"/>
  <c r="AS241" i="7"/>
  <c r="AT241" i="7"/>
  <c r="AU241" i="7"/>
  <c r="AV241" i="7"/>
  <c r="AW241" i="7"/>
  <c r="AX241" i="7"/>
  <c r="AY241" i="7"/>
  <c r="AZ241" i="7"/>
  <c r="BA241" i="7"/>
  <c r="BB241" i="7"/>
  <c r="BC241" i="7"/>
  <c r="BD241" i="7"/>
  <c r="BE241" i="7"/>
  <c r="BF241" i="7"/>
  <c r="BG241" i="7"/>
  <c r="BH241" i="7"/>
  <c r="BI241" i="7"/>
  <c r="BJ241" i="7"/>
  <c r="BK241" i="7"/>
  <c r="BL241" i="7"/>
  <c r="BM241" i="7"/>
  <c r="BN241" i="7"/>
  <c r="BO241" i="7"/>
  <c r="BP241" i="7"/>
  <c r="BQ241" i="7"/>
  <c r="BR241" i="7"/>
  <c r="BS241" i="7"/>
  <c r="BT241" i="7"/>
  <c r="BU241" i="7"/>
  <c r="BV241" i="7"/>
  <c r="BW241" i="7"/>
  <c r="BX241" i="7"/>
  <c r="BY241" i="7"/>
  <c r="BZ241" i="7"/>
  <c r="CA241" i="7"/>
  <c r="CB241" i="7"/>
  <c r="CC241" i="7"/>
  <c r="CD241" i="7"/>
  <c r="CE241" i="7"/>
  <c r="CF241" i="7"/>
  <c r="CG241" i="7"/>
  <c r="CH241" i="7"/>
  <c r="CI241" i="7"/>
  <c r="CJ241" i="7"/>
  <c r="CK241" i="7"/>
  <c r="CL241" i="7"/>
  <c r="CM241" i="7"/>
  <c r="CN241" i="7"/>
  <c r="CO241" i="7"/>
  <c r="CP241" i="7"/>
  <c r="CQ241" i="7"/>
  <c r="CR241" i="7"/>
  <c r="CS241" i="7"/>
  <c r="CT241" i="7"/>
  <c r="CU241" i="7"/>
  <c r="CV241" i="7"/>
  <c r="CW241" i="7"/>
  <c r="CX241" i="7"/>
  <c r="CY241" i="7"/>
  <c r="CZ241" i="7"/>
  <c r="DA241" i="7"/>
  <c r="DB241" i="7"/>
  <c r="DC241" i="7"/>
  <c r="DD241" i="7"/>
  <c r="DE241" i="7"/>
  <c r="DF241" i="7"/>
  <c r="DG241" i="7"/>
  <c r="DH241" i="7"/>
  <c r="DI241" i="7"/>
  <c r="DJ241" i="7"/>
  <c r="DK241" i="7"/>
  <c r="DL241" i="7"/>
  <c r="DM241" i="7"/>
  <c r="DN241" i="7"/>
  <c r="DO241" i="7"/>
  <c r="DP241" i="7"/>
  <c r="DQ241" i="7"/>
  <c r="DR241" i="7"/>
  <c r="DS241" i="7"/>
  <c r="DT241" i="7"/>
  <c r="DU241" i="7"/>
  <c r="DV241" i="7"/>
  <c r="DW241" i="7"/>
  <c r="DX241" i="7"/>
  <c r="DY241" i="7"/>
  <c r="DZ241" i="7"/>
  <c r="EA241" i="7"/>
  <c r="EB241" i="7"/>
  <c r="EC241" i="7"/>
  <c r="ED241" i="7"/>
  <c r="EE241" i="7"/>
  <c r="EF241" i="7"/>
  <c r="EG241" i="7"/>
  <c r="EH241" i="7"/>
  <c r="EI241" i="7"/>
  <c r="EJ241" i="7"/>
  <c r="EK241" i="7"/>
  <c r="EL241" i="7"/>
  <c r="EM241" i="7"/>
  <c r="EN241" i="7"/>
  <c r="EO241" i="7"/>
  <c r="EP241" i="7"/>
  <c r="EQ241" i="7"/>
  <c r="ER241" i="7"/>
  <c r="ES241" i="7"/>
  <c r="ET241" i="7"/>
  <c r="EU241" i="7"/>
  <c r="EV241" i="7"/>
  <c r="EW241" i="7"/>
  <c r="EX241" i="7"/>
  <c r="EY241" i="7"/>
  <c r="EZ241" i="7"/>
  <c r="FA241" i="7"/>
  <c r="FB241" i="7"/>
  <c r="FC241" i="7"/>
  <c r="FD241" i="7"/>
  <c r="FE241" i="7"/>
  <c r="FF241" i="7"/>
  <c r="FG241" i="7"/>
  <c r="FH241" i="7"/>
  <c r="FI241" i="7"/>
  <c r="FJ241" i="7"/>
  <c r="FK241" i="7"/>
  <c r="FL241" i="7"/>
  <c r="FM241" i="7"/>
  <c r="FN241" i="7"/>
  <c r="FO241" i="7"/>
  <c r="FP241" i="7"/>
  <c r="FQ241" i="7"/>
  <c r="FR241" i="7"/>
  <c r="FS241" i="7"/>
  <c r="FT241" i="7"/>
  <c r="FU241" i="7"/>
  <c r="FV241" i="7"/>
  <c r="FW241" i="7"/>
  <c r="FX241" i="7"/>
  <c r="FY241" i="7"/>
  <c r="FZ241" i="7"/>
  <c r="GA241" i="7"/>
  <c r="GB241" i="7"/>
  <c r="GC241" i="7"/>
  <c r="GD241" i="7"/>
  <c r="GE241" i="7"/>
  <c r="GF241" i="7"/>
  <c r="GG241" i="7"/>
  <c r="GH241" i="7"/>
  <c r="GI241" i="7"/>
  <c r="GJ241" i="7"/>
  <c r="GK241" i="7"/>
  <c r="GL241" i="7"/>
  <c r="GM241" i="7"/>
  <c r="GN241" i="7"/>
  <c r="GO241" i="7"/>
  <c r="GP241" i="7"/>
  <c r="GQ241" i="7"/>
  <c r="GR241" i="7"/>
  <c r="GS241" i="7"/>
  <c r="GT241" i="7"/>
  <c r="GU241" i="7"/>
  <c r="GV241" i="7"/>
  <c r="GW241" i="7"/>
  <c r="GX241" i="7"/>
  <c r="GY241" i="7"/>
  <c r="GZ241" i="7"/>
  <c r="HA241" i="7"/>
  <c r="HB241" i="7"/>
  <c r="HC241" i="7"/>
  <c r="HD241" i="7"/>
  <c r="HE241" i="7"/>
  <c r="HF241" i="7"/>
  <c r="HG241" i="7"/>
  <c r="HH241" i="7"/>
  <c r="HI241" i="7"/>
  <c r="HJ241" i="7"/>
  <c r="HK241" i="7"/>
  <c r="HL241" i="7"/>
  <c r="HM241" i="7"/>
  <c r="HN241" i="7"/>
  <c r="HO241" i="7"/>
  <c r="HP241" i="7"/>
  <c r="HQ241" i="7"/>
  <c r="HR241" i="7"/>
  <c r="HS241" i="7"/>
  <c r="HT241" i="7"/>
  <c r="HU241" i="7"/>
  <c r="HV241" i="7"/>
  <c r="HW241" i="7"/>
  <c r="HX241" i="7"/>
  <c r="HY241" i="7"/>
  <c r="HZ241" i="7"/>
  <c r="IA241" i="7"/>
  <c r="IB241" i="7"/>
  <c r="IC241" i="7"/>
  <c r="ID241" i="7"/>
  <c r="IE241" i="7"/>
  <c r="IF241" i="7"/>
  <c r="IG241" i="7"/>
  <c r="IH241" i="7"/>
  <c r="II241" i="7"/>
  <c r="IJ241" i="7"/>
  <c r="IK241" i="7"/>
  <c r="IL241" i="7"/>
  <c r="IM241" i="7"/>
  <c r="IN241" i="7"/>
  <c r="IO241" i="7"/>
  <c r="IP241" i="7"/>
  <c r="IQ241" i="7"/>
  <c r="IR241" i="7"/>
  <c r="IS241" i="7"/>
  <c r="IT241" i="7"/>
  <c r="IU241" i="7"/>
  <c r="IV241" i="7"/>
  <c r="A240" i="7"/>
  <c r="B240" i="7"/>
  <c r="C240" i="7"/>
  <c r="D240" i="7"/>
  <c r="E240" i="7"/>
  <c r="F240" i="7"/>
  <c r="G240" i="7"/>
  <c r="H240" i="7"/>
  <c r="I240" i="7"/>
  <c r="J240" i="7"/>
  <c r="K240" i="7"/>
  <c r="L240" i="7"/>
  <c r="M240" i="7"/>
  <c r="N240" i="7"/>
  <c r="O240" i="7"/>
  <c r="P240" i="7"/>
  <c r="Q240" i="7"/>
  <c r="R240" i="7"/>
  <c r="S240" i="7"/>
  <c r="T240" i="7"/>
  <c r="U240" i="7"/>
  <c r="V240" i="7"/>
  <c r="W240" i="7"/>
  <c r="X240" i="7"/>
  <c r="Y240" i="7"/>
  <c r="Z240" i="7"/>
  <c r="AA240" i="7"/>
  <c r="AB240" i="7"/>
  <c r="AC240" i="7"/>
  <c r="AD240" i="7"/>
  <c r="AE240" i="7"/>
  <c r="AF240" i="7"/>
  <c r="AG240" i="7"/>
  <c r="AH240" i="7"/>
  <c r="AI240" i="7"/>
  <c r="AJ240" i="7"/>
  <c r="AK240" i="7"/>
  <c r="AL240" i="7"/>
  <c r="AM240" i="7"/>
  <c r="AN240" i="7"/>
  <c r="AO240" i="7"/>
  <c r="AP240" i="7"/>
  <c r="AQ240" i="7"/>
  <c r="AR240" i="7"/>
  <c r="AS240" i="7"/>
  <c r="AT240" i="7"/>
  <c r="AU240" i="7"/>
  <c r="AV240" i="7"/>
  <c r="AW240" i="7"/>
  <c r="AX240" i="7"/>
  <c r="AY240" i="7"/>
  <c r="AZ240" i="7"/>
  <c r="BA240" i="7"/>
  <c r="BB240" i="7"/>
  <c r="BC240" i="7"/>
  <c r="BD240" i="7"/>
  <c r="BE240" i="7"/>
  <c r="BF240" i="7"/>
  <c r="BG240" i="7"/>
  <c r="BH240" i="7"/>
  <c r="BI240" i="7"/>
  <c r="BJ240" i="7"/>
  <c r="BK240" i="7"/>
  <c r="BL240" i="7"/>
  <c r="BM240" i="7"/>
  <c r="BN240" i="7"/>
  <c r="BO240" i="7"/>
  <c r="BP240" i="7"/>
  <c r="BQ240" i="7"/>
  <c r="BR240" i="7"/>
  <c r="BS240" i="7"/>
  <c r="BT240" i="7"/>
  <c r="BU240" i="7"/>
  <c r="BV240" i="7"/>
  <c r="BW240" i="7"/>
  <c r="BX240" i="7"/>
  <c r="BY240" i="7"/>
  <c r="BZ240" i="7"/>
  <c r="CA240" i="7"/>
  <c r="CB240" i="7"/>
  <c r="CC240" i="7"/>
  <c r="CD240" i="7"/>
  <c r="CE240" i="7"/>
  <c r="CF240" i="7"/>
  <c r="CG240" i="7"/>
  <c r="CH240" i="7"/>
  <c r="CI240" i="7"/>
  <c r="CJ240" i="7"/>
  <c r="CK240" i="7"/>
  <c r="CL240" i="7"/>
  <c r="CM240" i="7"/>
  <c r="CN240" i="7"/>
  <c r="CO240" i="7"/>
  <c r="CP240" i="7"/>
  <c r="CQ240" i="7"/>
  <c r="CR240" i="7"/>
  <c r="CS240" i="7"/>
  <c r="CT240" i="7"/>
  <c r="CU240" i="7"/>
  <c r="CV240" i="7"/>
  <c r="CW240" i="7"/>
  <c r="CX240" i="7"/>
  <c r="CY240" i="7"/>
  <c r="CZ240" i="7"/>
  <c r="DA240" i="7"/>
  <c r="DB240" i="7"/>
  <c r="DC240" i="7"/>
  <c r="DD240" i="7"/>
  <c r="DE240" i="7"/>
  <c r="DF240" i="7"/>
  <c r="DG240" i="7"/>
  <c r="DH240" i="7"/>
  <c r="DI240" i="7"/>
  <c r="DJ240" i="7"/>
  <c r="DK240" i="7"/>
  <c r="DL240" i="7"/>
  <c r="DM240" i="7"/>
  <c r="DN240" i="7"/>
  <c r="DO240" i="7"/>
  <c r="DP240" i="7"/>
  <c r="DQ240" i="7"/>
  <c r="DR240" i="7"/>
  <c r="DS240" i="7"/>
  <c r="DT240" i="7"/>
  <c r="DU240" i="7"/>
  <c r="DV240" i="7"/>
  <c r="DW240" i="7"/>
  <c r="DX240" i="7"/>
  <c r="DY240" i="7"/>
  <c r="DZ240" i="7"/>
  <c r="EA240" i="7"/>
  <c r="EB240" i="7"/>
  <c r="EC240" i="7"/>
  <c r="ED240" i="7"/>
  <c r="EE240" i="7"/>
  <c r="EF240" i="7"/>
  <c r="EG240" i="7"/>
  <c r="EH240" i="7"/>
  <c r="EI240" i="7"/>
  <c r="EJ240" i="7"/>
  <c r="EK240" i="7"/>
  <c r="EL240" i="7"/>
  <c r="EM240" i="7"/>
  <c r="EN240" i="7"/>
  <c r="EO240" i="7"/>
  <c r="EP240" i="7"/>
  <c r="EQ240" i="7"/>
  <c r="ER240" i="7"/>
  <c r="ES240" i="7"/>
  <c r="ET240" i="7"/>
  <c r="EU240" i="7"/>
  <c r="EV240" i="7"/>
  <c r="EW240" i="7"/>
  <c r="EX240" i="7"/>
  <c r="EY240" i="7"/>
  <c r="EZ240" i="7"/>
  <c r="FA240" i="7"/>
  <c r="FB240" i="7"/>
  <c r="FC240" i="7"/>
  <c r="FD240" i="7"/>
  <c r="FE240" i="7"/>
  <c r="FF240" i="7"/>
  <c r="FG240" i="7"/>
  <c r="FH240" i="7"/>
  <c r="FI240" i="7"/>
  <c r="FJ240" i="7"/>
  <c r="FK240" i="7"/>
  <c r="FL240" i="7"/>
  <c r="FM240" i="7"/>
  <c r="FN240" i="7"/>
  <c r="FO240" i="7"/>
  <c r="FP240" i="7"/>
  <c r="FQ240" i="7"/>
  <c r="FR240" i="7"/>
  <c r="FS240" i="7"/>
  <c r="FT240" i="7"/>
  <c r="FU240" i="7"/>
  <c r="FV240" i="7"/>
  <c r="FW240" i="7"/>
  <c r="FX240" i="7"/>
  <c r="FY240" i="7"/>
  <c r="FZ240" i="7"/>
  <c r="GA240" i="7"/>
  <c r="GB240" i="7"/>
  <c r="GC240" i="7"/>
  <c r="GD240" i="7"/>
  <c r="GE240" i="7"/>
  <c r="GF240" i="7"/>
  <c r="GG240" i="7"/>
  <c r="GH240" i="7"/>
  <c r="GI240" i="7"/>
  <c r="GJ240" i="7"/>
  <c r="GK240" i="7"/>
  <c r="GL240" i="7"/>
  <c r="GM240" i="7"/>
  <c r="GN240" i="7"/>
  <c r="GO240" i="7"/>
  <c r="GP240" i="7"/>
  <c r="GQ240" i="7"/>
  <c r="GR240" i="7"/>
  <c r="GS240" i="7"/>
  <c r="GT240" i="7"/>
  <c r="GU240" i="7"/>
  <c r="GV240" i="7"/>
  <c r="GW240" i="7"/>
  <c r="GX240" i="7"/>
  <c r="GY240" i="7"/>
  <c r="GZ240" i="7"/>
  <c r="HA240" i="7"/>
  <c r="HB240" i="7"/>
  <c r="HC240" i="7"/>
  <c r="HD240" i="7"/>
  <c r="HE240" i="7"/>
  <c r="HF240" i="7"/>
  <c r="HG240" i="7"/>
  <c r="HH240" i="7"/>
  <c r="HI240" i="7"/>
  <c r="HJ240" i="7"/>
  <c r="HK240" i="7"/>
  <c r="HL240" i="7"/>
  <c r="HM240" i="7"/>
  <c r="HN240" i="7"/>
  <c r="HO240" i="7"/>
  <c r="HP240" i="7"/>
  <c r="HQ240" i="7"/>
  <c r="HR240" i="7"/>
  <c r="HS240" i="7"/>
  <c r="HT240" i="7"/>
  <c r="HU240" i="7"/>
  <c r="HV240" i="7"/>
  <c r="HW240" i="7"/>
  <c r="HX240" i="7"/>
  <c r="HY240" i="7"/>
  <c r="HZ240" i="7"/>
  <c r="IA240" i="7"/>
  <c r="IB240" i="7"/>
  <c r="IC240" i="7"/>
  <c r="ID240" i="7"/>
  <c r="IE240" i="7"/>
  <c r="IF240" i="7"/>
  <c r="IG240" i="7"/>
  <c r="IH240" i="7"/>
  <c r="II240" i="7"/>
  <c r="IJ240" i="7"/>
  <c r="IK240" i="7"/>
  <c r="IL240" i="7"/>
  <c r="IM240" i="7"/>
  <c r="IN240" i="7"/>
  <c r="IO240" i="7"/>
  <c r="IP240" i="7"/>
  <c r="IQ240" i="7"/>
  <c r="IR240" i="7"/>
  <c r="IS240" i="7"/>
  <c r="IT240" i="7"/>
  <c r="IU240" i="7"/>
  <c r="IV240" i="7"/>
  <c r="A239" i="7"/>
  <c r="B239" i="7"/>
  <c r="C239" i="7"/>
  <c r="D239" i="7"/>
  <c r="E239" i="7"/>
  <c r="F239" i="7"/>
  <c r="G239" i="7"/>
  <c r="H239" i="7"/>
  <c r="I239" i="7"/>
  <c r="J239" i="7"/>
  <c r="K239" i="7"/>
  <c r="L239" i="7"/>
  <c r="M239" i="7"/>
  <c r="N239" i="7"/>
  <c r="O239" i="7"/>
  <c r="P239" i="7"/>
  <c r="Q239" i="7"/>
  <c r="R239" i="7"/>
  <c r="S239" i="7"/>
  <c r="T239" i="7"/>
  <c r="U239" i="7"/>
  <c r="V239" i="7"/>
  <c r="W239" i="7"/>
  <c r="X239" i="7"/>
  <c r="Y239" i="7"/>
  <c r="Z239" i="7"/>
  <c r="AA239" i="7"/>
  <c r="AB239" i="7"/>
  <c r="AC239" i="7"/>
  <c r="AD239" i="7"/>
  <c r="AE239" i="7"/>
  <c r="AF239" i="7"/>
  <c r="AG239" i="7"/>
  <c r="AH239" i="7"/>
  <c r="AI239" i="7"/>
  <c r="AJ239" i="7"/>
  <c r="AK239" i="7"/>
  <c r="AL239" i="7"/>
  <c r="AM239" i="7"/>
  <c r="AN239" i="7"/>
  <c r="AO239" i="7"/>
  <c r="AP239" i="7"/>
  <c r="AQ239" i="7"/>
  <c r="AR239" i="7"/>
  <c r="AS239" i="7"/>
  <c r="AT239" i="7"/>
  <c r="AU239" i="7"/>
  <c r="AV239" i="7"/>
  <c r="AW239" i="7"/>
  <c r="AX239" i="7"/>
  <c r="AY239" i="7"/>
  <c r="AZ239" i="7"/>
  <c r="BA239" i="7"/>
  <c r="BB239" i="7"/>
  <c r="BC239" i="7"/>
  <c r="BD239" i="7"/>
  <c r="BE239" i="7"/>
  <c r="BF239" i="7"/>
  <c r="BG239" i="7"/>
  <c r="BH239" i="7"/>
  <c r="BI239" i="7"/>
  <c r="BJ239" i="7"/>
  <c r="BK239" i="7"/>
  <c r="BL239" i="7"/>
  <c r="BM239" i="7"/>
  <c r="BN239" i="7"/>
  <c r="BO239" i="7"/>
  <c r="BP239" i="7"/>
  <c r="BQ239" i="7"/>
  <c r="BR239" i="7"/>
  <c r="BS239" i="7"/>
  <c r="BT239" i="7"/>
  <c r="BU239" i="7"/>
  <c r="BV239" i="7"/>
  <c r="BW239" i="7"/>
  <c r="BX239" i="7"/>
  <c r="BY239" i="7"/>
  <c r="BZ239" i="7"/>
  <c r="CA239" i="7"/>
  <c r="CB239" i="7"/>
  <c r="CC239" i="7"/>
  <c r="CD239" i="7"/>
  <c r="CE239" i="7"/>
  <c r="CF239" i="7"/>
  <c r="CG239" i="7"/>
  <c r="CH239" i="7"/>
  <c r="CI239" i="7"/>
  <c r="CJ239" i="7"/>
  <c r="CK239" i="7"/>
  <c r="CL239" i="7"/>
  <c r="CM239" i="7"/>
  <c r="CN239" i="7"/>
  <c r="CO239" i="7"/>
  <c r="CP239" i="7"/>
  <c r="CQ239" i="7"/>
  <c r="CR239" i="7"/>
  <c r="CS239" i="7"/>
  <c r="CT239" i="7"/>
  <c r="CU239" i="7"/>
  <c r="CV239" i="7"/>
  <c r="CW239" i="7"/>
  <c r="CX239" i="7"/>
  <c r="CY239" i="7"/>
  <c r="CZ239" i="7"/>
  <c r="DA239" i="7"/>
  <c r="DB239" i="7"/>
  <c r="DC239" i="7"/>
  <c r="DD239" i="7"/>
  <c r="DE239" i="7"/>
  <c r="DF239" i="7"/>
  <c r="DG239" i="7"/>
  <c r="DH239" i="7"/>
  <c r="DI239" i="7"/>
  <c r="DJ239" i="7"/>
  <c r="DK239" i="7"/>
  <c r="DL239" i="7"/>
  <c r="DM239" i="7"/>
  <c r="DN239" i="7"/>
  <c r="DO239" i="7"/>
  <c r="DP239" i="7"/>
  <c r="DQ239" i="7"/>
  <c r="DR239" i="7"/>
  <c r="DS239" i="7"/>
  <c r="DT239" i="7"/>
  <c r="DU239" i="7"/>
  <c r="DV239" i="7"/>
  <c r="DW239" i="7"/>
  <c r="DX239" i="7"/>
  <c r="DY239" i="7"/>
  <c r="DZ239" i="7"/>
  <c r="EA239" i="7"/>
  <c r="EB239" i="7"/>
  <c r="EC239" i="7"/>
  <c r="ED239" i="7"/>
  <c r="EE239" i="7"/>
  <c r="EF239" i="7"/>
  <c r="EG239" i="7"/>
  <c r="EH239" i="7"/>
  <c r="EI239" i="7"/>
  <c r="EJ239" i="7"/>
  <c r="EK239" i="7"/>
  <c r="EL239" i="7"/>
  <c r="EM239" i="7"/>
  <c r="EN239" i="7"/>
  <c r="EO239" i="7"/>
  <c r="EP239" i="7"/>
  <c r="EQ239" i="7"/>
  <c r="ER239" i="7"/>
  <c r="ES239" i="7"/>
  <c r="ET239" i="7"/>
  <c r="EU239" i="7"/>
  <c r="EV239" i="7"/>
  <c r="EW239" i="7"/>
  <c r="EX239" i="7"/>
  <c r="EY239" i="7"/>
  <c r="EZ239" i="7"/>
  <c r="FA239" i="7"/>
  <c r="FB239" i="7"/>
  <c r="FC239" i="7"/>
  <c r="FD239" i="7"/>
  <c r="FE239" i="7"/>
  <c r="FF239" i="7"/>
  <c r="FG239" i="7"/>
  <c r="FH239" i="7"/>
  <c r="FI239" i="7"/>
  <c r="FJ239" i="7"/>
  <c r="FK239" i="7"/>
  <c r="FL239" i="7"/>
  <c r="FM239" i="7"/>
  <c r="FN239" i="7"/>
  <c r="FO239" i="7"/>
  <c r="FP239" i="7"/>
  <c r="FQ239" i="7"/>
  <c r="FR239" i="7"/>
  <c r="FS239" i="7"/>
  <c r="FT239" i="7"/>
  <c r="FU239" i="7"/>
  <c r="FV239" i="7"/>
  <c r="FW239" i="7"/>
  <c r="FX239" i="7"/>
  <c r="FY239" i="7"/>
  <c r="FZ239" i="7"/>
  <c r="GA239" i="7"/>
  <c r="GB239" i="7"/>
  <c r="GC239" i="7"/>
  <c r="GD239" i="7"/>
  <c r="GE239" i="7"/>
  <c r="GF239" i="7"/>
  <c r="GG239" i="7"/>
  <c r="GH239" i="7"/>
  <c r="GI239" i="7"/>
  <c r="GJ239" i="7"/>
  <c r="GK239" i="7"/>
  <c r="GL239" i="7"/>
  <c r="GM239" i="7"/>
  <c r="GN239" i="7"/>
  <c r="GO239" i="7"/>
  <c r="GP239" i="7"/>
  <c r="GQ239" i="7"/>
  <c r="GR239" i="7"/>
  <c r="GS239" i="7"/>
  <c r="GT239" i="7"/>
  <c r="GU239" i="7"/>
  <c r="GV239" i="7"/>
  <c r="GW239" i="7"/>
  <c r="GX239" i="7"/>
  <c r="GY239" i="7"/>
  <c r="GZ239" i="7"/>
  <c r="HA239" i="7"/>
  <c r="HB239" i="7"/>
  <c r="HC239" i="7"/>
  <c r="HD239" i="7"/>
  <c r="HE239" i="7"/>
  <c r="HF239" i="7"/>
  <c r="HG239" i="7"/>
  <c r="HH239" i="7"/>
  <c r="HI239" i="7"/>
  <c r="HJ239" i="7"/>
  <c r="HK239" i="7"/>
  <c r="HL239" i="7"/>
  <c r="HM239" i="7"/>
  <c r="HN239" i="7"/>
  <c r="HO239" i="7"/>
  <c r="HP239" i="7"/>
  <c r="HQ239" i="7"/>
  <c r="HR239" i="7"/>
  <c r="HS239" i="7"/>
  <c r="HT239" i="7"/>
  <c r="HU239" i="7"/>
  <c r="HV239" i="7"/>
  <c r="HW239" i="7"/>
  <c r="HX239" i="7"/>
  <c r="HY239" i="7"/>
  <c r="HZ239" i="7"/>
  <c r="IA239" i="7"/>
  <c r="IB239" i="7"/>
  <c r="IC239" i="7"/>
  <c r="ID239" i="7"/>
  <c r="IE239" i="7"/>
  <c r="IF239" i="7"/>
  <c r="IG239" i="7"/>
  <c r="IH239" i="7"/>
  <c r="II239" i="7"/>
  <c r="IJ239" i="7"/>
  <c r="IK239" i="7"/>
  <c r="IL239" i="7"/>
  <c r="IM239" i="7"/>
  <c r="IN239" i="7"/>
  <c r="IO239" i="7"/>
  <c r="IP239" i="7"/>
  <c r="IQ239" i="7"/>
  <c r="IR239" i="7"/>
  <c r="IS239" i="7"/>
  <c r="IT239" i="7"/>
  <c r="IU239" i="7"/>
  <c r="IV239" i="7"/>
  <c r="A238" i="7"/>
  <c r="B238" i="7"/>
  <c r="C238" i="7"/>
  <c r="D238" i="7"/>
  <c r="E238" i="7"/>
  <c r="F238" i="7"/>
  <c r="G238" i="7"/>
  <c r="H238" i="7"/>
  <c r="I238" i="7"/>
  <c r="J238" i="7"/>
  <c r="K238" i="7"/>
  <c r="L238" i="7"/>
  <c r="M238" i="7"/>
  <c r="N238" i="7"/>
  <c r="O238" i="7"/>
  <c r="P238" i="7"/>
  <c r="Q238" i="7"/>
  <c r="R238" i="7"/>
  <c r="S238" i="7"/>
  <c r="T238" i="7"/>
  <c r="U238" i="7"/>
  <c r="V238" i="7"/>
  <c r="W238" i="7"/>
  <c r="X238" i="7"/>
  <c r="Y238" i="7"/>
  <c r="Z238" i="7"/>
  <c r="AA238" i="7"/>
  <c r="AB238" i="7"/>
  <c r="AC238" i="7"/>
  <c r="AD238" i="7"/>
  <c r="AE238" i="7"/>
  <c r="AF238" i="7"/>
  <c r="AG238" i="7"/>
  <c r="AH238" i="7"/>
  <c r="AI238" i="7"/>
  <c r="AJ238" i="7"/>
  <c r="AK238" i="7"/>
  <c r="AL238" i="7"/>
  <c r="AM238" i="7"/>
  <c r="AN238" i="7"/>
  <c r="AO238" i="7"/>
  <c r="AP238" i="7"/>
  <c r="AQ238" i="7"/>
  <c r="AR238" i="7"/>
  <c r="AS238" i="7"/>
  <c r="AT238" i="7"/>
  <c r="AU238" i="7"/>
  <c r="AV238" i="7"/>
  <c r="AW238" i="7"/>
  <c r="AX238" i="7"/>
  <c r="AY238" i="7"/>
  <c r="AZ238" i="7"/>
  <c r="BA238" i="7"/>
  <c r="BB238" i="7"/>
  <c r="BC238" i="7"/>
  <c r="BD238" i="7"/>
  <c r="BE238" i="7"/>
  <c r="BF238" i="7"/>
  <c r="BG238" i="7"/>
  <c r="BH238" i="7"/>
  <c r="BI238" i="7"/>
  <c r="BJ238" i="7"/>
  <c r="BK238" i="7"/>
  <c r="BL238" i="7"/>
  <c r="BM238" i="7"/>
  <c r="BN238" i="7"/>
  <c r="BO238" i="7"/>
  <c r="BP238" i="7"/>
  <c r="BQ238" i="7"/>
  <c r="BR238" i="7"/>
  <c r="BS238" i="7"/>
  <c r="BT238" i="7"/>
  <c r="BU238" i="7"/>
  <c r="BV238" i="7"/>
  <c r="BW238" i="7"/>
  <c r="BX238" i="7"/>
  <c r="BY238" i="7"/>
  <c r="BZ238" i="7"/>
  <c r="CA238" i="7"/>
  <c r="CB238" i="7"/>
  <c r="CC238" i="7"/>
  <c r="CD238" i="7"/>
  <c r="CE238" i="7"/>
  <c r="CF238" i="7"/>
  <c r="CG238" i="7"/>
  <c r="CH238" i="7"/>
  <c r="CI238" i="7"/>
  <c r="CJ238" i="7"/>
  <c r="CK238" i="7"/>
  <c r="CL238" i="7"/>
  <c r="CM238" i="7"/>
  <c r="CN238" i="7"/>
  <c r="CO238" i="7"/>
  <c r="CP238" i="7"/>
  <c r="CQ238" i="7"/>
  <c r="CR238" i="7"/>
  <c r="CS238" i="7"/>
  <c r="CT238" i="7"/>
  <c r="CU238" i="7"/>
  <c r="CV238" i="7"/>
  <c r="CW238" i="7"/>
  <c r="CX238" i="7"/>
  <c r="CY238" i="7"/>
  <c r="CZ238" i="7"/>
  <c r="DA238" i="7"/>
  <c r="DB238" i="7"/>
  <c r="DC238" i="7"/>
  <c r="DD238" i="7"/>
  <c r="DE238" i="7"/>
  <c r="DF238" i="7"/>
  <c r="DG238" i="7"/>
  <c r="DH238" i="7"/>
  <c r="DI238" i="7"/>
  <c r="DJ238" i="7"/>
  <c r="DK238" i="7"/>
  <c r="DL238" i="7"/>
  <c r="DM238" i="7"/>
  <c r="DN238" i="7"/>
  <c r="DO238" i="7"/>
  <c r="DP238" i="7"/>
  <c r="DQ238" i="7"/>
  <c r="DR238" i="7"/>
  <c r="DS238" i="7"/>
  <c r="DT238" i="7"/>
  <c r="DU238" i="7"/>
  <c r="DV238" i="7"/>
  <c r="DW238" i="7"/>
  <c r="DX238" i="7"/>
  <c r="DY238" i="7"/>
  <c r="DZ238" i="7"/>
  <c r="EA238" i="7"/>
  <c r="EB238" i="7"/>
  <c r="EC238" i="7"/>
  <c r="ED238" i="7"/>
  <c r="EE238" i="7"/>
  <c r="EF238" i="7"/>
  <c r="EG238" i="7"/>
  <c r="EH238" i="7"/>
  <c r="EI238" i="7"/>
  <c r="EJ238" i="7"/>
  <c r="EK238" i="7"/>
  <c r="EL238" i="7"/>
  <c r="EM238" i="7"/>
  <c r="EN238" i="7"/>
  <c r="EO238" i="7"/>
  <c r="EP238" i="7"/>
  <c r="EQ238" i="7"/>
  <c r="ER238" i="7"/>
  <c r="ES238" i="7"/>
  <c r="ET238" i="7"/>
  <c r="EU238" i="7"/>
  <c r="EV238" i="7"/>
  <c r="EW238" i="7"/>
  <c r="EX238" i="7"/>
  <c r="EY238" i="7"/>
  <c r="EZ238" i="7"/>
  <c r="FA238" i="7"/>
  <c r="FB238" i="7"/>
  <c r="FC238" i="7"/>
  <c r="FD238" i="7"/>
  <c r="FE238" i="7"/>
  <c r="FF238" i="7"/>
  <c r="FG238" i="7"/>
  <c r="FH238" i="7"/>
  <c r="FI238" i="7"/>
  <c r="FJ238" i="7"/>
  <c r="FK238" i="7"/>
  <c r="FL238" i="7"/>
  <c r="FM238" i="7"/>
  <c r="FN238" i="7"/>
  <c r="FO238" i="7"/>
  <c r="FP238" i="7"/>
  <c r="FQ238" i="7"/>
  <c r="FR238" i="7"/>
  <c r="FS238" i="7"/>
  <c r="FT238" i="7"/>
  <c r="FU238" i="7"/>
  <c r="FV238" i="7"/>
  <c r="FW238" i="7"/>
  <c r="FX238" i="7"/>
  <c r="FY238" i="7"/>
  <c r="FZ238" i="7"/>
  <c r="GA238" i="7"/>
  <c r="GB238" i="7"/>
  <c r="GC238" i="7"/>
  <c r="GD238" i="7"/>
  <c r="GE238" i="7"/>
  <c r="GF238" i="7"/>
  <c r="GG238" i="7"/>
  <c r="GH238" i="7"/>
  <c r="GI238" i="7"/>
  <c r="GJ238" i="7"/>
  <c r="GK238" i="7"/>
  <c r="GL238" i="7"/>
  <c r="GM238" i="7"/>
  <c r="GN238" i="7"/>
  <c r="GO238" i="7"/>
  <c r="GP238" i="7"/>
  <c r="GQ238" i="7"/>
  <c r="GR238" i="7"/>
  <c r="GS238" i="7"/>
  <c r="GT238" i="7"/>
  <c r="GU238" i="7"/>
  <c r="GV238" i="7"/>
  <c r="GW238" i="7"/>
  <c r="GX238" i="7"/>
  <c r="GY238" i="7"/>
  <c r="GZ238" i="7"/>
  <c r="HA238" i="7"/>
  <c r="HB238" i="7"/>
  <c r="HC238" i="7"/>
  <c r="HD238" i="7"/>
  <c r="HE238" i="7"/>
  <c r="HF238" i="7"/>
  <c r="HG238" i="7"/>
  <c r="HH238" i="7"/>
  <c r="HI238" i="7"/>
  <c r="HJ238" i="7"/>
  <c r="HK238" i="7"/>
  <c r="HL238" i="7"/>
  <c r="HM238" i="7"/>
  <c r="HN238" i="7"/>
  <c r="HO238" i="7"/>
  <c r="HP238" i="7"/>
  <c r="HQ238" i="7"/>
  <c r="HR238" i="7"/>
  <c r="HS238" i="7"/>
  <c r="HT238" i="7"/>
  <c r="HU238" i="7"/>
  <c r="HV238" i="7"/>
  <c r="HW238" i="7"/>
  <c r="HX238" i="7"/>
  <c r="HY238" i="7"/>
  <c r="HZ238" i="7"/>
  <c r="IA238" i="7"/>
  <c r="IB238" i="7"/>
  <c r="IC238" i="7"/>
  <c r="ID238" i="7"/>
  <c r="IE238" i="7"/>
  <c r="IF238" i="7"/>
  <c r="IG238" i="7"/>
  <c r="IH238" i="7"/>
  <c r="II238" i="7"/>
  <c r="IJ238" i="7"/>
  <c r="IK238" i="7"/>
  <c r="IL238" i="7"/>
  <c r="IM238" i="7"/>
  <c r="IN238" i="7"/>
  <c r="IO238" i="7"/>
  <c r="IP238" i="7"/>
  <c r="IQ238" i="7"/>
  <c r="IR238" i="7"/>
  <c r="IS238" i="7"/>
  <c r="IT238" i="7"/>
  <c r="IU238" i="7"/>
  <c r="IV238" i="7"/>
  <c r="A237" i="7"/>
  <c r="B237" i="7"/>
  <c r="C237" i="7"/>
  <c r="D237" i="7"/>
  <c r="E237" i="7"/>
  <c r="F237" i="7"/>
  <c r="G237" i="7"/>
  <c r="H237" i="7"/>
  <c r="I237" i="7"/>
  <c r="J237" i="7"/>
  <c r="K237" i="7"/>
  <c r="L237" i="7"/>
  <c r="M237" i="7"/>
  <c r="N237" i="7"/>
  <c r="O237" i="7"/>
  <c r="P237" i="7"/>
  <c r="Q237" i="7"/>
  <c r="R237" i="7"/>
  <c r="S237" i="7"/>
  <c r="T237" i="7"/>
  <c r="U237" i="7"/>
  <c r="V237" i="7"/>
  <c r="W237" i="7"/>
  <c r="X237" i="7"/>
  <c r="Y237" i="7"/>
  <c r="Z237" i="7"/>
  <c r="AA237" i="7"/>
  <c r="AB237" i="7"/>
  <c r="AC237" i="7"/>
  <c r="AD237" i="7"/>
  <c r="AE237" i="7"/>
  <c r="AF237" i="7"/>
  <c r="AG237" i="7"/>
  <c r="AH237" i="7"/>
  <c r="AI237" i="7"/>
  <c r="AJ237" i="7"/>
  <c r="AK237" i="7"/>
  <c r="AL237" i="7"/>
  <c r="AM237" i="7"/>
  <c r="AN237" i="7"/>
  <c r="AO237" i="7"/>
  <c r="AP237" i="7"/>
  <c r="AQ237" i="7"/>
  <c r="AR237" i="7"/>
  <c r="AS237" i="7"/>
  <c r="AT237" i="7"/>
  <c r="AU237" i="7"/>
  <c r="AV237" i="7"/>
  <c r="AW237" i="7"/>
  <c r="AX237" i="7"/>
  <c r="AY237" i="7"/>
  <c r="AZ237" i="7"/>
  <c r="BA237" i="7"/>
  <c r="BB237" i="7"/>
  <c r="BC237" i="7"/>
  <c r="BD237" i="7"/>
  <c r="BE237" i="7"/>
  <c r="BF237" i="7"/>
  <c r="BG237" i="7"/>
  <c r="BH237" i="7"/>
  <c r="BI237" i="7"/>
  <c r="BJ237" i="7"/>
  <c r="BK237" i="7"/>
  <c r="BL237" i="7"/>
  <c r="BM237" i="7"/>
  <c r="BN237" i="7"/>
  <c r="BO237" i="7"/>
  <c r="BP237" i="7"/>
  <c r="BQ237" i="7"/>
  <c r="BR237" i="7"/>
  <c r="BS237" i="7"/>
  <c r="BT237" i="7"/>
  <c r="BU237" i="7"/>
  <c r="BV237" i="7"/>
  <c r="BW237" i="7"/>
  <c r="BX237" i="7"/>
  <c r="BY237" i="7"/>
  <c r="BZ237" i="7"/>
  <c r="CA237" i="7"/>
  <c r="CB237" i="7"/>
  <c r="CC237" i="7"/>
  <c r="CD237" i="7"/>
  <c r="CE237" i="7"/>
  <c r="CF237" i="7"/>
  <c r="CG237" i="7"/>
  <c r="CH237" i="7"/>
  <c r="CI237" i="7"/>
  <c r="CJ237" i="7"/>
  <c r="CK237" i="7"/>
  <c r="CL237" i="7"/>
  <c r="CM237" i="7"/>
  <c r="CN237" i="7"/>
  <c r="CO237" i="7"/>
  <c r="CP237" i="7"/>
  <c r="CQ237" i="7"/>
  <c r="CR237" i="7"/>
  <c r="CS237" i="7"/>
  <c r="CT237" i="7"/>
  <c r="CU237" i="7"/>
  <c r="CV237" i="7"/>
  <c r="CW237" i="7"/>
  <c r="CX237" i="7"/>
  <c r="CY237" i="7"/>
  <c r="CZ237" i="7"/>
  <c r="DA237" i="7"/>
  <c r="DB237" i="7"/>
  <c r="DC237" i="7"/>
  <c r="DD237" i="7"/>
  <c r="DE237" i="7"/>
  <c r="DF237" i="7"/>
  <c r="DG237" i="7"/>
  <c r="DH237" i="7"/>
  <c r="DI237" i="7"/>
  <c r="DJ237" i="7"/>
  <c r="DK237" i="7"/>
  <c r="DL237" i="7"/>
  <c r="DM237" i="7"/>
  <c r="DN237" i="7"/>
  <c r="DO237" i="7"/>
  <c r="DP237" i="7"/>
  <c r="DQ237" i="7"/>
  <c r="DR237" i="7"/>
  <c r="DS237" i="7"/>
  <c r="DT237" i="7"/>
  <c r="DU237" i="7"/>
  <c r="DV237" i="7"/>
  <c r="DW237" i="7"/>
  <c r="DX237" i="7"/>
  <c r="DY237" i="7"/>
  <c r="DZ237" i="7"/>
  <c r="EA237" i="7"/>
  <c r="EB237" i="7"/>
  <c r="EC237" i="7"/>
  <c r="ED237" i="7"/>
  <c r="EE237" i="7"/>
  <c r="EF237" i="7"/>
  <c r="EG237" i="7"/>
  <c r="EH237" i="7"/>
  <c r="EI237" i="7"/>
  <c r="EJ237" i="7"/>
  <c r="EK237" i="7"/>
  <c r="EL237" i="7"/>
  <c r="EM237" i="7"/>
  <c r="EN237" i="7"/>
  <c r="EO237" i="7"/>
  <c r="EP237" i="7"/>
  <c r="EQ237" i="7"/>
  <c r="ER237" i="7"/>
  <c r="ES237" i="7"/>
  <c r="ET237" i="7"/>
  <c r="EU237" i="7"/>
  <c r="EV237" i="7"/>
  <c r="EW237" i="7"/>
  <c r="EX237" i="7"/>
  <c r="EY237" i="7"/>
  <c r="EZ237" i="7"/>
  <c r="FA237" i="7"/>
  <c r="FB237" i="7"/>
  <c r="FC237" i="7"/>
  <c r="FD237" i="7"/>
  <c r="FE237" i="7"/>
  <c r="FF237" i="7"/>
  <c r="FG237" i="7"/>
  <c r="FH237" i="7"/>
  <c r="FI237" i="7"/>
  <c r="FJ237" i="7"/>
  <c r="FK237" i="7"/>
  <c r="FL237" i="7"/>
  <c r="FM237" i="7"/>
  <c r="FN237" i="7"/>
  <c r="FO237" i="7"/>
  <c r="FP237" i="7"/>
  <c r="FQ237" i="7"/>
  <c r="FR237" i="7"/>
  <c r="FS237" i="7"/>
  <c r="FT237" i="7"/>
  <c r="FU237" i="7"/>
  <c r="FV237" i="7"/>
  <c r="FW237" i="7"/>
  <c r="FX237" i="7"/>
  <c r="FY237" i="7"/>
  <c r="FZ237" i="7"/>
  <c r="GA237" i="7"/>
  <c r="GB237" i="7"/>
  <c r="GC237" i="7"/>
  <c r="GD237" i="7"/>
  <c r="GE237" i="7"/>
  <c r="GF237" i="7"/>
  <c r="GG237" i="7"/>
  <c r="GH237" i="7"/>
  <c r="GI237" i="7"/>
  <c r="GJ237" i="7"/>
  <c r="GK237" i="7"/>
  <c r="GL237" i="7"/>
  <c r="GM237" i="7"/>
  <c r="GN237" i="7"/>
  <c r="GO237" i="7"/>
  <c r="GP237" i="7"/>
  <c r="GQ237" i="7"/>
  <c r="GR237" i="7"/>
  <c r="GS237" i="7"/>
  <c r="GT237" i="7"/>
  <c r="GU237" i="7"/>
  <c r="GV237" i="7"/>
  <c r="GW237" i="7"/>
  <c r="GX237" i="7"/>
  <c r="GY237" i="7"/>
  <c r="GZ237" i="7"/>
  <c r="HA237" i="7"/>
  <c r="HB237" i="7"/>
  <c r="HC237" i="7"/>
  <c r="HD237" i="7"/>
  <c r="HE237" i="7"/>
  <c r="HF237" i="7"/>
  <c r="HG237" i="7"/>
  <c r="HH237" i="7"/>
  <c r="HI237" i="7"/>
  <c r="HJ237" i="7"/>
  <c r="HK237" i="7"/>
  <c r="HL237" i="7"/>
  <c r="HM237" i="7"/>
  <c r="HN237" i="7"/>
  <c r="HO237" i="7"/>
  <c r="HP237" i="7"/>
  <c r="HQ237" i="7"/>
  <c r="HR237" i="7"/>
  <c r="HS237" i="7"/>
  <c r="HT237" i="7"/>
  <c r="HU237" i="7"/>
  <c r="HV237" i="7"/>
  <c r="HW237" i="7"/>
  <c r="HX237" i="7"/>
  <c r="HY237" i="7"/>
  <c r="HZ237" i="7"/>
  <c r="IA237" i="7"/>
  <c r="IB237" i="7"/>
  <c r="IC237" i="7"/>
  <c r="ID237" i="7"/>
  <c r="IE237" i="7"/>
  <c r="IF237" i="7"/>
  <c r="IG237" i="7"/>
  <c r="IH237" i="7"/>
  <c r="II237" i="7"/>
  <c r="IJ237" i="7"/>
  <c r="IK237" i="7"/>
  <c r="IL237" i="7"/>
  <c r="IM237" i="7"/>
  <c r="IN237" i="7"/>
  <c r="IO237" i="7"/>
  <c r="IP237" i="7"/>
  <c r="IQ237" i="7"/>
  <c r="IR237" i="7"/>
  <c r="IS237" i="7"/>
  <c r="IT237" i="7"/>
  <c r="IU237" i="7"/>
  <c r="IV237" i="7"/>
  <c r="A236" i="7"/>
  <c r="B236" i="7"/>
  <c r="C236" i="7"/>
  <c r="D236" i="7"/>
  <c r="E236" i="7"/>
  <c r="F236" i="7"/>
  <c r="G236" i="7"/>
  <c r="H236" i="7"/>
  <c r="I236" i="7"/>
  <c r="J236" i="7"/>
  <c r="K236" i="7"/>
  <c r="L236" i="7"/>
  <c r="M236" i="7"/>
  <c r="N236" i="7"/>
  <c r="O236" i="7"/>
  <c r="P236" i="7"/>
  <c r="Q236" i="7"/>
  <c r="R236" i="7"/>
  <c r="S236" i="7"/>
  <c r="T236" i="7"/>
  <c r="U236" i="7"/>
  <c r="V236" i="7"/>
  <c r="W236" i="7"/>
  <c r="X236" i="7"/>
  <c r="Y236" i="7"/>
  <c r="Z236" i="7"/>
  <c r="AA236" i="7"/>
  <c r="AB236" i="7"/>
  <c r="AC236" i="7"/>
  <c r="AD236" i="7"/>
  <c r="AE236" i="7"/>
  <c r="AF236" i="7"/>
  <c r="AG236" i="7"/>
  <c r="AH236" i="7"/>
  <c r="AI236" i="7"/>
  <c r="AJ236" i="7"/>
  <c r="AK236" i="7"/>
  <c r="AL236" i="7"/>
  <c r="AM236" i="7"/>
  <c r="AN236" i="7"/>
  <c r="AO236" i="7"/>
  <c r="AP236" i="7"/>
  <c r="AQ236" i="7"/>
  <c r="AR236" i="7"/>
  <c r="AS236" i="7"/>
  <c r="AT236" i="7"/>
  <c r="AU236" i="7"/>
  <c r="AV236" i="7"/>
  <c r="AW236" i="7"/>
  <c r="AX236" i="7"/>
  <c r="AY236" i="7"/>
  <c r="AZ236" i="7"/>
  <c r="BA236" i="7"/>
  <c r="BB236" i="7"/>
  <c r="BC236" i="7"/>
  <c r="BD236" i="7"/>
  <c r="BE236" i="7"/>
  <c r="BF236" i="7"/>
  <c r="BG236" i="7"/>
  <c r="BH236" i="7"/>
  <c r="BI236" i="7"/>
  <c r="BJ236" i="7"/>
  <c r="BK236" i="7"/>
  <c r="BL236" i="7"/>
  <c r="BM236" i="7"/>
  <c r="BN236" i="7"/>
  <c r="BO236" i="7"/>
  <c r="BP236" i="7"/>
  <c r="BQ236" i="7"/>
  <c r="BR236" i="7"/>
  <c r="BS236" i="7"/>
  <c r="BT236" i="7"/>
  <c r="BU236" i="7"/>
  <c r="BV236" i="7"/>
  <c r="BW236" i="7"/>
  <c r="BX236" i="7"/>
  <c r="BY236" i="7"/>
  <c r="BZ236" i="7"/>
  <c r="CA236" i="7"/>
  <c r="CB236" i="7"/>
  <c r="CC236" i="7"/>
  <c r="CD236" i="7"/>
  <c r="CE236" i="7"/>
  <c r="CF236" i="7"/>
  <c r="CG236" i="7"/>
  <c r="CH236" i="7"/>
  <c r="CI236" i="7"/>
  <c r="CJ236" i="7"/>
  <c r="CK236" i="7"/>
  <c r="CL236" i="7"/>
  <c r="CM236" i="7"/>
  <c r="CN236" i="7"/>
  <c r="CO236" i="7"/>
  <c r="CP236" i="7"/>
  <c r="CQ236" i="7"/>
  <c r="CR236" i="7"/>
  <c r="CS236" i="7"/>
  <c r="CT236" i="7"/>
  <c r="CU236" i="7"/>
  <c r="CV236" i="7"/>
  <c r="CW236" i="7"/>
  <c r="CX236" i="7"/>
  <c r="CY236" i="7"/>
  <c r="CZ236" i="7"/>
  <c r="DA236" i="7"/>
  <c r="DB236" i="7"/>
  <c r="DC236" i="7"/>
  <c r="DD236" i="7"/>
  <c r="DE236" i="7"/>
  <c r="DF236" i="7"/>
  <c r="DG236" i="7"/>
  <c r="DH236" i="7"/>
  <c r="DI236" i="7"/>
  <c r="DJ236" i="7"/>
  <c r="DK236" i="7"/>
  <c r="DL236" i="7"/>
  <c r="DM236" i="7"/>
  <c r="DN236" i="7"/>
  <c r="DO236" i="7"/>
  <c r="DP236" i="7"/>
  <c r="DQ236" i="7"/>
  <c r="DR236" i="7"/>
  <c r="DS236" i="7"/>
  <c r="DT236" i="7"/>
  <c r="DU236" i="7"/>
  <c r="DV236" i="7"/>
  <c r="DW236" i="7"/>
  <c r="DX236" i="7"/>
  <c r="DY236" i="7"/>
  <c r="DZ236" i="7"/>
  <c r="EA236" i="7"/>
  <c r="EB236" i="7"/>
  <c r="EC236" i="7"/>
  <c r="ED236" i="7"/>
  <c r="EE236" i="7"/>
  <c r="EF236" i="7"/>
  <c r="EG236" i="7"/>
  <c r="EH236" i="7"/>
  <c r="EI236" i="7"/>
  <c r="EJ236" i="7"/>
  <c r="EK236" i="7"/>
  <c r="EL236" i="7"/>
  <c r="EM236" i="7"/>
  <c r="EN236" i="7"/>
  <c r="EO236" i="7"/>
  <c r="EP236" i="7"/>
  <c r="EQ236" i="7"/>
  <c r="ER236" i="7"/>
  <c r="ES236" i="7"/>
  <c r="ET236" i="7"/>
  <c r="EU236" i="7"/>
  <c r="EV236" i="7"/>
  <c r="EW236" i="7"/>
  <c r="EX236" i="7"/>
  <c r="EY236" i="7"/>
  <c r="EZ236" i="7"/>
  <c r="FA236" i="7"/>
  <c r="FB236" i="7"/>
  <c r="FC236" i="7"/>
  <c r="FD236" i="7"/>
  <c r="FE236" i="7"/>
  <c r="FF236" i="7"/>
  <c r="FG236" i="7"/>
  <c r="FH236" i="7"/>
  <c r="FI236" i="7"/>
  <c r="FJ236" i="7"/>
  <c r="FK236" i="7"/>
  <c r="FL236" i="7"/>
  <c r="FM236" i="7"/>
  <c r="FN236" i="7"/>
  <c r="FO236" i="7"/>
  <c r="FP236" i="7"/>
  <c r="FQ236" i="7"/>
  <c r="FR236" i="7"/>
  <c r="FS236" i="7"/>
  <c r="FT236" i="7"/>
  <c r="FU236" i="7"/>
  <c r="FV236" i="7"/>
  <c r="FW236" i="7"/>
  <c r="FX236" i="7"/>
  <c r="FY236" i="7"/>
  <c r="FZ236" i="7"/>
  <c r="GA236" i="7"/>
  <c r="GB236" i="7"/>
  <c r="GC236" i="7"/>
  <c r="GD236" i="7"/>
  <c r="GE236" i="7"/>
  <c r="GF236" i="7"/>
  <c r="GG236" i="7"/>
  <c r="GH236" i="7"/>
  <c r="GI236" i="7"/>
  <c r="GJ236" i="7"/>
  <c r="GK236" i="7"/>
  <c r="GL236" i="7"/>
  <c r="GM236" i="7"/>
  <c r="GN236" i="7"/>
  <c r="GO236" i="7"/>
  <c r="GP236" i="7"/>
  <c r="GQ236" i="7"/>
  <c r="GR236" i="7"/>
  <c r="GS236" i="7"/>
  <c r="GT236" i="7"/>
  <c r="GU236" i="7"/>
  <c r="GV236" i="7"/>
  <c r="GW236" i="7"/>
  <c r="GX236" i="7"/>
  <c r="GY236" i="7"/>
  <c r="GZ236" i="7"/>
  <c r="HA236" i="7"/>
  <c r="HB236" i="7"/>
  <c r="HC236" i="7"/>
  <c r="HD236" i="7"/>
  <c r="HE236" i="7"/>
  <c r="HF236" i="7"/>
  <c r="HG236" i="7"/>
  <c r="HH236" i="7"/>
  <c r="HI236" i="7"/>
  <c r="HJ236" i="7"/>
  <c r="HK236" i="7"/>
  <c r="HL236" i="7"/>
  <c r="HM236" i="7"/>
  <c r="HN236" i="7"/>
  <c r="HO236" i="7"/>
  <c r="HP236" i="7"/>
  <c r="HQ236" i="7"/>
  <c r="HR236" i="7"/>
  <c r="HS236" i="7"/>
  <c r="HT236" i="7"/>
  <c r="HU236" i="7"/>
  <c r="HV236" i="7"/>
  <c r="HW236" i="7"/>
  <c r="HX236" i="7"/>
  <c r="HY236" i="7"/>
  <c r="HZ236" i="7"/>
  <c r="IA236" i="7"/>
  <c r="IB236" i="7"/>
  <c r="IC236" i="7"/>
  <c r="ID236" i="7"/>
  <c r="IE236" i="7"/>
  <c r="IF236" i="7"/>
  <c r="IG236" i="7"/>
  <c r="IH236" i="7"/>
  <c r="II236" i="7"/>
  <c r="IJ236" i="7"/>
  <c r="IK236" i="7"/>
  <c r="IL236" i="7"/>
  <c r="IM236" i="7"/>
  <c r="IN236" i="7"/>
  <c r="IO236" i="7"/>
  <c r="IP236" i="7"/>
  <c r="IQ236" i="7"/>
  <c r="IR236" i="7"/>
  <c r="IS236" i="7"/>
  <c r="IT236" i="7"/>
  <c r="IU236" i="7"/>
  <c r="IV236" i="7"/>
  <c r="A235" i="7"/>
  <c r="B235" i="7"/>
  <c r="C235"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J235" i="7"/>
  <c r="DK235" i="7"/>
  <c r="DL235" i="7"/>
  <c r="DM235" i="7"/>
  <c r="DN235" i="7"/>
  <c r="DO235" i="7"/>
  <c r="DP235" i="7"/>
  <c r="DQ235" i="7"/>
  <c r="DR235" i="7"/>
  <c r="DS235" i="7"/>
  <c r="DT235" i="7"/>
  <c r="DU235" i="7"/>
  <c r="DV235" i="7"/>
  <c r="DW235" i="7"/>
  <c r="DX235" i="7"/>
  <c r="DY235" i="7"/>
  <c r="DZ235" i="7"/>
  <c r="EA235" i="7"/>
  <c r="EB235" i="7"/>
  <c r="EC235" i="7"/>
  <c r="ED235" i="7"/>
  <c r="EE235" i="7"/>
  <c r="EF235" i="7"/>
  <c r="EG235" i="7"/>
  <c r="EH235" i="7"/>
  <c r="EI235" i="7"/>
  <c r="EJ235" i="7"/>
  <c r="EK235" i="7"/>
  <c r="EL235" i="7"/>
  <c r="EM235" i="7"/>
  <c r="EN235" i="7"/>
  <c r="EO235" i="7"/>
  <c r="EP235" i="7"/>
  <c r="EQ235" i="7"/>
  <c r="ER235" i="7"/>
  <c r="ES235" i="7"/>
  <c r="ET235" i="7"/>
  <c r="EU235" i="7"/>
  <c r="EV235" i="7"/>
  <c r="EW235" i="7"/>
  <c r="EX235" i="7"/>
  <c r="EY235" i="7"/>
  <c r="EZ235" i="7"/>
  <c r="FA235" i="7"/>
  <c r="FB235" i="7"/>
  <c r="FC235" i="7"/>
  <c r="FD235" i="7"/>
  <c r="FE235" i="7"/>
  <c r="FF235" i="7"/>
  <c r="FG235" i="7"/>
  <c r="FH235" i="7"/>
  <c r="FI235" i="7"/>
  <c r="FJ235" i="7"/>
  <c r="FK235" i="7"/>
  <c r="FL235" i="7"/>
  <c r="FM235" i="7"/>
  <c r="FN235" i="7"/>
  <c r="FO235" i="7"/>
  <c r="FP235" i="7"/>
  <c r="FQ235" i="7"/>
  <c r="FR235" i="7"/>
  <c r="FS235" i="7"/>
  <c r="FT235" i="7"/>
  <c r="FU235" i="7"/>
  <c r="FV235" i="7"/>
  <c r="FW235" i="7"/>
  <c r="FX235" i="7"/>
  <c r="FY235" i="7"/>
  <c r="FZ235" i="7"/>
  <c r="GA235" i="7"/>
  <c r="GB235" i="7"/>
  <c r="GC235" i="7"/>
  <c r="GD235" i="7"/>
  <c r="GE235" i="7"/>
  <c r="GF235" i="7"/>
  <c r="GG235" i="7"/>
  <c r="GH235" i="7"/>
  <c r="GI235" i="7"/>
  <c r="GJ235" i="7"/>
  <c r="GK235" i="7"/>
  <c r="GL235" i="7"/>
  <c r="GM235" i="7"/>
  <c r="GN235" i="7"/>
  <c r="GO235" i="7"/>
  <c r="GP235" i="7"/>
  <c r="GQ235" i="7"/>
  <c r="GR235" i="7"/>
  <c r="GS235" i="7"/>
  <c r="GT235" i="7"/>
  <c r="GU235" i="7"/>
  <c r="GV235" i="7"/>
  <c r="GW235" i="7"/>
  <c r="GX235" i="7"/>
  <c r="GY235" i="7"/>
  <c r="GZ235" i="7"/>
  <c r="HA235" i="7"/>
  <c r="HB235" i="7"/>
  <c r="HC235" i="7"/>
  <c r="HD235" i="7"/>
  <c r="HE235" i="7"/>
  <c r="HF235" i="7"/>
  <c r="HG235" i="7"/>
  <c r="HH235" i="7"/>
  <c r="HI235" i="7"/>
  <c r="HJ235" i="7"/>
  <c r="HK235" i="7"/>
  <c r="HL235" i="7"/>
  <c r="HM235" i="7"/>
  <c r="HN235" i="7"/>
  <c r="HO235" i="7"/>
  <c r="HP235" i="7"/>
  <c r="HQ235" i="7"/>
  <c r="HR235" i="7"/>
  <c r="HS235" i="7"/>
  <c r="HT235" i="7"/>
  <c r="HU235" i="7"/>
  <c r="HV235" i="7"/>
  <c r="HW235" i="7"/>
  <c r="HX235" i="7"/>
  <c r="HY235" i="7"/>
  <c r="HZ235" i="7"/>
  <c r="IA235" i="7"/>
  <c r="IB235" i="7"/>
  <c r="IC235" i="7"/>
  <c r="ID235" i="7"/>
  <c r="IE235" i="7"/>
  <c r="IF235" i="7"/>
  <c r="IG235" i="7"/>
  <c r="IH235" i="7"/>
  <c r="II235" i="7"/>
  <c r="IJ235" i="7"/>
  <c r="IK235" i="7"/>
  <c r="IL235" i="7"/>
  <c r="IM235" i="7"/>
  <c r="IN235" i="7"/>
  <c r="IO235" i="7"/>
  <c r="IP235" i="7"/>
  <c r="IQ235" i="7"/>
  <c r="IR235" i="7"/>
  <c r="IS235" i="7"/>
  <c r="IT235" i="7"/>
  <c r="IU235" i="7"/>
  <c r="IV235" i="7"/>
  <c r="A234" i="7"/>
  <c r="B234" i="7"/>
  <c r="C234" i="7"/>
  <c r="D234" i="7"/>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J234" i="7"/>
  <c r="DK234" i="7"/>
  <c r="DL234" i="7"/>
  <c r="DM234" i="7"/>
  <c r="DN234" i="7"/>
  <c r="DO234" i="7"/>
  <c r="DP234" i="7"/>
  <c r="DQ234" i="7"/>
  <c r="DR234" i="7"/>
  <c r="DS234" i="7"/>
  <c r="DT234" i="7"/>
  <c r="DU234" i="7"/>
  <c r="DV234" i="7"/>
  <c r="DW234" i="7"/>
  <c r="DX234" i="7"/>
  <c r="DY234" i="7"/>
  <c r="DZ234" i="7"/>
  <c r="EA234" i="7"/>
  <c r="EB234" i="7"/>
  <c r="EC234" i="7"/>
  <c r="ED234" i="7"/>
  <c r="EE234" i="7"/>
  <c r="EF234" i="7"/>
  <c r="EG234" i="7"/>
  <c r="EH234" i="7"/>
  <c r="EI234" i="7"/>
  <c r="EJ234" i="7"/>
  <c r="EK234" i="7"/>
  <c r="EL234" i="7"/>
  <c r="EM234" i="7"/>
  <c r="EN234" i="7"/>
  <c r="EO234" i="7"/>
  <c r="EP234" i="7"/>
  <c r="EQ234" i="7"/>
  <c r="ER234" i="7"/>
  <c r="ES234" i="7"/>
  <c r="ET234" i="7"/>
  <c r="EU234" i="7"/>
  <c r="EV234" i="7"/>
  <c r="EW234" i="7"/>
  <c r="EX234" i="7"/>
  <c r="EY234" i="7"/>
  <c r="EZ234" i="7"/>
  <c r="FA234" i="7"/>
  <c r="FB234" i="7"/>
  <c r="FC234" i="7"/>
  <c r="FD234" i="7"/>
  <c r="FE234" i="7"/>
  <c r="FF234" i="7"/>
  <c r="FG234" i="7"/>
  <c r="FH234" i="7"/>
  <c r="FI234" i="7"/>
  <c r="FJ234" i="7"/>
  <c r="FK234" i="7"/>
  <c r="FL234" i="7"/>
  <c r="FM234" i="7"/>
  <c r="FN234" i="7"/>
  <c r="FO234" i="7"/>
  <c r="FP234" i="7"/>
  <c r="FQ234" i="7"/>
  <c r="FR234" i="7"/>
  <c r="FS234" i="7"/>
  <c r="FT234" i="7"/>
  <c r="FU234" i="7"/>
  <c r="FV234" i="7"/>
  <c r="FW234" i="7"/>
  <c r="FX234" i="7"/>
  <c r="FY234" i="7"/>
  <c r="FZ234" i="7"/>
  <c r="GA234" i="7"/>
  <c r="GB234" i="7"/>
  <c r="GC234" i="7"/>
  <c r="GD234" i="7"/>
  <c r="GE234" i="7"/>
  <c r="GF234" i="7"/>
  <c r="GG234" i="7"/>
  <c r="GH234" i="7"/>
  <c r="GI234" i="7"/>
  <c r="GJ234" i="7"/>
  <c r="GK234" i="7"/>
  <c r="GL234" i="7"/>
  <c r="GM234" i="7"/>
  <c r="GN234" i="7"/>
  <c r="GO234" i="7"/>
  <c r="GP234" i="7"/>
  <c r="GQ234" i="7"/>
  <c r="GR234" i="7"/>
  <c r="GS234" i="7"/>
  <c r="GT234" i="7"/>
  <c r="GU234" i="7"/>
  <c r="GV234" i="7"/>
  <c r="GW234" i="7"/>
  <c r="GX234" i="7"/>
  <c r="GY234" i="7"/>
  <c r="GZ234" i="7"/>
  <c r="HA234" i="7"/>
  <c r="HB234" i="7"/>
  <c r="HC234" i="7"/>
  <c r="HD234" i="7"/>
  <c r="HE234" i="7"/>
  <c r="HF234" i="7"/>
  <c r="HG234" i="7"/>
  <c r="HH234" i="7"/>
  <c r="HI234" i="7"/>
  <c r="HJ234" i="7"/>
  <c r="HK234" i="7"/>
  <c r="HL234" i="7"/>
  <c r="HM234" i="7"/>
  <c r="HN234" i="7"/>
  <c r="HO234" i="7"/>
  <c r="HP234" i="7"/>
  <c r="HQ234" i="7"/>
  <c r="HR234" i="7"/>
  <c r="HS234" i="7"/>
  <c r="HT234" i="7"/>
  <c r="HU234" i="7"/>
  <c r="HV234" i="7"/>
  <c r="HW234" i="7"/>
  <c r="HX234" i="7"/>
  <c r="HY234" i="7"/>
  <c r="HZ234" i="7"/>
  <c r="IA234" i="7"/>
  <c r="IB234" i="7"/>
  <c r="IC234" i="7"/>
  <c r="ID234" i="7"/>
  <c r="IE234" i="7"/>
  <c r="IF234" i="7"/>
  <c r="IG234" i="7"/>
  <c r="IH234" i="7"/>
  <c r="II234" i="7"/>
  <c r="IJ234" i="7"/>
  <c r="IK234" i="7"/>
  <c r="IL234" i="7"/>
  <c r="IM234" i="7"/>
  <c r="IN234" i="7"/>
  <c r="IO234" i="7"/>
  <c r="IP234" i="7"/>
  <c r="IQ234" i="7"/>
  <c r="IR234" i="7"/>
  <c r="IS234" i="7"/>
  <c r="IT234" i="7"/>
  <c r="IU234" i="7"/>
  <c r="IV234" i="7"/>
  <c r="A233" i="7"/>
  <c r="B233" i="7"/>
  <c r="C233" i="7"/>
  <c r="D233" i="7"/>
  <c r="E233" i="7"/>
  <c r="F233" i="7"/>
  <c r="G233" i="7"/>
  <c r="H233" i="7"/>
  <c r="I233" i="7"/>
  <c r="J233" i="7"/>
  <c r="K233" i="7"/>
  <c r="L233" i="7"/>
  <c r="M233" i="7"/>
  <c r="N233" i="7"/>
  <c r="O233" i="7"/>
  <c r="P233" i="7"/>
  <c r="Q233" i="7"/>
  <c r="R233" i="7"/>
  <c r="S233" i="7"/>
  <c r="T233" i="7"/>
  <c r="U233" i="7"/>
  <c r="V233" i="7"/>
  <c r="W233" i="7"/>
  <c r="X233" i="7"/>
  <c r="Y233" i="7"/>
  <c r="Z233" i="7"/>
  <c r="AA233" i="7"/>
  <c r="AB233" i="7"/>
  <c r="AC233" i="7"/>
  <c r="AD233" i="7"/>
  <c r="AE233" i="7"/>
  <c r="AF233" i="7"/>
  <c r="AG233" i="7"/>
  <c r="AH233" i="7"/>
  <c r="AI233" i="7"/>
  <c r="AJ233" i="7"/>
  <c r="AK233" i="7"/>
  <c r="AL233" i="7"/>
  <c r="AM233" i="7"/>
  <c r="AN233" i="7"/>
  <c r="AO233" i="7"/>
  <c r="AP233" i="7"/>
  <c r="AQ233" i="7"/>
  <c r="AR233" i="7"/>
  <c r="AS233" i="7"/>
  <c r="AT233" i="7"/>
  <c r="AU233" i="7"/>
  <c r="AV233" i="7"/>
  <c r="AW233" i="7"/>
  <c r="AX233" i="7"/>
  <c r="AY233" i="7"/>
  <c r="AZ233" i="7"/>
  <c r="BA233" i="7"/>
  <c r="BB233" i="7"/>
  <c r="BC233" i="7"/>
  <c r="BD233" i="7"/>
  <c r="BE233" i="7"/>
  <c r="BF233" i="7"/>
  <c r="BG233" i="7"/>
  <c r="BH233" i="7"/>
  <c r="BI233" i="7"/>
  <c r="BJ233" i="7"/>
  <c r="BK233" i="7"/>
  <c r="BL233" i="7"/>
  <c r="BM233" i="7"/>
  <c r="BN233" i="7"/>
  <c r="BO233" i="7"/>
  <c r="BP233" i="7"/>
  <c r="BQ233" i="7"/>
  <c r="BR233" i="7"/>
  <c r="BS233" i="7"/>
  <c r="BT233" i="7"/>
  <c r="BU233" i="7"/>
  <c r="BV233" i="7"/>
  <c r="BW233" i="7"/>
  <c r="BX233" i="7"/>
  <c r="BY233" i="7"/>
  <c r="BZ233" i="7"/>
  <c r="CA233" i="7"/>
  <c r="CB233" i="7"/>
  <c r="CC233" i="7"/>
  <c r="CD233" i="7"/>
  <c r="CE233" i="7"/>
  <c r="CF233" i="7"/>
  <c r="CG233" i="7"/>
  <c r="CH233" i="7"/>
  <c r="CI233" i="7"/>
  <c r="CJ233" i="7"/>
  <c r="CK233" i="7"/>
  <c r="CL233" i="7"/>
  <c r="CM233" i="7"/>
  <c r="CN233" i="7"/>
  <c r="CO233" i="7"/>
  <c r="CP233" i="7"/>
  <c r="CQ233" i="7"/>
  <c r="CR233" i="7"/>
  <c r="CS233" i="7"/>
  <c r="CT233" i="7"/>
  <c r="CU233" i="7"/>
  <c r="CV233" i="7"/>
  <c r="CW233" i="7"/>
  <c r="CX233" i="7"/>
  <c r="CY233" i="7"/>
  <c r="CZ233" i="7"/>
  <c r="DA233" i="7"/>
  <c r="DB233" i="7"/>
  <c r="DC233" i="7"/>
  <c r="DD233" i="7"/>
  <c r="DE233" i="7"/>
  <c r="DF233" i="7"/>
  <c r="DG233" i="7"/>
  <c r="DH233" i="7"/>
  <c r="DI233" i="7"/>
  <c r="DJ233" i="7"/>
  <c r="DK233" i="7"/>
  <c r="DL233" i="7"/>
  <c r="DM233" i="7"/>
  <c r="DN233" i="7"/>
  <c r="DO233" i="7"/>
  <c r="DP233" i="7"/>
  <c r="DQ233" i="7"/>
  <c r="DR233" i="7"/>
  <c r="DS233" i="7"/>
  <c r="DT233" i="7"/>
  <c r="DU233" i="7"/>
  <c r="DV233" i="7"/>
  <c r="DW233" i="7"/>
  <c r="DX233" i="7"/>
  <c r="DY233" i="7"/>
  <c r="DZ233" i="7"/>
  <c r="EA233" i="7"/>
  <c r="EB233" i="7"/>
  <c r="EC233" i="7"/>
  <c r="ED233" i="7"/>
  <c r="EE233" i="7"/>
  <c r="EF233" i="7"/>
  <c r="EG233" i="7"/>
  <c r="EH233" i="7"/>
  <c r="EI233" i="7"/>
  <c r="EJ233" i="7"/>
  <c r="EK233" i="7"/>
  <c r="EL233" i="7"/>
  <c r="EM233" i="7"/>
  <c r="EN233" i="7"/>
  <c r="EO233" i="7"/>
  <c r="EP233" i="7"/>
  <c r="EQ233" i="7"/>
  <c r="ER233" i="7"/>
  <c r="ES233" i="7"/>
  <c r="ET233" i="7"/>
  <c r="EU233" i="7"/>
  <c r="EV233" i="7"/>
  <c r="EW233" i="7"/>
  <c r="EX233" i="7"/>
  <c r="EY233" i="7"/>
  <c r="EZ233" i="7"/>
  <c r="FA233" i="7"/>
  <c r="FB233" i="7"/>
  <c r="FC233" i="7"/>
  <c r="FD233" i="7"/>
  <c r="FE233" i="7"/>
  <c r="FF233" i="7"/>
  <c r="FG233" i="7"/>
  <c r="FH233" i="7"/>
  <c r="FI233" i="7"/>
  <c r="FJ233" i="7"/>
  <c r="FK233" i="7"/>
  <c r="FL233" i="7"/>
  <c r="FM233" i="7"/>
  <c r="FN233" i="7"/>
  <c r="FO233" i="7"/>
  <c r="FP233" i="7"/>
  <c r="FQ233" i="7"/>
  <c r="FR233" i="7"/>
  <c r="FS233" i="7"/>
  <c r="FT233" i="7"/>
  <c r="FU233" i="7"/>
  <c r="FV233" i="7"/>
  <c r="FW233" i="7"/>
  <c r="FX233" i="7"/>
  <c r="FY233" i="7"/>
  <c r="FZ233" i="7"/>
  <c r="GA233" i="7"/>
  <c r="GB233" i="7"/>
  <c r="GC233" i="7"/>
  <c r="GD233" i="7"/>
  <c r="GE233" i="7"/>
  <c r="GF233" i="7"/>
  <c r="GG233" i="7"/>
  <c r="GH233" i="7"/>
  <c r="GI233" i="7"/>
  <c r="GJ233" i="7"/>
  <c r="GK233" i="7"/>
  <c r="GL233" i="7"/>
  <c r="GM233" i="7"/>
  <c r="GN233" i="7"/>
  <c r="GO233" i="7"/>
  <c r="GP233" i="7"/>
  <c r="GQ233" i="7"/>
  <c r="GR233" i="7"/>
  <c r="GS233" i="7"/>
  <c r="GT233" i="7"/>
  <c r="GU233" i="7"/>
  <c r="GV233" i="7"/>
  <c r="GW233" i="7"/>
  <c r="GX233" i="7"/>
  <c r="GY233" i="7"/>
  <c r="GZ233" i="7"/>
  <c r="HA233" i="7"/>
  <c r="HB233" i="7"/>
  <c r="HC233" i="7"/>
  <c r="HD233" i="7"/>
  <c r="HE233" i="7"/>
  <c r="HF233" i="7"/>
  <c r="HG233" i="7"/>
  <c r="HH233" i="7"/>
  <c r="HI233" i="7"/>
  <c r="HJ233" i="7"/>
  <c r="HK233" i="7"/>
  <c r="HL233" i="7"/>
  <c r="HM233" i="7"/>
  <c r="HN233" i="7"/>
  <c r="HO233" i="7"/>
  <c r="HP233" i="7"/>
  <c r="HQ233" i="7"/>
  <c r="HR233" i="7"/>
  <c r="HS233" i="7"/>
  <c r="HT233" i="7"/>
  <c r="HU233" i="7"/>
  <c r="HV233" i="7"/>
  <c r="HW233" i="7"/>
  <c r="HX233" i="7"/>
  <c r="HY233" i="7"/>
  <c r="HZ233" i="7"/>
  <c r="IA233" i="7"/>
  <c r="IB233" i="7"/>
  <c r="IC233" i="7"/>
  <c r="ID233" i="7"/>
  <c r="IE233" i="7"/>
  <c r="IF233" i="7"/>
  <c r="IG233" i="7"/>
  <c r="IH233" i="7"/>
  <c r="II233" i="7"/>
  <c r="IJ233" i="7"/>
  <c r="IK233" i="7"/>
  <c r="IL233" i="7"/>
  <c r="IM233" i="7"/>
  <c r="IN233" i="7"/>
  <c r="IO233" i="7"/>
  <c r="IP233" i="7"/>
  <c r="IQ233" i="7"/>
  <c r="IR233" i="7"/>
  <c r="IS233" i="7"/>
  <c r="IT233" i="7"/>
  <c r="IU233" i="7"/>
  <c r="IV233" i="7"/>
  <c r="A232" i="7"/>
  <c r="B232" i="7"/>
  <c r="C232" i="7"/>
  <c r="D232" i="7"/>
  <c r="E232" i="7"/>
  <c r="F232" i="7"/>
  <c r="G232" i="7"/>
  <c r="H232" i="7"/>
  <c r="I232" i="7"/>
  <c r="J232" i="7"/>
  <c r="K232" i="7"/>
  <c r="L232" i="7"/>
  <c r="M232" i="7"/>
  <c r="N232" i="7"/>
  <c r="O232" i="7"/>
  <c r="P232" i="7"/>
  <c r="Q232" i="7"/>
  <c r="R232" i="7"/>
  <c r="S232" i="7"/>
  <c r="T232" i="7"/>
  <c r="U232" i="7"/>
  <c r="V232" i="7"/>
  <c r="W232" i="7"/>
  <c r="X232" i="7"/>
  <c r="Y232" i="7"/>
  <c r="Z232" i="7"/>
  <c r="AA232" i="7"/>
  <c r="AB232" i="7"/>
  <c r="AC232" i="7"/>
  <c r="AD232" i="7"/>
  <c r="AE232" i="7"/>
  <c r="AF232" i="7"/>
  <c r="AG232" i="7"/>
  <c r="AH232" i="7"/>
  <c r="AI232" i="7"/>
  <c r="AJ232" i="7"/>
  <c r="AK232" i="7"/>
  <c r="AL232" i="7"/>
  <c r="AM232" i="7"/>
  <c r="AN232" i="7"/>
  <c r="AO232" i="7"/>
  <c r="AP232" i="7"/>
  <c r="AQ232" i="7"/>
  <c r="AR232" i="7"/>
  <c r="AS232" i="7"/>
  <c r="AT232" i="7"/>
  <c r="AU232" i="7"/>
  <c r="AV232" i="7"/>
  <c r="AW232" i="7"/>
  <c r="AX232" i="7"/>
  <c r="AY232" i="7"/>
  <c r="AZ232" i="7"/>
  <c r="BA232" i="7"/>
  <c r="BB232" i="7"/>
  <c r="BC232" i="7"/>
  <c r="BD232" i="7"/>
  <c r="BE232" i="7"/>
  <c r="BF232" i="7"/>
  <c r="BG232" i="7"/>
  <c r="BH232" i="7"/>
  <c r="BI232" i="7"/>
  <c r="BJ232" i="7"/>
  <c r="BK232" i="7"/>
  <c r="BL232" i="7"/>
  <c r="BM232" i="7"/>
  <c r="BN232" i="7"/>
  <c r="BO232" i="7"/>
  <c r="BP232" i="7"/>
  <c r="BQ232" i="7"/>
  <c r="BR232" i="7"/>
  <c r="BS232" i="7"/>
  <c r="BT232" i="7"/>
  <c r="BU232" i="7"/>
  <c r="BV232" i="7"/>
  <c r="BW232" i="7"/>
  <c r="BX232" i="7"/>
  <c r="BY232" i="7"/>
  <c r="BZ232" i="7"/>
  <c r="CA232" i="7"/>
  <c r="CB232" i="7"/>
  <c r="CC232" i="7"/>
  <c r="CD232" i="7"/>
  <c r="CE232" i="7"/>
  <c r="CF232" i="7"/>
  <c r="CG232" i="7"/>
  <c r="CH232" i="7"/>
  <c r="CI232" i="7"/>
  <c r="CJ232" i="7"/>
  <c r="CK232" i="7"/>
  <c r="CL232" i="7"/>
  <c r="CM232" i="7"/>
  <c r="CN232" i="7"/>
  <c r="CO232" i="7"/>
  <c r="CP232" i="7"/>
  <c r="CQ232" i="7"/>
  <c r="CR232" i="7"/>
  <c r="CS232" i="7"/>
  <c r="CT232" i="7"/>
  <c r="CU232" i="7"/>
  <c r="CV232" i="7"/>
  <c r="CW232" i="7"/>
  <c r="CX232" i="7"/>
  <c r="CY232" i="7"/>
  <c r="CZ232" i="7"/>
  <c r="DA232" i="7"/>
  <c r="DB232" i="7"/>
  <c r="DC232" i="7"/>
  <c r="DD232" i="7"/>
  <c r="DE232" i="7"/>
  <c r="DF232" i="7"/>
  <c r="DG232" i="7"/>
  <c r="DH232" i="7"/>
  <c r="DI232" i="7"/>
  <c r="DJ232" i="7"/>
  <c r="DK232" i="7"/>
  <c r="DL232" i="7"/>
  <c r="DM232" i="7"/>
  <c r="DN232" i="7"/>
  <c r="DO232" i="7"/>
  <c r="DP232" i="7"/>
  <c r="DQ232" i="7"/>
  <c r="DR232" i="7"/>
  <c r="DS232" i="7"/>
  <c r="DT232" i="7"/>
  <c r="DU232" i="7"/>
  <c r="DV232" i="7"/>
  <c r="DW232" i="7"/>
  <c r="DX232" i="7"/>
  <c r="DY232" i="7"/>
  <c r="DZ232" i="7"/>
  <c r="EA232" i="7"/>
  <c r="EB232" i="7"/>
  <c r="EC232" i="7"/>
  <c r="ED232" i="7"/>
  <c r="EE232" i="7"/>
  <c r="EF232" i="7"/>
  <c r="EG232" i="7"/>
  <c r="EH232" i="7"/>
  <c r="EI232" i="7"/>
  <c r="EJ232" i="7"/>
  <c r="EK232" i="7"/>
  <c r="EL232" i="7"/>
  <c r="EM232" i="7"/>
  <c r="EN232" i="7"/>
  <c r="EO232" i="7"/>
  <c r="EP232" i="7"/>
  <c r="EQ232" i="7"/>
  <c r="ER232" i="7"/>
  <c r="ES232" i="7"/>
  <c r="ET232" i="7"/>
  <c r="EU232" i="7"/>
  <c r="EV232" i="7"/>
  <c r="EW232" i="7"/>
  <c r="EX232" i="7"/>
  <c r="EY232" i="7"/>
  <c r="EZ232" i="7"/>
  <c r="FA232" i="7"/>
  <c r="FB232" i="7"/>
  <c r="FC232" i="7"/>
  <c r="FD232" i="7"/>
  <c r="FE232" i="7"/>
  <c r="FF232" i="7"/>
  <c r="FG232" i="7"/>
  <c r="FH232" i="7"/>
  <c r="FI232" i="7"/>
  <c r="FJ232" i="7"/>
  <c r="FK232" i="7"/>
  <c r="FL232" i="7"/>
  <c r="FM232" i="7"/>
  <c r="FN232" i="7"/>
  <c r="FO232" i="7"/>
  <c r="FP232" i="7"/>
  <c r="FQ232" i="7"/>
  <c r="FR232" i="7"/>
  <c r="FS232" i="7"/>
  <c r="FT232" i="7"/>
  <c r="FU232" i="7"/>
  <c r="FV232" i="7"/>
  <c r="FW232" i="7"/>
  <c r="FX232" i="7"/>
  <c r="FY232" i="7"/>
  <c r="FZ232" i="7"/>
  <c r="GA232" i="7"/>
  <c r="GB232" i="7"/>
  <c r="GC232" i="7"/>
  <c r="GD232" i="7"/>
  <c r="GE232" i="7"/>
  <c r="GF232" i="7"/>
  <c r="GG232" i="7"/>
  <c r="GH232" i="7"/>
  <c r="GI232" i="7"/>
  <c r="GJ232" i="7"/>
  <c r="GK232" i="7"/>
  <c r="GL232" i="7"/>
  <c r="GM232" i="7"/>
  <c r="GN232" i="7"/>
  <c r="GO232" i="7"/>
  <c r="GP232" i="7"/>
  <c r="GQ232" i="7"/>
  <c r="GR232" i="7"/>
  <c r="GS232" i="7"/>
  <c r="GT232" i="7"/>
  <c r="GU232" i="7"/>
  <c r="GV232" i="7"/>
  <c r="GW232" i="7"/>
  <c r="GX232" i="7"/>
  <c r="GY232" i="7"/>
  <c r="GZ232" i="7"/>
  <c r="HA232" i="7"/>
  <c r="HB232" i="7"/>
  <c r="HC232" i="7"/>
  <c r="HD232" i="7"/>
  <c r="HE232" i="7"/>
  <c r="HF232" i="7"/>
  <c r="HG232" i="7"/>
  <c r="HH232" i="7"/>
  <c r="HI232" i="7"/>
  <c r="HJ232" i="7"/>
  <c r="HK232" i="7"/>
  <c r="HL232" i="7"/>
  <c r="HM232" i="7"/>
  <c r="HN232" i="7"/>
  <c r="HO232" i="7"/>
  <c r="HP232" i="7"/>
  <c r="HQ232" i="7"/>
  <c r="HR232" i="7"/>
  <c r="HS232" i="7"/>
  <c r="HT232" i="7"/>
  <c r="HU232" i="7"/>
  <c r="HV232" i="7"/>
  <c r="HW232" i="7"/>
  <c r="HX232" i="7"/>
  <c r="HY232" i="7"/>
  <c r="HZ232" i="7"/>
  <c r="IA232" i="7"/>
  <c r="IB232" i="7"/>
  <c r="IC232" i="7"/>
  <c r="ID232" i="7"/>
  <c r="IE232" i="7"/>
  <c r="IF232" i="7"/>
  <c r="IG232" i="7"/>
  <c r="IH232" i="7"/>
  <c r="II232" i="7"/>
  <c r="IJ232" i="7"/>
  <c r="IK232" i="7"/>
  <c r="IL232" i="7"/>
  <c r="IM232" i="7"/>
  <c r="IN232" i="7"/>
  <c r="IO232" i="7"/>
  <c r="IP232" i="7"/>
  <c r="IQ232" i="7"/>
  <c r="IR232" i="7"/>
  <c r="IS232" i="7"/>
  <c r="IT232" i="7"/>
  <c r="IU232" i="7"/>
  <c r="IV232" i="7"/>
  <c r="A231" i="7"/>
  <c r="B231" i="7"/>
  <c r="C231" i="7"/>
  <c r="D231" i="7"/>
  <c r="E231" i="7"/>
  <c r="F231" i="7"/>
  <c r="G231" i="7"/>
  <c r="H231" i="7"/>
  <c r="I231" i="7"/>
  <c r="J231" i="7"/>
  <c r="K231" i="7"/>
  <c r="L231" i="7"/>
  <c r="M231" i="7"/>
  <c r="N231" i="7"/>
  <c r="O231" i="7"/>
  <c r="P231" i="7"/>
  <c r="Q231" i="7"/>
  <c r="R231" i="7"/>
  <c r="S231" i="7"/>
  <c r="T231" i="7"/>
  <c r="U231" i="7"/>
  <c r="V231" i="7"/>
  <c r="W231" i="7"/>
  <c r="X231" i="7"/>
  <c r="Y231" i="7"/>
  <c r="Z231" i="7"/>
  <c r="AA231" i="7"/>
  <c r="AB231" i="7"/>
  <c r="AC231" i="7"/>
  <c r="AD231" i="7"/>
  <c r="AE231" i="7"/>
  <c r="AF231" i="7"/>
  <c r="AG231" i="7"/>
  <c r="AH231" i="7"/>
  <c r="AI231" i="7"/>
  <c r="AJ231" i="7"/>
  <c r="AK231" i="7"/>
  <c r="AL231" i="7"/>
  <c r="AM231" i="7"/>
  <c r="AN231" i="7"/>
  <c r="AO231" i="7"/>
  <c r="AP231" i="7"/>
  <c r="AQ231" i="7"/>
  <c r="AR231" i="7"/>
  <c r="AS231" i="7"/>
  <c r="AT231" i="7"/>
  <c r="AU231" i="7"/>
  <c r="AV231" i="7"/>
  <c r="AW231" i="7"/>
  <c r="AX231" i="7"/>
  <c r="AY231" i="7"/>
  <c r="AZ231" i="7"/>
  <c r="BA231" i="7"/>
  <c r="BB231" i="7"/>
  <c r="BC231" i="7"/>
  <c r="BD231" i="7"/>
  <c r="BE231" i="7"/>
  <c r="BF231" i="7"/>
  <c r="BG231" i="7"/>
  <c r="BH231" i="7"/>
  <c r="BI231" i="7"/>
  <c r="BJ231" i="7"/>
  <c r="BK231" i="7"/>
  <c r="BL231" i="7"/>
  <c r="BM231" i="7"/>
  <c r="BN231" i="7"/>
  <c r="BO231" i="7"/>
  <c r="BP231" i="7"/>
  <c r="BQ231" i="7"/>
  <c r="BR231" i="7"/>
  <c r="BS231" i="7"/>
  <c r="BT231" i="7"/>
  <c r="BU231" i="7"/>
  <c r="BV231" i="7"/>
  <c r="BW231" i="7"/>
  <c r="BX231" i="7"/>
  <c r="BY231" i="7"/>
  <c r="BZ231" i="7"/>
  <c r="CA231" i="7"/>
  <c r="CB231" i="7"/>
  <c r="CC231" i="7"/>
  <c r="CD231" i="7"/>
  <c r="CE231" i="7"/>
  <c r="CF231" i="7"/>
  <c r="CG231" i="7"/>
  <c r="CH231" i="7"/>
  <c r="CI231" i="7"/>
  <c r="CJ231" i="7"/>
  <c r="CK231" i="7"/>
  <c r="CL231" i="7"/>
  <c r="CM231" i="7"/>
  <c r="CN231" i="7"/>
  <c r="CO231" i="7"/>
  <c r="CP231" i="7"/>
  <c r="CQ231" i="7"/>
  <c r="CR231" i="7"/>
  <c r="CS231" i="7"/>
  <c r="CT231" i="7"/>
  <c r="CU231" i="7"/>
  <c r="CV231" i="7"/>
  <c r="CW231" i="7"/>
  <c r="CX231" i="7"/>
  <c r="CY231" i="7"/>
  <c r="CZ231" i="7"/>
  <c r="DA231" i="7"/>
  <c r="DB231" i="7"/>
  <c r="DC231" i="7"/>
  <c r="DD231" i="7"/>
  <c r="DE231" i="7"/>
  <c r="DF231" i="7"/>
  <c r="DG231" i="7"/>
  <c r="DH231" i="7"/>
  <c r="DI231" i="7"/>
  <c r="DJ231" i="7"/>
  <c r="DK231" i="7"/>
  <c r="DL231" i="7"/>
  <c r="DM231" i="7"/>
  <c r="DN231" i="7"/>
  <c r="DO231" i="7"/>
  <c r="DP231" i="7"/>
  <c r="DQ231" i="7"/>
  <c r="DR231" i="7"/>
  <c r="DS231" i="7"/>
  <c r="DT231" i="7"/>
  <c r="DU231" i="7"/>
  <c r="DV231" i="7"/>
  <c r="DW231" i="7"/>
  <c r="DX231" i="7"/>
  <c r="DY231" i="7"/>
  <c r="DZ231" i="7"/>
  <c r="EA231" i="7"/>
  <c r="EB231" i="7"/>
  <c r="EC231" i="7"/>
  <c r="ED231" i="7"/>
  <c r="EE231" i="7"/>
  <c r="EF231" i="7"/>
  <c r="EG231" i="7"/>
  <c r="EH231" i="7"/>
  <c r="EI231" i="7"/>
  <c r="EJ231" i="7"/>
  <c r="EK231" i="7"/>
  <c r="EL231" i="7"/>
  <c r="EM231" i="7"/>
  <c r="EN231" i="7"/>
  <c r="EO231" i="7"/>
  <c r="EP231" i="7"/>
  <c r="EQ231" i="7"/>
  <c r="ER231" i="7"/>
  <c r="ES231" i="7"/>
  <c r="ET231" i="7"/>
  <c r="EU231" i="7"/>
  <c r="EV231" i="7"/>
  <c r="EW231" i="7"/>
  <c r="EX231" i="7"/>
  <c r="EY231" i="7"/>
  <c r="EZ231" i="7"/>
  <c r="FA231" i="7"/>
  <c r="FB231" i="7"/>
  <c r="FC231" i="7"/>
  <c r="FD231" i="7"/>
  <c r="FE231" i="7"/>
  <c r="FF231" i="7"/>
  <c r="FG231" i="7"/>
  <c r="FH231" i="7"/>
  <c r="FI231" i="7"/>
  <c r="FJ231" i="7"/>
  <c r="FK231" i="7"/>
  <c r="FL231" i="7"/>
  <c r="FM231" i="7"/>
  <c r="FN231" i="7"/>
  <c r="FO231" i="7"/>
  <c r="FP231" i="7"/>
  <c r="FQ231" i="7"/>
  <c r="FR231" i="7"/>
  <c r="FS231" i="7"/>
  <c r="FT231" i="7"/>
  <c r="FU231" i="7"/>
  <c r="FV231" i="7"/>
  <c r="FW231" i="7"/>
  <c r="FX231" i="7"/>
  <c r="FY231" i="7"/>
  <c r="FZ231" i="7"/>
  <c r="GA231" i="7"/>
  <c r="GB231" i="7"/>
  <c r="GC231" i="7"/>
  <c r="GD231" i="7"/>
  <c r="GE231" i="7"/>
  <c r="GF231" i="7"/>
  <c r="GG231" i="7"/>
  <c r="GH231" i="7"/>
  <c r="GI231" i="7"/>
  <c r="GJ231" i="7"/>
  <c r="GK231" i="7"/>
  <c r="GL231" i="7"/>
  <c r="GM231" i="7"/>
  <c r="GN231" i="7"/>
  <c r="GO231" i="7"/>
  <c r="GP231" i="7"/>
  <c r="GQ231" i="7"/>
  <c r="GR231" i="7"/>
  <c r="GS231" i="7"/>
  <c r="GT231" i="7"/>
  <c r="GU231" i="7"/>
  <c r="GV231" i="7"/>
  <c r="GW231" i="7"/>
  <c r="GX231" i="7"/>
  <c r="GY231" i="7"/>
  <c r="GZ231" i="7"/>
  <c r="HA231" i="7"/>
  <c r="HB231" i="7"/>
  <c r="HC231" i="7"/>
  <c r="HD231" i="7"/>
  <c r="HE231" i="7"/>
  <c r="HF231" i="7"/>
  <c r="HG231" i="7"/>
  <c r="HH231" i="7"/>
  <c r="HI231" i="7"/>
  <c r="HJ231" i="7"/>
  <c r="HK231" i="7"/>
  <c r="HL231" i="7"/>
  <c r="HM231" i="7"/>
  <c r="HN231" i="7"/>
  <c r="HO231" i="7"/>
  <c r="HP231" i="7"/>
  <c r="HQ231" i="7"/>
  <c r="HR231" i="7"/>
  <c r="HS231" i="7"/>
  <c r="HT231" i="7"/>
  <c r="HU231" i="7"/>
  <c r="HV231" i="7"/>
  <c r="HW231" i="7"/>
  <c r="HX231" i="7"/>
  <c r="HY231" i="7"/>
  <c r="HZ231" i="7"/>
  <c r="IA231" i="7"/>
  <c r="IB231" i="7"/>
  <c r="IC231" i="7"/>
  <c r="ID231" i="7"/>
  <c r="IE231" i="7"/>
  <c r="IF231" i="7"/>
  <c r="IG231" i="7"/>
  <c r="IH231" i="7"/>
  <c r="II231" i="7"/>
  <c r="IJ231" i="7"/>
  <c r="IK231" i="7"/>
  <c r="IL231" i="7"/>
  <c r="IM231" i="7"/>
  <c r="IN231" i="7"/>
  <c r="IO231" i="7"/>
  <c r="IP231" i="7"/>
  <c r="IQ231" i="7"/>
  <c r="IR231" i="7"/>
  <c r="IS231" i="7"/>
  <c r="IT231" i="7"/>
  <c r="IU231" i="7"/>
  <c r="IV231" i="7"/>
  <c r="A230" i="7"/>
  <c r="B230" i="7"/>
  <c r="C230" i="7"/>
  <c r="D230" i="7"/>
  <c r="E230" i="7"/>
  <c r="F230" i="7"/>
  <c r="G230" i="7"/>
  <c r="H230" i="7"/>
  <c r="I230" i="7"/>
  <c r="J230" i="7"/>
  <c r="K230" i="7"/>
  <c r="L230" i="7"/>
  <c r="M230" i="7"/>
  <c r="N230" i="7"/>
  <c r="O230" i="7"/>
  <c r="P230" i="7"/>
  <c r="Q230" i="7"/>
  <c r="R230" i="7"/>
  <c r="S230" i="7"/>
  <c r="T230" i="7"/>
  <c r="U230" i="7"/>
  <c r="V230" i="7"/>
  <c r="W230" i="7"/>
  <c r="X230" i="7"/>
  <c r="Y230" i="7"/>
  <c r="Z230" i="7"/>
  <c r="AA230" i="7"/>
  <c r="AB230" i="7"/>
  <c r="AC230" i="7"/>
  <c r="AD230" i="7"/>
  <c r="AE230" i="7"/>
  <c r="AF230" i="7"/>
  <c r="AG230" i="7"/>
  <c r="AH230" i="7"/>
  <c r="AI230" i="7"/>
  <c r="AJ230" i="7"/>
  <c r="AK230" i="7"/>
  <c r="AL230" i="7"/>
  <c r="AM230" i="7"/>
  <c r="AN230" i="7"/>
  <c r="AO230" i="7"/>
  <c r="AP230" i="7"/>
  <c r="AQ230" i="7"/>
  <c r="AR230" i="7"/>
  <c r="AS230" i="7"/>
  <c r="AT230" i="7"/>
  <c r="AU230" i="7"/>
  <c r="AV230" i="7"/>
  <c r="AW230" i="7"/>
  <c r="AX230" i="7"/>
  <c r="AY230" i="7"/>
  <c r="AZ230" i="7"/>
  <c r="BA230" i="7"/>
  <c r="BB230" i="7"/>
  <c r="BC230" i="7"/>
  <c r="BD230" i="7"/>
  <c r="BE230" i="7"/>
  <c r="BF230" i="7"/>
  <c r="BG230" i="7"/>
  <c r="BH230" i="7"/>
  <c r="BI230" i="7"/>
  <c r="BJ230" i="7"/>
  <c r="BK230" i="7"/>
  <c r="BL230" i="7"/>
  <c r="BM230" i="7"/>
  <c r="BN230" i="7"/>
  <c r="BO230" i="7"/>
  <c r="BP230" i="7"/>
  <c r="BQ230" i="7"/>
  <c r="BR230" i="7"/>
  <c r="BS230" i="7"/>
  <c r="BT230" i="7"/>
  <c r="BU230" i="7"/>
  <c r="BV230" i="7"/>
  <c r="BW230" i="7"/>
  <c r="BX230" i="7"/>
  <c r="BY230" i="7"/>
  <c r="BZ230" i="7"/>
  <c r="CA230" i="7"/>
  <c r="CB230" i="7"/>
  <c r="CC230" i="7"/>
  <c r="CD230" i="7"/>
  <c r="CE230" i="7"/>
  <c r="CF230" i="7"/>
  <c r="CG230" i="7"/>
  <c r="CH230" i="7"/>
  <c r="CI230" i="7"/>
  <c r="CJ230" i="7"/>
  <c r="CK230" i="7"/>
  <c r="CL230" i="7"/>
  <c r="CM230" i="7"/>
  <c r="CN230" i="7"/>
  <c r="CO230" i="7"/>
  <c r="CP230" i="7"/>
  <c r="CQ230" i="7"/>
  <c r="CR230" i="7"/>
  <c r="CS230" i="7"/>
  <c r="CT230" i="7"/>
  <c r="CU230" i="7"/>
  <c r="CV230" i="7"/>
  <c r="CW230" i="7"/>
  <c r="CX230" i="7"/>
  <c r="CY230" i="7"/>
  <c r="CZ230" i="7"/>
  <c r="DA230" i="7"/>
  <c r="DB230" i="7"/>
  <c r="DC230" i="7"/>
  <c r="DD230" i="7"/>
  <c r="DE230" i="7"/>
  <c r="DF230" i="7"/>
  <c r="DG230" i="7"/>
  <c r="DH230" i="7"/>
  <c r="DI230" i="7"/>
  <c r="DJ230" i="7"/>
  <c r="DK230" i="7"/>
  <c r="DL230" i="7"/>
  <c r="DM230" i="7"/>
  <c r="DN230" i="7"/>
  <c r="DO230" i="7"/>
  <c r="DP230" i="7"/>
  <c r="DQ230" i="7"/>
  <c r="DR230" i="7"/>
  <c r="DS230" i="7"/>
  <c r="DT230" i="7"/>
  <c r="DU230" i="7"/>
  <c r="DV230" i="7"/>
  <c r="DW230" i="7"/>
  <c r="DX230" i="7"/>
  <c r="DY230" i="7"/>
  <c r="DZ230" i="7"/>
  <c r="EA230" i="7"/>
  <c r="EB230" i="7"/>
  <c r="EC230" i="7"/>
  <c r="ED230" i="7"/>
  <c r="EE230" i="7"/>
  <c r="EF230" i="7"/>
  <c r="EG230" i="7"/>
  <c r="EH230" i="7"/>
  <c r="EI230" i="7"/>
  <c r="EJ230" i="7"/>
  <c r="EK230" i="7"/>
  <c r="EL230" i="7"/>
  <c r="EM230" i="7"/>
  <c r="EN230" i="7"/>
  <c r="EO230" i="7"/>
  <c r="EP230" i="7"/>
  <c r="EQ230" i="7"/>
  <c r="ER230" i="7"/>
  <c r="ES230" i="7"/>
  <c r="ET230" i="7"/>
  <c r="EU230" i="7"/>
  <c r="EV230" i="7"/>
  <c r="EW230" i="7"/>
  <c r="EX230" i="7"/>
  <c r="EY230" i="7"/>
  <c r="EZ230" i="7"/>
  <c r="FA230" i="7"/>
  <c r="FB230" i="7"/>
  <c r="FC230" i="7"/>
  <c r="FD230" i="7"/>
  <c r="FE230" i="7"/>
  <c r="FF230" i="7"/>
  <c r="FG230" i="7"/>
  <c r="FH230" i="7"/>
  <c r="FI230" i="7"/>
  <c r="FJ230" i="7"/>
  <c r="FK230" i="7"/>
  <c r="FL230" i="7"/>
  <c r="FM230" i="7"/>
  <c r="FN230" i="7"/>
  <c r="FO230" i="7"/>
  <c r="FP230" i="7"/>
  <c r="FQ230" i="7"/>
  <c r="FR230" i="7"/>
  <c r="FS230" i="7"/>
  <c r="FT230" i="7"/>
  <c r="FU230" i="7"/>
  <c r="FV230" i="7"/>
  <c r="FW230" i="7"/>
  <c r="FX230" i="7"/>
  <c r="FY230" i="7"/>
  <c r="FZ230" i="7"/>
  <c r="GA230" i="7"/>
  <c r="GB230" i="7"/>
  <c r="GC230" i="7"/>
  <c r="GD230" i="7"/>
  <c r="GE230" i="7"/>
  <c r="GF230" i="7"/>
  <c r="GG230" i="7"/>
  <c r="GH230" i="7"/>
  <c r="GI230" i="7"/>
  <c r="GJ230" i="7"/>
  <c r="GK230" i="7"/>
  <c r="GL230" i="7"/>
  <c r="GM230" i="7"/>
  <c r="GN230" i="7"/>
  <c r="GO230" i="7"/>
  <c r="GP230" i="7"/>
  <c r="GQ230" i="7"/>
  <c r="GR230" i="7"/>
  <c r="GS230" i="7"/>
  <c r="GT230" i="7"/>
  <c r="GU230" i="7"/>
  <c r="GV230" i="7"/>
  <c r="GW230" i="7"/>
  <c r="GX230" i="7"/>
  <c r="GY230" i="7"/>
  <c r="GZ230" i="7"/>
  <c r="HA230" i="7"/>
  <c r="HB230" i="7"/>
  <c r="HC230" i="7"/>
  <c r="HD230" i="7"/>
  <c r="HE230" i="7"/>
  <c r="HF230" i="7"/>
  <c r="HG230" i="7"/>
  <c r="HH230" i="7"/>
  <c r="HI230" i="7"/>
  <c r="HJ230" i="7"/>
  <c r="HK230" i="7"/>
  <c r="HL230" i="7"/>
  <c r="HM230" i="7"/>
  <c r="HN230" i="7"/>
  <c r="HO230" i="7"/>
  <c r="HP230" i="7"/>
  <c r="HQ230" i="7"/>
  <c r="HR230" i="7"/>
  <c r="HS230" i="7"/>
  <c r="HT230" i="7"/>
  <c r="HU230" i="7"/>
  <c r="HV230" i="7"/>
  <c r="HW230" i="7"/>
  <c r="HX230" i="7"/>
  <c r="HY230" i="7"/>
  <c r="HZ230" i="7"/>
  <c r="IA230" i="7"/>
  <c r="IB230" i="7"/>
  <c r="IC230" i="7"/>
  <c r="ID230" i="7"/>
  <c r="IE230" i="7"/>
  <c r="IF230" i="7"/>
  <c r="IG230" i="7"/>
  <c r="IH230" i="7"/>
  <c r="II230" i="7"/>
  <c r="IJ230" i="7"/>
  <c r="IK230" i="7"/>
  <c r="IL230" i="7"/>
  <c r="IM230" i="7"/>
  <c r="IN230" i="7"/>
  <c r="IO230" i="7"/>
  <c r="IP230" i="7"/>
  <c r="IQ230" i="7"/>
  <c r="IR230" i="7"/>
  <c r="IS230" i="7"/>
  <c r="IT230" i="7"/>
  <c r="IU230" i="7"/>
  <c r="IV230" i="7"/>
  <c r="A229" i="7"/>
  <c r="B229" i="7"/>
  <c r="C229" i="7"/>
  <c r="D229" i="7"/>
  <c r="E229" i="7"/>
  <c r="F229" i="7"/>
  <c r="G229" i="7"/>
  <c r="H229" i="7"/>
  <c r="I229" i="7"/>
  <c r="J229" i="7"/>
  <c r="K229" i="7"/>
  <c r="L229" i="7"/>
  <c r="M229" i="7"/>
  <c r="N229" i="7"/>
  <c r="O229" i="7"/>
  <c r="P229" i="7"/>
  <c r="Q229" i="7"/>
  <c r="R229" i="7"/>
  <c r="S229" i="7"/>
  <c r="T229" i="7"/>
  <c r="U229" i="7"/>
  <c r="V229" i="7"/>
  <c r="W229" i="7"/>
  <c r="X229" i="7"/>
  <c r="Y229" i="7"/>
  <c r="Z229" i="7"/>
  <c r="AA229" i="7"/>
  <c r="AB229" i="7"/>
  <c r="AC229" i="7"/>
  <c r="AD229" i="7"/>
  <c r="AE229" i="7"/>
  <c r="AF229" i="7"/>
  <c r="AG229" i="7"/>
  <c r="AH229" i="7"/>
  <c r="AI229" i="7"/>
  <c r="AJ229" i="7"/>
  <c r="AK229" i="7"/>
  <c r="AL229" i="7"/>
  <c r="AM229" i="7"/>
  <c r="AN229" i="7"/>
  <c r="AO229" i="7"/>
  <c r="AP229" i="7"/>
  <c r="AQ229" i="7"/>
  <c r="AR229" i="7"/>
  <c r="AS229" i="7"/>
  <c r="AT229" i="7"/>
  <c r="AU229" i="7"/>
  <c r="AV229" i="7"/>
  <c r="AW229" i="7"/>
  <c r="AX229" i="7"/>
  <c r="AY229" i="7"/>
  <c r="AZ229" i="7"/>
  <c r="BA229" i="7"/>
  <c r="BB229" i="7"/>
  <c r="BC229" i="7"/>
  <c r="BD229" i="7"/>
  <c r="BE229" i="7"/>
  <c r="BF229" i="7"/>
  <c r="BG229" i="7"/>
  <c r="BH229" i="7"/>
  <c r="BI229" i="7"/>
  <c r="BJ229" i="7"/>
  <c r="BK229" i="7"/>
  <c r="BL229" i="7"/>
  <c r="BM229" i="7"/>
  <c r="BN229" i="7"/>
  <c r="BO229" i="7"/>
  <c r="BP229" i="7"/>
  <c r="BQ229" i="7"/>
  <c r="BR229" i="7"/>
  <c r="BS229" i="7"/>
  <c r="BT229" i="7"/>
  <c r="BU229" i="7"/>
  <c r="BV229" i="7"/>
  <c r="BW229" i="7"/>
  <c r="BX229" i="7"/>
  <c r="BY229" i="7"/>
  <c r="BZ229" i="7"/>
  <c r="CA229" i="7"/>
  <c r="CB229" i="7"/>
  <c r="CC229" i="7"/>
  <c r="CD229" i="7"/>
  <c r="CE229" i="7"/>
  <c r="CF229" i="7"/>
  <c r="CG229" i="7"/>
  <c r="CH229" i="7"/>
  <c r="CI229" i="7"/>
  <c r="CJ229" i="7"/>
  <c r="CK229" i="7"/>
  <c r="CL229" i="7"/>
  <c r="CM229" i="7"/>
  <c r="CN229" i="7"/>
  <c r="CO229" i="7"/>
  <c r="CP229" i="7"/>
  <c r="CQ229" i="7"/>
  <c r="CR229" i="7"/>
  <c r="CS229" i="7"/>
  <c r="CT229" i="7"/>
  <c r="CU229" i="7"/>
  <c r="CV229" i="7"/>
  <c r="CW229" i="7"/>
  <c r="CX229" i="7"/>
  <c r="CY229" i="7"/>
  <c r="CZ229" i="7"/>
  <c r="DA229" i="7"/>
  <c r="DB229" i="7"/>
  <c r="DC229" i="7"/>
  <c r="DD229" i="7"/>
  <c r="DE229" i="7"/>
  <c r="DF229" i="7"/>
  <c r="DG229" i="7"/>
  <c r="DH229" i="7"/>
  <c r="DI229" i="7"/>
  <c r="DJ229" i="7"/>
  <c r="DK229" i="7"/>
  <c r="DL229" i="7"/>
  <c r="DM229" i="7"/>
  <c r="DN229" i="7"/>
  <c r="DO229" i="7"/>
  <c r="DP229" i="7"/>
  <c r="DQ229" i="7"/>
  <c r="DR229" i="7"/>
  <c r="DS229" i="7"/>
  <c r="DT229" i="7"/>
  <c r="DU229" i="7"/>
  <c r="DV229" i="7"/>
  <c r="DW229" i="7"/>
  <c r="DX229" i="7"/>
  <c r="DY229" i="7"/>
  <c r="DZ229" i="7"/>
  <c r="EA229" i="7"/>
  <c r="EB229" i="7"/>
  <c r="EC229" i="7"/>
  <c r="ED229" i="7"/>
  <c r="EE229" i="7"/>
  <c r="EF229" i="7"/>
  <c r="EG229" i="7"/>
  <c r="EH229" i="7"/>
  <c r="EI229" i="7"/>
  <c r="EJ229" i="7"/>
  <c r="EK229" i="7"/>
  <c r="EL229" i="7"/>
  <c r="EM229" i="7"/>
  <c r="EN229" i="7"/>
  <c r="EO229" i="7"/>
  <c r="EP229" i="7"/>
  <c r="EQ229" i="7"/>
  <c r="ER229" i="7"/>
  <c r="ES229" i="7"/>
  <c r="ET229" i="7"/>
  <c r="EU229" i="7"/>
  <c r="EV229" i="7"/>
  <c r="EW229" i="7"/>
  <c r="EX229" i="7"/>
  <c r="EY229" i="7"/>
  <c r="EZ229" i="7"/>
  <c r="FA229" i="7"/>
  <c r="FB229" i="7"/>
  <c r="FC229" i="7"/>
  <c r="FD229" i="7"/>
  <c r="FE229" i="7"/>
  <c r="FF229" i="7"/>
  <c r="FG229" i="7"/>
  <c r="FH229" i="7"/>
  <c r="FI229" i="7"/>
  <c r="FJ229" i="7"/>
  <c r="FK229" i="7"/>
  <c r="FL229" i="7"/>
  <c r="FM229" i="7"/>
  <c r="FN229" i="7"/>
  <c r="FO229" i="7"/>
  <c r="FP229" i="7"/>
  <c r="FQ229" i="7"/>
  <c r="FR229" i="7"/>
  <c r="FS229" i="7"/>
  <c r="FT229" i="7"/>
  <c r="FU229" i="7"/>
  <c r="FV229" i="7"/>
  <c r="FW229" i="7"/>
  <c r="FX229" i="7"/>
  <c r="FY229" i="7"/>
  <c r="FZ229" i="7"/>
  <c r="GA229" i="7"/>
  <c r="GB229" i="7"/>
  <c r="GC229" i="7"/>
  <c r="GD229" i="7"/>
  <c r="GE229" i="7"/>
  <c r="GF229" i="7"/>
  <c r="GG229" i="7"/>
  <c r="GH229" i="7"/>
  <c r="GI229" i="7"/>
  <c r="GJ229" i="7"/>
  <c r="GK229" i="7"/>
  <c r="GL229" i="7"/>
  <c r="GM229" i="7"/>
  <c r="GN229" i="7"/>
  <c r="GO229" i="7"/>
  <c r="GP229" i="7"/>
  <c r="GQ229" i="7"/>
  <c r="GR229" i="7"/>
  <c r="GS229" i="7"/>
  <c r="GT229" i="7"/>
  <c r="GU229" i="7"/>
  <c r="GV229" i="7"/>
  <c r="GW229" i="7"/>
  <c r="GX229" i="7"/>
  <c r="GY229" i="7"/>
  <c r="GZ229" i="7"/>
  <c r="HA229" i="7"/>
  <c r="HB229" i="7"/>
  <c r="HC229" i="7"/>
  <c r="HD229" i="7"/>
  <c r="HE229" i="7"/>
  <c r="HF229" i="7"/>
  <c r="HG229" i="7"/>
  <c r="HH229" i="7"/>
  <c r="HI229" i="7"/>
  <c r="HJ229" i="7"/>
  <c r="HK229" i="7"/>
  <c r="HL229" i="7"/>
  <c r="HM229" i="7"/>
  <c r="HN229" i="7"/>
  <c r="HO229" i="7"/>
  <c r="HP229" i="7"/>
  <c r="HQ229" i="7"/>
  <c r="HR229" i="7"/>
  <c r="HS229" i="7"/>
  <c r="HT229" i="7"/>
  <c r="HU229" i="7"/>
  <c r="HV229" i="7"/>
  <c r="HW229" i="7"/>
  <c r="HX229" i="7"/>
  <c r="HY229" i="7"/>
  <c r="HZ229" i="7"/>
  <c r="IA229" i="7"/>
  <c r="IB229" i="7"/>
  <c r="IC229" i="7"/>
  <c r="ID229" i="7"/>
  <c r="IE229" i="7"/>
  <c r="IF229" i="7"/>
  <c r="IG229" i="7"/>
  <c r="IH229" i="7"/>
  <c r="II229" i="7"/>
  <c r="IJ229" i="7"/>
  <c r="IK229" i="7"/>
  <c r="IL229" i="7"/>
  <c r="IM229" i="7"/>
  <c r="IN229" i="7"/>
  <c r="IO229" i="7"/>
  <c r="IP229" i="7"/>
  <c r="IQ229" i="7"/>
  <c r="IR229" i="7"/>
  <c r="IS229" i="7"/>
  <c r="IT229" i="7"/>
  <c r="IU229" i="7"/>
  <c r="IV229" i="7"/>
  <c r="A228" i="7"/>
  <c r="B228" i="7"/>
  <c r="C228" i="7"/>
  <c r="D228" i="7"/>
  <c r="E228" i="7"/>
  <c r="F228" i="7"/>
  <c r="G228" i="7"/>
  <c r="H228" i="7"/>
  <c r="I228" i="7"/>
  <c r="J228" i="7"/>
  <c r="K228" i="7"/>
  <c r="L228" i="7"/>
  <c r="M228" i="7"/>
  <c r="N228" i="7"/>
  <c r="O228" i="7"/>
  <c r="P228" i="7"/>
  <c r="Q228" i="7"/>
  <c r="R228" i="7"/>
  <c r="S228" i="7"/>
  <c r="T228" i="7"/>
  <c r="U228" i="7"/>
  <c r="V228" i="7"/>
  <c r="W228" i="7"/>
  <c r="X228" i="7"/>
  <c r="Y228" i="7"/>
  <c r="Z228" i="7"/>
  <c r="AA228" i="7"/>
  <c r="AB228" i="7"/>
  <c r="AC228" i="7"/>
  <c r="AD228" i="7"/>
  <c r="AE228" i="7"/>
  <c r="AF228" i="7"/>
  <c r="AG228" i="7"/>
  <c r="AH228" i="7"/>
  <c r="AI228" i="7"/>
  <c r="AJ228" i="7"/>
  <c r="AK228" i="7"/>
  <c r="AL228" i="7"/>
  <c r="AM228" i="7"/>
  <c r="AN228" i="7"/>
  <c r="AO228" i="7"/>
  <c r="AP228" i="7"/>
  <c r="AQ228" i="7"/>
  <c r="AR228" i="7"/>
  <c r="AS228" i="7"/>
  <c r="AT228" i="7"/>
  <c r="AU228" i="7"/>
  <c r="AV228" i="7"/>
  <c r="AW228" i="7"/>
  <c r="AX228" i="7"/>
  <c r="AY228" i="7"/>
  <c r="AZ228" i="7"/>
  <c r="BA228" i="7"/>
  <c r="BB228" i="7"/>
  <c r="BC228" i="7"/>
  <c r="BD228" i="7"/>
  <c r="BE228" i="7"/>
  <c r="BF228" i="7"/>
  <c r="BG228" i="7"/>
  <c r="BH228" i="7"/>
  <c r="BI228" i="7"/>
  <c r="BJ228" i="7"/>
  <c r="BK228" i="7"/>
  <c r="BL228" i="7"/>
  <c r="BM228" i="7"/>
  <c r="BN228" i="7"/>
  <c r="BO228" i="7"/>
  <c r="BP228" i="7"/>
  <c r="BQ228" i="7"/>
  <c r="BR228" i="7"/>
  <c r="BS228" i="7"/>
  <c r="BT228" i="7"/>
  <c r="BU228" i="7"/>
  <c r="BV228" i="7"/>
  <c r="BW228" i="7"/>
  <c r="BX228" i="7"/>
  <c r="BY228" i="7"/>
  <c r="BZ228" i="7"/>
  <c r="CA228" i="7"/>
  <c r="CB228" i="7"/>
  <c r="CC228" i="7"/>
  <c r="CD228" i="7"/>
  <c r="CE228" i="7"/>
  <c r="CF228" i="7"/>
  <c r="CG228" i="7"/>
  <c r="CH228" i="7"/>
  <c r="CI228" i="7"/>
  <c r="CJ228" i="7"/>
  <c r="CK228" i="7"/>
  <c r="CL228" i="7"/>
  <c r="CM228" i="7"/>
  <c r="CN228" i="7"/>
  <c r="CO228" i="7"/>
  <c r="CP228" i="7"/>
  <c r="CQ228" i="7"/>
  <c r="CR228" i="7"/>
  <c r="CS228" i="7"/>
  <c r="CT228" i="7"/>
  <c r="CU228" i="7"/>
  <c r="CV228" i="7"/>
  <c r="CW228" i="7"/>
  <c r="CX228" i="7"/>
  <c r="CY228" i="7"/>
  <c r="CZ228" i="7"/>
  <c r="DA228" i="7"/>
  <c r="DB228" i="7"/>
  <c r="DC228" i="7"/>
  <c r="DD228" i="7"/>
  <c r="DE228" i="7"/>
  <c r="DF228" i="7"/>
  <c r="DG228" i="7"/>
  <c r="DH228" i="7"/>
  <c r="DI228" i="7"/>
  <c r="DJ228" i="7"/>
  <c r="DK228" i="7"/>
  <c r="DL228" i="7"/>
  <c r="DM228" i="7"/>
  <c r="DN228" i="7"/>
  <c r="DO228" i="7"/>
  <c r="DP228" i="7"/>
  <c r="DQ228" i="7"/>
  <c r="DR228" i="7"/>
  <c r="DS228" i="7"/>
  <c r="DT228" i="7"/>
  <c r="DU228" i="7"/>
  <c r="DV228" i="7"/>
  <c r="DW228" i="7"/>
  <c r="DX228" i="7"/>
  <c r="DY228" i="7"/>
  <c r="DZ228" i="7"/>
  <c r="EA228" i="7"/>
  <c r="EB228" i="7"/>
  <c r="EC228" i="7"/>
  <c r="ED228" i="7"/>
  <c r="EE228" i="7"/>
  <c r="EF228" i="7"/>
  <c r="EG228" i="7"/>
  <c r="EH228" i="7"/>
  <c r="EI228" i="7"/>
  <c r="EJ228" i="7"/>
  <c r="EK228" i="7"/>
  <c r="EL228" i="7"/>
  <c r="EM228" i="7"/>
  <c r="EN228" i="7"/>
  <c r="EO228" i="7"/>
  <c r="EP228" i="7"/>
  <c r="EQ228" i="7"/>
  <c r="ER228" i="7"/>
  <c r="ES228" i="7"/>
  <c r="ET228" i="7"/>
  <c r="EU228" i="7"/>
  <c r="EV228" i="7"/>
  <c r="EW228" i="7"/>
  <c r="EX228" i="7"/>
  <c r="EY228" i="7"/>
  <c r="EZ228" i="7"/>
  <c r="FA228" i="7"/>
  <c r="FB228" i="7"/>
  <c r="FC228" i="7"/>
  <c r="FD228" i="7"/>
  <c r="FE228" i="7"/>
  <c r="FF228" i="7"/>
  <c r="FG228" i="7"/>
  <c r="FH228" i="7"/>
  <c r="FI228" i="7"/>
  <c r="FJ228" i="7"/>
  <c r="FK228" i="7"/>
  <c r="FL228" i="7"/>
  <c r="FM228" i="7"/>
  <c r="FN228" i="7"/>
  <c r="FO228" i="7"/>
  <c r="FP228" i="7"/>
  <c r="FQ228" i="7"/>
  <c r="FR228" i="7"/>
  <c r="FS228" i="7"/>
  <c r="FT228" i="7"/>
  <c r="FU228" i="7"/>
  <c r="FV228" i="7"/>
  <c r="FW228" i="7"/>
  <c r="FX228" i="7"/>
  <c r="FY228" i="7"/>
  <c r="FZ228" i="7"/>
  <c r="GA228" i="7"/>
  <c r="GB228" i="7"/>
  <c r="GC228" i="7"/>
  <c r="GD228" i="7"/>
  <c r="GE228" i="7"/>
  <c r="GF228" i="7"/>
  <c r="GG228" i="7"/>
  <c r="GH228" i="7"/>
  <c r="GI228" i="7"/>
  <c r="GJ228" i="7"/>
  <c r="GK228" i="7"/>
  <c r="GL228" i="7"/>
  <c r="GM228" i="7"/>
  <c r="GN228" i="7"/>
  <c r="GO228" i="7"/>
  <c r="GP228" i="7"/>
  <c r="GQ228" i="7"/>
  <c r="GR228" i="7"/>
  <c r="GS228" i="7"/>
  <c r="GT228" i="7"/>
  <c r="GU228" i="7"/>
  <c r="GV228" i="7"/>
  <c r="GW228" i="7"/>
  <c r="GX228" i="7"/>
  <c r="GY228" i="7"/>
  <c r="GZ228" i="7"/>
  <c r="HA228" i="7"/>
  <c r="HB228" i="7"/>
  <c r="HC228" i="7"/>
  <c r="HD228" i="7"/>
  <c r="HE228" i="7"/>
  <c r="HF228" i="7"/>
  <c r="HG228" i="7"/>
  <c r="HH228" i="7"/>
  <c r="HI228" i="7"/>
  <c r="HJ228" i="7"/>
  <c r="HK228" i="7"/>
  <c r="HL228" i="7"/>
  <c r="HM228" i="7"/>
  <c r="HN228" i="7"/>
  <c r="HO228" i="7"/>
  <c r="HP228" i="7"/>
  <c r="HQ228" i="7"/>
  <c r="HR228" i="7"/>
  <c r="HS228" i="7"/>
  <c r="HT228" i="7"/>
  <c r="HU228" i="7"/>
  <c r="HV228" i="7"/>
  <c r="HW228" i="7"/>
  <c r="HX228" i="7"/>
  <c r="HY228" i="7"/>
  <c r="HZ228" i="7"/>
  <c r="IA228" i="7"/>
  <c r="IB228" i="7"/>
  <c r="IC228" i="7"/>
  <c r="ID228" i="7"/>
  <c r="IE228" i="7"/>
  <c r="IF228" i="7"/>
  <c r="IG228" i="7"/>
  <c r="IH228" i="7"/>
  <c r="II228" i="7"/>
  <c r="IJ228" i="7"/>
  <c r="IK228" i="7"/>
  <c r="IL228" i="7"/>
  <c r="IM228" i="7"/>
  <c r="IN228" i="7"/>
  <c r="IO228" i="7"/>
  <c r="IP228" i="7"/>
  <c r="IQ228" i="7"/>
  <c r="IR228" i="7"/>
  <c r="IS228" i="7"/>
  <c r="IT228" i="7"/>
  <c r="IU228" i="7"/>
  <c r="IV228" i="7"/>
  <c r="A227" i="7"/>
  <c r="B227" i="7"/>
  <c r="C227" i="7"/>
  <c r="D227" i="7"/>
  <c r="E227" i="7"/>
  <c r="F227" i="7"/>
  <c r="G227" i="7"/>
  <c r="H227" i="7"/>
  <c r="I227" i="7"/>
  <c r="J227" i="7"/>
  <c r="K227" i="7"/>
  <c r="L227" i="7"/>
  <c r="M227" i="7"/>
  <c r="N227" i="7"/>
  <c r="O227" i="7"/>
  <c r="P227" i="7"/>
  <c r="Q227" i="7"/>
  <c r="R227" i="7"/>
  <c r="S227" i="7"/>
  <c r="T227" i="7"/>
  <c r="U227" i="7"/>
  <c r="V227" i="7"/>
  <c r="W227" i="7"/>
  <c r="X227" i="7"/>
  <c r="Y227" i="7"/>
  <c r="Z227" i="7"/>
  <c r="AA227" i="7"/>
  <c r="AB227" i="7"/>
  <c r="AC227" i="7"/>
  <c r="AD227" i="7"/>
  <c r="AE227" i="7"/>
  <c r="AF227" i="7"/>
  <c r="AG227" i="7"/>
  <c r="AH227" i="7"/>
  <c r="AI227" i="7"/>
  <c r="AJ227" i="7"/>
  <c r="AK227" i="7"/>
  <c r="AL227" i="7"/>
  <c r="AM227" i="7"/>
  <c r="AN227" i="7"/>
  <c r="AO227" i="7"/>
  <c r="AP227" i="7"/>
  <c r="AQ227" i="7"/>
  <c r="AR227" i="7"/>
  <c r="AS227" i="7"/>
  <c r="AT227" i="7"/>
  <c r="AU227" i="7"/>
  <c r="AV227" i="7"/>
  <c r="AW227" i="7"/>
  <c r="AX227" i="7"/>
  <c r="AY227" i="7"/>
  <c r="AZ227" i="7"/>
  <c r="BA227" i="7"/>
  <c r="BB227" i="7"/>
  <c r="BC227" i="7"/>
  <c r="BD227" i="7"/>
  <c r="BE227" i="7"/>
  <c r="BF227" i="7"/>
  <c r="BG227" i="7"/>
  <c r="BH227" i="7"/>
  <c r="BI227" i="7"/>
  <c r="BJ227" i="7"/>
  <c r="BK227" i="7"/>
  <c r="BL227" i="7"/>
  <c r="BM227" i="7"/>
  <c r="BN227" i="7"/>
  <c r="BO227" i="7"/>
  <c r="BP227" i="7"/>
  <c r="BQ227" i="7"/>
  <c r="BR227" i="7"/>
  <c r="BS227" i="7"/>
  <c r="BT227" i="7"/>
  <c r="BU227" i="7"/>
  <c r="BV227" i="7"/>
  <c r="BW227" i="7"/>
  <c r="BX227" i="7"/>
  <c r="BY227" i="7"/>
  <c r="BZ227" i="7"/>
  <c r="CA227" i="7"/>
  <c r="CB227" i="7"/>
  <c r="CC227" i="7"/>
  <c r="CD227" i="7"/>
  <c r="CE227" i="7"/>
  <c r="CF227" i="7"/>
  <c r="CG227" i="7"/>
  <c r="CH227" i="7"/>
  <c r="CI227" i="7"/>
  <c r="CJ227" i="7"/>
  <c r="CK227" i="7"/>
  <c r="CL227" i="7"/>
  <c r="CM227" i="7"/>
  <c r="CN227" i="7"/>
  <c r="CO227" i="7"/>
  <c r="CP227" i="7"/>
  <c r="CQ227" i="7"/>
  <c r="CR227" i="7"/>
  <c r="CS227" i="7"/>
  <c r="CT227" i="7"/>
  <c r="CU227" i="7"/>
  <c r="CV227" i="7"/>
  <c r="CW227" i="7"/>
  <c r="CX227" i="7"/>
  <c r="CY227" i="7"/>
  <c r="CZ227" i="7"/>
  <c r="DA227" i="7"/>
  <c r="DB227" i="7"/>
  <c r="DC227" i="7"/>
  <c r="DD227" i="7"/>
  <c r="DE227" i="7"/>
  <c r="DF227" i="7"/>
  <c r="DG227" i="7"/>
  <c r="DH227" i="7"/>
  <c r="DI227" i="7"/>
  <c r="DJ227" i="7"/>
  <c r="DK227" i="7"/>
  <c r="DL227" i="7"/>
  <c r="DM227" i="7"/>
  <c r="DN227" i="7"/>
  <c r="DO227" i="7"/>
  <c r="DP227" i="7"/>
  <c r="DQ227" i="7"/>
  <c r="DR227" i="7"/>
  <c r="DS227" i="7"/>
  <c r="DT227" i="7"/>
  <c r="DU227" i="7"/>
  <c r="DV227" i="7"/>
  <c r="DW227" i="7"/>
  <c r="DX227" i="7"/>
  <c r="DY227" i="7"/>
  <c r="DZ227" i="7"/>
  <c r="EA227" i="7"/>
  <c r="EB227" i="7"/>
  <c r="EC227" i="7"/>
  <c r="ED227" i="7"/>
  <c r="EE227" i="7"/>
  <c r="EF227" i="7"/>
  <c r="EG227" i="7"/>
  <c r="EH227" i="7"/>
  <c r="EI227" i="7"/>
  <c r="EJ227" i="7"/>
  <c r="EK227" i="7"/>
  <c r="EL227" i="7"/>
  <c r="EM227" i="7"/>
  <c r="EN227" i="7"/>
  <c r="EO227" i="7"/>
  <c r="EP227" i="7"/>
  <c r="EQ227" i="7"/>
  <c r="ER227" i="7"/>
  <c r="ES227" i="7"/>
  <c r="ET227" i="7"/>
  <c r="EU227" i="7"/>
  <c r="EV227" i="7"/>
  <c r="EW227" i="7"/>
  <c r="EX227" i="7"/>
  <c r="EY227" i="7"/>
  <c r="EZ227" i="7"/>
  <c r="FA227" i="7"/>
  <c r="FB227" i="7"/>
  <c r="FC227" i="7"/>
  <c r="FD227" i="7"/>
  <c r="FE227" i="7"/>
  <c r="FF227" i="7"/>
  <c r="FG227" i="7"/>
  <c r="FH227" i="7"/>
  <c r="FI227" i="7"/>
  <c r="FJ227" i="7"/>
  <c r="FK227" i="7"/>
  <c r="FL227" i="7"/>
  <c r="FM227" i="7"/>
  <c r="FN227" i="7"/>
  <c r="FO227" i="7"/>
  <c r="FP227" i="7"/>
  <c r="FQ227" i="7"/>
  <c r="FR227" i="7"/>
  <c r="FS227" i="7"/>
  <c r="FT227" i="7"/>
  <c r="FU227" i="7"/>
  <c r="FV227" i="7"/>
  <c r="FW227" i="7"/>
  <c r="FX227" i="7"/>
  <c r="FY227" i="7"/>
  <c r="FZ227" i="7"/>
  <c r="GA227" i="7"/>
  <c r="GB227" i="7"/>
  <c r="GC227" i="7"/>
  <c r="GD227" i="7"/>
  <c r="GE227" i="7"/>
  <c r="GF227" i="7"/>
  <c r="GG227" i="7"/>
  <c r="GH227" i="7"/>
  <c r="GI227" i="7"/>
  <c r="GJ227" i="7"/>
  <c r="GK227" i="7"/>
  <c r="GL227" i="7"/>
  <c r="GM227" i="7"/>
  <c r="GN227" i="7"/>
  <c r="GO227" i="7"/>
  <c r="GP227" i="7"/>
  <c r="GQ227" i="7"/>
  <c r="GR227" i="7"/>
  <c r="GS227" i="7"/>
  <c r="GT227" i="7"/>
  <c r="GU227" i="7"/>
  <c r="GV227" i="7"/>
  <c r="GW227" i="7"/>
  <c r="GX227" i="7"/>
  <c r="GY227" i="7"/>
  <c r="GZ227" i="7"/>
  <c r="HA227" i="7"/>
  <c r="HB227" i="7"/>
  <c r="HC227" i="7"/>
  <c r="HD227" i="7"/>
  <c r="HE227" i="7"/>
  <c r="HF227" i="7"/>
  <c r="HG227" i="7"/>
  <c r="HH227" i="7"/>
  <c r="HI227" i="7"/>
  <c r="HJ227" i="7"/>
  <c r="HK227" i="7"/>
  <c r="HL227" i="7"/>
  <c r="HM227" i="7"/>
  <c r="HN227" i="7"/>
  <c r="HO227" i="7"/>
  <c r="HP227" i="7"/>
  <c r="HQ227" i="7"/>
  <c r="HR227" i="7"/>
  <c r="HS227" i="7"/>
  <c r="HT227" i="7"/>
  <c r="HU227" i="7"/>
  <c r="HV227" i="7"/>
  <c r="HW227" i="7"/>
  <c r="HX227" i="7"/>
  <c r="HY227" i="7"/>
  <c r="HZ227" i="7"/>
  <c r="IA227" i="7"/>
  <c r="IB227" i="7"/>
  <c r="IC227" i="7"/>
  <c r="ID227" i="7"/>
  <c r="IE227" i="7"/>
  <c r="IF227" i="7"/>
  <c r="IG227" i="7"/>
  <c r="IH227" i="7"/>
  <c r="II227" i="7"/>
  <c r="IJ227" i="7"/>
  <c r="IK227" i="7"/>
  <c r="IL227" i="7"/>
  <c r="IM227" i="7"/>
  <c r="IN227" i="7"/>
  <c r="IO227" i="7"/>
  <c r="IP227" i="7"/>
  <c r="IQ227" i="7"/>
  <c r="IR227" i="7"/>
  <c r="IS227" i="7"/>
  <c r="IT227" i="7"/>
  <c r="IU227" i="7"/>
  <c r="IV227" i="7"/>
  <c r="A226" i="7"/>
  <c r="B226" i="7"/>
  <c r="C226" i="7"/>
  <c r="D226" i="7"/>
  <c r="E226" i="7"/>
  <c r="F226" i="7"/>
  <c r="G226" i="7"/>
  <c r="H226" i="7"/>
  <c r="I226" i="7"/>
  <c r="J226" i="7"/>
  <c r="K226" i="7"/>
  <c r="L226" i="7"/>
  <c r="M226" i="7"/>
  <c r="N226" i="7"/>
  <c r="O226" i="7"/>
  <c r="P226" i="7"/>
  <c r="Q226" i="7"/>
  <c r="R226" i="7"/>
  <c r="S226" i="7"/>
  <c r="T226" i="7"/>
  <c r="U226" i="7"/>
  <c r="V226" i="7"/>
  <c r="W226" i="7"/>
  <c r="X226" i="7"/>
  <c r="Y226" i="7"/>
  <c r="Z226" i="7"/>
  <c r="AA226" i="7"/>
  <c r="AB226" i="7"/>
  <c r="AC226" i="7"/>
  <c r="AD226" i="7"/>
  <c r="AE226" i="7"/>
  <c r="AF226" i="7"/>
  <c r="AG226" i="7"/>
  <c r="AH226" i="7"/>
  <c r="AI226" i="7"/>
  <c r="AJ226" i="7"/>
  <c r="AK226" i="7"/>
  <c r="AL226" i="7"/>
  <c r="AM226" i="7"/>
  <c r="AN226" i="7"/>
  <c r="AO226" i="7"/>
  <c r="AP226" i="7"/>
  <c r="AQ226" i="7"/>
  <c r="AR226" i="7"/>
  <c r="AS226" i="7"/>
  <c r="AT226" i="7"/>
  <c r="AU226" i="7"/>
  <c r="AV226" i="7"/>
  <c r="AW226" i="7"/>
  <c r="AX226" i="7"/>
  <c r="AY226" i="7"/>
  <c r="AZ226" i="7"/>
  <c r="BA226" i="7"/>
  <c r="BB226" i="7"/>
  <c r="BC226" i="7"/>
  <c r="BD226" i="7"/>
  <c r="BE226" i="7"/>
  <c r="BF226" i="7"/>
  <c r="BG226" i="7"/>
  <c r="BH226" i="7"/>
  <c r="BI226" i="7"/>
  <c r="BJ226" i="7"/>
  <c r="BK226" i="7"/>
  <c r="BL226" i="7"/>
  <c r="BM226" i="7"/>
  <c r="BN226" i="7"/>
  <c r="BO226" i="7"/>
  <c r="BP226" i="7"/>
  <c r="BQ226" i="7"/>
  <c r="BR226" i="7"/>
  <c r="BS226" i="7"/>
  <c r="BT226" i="7"/>
  <c r="BU226" i="7"/>
  <c r="BV226" i="7"/>
  <c r="BW226" i="7"/>
  <c r="BX226" i="7"/>
  <c r="BY226" i="7"/>
  <c r="BZ226" i="7"/>
  <c r="CA226" i="7"/>
  <c r="CB226" i="7"/>
  <c r="CC226" i="7"/>
  <c r="CD226" i="7"/>
  <c r="CE226" i="7"/>
  <c r="CF226" i="7"/>
  <c r="CG226" i="7"/>
  <c r="CH226" i="7"/>
  <c r="CI226" i="7"/>
  <c r="CJ226" i="7"/>
  <c r="CK226" i="7"/>
  <c r="CL226" i="7"/>
  <c r="CM226" i="7"/>
  <c r="CN226" i="7"/>
  <c r="CO226" i="7"/>
  <c r="CP226" i="7"/>
  <c r="CQ226" i="7"/>
  <c r="CR226" i="7"/>
  <c r="CS226" i="7"/>
  <c r="CT226" i="7"/>
  <c r="CU226" i="7"/>
  <c r="CV226" i="7"/>
  <c r="CW226" i="7"/>
  <c r="CX226" i="7"/>
  <c r="CY226" i="7"/>
  <c r="CZ226" i="7"/>
  <c r="DA226" i="7"/>
  <c r="DB226" i="7"/>
  <c r="DC226" i="7"/>
  <c r="DD226" i="7"/>
  <c r="DE226" i="7"/>
  <c r="DF226" i="7"/>
  <c r="DG226" i="7"/>
  <c r="DH226" i="7"/>
  <c r="DI226" i="7"/>
  <c r="DJ226" i="7"/>
  <c r="DK226" i="7"/>
  <c r="DL226" i="7"/>
  <c r="DM226" i="7"/>
  <c r="DN226" i="7"/>
  <c r="DO226" i="7"/>
  <c r="DP226" i="7"/>
  <c r="DQ226" i="7"/>
  <c r="DR226" i="7"/>
  <c r="DS226" i="7"/>
  <c r="DT226" i="7"/>
  <c r="DU226" i="7"/>
  <c r="DV226" i="7"/>
  <c r="DW226" i="7"/>
  <c r="DX226" i="7"/>
  <c r="DY226" i="7"/>
  <c r="DZ226" i="7"/>
  <c r="EA226" i="7"/>
  <c r="EB226" i="7"/>
  <c r="EC226" i="7"/>
  <c r="ED226" i="7"/>
  <c r="EE226" i="7"/>
  <c r="EF226" i="7"/>
  <c r="EG226" i="7"/>
  <c r="EH226" i="7"/>
  <c r="EI226" i="7"/>
  <c r="EJ226" i="7"/>
  <c r="EK226" i="7"/>
  <c r="EL226" i="7"/>
  <c r="EM226" i="7"/>
  <c r="EN226" i="7"/>
  <c r="EO226" i="7"/>
  <c r="EP226" i="7"/>
  <c r="EQ226" i="7"/>
  <c r="ER226" i="7"/>
  <c r="ES226" i="7"/>
  <c r="ET226" i="7"/>
  <c r="EU226" i="7"/>
  <c r="EV226" i="7"/>
  <c r="EW226" i="7"/>
  <c r="EX226" i="7"/>
  <c r="EY226" i="7"/>
  <c r="EZ226" i="7"/>
  <c r="FA226" i="7"/>
  <c r="FB226" i="7"/>
  <c r="FC226" i="7"/>
  <c r="FD226" i="7"/>
  <c r="FE226" i="7"/>
  <c r="FF226" i="7"/>
  <c r="FG226" i="7"/>
  <c r="FH226" i="7"/>
  <c r="FI226" i="7"/>
  <c r="FJ226" i="7"/>
  <c r="FK226" i="7"/>
  <c r="FL226" i="7"/>
  <c r="FM226" i="7"/>
  <c r="FN226" i="7"/>
  <c r="FO226" i="7"/>
  <c r="FP226" i="7"/>
  <c r="FQ226" i="7"/>
  <c r="FR226" i="7"/>
  <c r="FS226" i="7"/>
  <c r="FT226" i="7"/>
  <c r="FU226" i="7"/>
  <c r="FV226" i="7"/>
  <c r="FW226" i="7"/>
  <c r="FX226" i="7"/>
  <c r="FY226" i="7"/>
  <c r="FZ226" i="7"/>
  <c r="GA226" i="7"/>
  <c r="GB226" i="7"/>
  <c r="GC226" i="7"/>
  <c r="GD226" i="7"/>
  <c r="GE226" i="7"/>
  <c r="GF226" i="7"/>
  <c r="GG226" i="7"/>
  <c r="GH226" i="7"/>
  <c r="GI226" i="7"/>
  <c r="GJ226" i="7"/>
  <c r="GK226" i="7"/>
  <c r="GL226" i="7"/>
  <c r="GM226" i="7"/>
  <c r="GN226" i="7"/>
  <c r="GO226" i="7"/>
  <c r="GP226" i="7"/>
  <c r="GQ226" i="7"/>
  <c r="GR226" i="7"/>
  <c r="GS226" i="7"/>
  <c r="GT226" i="7"/>
  <c r="GU226" i="7"/>
  <c r="GV226" i="7"/>
  <c r="GW226" i="7"/>
  <c r="GX226" i="7"/>
  <c r="GY226" i="7"/>
  <c r="GZ226" i="7"/>
  <c r="HA226" i="7"/>
  <c r="HB226" i="7"/>
  <c r="HC226" i="7"/>
  <c r="HD226" i="7"/>
  <c r="HE226" i="7"/>
  <c r="HF226" i="7"/>
  <c r="HG226" i="7"/>
  <c r="HH226" i="7"/>
  <c r="HI226" i="7"/>
  <c r="HJ226" i="7"/>
  <c r="HK226" i="7"/>
  <c r="HL226" i="7"/>
  <c r="HM226" i="7"/>
  <c r="HN226" i="7"/>
  <c r="HO226" i="7"/>
  <c r="HP226" i="7"/>
  <c r="HQ226" i="7"/>
  <c r="HR226" i="7"/>
  <c r="HS226" i="7"/>
  <c r="HT226" i="7"/>
  <c r="HU226" i="7"/>
  <c r="HV226" i="7"/>
  <c r="HW226" i="7"/>
  <c r="HX226" i="7"/>
  <c r="HY226" i="7"/>
  <c r="HZ226" i="7"/>
  <c r="IA226" i="7"/>
  <c r="IB226" i="7"/>
  <c r="IC226" i="7"/>
  <c r="ID226" i="7"/>
  <c r="IE226" i="7"/>
  <c r="IF226" i="7"/>
  <c r="IG226" i="7"/>
  <c r="IH226" i="7"/>
  <c r="II226" i="7"/>
  <c r="IJ226" i="7"/>
  <c r="IK226" i="7"/>
  <c r="IL226" i="7"/>
  <c r="IM226" i="7"/>
  <c r="IN226" i="7"/>
  <c r="IO226" i="7"/>
  <c r="IP226" i="7"/>
  <c r="IQ226" i="7"/>
  <c r="IR226" i="7"/>
  <c r="IS226" i="7"/>
  <c r="IT226" i="7"/>
  <c r="IU226" i="7"/>
  <c r="IV226" i="7"/>
  <c r="A225" i="7"/>
  <c r="B225" i="7"/>
  <c r="C225" i="7"/>
  <c r="D225" i="7"/>
  <c r="E225" i="7"/>
  <c r="F225" i="7"/>
  <c r="G225" i="7"/>
  <c r="H225" i="7"/>
  <c r="I225" i="7"/>
  <c r="J225" i="7"/>
  <c r="K225" i="7"/>
  <c r="L225" i="7"/>
  <c r="M225" i="7"/>
  <c r="N225" i="7"/>
  <c r="O225" i="7"/>
  <c r="P225" i="7"/>
  <c r="Q225" i="7"/>
  <c r="R225" i="7"/>
  <c r="S225" i="7"/>
  <c r="T225" i="7"/>
  <c r="U225" i="7"/>
  <c r="V225" i="7"/>
  <c r="W225" i="7"/>
  <c r="X225" i="7"/>
  <c r="Y225" i="7"/>
  <c r="Z225" i="7"/>
  <c r="AA225" i="7"/>
  <c r="AB225" i="7"/>
  <c r="AC225" i="7"/>
  <c r="AD225" i="7"/>
  <c r="AE225" i="7"/>
  <c r="AF225" i="7"/>
  <c r="AG225" i="7"/>
  <c r="AH225" i="7"/>
  <c r="AI225" i="7"/>
  <c r="AJ225" i="7"/>
  <c r="AK225" i="7"/>
  <c r="AL225" i="7"/>
  <c r="AM225" i="7"/>
  <c r="AN225" i="7"/>
  <c r="AO225" i="7"/>
  <c r="AP225" i="7"/>
  <c r="AQ225" i="7"/>
  <c r="AR225" i="7"/>
  <c r="AS225" i="7"/>
  <c r="AT225" i="7"/>
  <c r="AU225" i="7"/>
  <c r="AV225" i="7"/>
  <c r="AW225" i="7"/>
  <c r="AX225" i="7"/>
  <c r="AY225" i="7"/>
  <c r="AZ225" i="7"/>
  <c r="BA225" i="7"/>
  <c r="BB225" i="7"/>
  <c r="BC225" i="7"/>
  <c r="BD225" i="7"/>
  <c r="BE225" i="7"/>
  <c r="BF225" i="7"/>
  <c r="BG225" i="7"/>
  <c r="BH225" i="7"/>
  <c r="BI225" i="7"/>
  <c r="BJ225" i="7"/>
  <c r="BK225" i="7"/>
  <c r="BL225" i="7"/>
  <c r="BM225" i="7"/>
  <c r="BN225" i="7"/>
  <c r="BO225" i="7"/>
  <c r="BP225" i="7"/>
  <c r="BQ225" i="7"/>
  <c r="BR225" i="7"/>
  <c r="BS225" i="7"/>
  <c r="BT225" i="7"/>
  <c r="BU225" i="7"/>
  <c r="BV225" i="7"/>
  <c r="BW225" i="7"/>
  <c r="BX225" i="7"/>
  <c r="BY225" i="7"/>
  <c r="BZ225" i="7"/>
  <c r="CA225" i="7"/>
  <c r="CB225" i="7"/>
  <c r="CC225" i="7"/>
  <c r="CD225" i="7"/>
  <c r="CE225" i="7"/>
  <c r="CF225" i="7"/>
  <c r="CG225" i="7"/>
  <c r="CH225" i="7"/>
  <c r="CI225" i="7"/>
  <c r="CJ225" i="7"/>
  <c r="CK225" i="7"/>
  <c r="CL225" i="7"/>
  <c r="CM225" i="7"/>
  <c r="CN225" i="7"/>
  <c r="CO225" i="7"/>
  <c r="CP225" i="7"/>
  <c r="CQ225" i="7"/>
  <c r="CR225" i="7"/>
  <c r="CS225" i="7"/>
  <c r="CT225" i="7"/>
  <c r="CU225" i="7"/>
  <c r="CV225" i="7"/>
  <c r="CW225" i="7"/>
  <c r="CX225" i="7"/>
  <c r="CY225" i="7"/>
  <c r="CZ225" i="7"/>
  <c r="DA225" i="7"/>
  <c r="DB225" i="7"/>
  <c r="DC225" i="7"/>
  <c r="DD225" i="7"/>
  <c r="DE225" i="7"/>
  <c r="DF225" i="7"/>
  <c r="DG225" i="7"/>
  <c r="DH225" i="7"/>
  <c r="DI225" i="7"/>
  <c r="DJ225" i="7"/>
  <c r="DK225" i="7"/>
  <c r="DL225" i="7"/>
  <c r="DM225" i="7"/>
  <c r="DN225" i="7"/>
  <c r="DO225" i="7"/>
  <c r="DP225" i="7"/>
  <c r="DQ225" i="7"/>
  <c r="DR225" i="7"/>
  <c r="DS225" i="7"/>
  <c r="DT225" i="7"/>
  <c r="DU225" i="7"/>
  <c r="DV225" i="7"/>
  <c r="DW225" i="7"/>
  <c r="DX225" i="7"/>
  <c r="DY225" i="7"/>
  <c r="DZ225" i="7"/>
  <c r="EA225" i="7"/>
  <c r="EB225" i="7"/>
  <c r="EC225" i="7"/>
  <c r="ED225" i="7"/>
  <c r="EE225" i="7"/>
  <c r="EF225" i="7"/>
  <c r="EG225" i="7"/>
  <c r="EH225" i="7"/>
  <c r="EI225" i="7"/>
  <c r="EJ225" i="7"/>
  <c r="EK225" i="7"/>
  <c r="EL225" i="7"/>
  <c r="EM225" i="7"/>
  <c r="EN225" i="7"/>
  <c r="EO225" i="7"/>
  <c r="EP225" i="7"/>
  <c r="EQ225" i="7"/>
  <c r="ER225" i="7"/>
  <c r="ES225" i="7"/>
  <c r="ET225" i="7"/>
  <c r="EU225" i="7"/>
  <c r="EV225" i="7"/>
  <c r="EW225" i="7"/>
  <c r="EX225" i="7"/>
  <c r="EY225" i="7"/>
  <c r="EZ225" i="7"/>
  <c r="FA225" i="7"/>
  <c r="FB225" i="7"/>
  <c r="FC225" i="7"/>
  <c r="FD225" i="7"/>
  <c r="FE225" i="7"/>
  <c r="FF225" i="7"/>
  <c r="FG225" i="7"/>
  <c r="FH225" i="7"/>
  <c r="FI225" i="7"/>
  <c r="FJ225" i="7"/>
  <c r="FK225" i="7"/>
  <c r="FL225" i="7"/>
  <c r="FM225" i="7"/>
  <c r="FN225" i="7"/>
  <c r="FO225" i="7"/>
  <c r="FP225" i="7"/>
  <c r="FQ225" i="7"/>
  <c r="FR225" i="7"/>
  <c r="FS225" i="7"/>
  <c r="FT225" i="7"/>
  <c r="FU225" i="7"/>
  <c r="FV225" i="7"/>
  <c r="FW225" i="7"/>
  <c r="FX225" i="7"/>
  <c r="FY225" i="7"/>
  <c r="FZ225" i="7"/>
  <c r="GA225" i="7"/>
  <c r="GB225" i="7"/>
  <c r="GC225" i="7"/>
  <c r="GD225" i="7"/>
  <c r="GE225" i="7"/>
  <c r="GF225" i="7"/>
  <c r="GG225" i="7"/>
  <c r="GH225" i="7"/>
  <c r="GI225" i="7"/>
  <c r="GJ225" i="7"/>
  <c r="GK225" i="7"/>
  <c r="GL225" i="7"/>
  <c r="GM225" i="7"/>
  <c r="GN225" i="7"/>
  <c r="GO225" i="7"/>
  <c r="GP225" i="7"/>
  <c r="GQ225" i="7"/>
  <c r="GR225" i="7"/>
  <c r="GS225" i="7"/>
  <c r="GT225" i="7"/>
  <c r="GU225" i="7"/>
  <c r="GV225" i="7"/>
  <c r="GW225" i="7"/>
  <c r="GX225" i="7"/>
  <c r="GY225" i="7"/>
  <c r="GZ225" i="7"/>
  <c r="HA225" i="7"/>
  <c r="HB225" i="7"/>
  <c r="HC225" i="7"/>
  <c r="HD225" i="7"/>
  <c r="HE225" i="7"/>
  <c r="HF225" i="7"/>
  <c r="HG225" i="7"/>
  <c r="HH225" i="7"/>
  <c r="HI225" i="7"/>
  <c r="HJ225" i="7"/>
  <c r="HK225" i="7"/>
  <c r="HL225" i="7"/>
  <c r="HM225" i="7"/>
  <c r="HN225" i="7"/>
  <c r="HO225" i="7"/>
  <c r="HP225" i="7"/>
  <c r="HQ225" i="7"/>
  <c r="HR225" i="7"/>
  <c r="HS225" i="7"/>
  <c r="HT225" i="7"/>
  <c r="HU225" i="7"/>
  <c r="HV225" i="7"/>
  <c r="HW225" i="7"/>
  <c r="HX225" i="7"/>
  <c r="HY225" i="7"/>
  <c r="HZ225" i="7"/>
  <c r="IA225" i="7"/>
  <c r="IB225" i="7"/>
  <c r="IC225" i="7"/>
  <c r="ID225" i="7"/>
  <c r="IE225" i="7"/>
  <c r="IF225" i="7"/>
  <c r="IG225" i="7"/>
  <c r="IH225" i="7"/>
  <c r="II225" i="7"/>
  <c r="IJ225" i="7"/>
  <c r="IK225" i="7"/>
  <c r="IL225" i="7"/>
  <c r="IM225" i="7"/>
  <c r="IN225" i="7"/>
  <c r="IO225" i="7"/>
  <c r="IP225" i="7"/>
  <c r="IQ225" i="7"/>
  <c r="IR225" i="7"/>
  <c r="IS225" i="7"/>
  <c r="IT225" i="7"/>
  <c r="IU225" i="7"/>
  <c r="IV225" i="7"/>
  <c r="A224" i="7"/>
  <c r="B224" i="7"/>
  <c r="C224" i="7"/>
  <c r="D224" i="7"/>
  <c r="E224" i="7"/>
  <c r="F224" i="7"/>
  <c r="G224" i="7"/>
  <c r="H224" i="7"/>
  <c r="I224" i="7"/>
  <c r="J224" i="7"/>
  <c r="K224" i="7"/>
  <c r="L224" i="7"/>
  <c r="M224" i="7"/>
  <c r="N224" i="7"/>
  <c r="O224" i="7"/>
  <c r="P224" i="7"/>
  <c r="Q224" i="7"/>
  <c r="R224" i="7"/>
  <c r="S224" i="7"/>
  <c r="T224" i="7"/>
  <c r="U224" i="7"/>
  <c r="V224" i="7"/>
  <c r="W224" i="7"/>
  <c r="X224" i="7"/>
  <c r="Y224" i="7"/>
  <c r="Z224" i="7"/>
  <c r="AA224" i="7"/>
  <c r="AB224" i="7"/>
  <c r="AC224" i="7"/>
  <c r="AD224" i="7"/>
  <c r="AE224" i="7"/>
  <c r="AF224" i="7"/>
  <c r="AG224" i="7"/>
  <c r="AH224" i="7"/>
  <c r="AI224" i="7"/>
  <c r="AJ224" i="7"/>
  <c r="AK224" i="7"/>
  <c r="AL224" i="7"/>
  <c r="AM224" i="7"/>
  <c r="AN224" i="7"/>
  <c r="AO224" i="7"/>
  <c r="AP224" i="7"/>
  <c r="AQ224" i="7"/>
  <c r="AR224" i="7"/>
  <c r="AS224" i="7"/>
  <c r="AT224" i="7"/>
  <c r="AU224" i="7"/>
  <c r="AV224" i="7"/>
  <c r="AW224" i="7"/>
  <c r="AX224" i="7"/>
  <c r="AY224" i="7"/>
  <c r="AZ224" i="7"/>
  <c r="BA224" i="7"/>
  <c r="BB224" i="7"/>
  <c r="BC224" i="7"/>
  <c r="BD224" i="7"/>
  <c r="BE224" i="7"/>
  <c r="BF224" i="7"/>
  <c r="BG224" i="7"/>
  <c r="BH224" i="7"/>
  <c r="BI224" i="7"/>
  <c r="BJ224" i="7"/>
  <c r="BK224" i="7"/>
  <c r="BL224" i="7"/>
  <c r="BM224" i="7"/>
  <c r="BN224" i="7"/>
  <c r="BO224" i="7"/>
  <c r="BP224" i="7"/>
  <c r="BQ224" i="7"/>
  <c r="BR224" i="7"/>
  <c r="BS224" i="7"/>
  <c r="BT224" i="7"/>
  <c r="BU224" i="7"/>
  <c r="BV224" i="7"/>
  <c r="BW224" i="7"/>
  <c r="BX224" i="7"/>
  <c r="BY224" i="7"/>
  <c r="BZ224" i="7"/>
  <c r="CA224" i="7"/>
  <c r="CB224" i="7"/>
  <c r="CC224" i="7"/>
  <c r="CD224" i="7"/>
  <c r="CE224" i="7"/>
  <c r="CF224" i="7"/>
  <c r="CG224" i="7"/>
  <c r="CH224" i="7"/>
  <c r="CI224" i="7"/>
  <c r="CJ224" i="7"/>
  <c r="CK224" i="7"/>
  <c r="CL224" i="7"/>
  <c r="CM224" i="7"/>
  <c r="CN224" i="7"/>
  <c r="CO224" i="7"/>
  <c r="CP224" i="7"/>
  <c r="CQ224" i="7"/>
  <c r="CR224" i="7"/>
  <c r="CS224" i="7"/>
  <c r="CT224" i="7"/>
  <c r="CU224" i="7"/>
  <c r="CV224" i="7"/>
  <c r="CW224" i="7"/>
  <c r="CX224" i="7"/>
  <c r="CY224" i="7"/>
  <c r="CZ224" i="7"/>
  <c r="DA224" i="7"/>
  <c r="DB224" i="7"/>
  <c r="DC224" i="7"/>
  <c r="DD224" i="7"/>
  <c r="DE224" i="7"/>
  <c r="DF224" i="7"/>
  <c r="DG224" i="7"/>
  <c r="DH224" i="7"/>
  <c r="DI224" i="7"/>
  <c r="DJ224" i="7"/>
  <c r="DK224" i="7"/>
  <c r="DL224" i="7"/>
  <c r="DM224" i="7"/>
  <c r="DN224" i="7"/>
  <c r="DO224" i="7"/>
  <c r="DP224" i="7"/>
  <c r="DQ224" i="7"/>
  <c r="DR224" i="7"/>
  <c r="DS224" i="7"/>
  <c r="DT224" i="7"/>
  <c r="DU224" i="7"/>
  <c r="DV224" i="7"/>
  <c r="DW224" i="7"/>
  <c r="DX224" i="7"/>
  <c r="DY224" i="7"/>
  <c r="DZ224" i="7"/>
  <c r="EA224" i="7"/>
  <c r="EB224" i="7"/>
  <c r="EC224" i="7"/>
  <c r="ED224" i="7"/>
  <c r="EE224" i="7"/>
  <c r="EF224" i="7"/>
  <c r="EG224" i="7"/>
  <c r="EH224" i="7"/>
  <c r="EI224" i="7"/>
  <c r="EJ224" i="7"/>
  <c r="EK224" i="7"/>
  <c r="EL224" i="7"/>
  <c r="EM224" i="7"/>
  <c r="EN224" i="7"/>
  <c r="EO224" i="7"/>
  <c r="EP224" i="7"/>
  <c r="EQ224" i="7"/>
  <c r="ER224" i="7"/>
  <c r="ES224" i="7"/>
  <c r="ET224" i="7"/>
  <c r="EU224" i="7"/>
  <c r="EV224" i="7"/>
  <c r="EW224" i="7"/>
  <c r="EX224" i="7"/>
  <c r="EY224" i="7"/>
  <c r="EZ224" i="7"/>
  <c r="FA224" i="7"/>
  <c r="FB224" i="7"/>
  <c r="FC224" i="7"/>
  <c r="FD224" i="7"/>
  <c r="FE224" i="7"/>
  <c r="FF224" i="7"/>
  <c r="FG224" i="7"/>
  <c r="FH224" i="7"/>
  <c r="FI224" i="7"/>
  <c r="FJ224" i="7"/>
  <c r="FK224" i="7"/>
  <c r="FL224" i="7"/>
  <c r="FM224" i="7"/>
  <c r="FN224" i="7"/>
  <c r="FO224" i="7"/>
  <c r="FP224" i="7"/>
  <c r="FQ224" i="7"/>
  <c r="FR224" i="7"/>
  <c r="FS224" i="7"/>
  <c r="FT224" i="7"/>
  <c r="FU224" i="7"/>
  <c r="FV224" i="7"/>
  <c r="FW224" i="7"/>
  <c r="FX224" i="7"/>
  <c r="FY224" i="7"/>
  <c r="FZ224" i="7"/>
  <c r="GA224" i="7"/>
  <c r="GB224" i="7"/>
  <c r="GC224" i="7"/>
  <c r="GD224" i="7"/>
  <c r="GE224" i="7"/>
  <c r="GF224" i="7"/>
  <c r="GG224" i="7"/>
  <c r="GH224" i="7"/>
  <c r="GI224" i="7"/>
  <c r="GJ224" i="7"/>
  <c r="GK224" i="7"/>
  <c r="GL224" i="7"/>
  <c r="GM224" i="7"/>
  <c r="GN224" i="7"/>
  <c r="GO224" i="7"/>
  <c r="GP224" i="7"/>
  <c r="GQ224" i="7"/>
  <c r="GR224" i="7"/>
  <c r="GS224" i="7"/>
  <c r="GT224" i="7"/>
  <c r="GU224" i="7"/>
  <c r="GV224" i="7"/>
  <c r="GW224" i="7"/>
  <c r="GX224" i="7"/>
  <c r="GY224" i="7"/>
  <c r="GZ224" i="7"/>
  <c r="HA224" i="7"/>
  <c r="HB224" i="7"/>
  <c r="HC224" i="7"/>
  <c r="HD224" i="7"/>
  <c r="HE224" i="7"/>
  <c r="HF224" i="7"/>
  <c r="HG224" i="7"/>
  <c r="HH224" i="7"/>
  <c r="HI224" i="7"/>
  <c r="HJ224" i="7"/>
  <c r="HK224" i="7"/>
  <c r="HL224" i="7"/>
  <c r="HM224" i="7"/>
  <c r="HN224" i="7"/>
  <c r="HO224" i="7"/>
  <c r="HP224" i="7"/>
  <c r="HQ224" i="7"/>
  <c r="HR224" i="7"/>
  <c r="HS224" i="7"/>
  <c r="HT224" i="7"/>
  <c r="HU224" i="7"/>
  <c r="HV224" i="7"/>
  <c r="HW224" i="7"/>
  <c r="HX224" i="7"/>
  <c r="HY224" i="7"/>
  <c r="HZ224" i="7"/>
  <c r="IA224" i="7"/>
  <c r="IB224" i="7"/>
  <c r="IC224" i="7"/>
  <c r="ID224" i="7"/>
  <c r="IE224" i="7"/>
  <c r="IF224" i="7"/>
  <c r="IG224" i="7"/>
  <c r="IH224" i="7"/>
  <c r="II224" i="7"/>
  <c r="IJ224" i="7"/>
  <c r="IK224" i="7"/>
  <c r="IL224" i="7"/>
  <c r="IM224" i="7"/>
  <c r="IN224" i="7"/>
  <c r="IO224" i="7"/>
  <c r="IP224" i="7"/>
  <c r="IQ224" i="7"/>
  <c r="IR224" i="7"/>
  <c r="IS224" i="7"/>
  <c r="IT224" i="7"/>
  <c r="IU224" i="7"/>
  <c r="IV224" i="7"/>
  <c r="A223" i="7"/>
  <c r="B223" i="7"/>
  <c r="C223" i="7"/>
  <c r="D223" i="7"/>
  <c r="E223" i="7"/>
  <c r="F223" i="7"/>
  <c r="G223" i="7"/>
  <c r="H223" i="7"/>
  <c r="I223" i="7"/>
  <c r="J223" i="7"/>
  <c r="K223" i="7"/>
  <c r="L223" i="7"/>
  <c r="M223" i="7"/>
  <c r="N223" i="7"/>
  <c r="O223" i="7"/>
  <c r="P223" i="7"/>
  <c r="Q223" i="7"/>
  <c r="R223" i="7"/>
  <c r="S223" i="7"/>
  <c r="T223" i="7"/>
  <c r="U223" i="7"/>
  <c r="V223" i="7"/>
  <c r="W223" i="7"/>
  <c r="X223" i="7"/>
  <c r="Y223" i="7"/>
  <c r="Z223" i="7"/>
  <c r="AA223" i="7"/>
  <c r="AB223" i="7"/>
  <c r="AC223" i="7"/>
  <c r="AD223" i="7"/>
  <c r="AE223" i="7"/>
  <c r="AF223" i="7"/>
  <c r="AG223" i="7"/>
  <c r="AH223" i="7"/>
  <c r="AI223" i="7"/>
  <c r="AJ223" i="7"/>
  <c r="AK223" i="7"/>
  <c r="AL223" i="7"/>
  <c r="AM223" i="7"/>
  <c r="AN223" i="7"/>
  <c r="AO223" i="7"/>
  <c r="AP223" i="7"/>
  <c r="AQ223" i="7"/>
  <c r="AR223" i="7"/>
  <c r="AS223" i="7"/>
  <c r="AT223" i="7"/>
  <c r="AU223" i="7"/>
  <c r="AV223" i="7"/>
  <c r="AW223" i="7"/>
  <c r="AX223" i="7"/>
  <c r="AY223" i="7"/>
  <c r="AZ223" i="7"/>
  <c r="BA223" i="7"/>
  <c r="BB223" i="7"/>
  <c r="BC223" i="7"/>
  <c r="BD223" i="7"/>
  <c r="BE223" i="7"/>
  <c r="BF223" i="7"/>
  <c r="BG223" i="7"/>
  <c r="BH223" i="7"/>
  <c r="BI223" i="7"/>
  <c r="BJ223" i="7"/>
  <c r="BK223" i="7"/>
  <c r="BL223" i="7"/>
  <c r="BM223" i="7"/>
  <c r="BN223" i="7"/>
  <c r="BO223" i="7"/>
  <c r="BP223" i="7"/>
  <c r="BQ223" i="7"/>
  <c r="BR223" i="7"/>
  <c r="BS223" i="7"/>
  <c r="BT223" i="7"/>
  <c r="BU223" i="7"/>
  <c r="BV223" i="7"/>
  <c r="BW223" i="7"/>
  <c r="BX223" i="7"/>
  <c r="BY223" i="7"/>
  <c r="BZ223" i="7"/>
  <c r="CA223" i="7"/>
  <c r="CB223" i="7"/>
  <c r="CC223" i="7"/>
  <c r="CD223" i="7"/>
  <c r="CE223" i="7"/>
  <c r="CF223" i="7"/>
  <c r="CG223" i="7"/>
  <c r="CH223" i="7"/>
  <c r="CI223" i="7"/>
  <c r="CJ223" i="7"/>
  <c r="CK223" i="7"/>
  <c r="CL223" i="7"/>
  <c r="CM223" i="7"/>
  <c r="CN223" i="7"/>
  <c r="CO223" i="7"/>
  <c r="CP223" i="7"/>
  <c r="CQ223" i="7"/>
  <c r="CR223" i="7"/>
  <c r="CS223" i="7"/>
  <c r="CT223" i="7"/>
  <c r="CU223" i="7"/>
  <c r="CV223" i="7"/>
  <c r="CW223" i="7"/>
  <c r="CX223" i="7"/>
  <c r="CY223" i="7"/>
  <c r="CZ223" i="7"/>
  <c r="DA223" i="7"/>
  <c r="DB223" i="7"/>
  <c r="DC223" i="7"/>
  <c r="DD223" i="7"/>
  <c r="DE223" i="7"/>
  <c r="DF223" i="7"/>
  <c r="DG223" i="7"/>
  <c r="DH223" i="7"/>
  <c r="DI223" i="7"/>
  <c r="DJ223" i="7"/>
  <c r="DK223" i="7"/>
  <c r="DL223" i="7"/>
  <c r="DM223" i="7"/>
  <c r="DN223" i="7"/>
  <c r="DO223" i="7"/>
  <c r="DP223" i="7"/>
  <c r="DQ223" i="7"/>
  <c r="DR223" i="7"/>
  <c r="DS223" i="7"/>
  <c r="DT223" i="7"/>
  <c r="DU223" i="7"/>
  <c r="DV223" i="7"/>
  <c r="DW223" i="7"/>
  <c r="DX223" i="7"/>
  <c r="DY223" i="7"/>
  <c r="DZ223" i="7"/>
  <c r="EA223" i="7"/>
  <c r="EB223" i="7"/>
  <c r="EC223" i="7"/>
  <c r="ED223" i="7"/>
  <c r="EE223" i="7"/>
  <c r="EF223" i="7"/>
  <c r="EG223" i="7"/>
  <c r="EH223" i="7"/>
  <c r="EI223" i="7"/>
  <c r="EJ223" i="7"/>
  <c r="EK223" i="7"/>
  <c r="EL223" i="7"/>
  <c r="EM223" i="7"/>
  <c r="EN223" i="7"/>
  <c r="EO223" i="7"/>
  <c r="EP223" i="7"/>
  <c r="EQ223" i="7"/>
  <c r="ER223" i="7"/>
  <c r="ES223" i="7"/>
  <c r="ET223" i="7"/>
  <c r="EU223" i="7"/>
  <c r="EV223" i="7"/>
  <c r="EW223" i="7"/>
  <c r="EX223" i="7"/>
  <c r="EY223" i="7"/>
  <c r="EZ223" i="7"/>
  <c r="FA223" i="7"/>
  <c r="FB223" i="7"/>
  <c r="FC223" i="7"/>
  <c r="FD223" i="7"/>
  <c r="FE223" i="7"/>
  <c r="FF223" i="7"/>
  <c r="FG223" i="7"/>
  <c r="FH223" i="7"/>
  <c r="FI223" i="7"/>
  <c r="FJ223" i="7"/>
  <c r="FK223" i="7"/>
  <c r="FL223" i="7"/>
  <c r="FM223" i="7"/>
  <c r="FN223" i="7"/>
  <c r="FO223" i="7"/>
  <c r="FP223" i="7"/>
  <c r="FQ223" i="7"/>
  <c r="FR223" i="7"/>
  <c r="FS223" i="7"/>
  <c r="FT223" i="7"/>
  <c r="FU223" i="7"/>
  <c r="FV223" i="7"/>
  <c r="FW223" i="7"/>
  <c r="FX223" i="7"/>
  <c r="FY223" i="7"/>
  <c r="FZ223" i="7"/>
  <c r="GA223" i="7"/>
  <c r="GB223" i="7"/>
  <c r="GC223" i="7"/>
  <c r="GD223" i="7"/>
  <c r="GE223" i="7"/>
  <c r="GF223" i="7"/>
  <c r="GG223" i="7"/>
  <c r="GH223" i="7"/>
  <c r="GI223" i="7"/>
  <c r="GJ223" i="7"/>
  <c r="GK223" i="7"/>
  <c r="GL223" i="7"/>
  <c r="GM223" i="7"/>
  <c r="GN223" i="7"/>
  <c r="GO223" i="7"/>
  <c r="GP223" i="7"/>
  <c r="GQ223" i="7"/>
  <c r="GR223" i="7"/>
  <c r="GS223" i="7"/>
  <c r="GT223" i="7"/>
  <c r="GU223" i="7"/>
  <c r="GV223" i="7"/>
  <c r="GW223" i="7"/>
  <c r="GX223" i="7"/>
  <c r="GY223" i="7"/>
  <c r="GZ223" i="7"/>
  <c r="HA223" i="7"/>
  <c r="HB223" i="7"/>
  <c r="HC223" i="7"/>
  <c r="HD223" i="7"/>
  <c r="HE223" i="7"/>
  <c r="HF223" i="7"/>
  <c r="HG223" i="7"/>
  <c r="HH223" i="7"/>
  <c r="HI223" i="7"/>
  <c r="HJ223" i="7"/>
  <c r="HK223" i="7"/>
  <c r="HL223" i="7"/>
  <c r="HM223" i="7"/>
  <c r="HN223" i="7"/>
  <c r="HO223" i="7"/>
  <c r="HP223" i="7"/>
  <c r="HQ223" i="7"/>
  <c r="HR223" i="7"/>
  <c r="HS223" i="7"/>
  <c r="HT223" i="7"/>
  <c r="HU223" i="7"/>
  <c r="HV223" i="7"/>
  <c r="HW223" i="7"/>
  <c r="HX223" i="7"/>
  <c r="HY223" i="7"/>
  <c r="HZ223" i="7"/>
  <c r="IA223" i="7"/>
  <c r="IB223" i="7"/>
  <c r="IC223" i="7"/>
  <c r="ID223" i="7"/>
  <c r="IE223" i="7"/>
  <c r="IF223" i="7"/>
  <c r="IG223" i="7"/>
  <c r="IH223" i="7"/>
  <c r="II223" i="7"/>
  <c r="IJ223" i="7"/>
  <c r="IK223" i="7"/>
  <c r="IL223" i="7"/>
  <c r="IM223" i="7"/>
  <c r="IN223" i="7"/>
  <c r="IO223" i="7"/>
  <c r="IP223" i="7"/>
  <c r="IQ223" i="7"/>
  <c r="IR223" i="7"/>
  <c r="IS223" i="7"/>
  <c r="IT223" i="7"/>
  <c r="IU223" i="7"/>
  <c r="IV223" i="7"/>
  <c r="A222" i="7"/>
  <c r="B222" i="7"/>
  <c r="C222" i="7"/>
  <c r="D222" i="7"/>
  <c r="E222" i="7"/>
  <c r="F222" i="7"/>
  <c r="G222" i="7"/>
  <c r="H222" i="7"/>
  <c r="I222" i="7"/>
  <c r="J222" i="7"/>
  <c r="K222" i="7"/>
  <c r="L222" i="7"/>
  <c r="M222" i="7"/>
  <c r="N222" i="7"/>
  <c r="O222" i="7"/>
  <c r="P222" i="7"/>
  <c r="Q222" i="7"/>
  <c r="R222" i="7"/>
  <c r="S222" i="7"/>
  <c r="T222" i="7"/>
  <c r="U222" i="7"/>
  <c r="V222" i="7"/>
  <c r="W222" i="7"/>
  <c r="X222" i="7"/>
  <c r="Y222" i="7"/>
  <c r="Z222" i="7"/>
  <c r="AA222" i="7"/>
  <c r="AB222" i="7"/>
  <c r="AC222" i="7"/>
  <c r="AD222" i="7"/>
  <c r="AE222" i="7"/>
  <c r="AF222" i="7"/>
  <c r="AG222" i="7"/>
  <c r="AH222" i="7"/>
  <c r="AI222" i="7"/>
  <c r="AJ222" i="7"/>
  <c r="AK222" i="7"/>
  <c r="AL222" i="7"/>
  <c r="AM222" i="7"/>
  <c r="AN222" i="7"/>
  <c r="AO222" i="7"/>
  <c r="AP222" i="7"/>
  <c r="AQ222" i="7"/>
  <c r="AR222" i="7"/>
  <c r="AS222" i="7"/>
  <c r="AT222" i="7"/>
  <c r="AU222" i="7"/>
  <c r="AV222" i="7"/>
  <c r="AW222" i="7"/>
  <c r="AX222" i="7"/>
  <c r="AY222" i="7"/>
  <c r="AZ222" i="7"/>
  <c r="BA222" i="7"/>
  <c r="BB222" i="7"/>
  <c r="BC222" i="7"/>
  <c r="BD222" i="7"/>
  <c r="BE222" i="7"/>
  <c r="BF222" i="7"/>
  <c r="BG222" i="7"/>
  <c r="BH222" i="7"/>
  <c r="BI222" i="7"/>
  <c r="BJ222" i="7"/>
  <c r="BK222" i="7"/>
  <c r="BL222" i="7"/>
  <c r="BM222" i="7"/>
  <c r="BN222" i="7"/>
  <c r="BO222" i="7"/>
  <c r="BP222" i="7"/>
  <c r="BQ222" i="7"/>
  <c r="BR222" i="7"/>
  <c r="BS222" i="7"/>
  <c r="BT222" i="7"/>
  <c r="BU222" i="7"/>
  <c r="BV222" i="7"/>
  <c r="BW222" i="7"/>
  <c r="BX222" i="7"/>
  <c r="BY222" i="7"/>
  <c r="BZ222" i="7"/>
  <c r="CA222" i="7"/>
  <c r="CB222" i="7"/>
  <c r="CC222" i="7"/>
  <c r="CD222" i="7"/>
  <c r="CE222" i="7"/>
  <c r="CF222" i="7"/>
  <c r="CG222" i="7"/>
  <c r="CH222" i="7"/>
  <c r="CI222" i="7"/>
  <c r="CJ222" i="7"/>
  <c r="CK222" i="7"/>
  <c r="CL222" i="7"/>
  <c r="CM222" i="7"/>
  <c r="CN222" i="7"/>
  <c r="CO222" i="7"/>
  <c r="CP222" i="7"/>
  <c r="CQ222" i="7"/>
  <c r="CR222" i="7"/>
  <c r="CS222" i="7"/>
  <c r="CT222" i="7"/>
  <c r="CU222" i="7"/>
  <c r="CV222" i="7"/>
  <c r="CW222" i="7"/>
  <c r="CX222" i="7"/>
  <c r="CY222" i="7"/>
  <c r="CZ222" i="7"/>
  <c r="DA222" i="7"/>
  <c r="DB222" i="7"/>
  <c r="DC222" i="7"/>
  <c r="DD222" i="7"/>
  <c r="DE222" i="7"/>
  <c r="DF222" i="7"/>
  <c r="DG222" i="7"/>
  <c r="DH222" i="7"/>
  <c r="DI222" i="7"/>
  <c r="DJ222" i="7"/>
  <c r="DK222" i="7"/>
  <c r="DL222" i="7"/>
  <c r="DM222" i="7"/>
  <c r="DN222" i="7"/>
  <c r="DO222" i="7"/>
  <c r="DP222" i="7"/>
  <c r="DQ222" i="7"/>
  <c r="DR222" i="7"/>
  <c r="DS222" i="7"/>
  <c r="DT222" i="7"/>
  <c r="DU222" i="7"/>
  <c r="DV222" i="7"/>
  <c r="DW222" i="7"/>
  <c r="DX222" i="7"/>
  <c r="DY222" i="7"/>
  <c r="DZ222" i="7"/>
  <c r="EA222" i="7"/>
  <c r="EB222" i="7"/>
  <c r="EC222" i="7"/>
  <c r="ED222" i="7"/>
  <c r="EE222" i="7"/>
  <c r="EF222" i="7"/>
  <c r="EG222" i="7"/>
  <c r="EH222" i="7"/>
  <c r="EI222" i="7"/>
  <c r="EJ222" i="7"/>
  <c r="EK222" i="7"/>
  <c r="EL222" i="7"/>
  <c r="EM222" i="7"/>
  <c r="EN222" i="7"/>
  <c r="EO222" i="7"/>
  <c r="EP222" i="7"/>
  <c r="EQ222" i="7"/>
  <c r="ER222" i="7"/>
  <c r="ES222" i="7"/>
  <c r="ET222" i="7"/>
  <c r="EU222" i="7"/>
  <c r="EV222" i="7"/>
  <c r="EW222" i="7"/>
  <c r="EX222" i="7"/>
  <c r="EY222" i="7"/>
  <c r="EZ222" i="7"/>
  <c r="FA222" i="7"/>
  <c r="FB222" i="7"/>
  <c r="FC222" i="7"/>
  <c r="FD222" i="7"/>
  <c r="FE222" i="7"/>
  <c r="FF222" i="7"/>
  <c r="FG222" i="7"/>
  <c r="FH222" i="7"/>
  <c r="FI222" i="7"/>
  <c r="FJ222" i="7"/>
  <c r="FK222" i="7"/>
  <c r="FL222" i="7"/>
  <c r="FM222" i="7"/>
  <c r="FN222" i="7"/>
  <c r="FO222" i="7"/>
  <c r="FP222" i="7"/>
  <c r="FQ222" i="7"/>
  <c r="FR222" i="7"/>
  <c r="FS222" i="7"/>
  <c r="FT222" i="7"/>
  <c r="FU222" i="7"/>
  <c r="FV222" i="7"/>
  <c r="FW222" i="7"/>
  <c r="FX222" i="7"/>
  <c r="FY222" i="7"/>
  <c r="FZ222" i="7"/>
  <c r="GA222" i="7"/>
  <c r="GB222" i="7"/>
  <c r="GC222" i="7"/>
  <c r="GD222" i="7"/>
  <c r="GE222" i="7"/>
  <c r="GF222" i="7"/>
  <c r="GG222" i="7"/>
  <c r="GH222" i="7"/>
  <c r="GI222" i="7"/>
  <c r="GJ222" i="7"/>
  <c r="GK222" i="7"/>
  <c r="GL222" i="7"/>
  <c r="GM222" i="7"/>
  <c r="GN222" i="7"/>
  <c r="GO222" i="7"/>
  <c r="GP222" i="7"/>
  <c r="GQ222" i="7"/>
  <c r="GR222" i="7"/>
  <c r="GS222" i="7"/>
  <c r="GT222" i="7"/>
  <c r="GU222" i="7"/>
  <c r="GV222" i="7"/>
  <c r="GW222" i="7"/>
  <c r="GX222" i="7"/>
  <c r="GY222" i="7"/>
  <c r="GZ222" i="7"/>
  <c r="HA222" i="7"/>
  <c r="HB222" i="7"/>
  <c r="HC222" i="7"/>
  <c r="HD222" i="7"/>
  <c r="HE222" i="7"/>
  <c r="HF222" i="7"/>
  <c r="HG222" i="7"/>
  <c r="HH222" i="7"/>
  <c r="HI222" i="7"/>
  <c r="HJ222" i="7"/>
  <c r="HK222" i="7"/>
  <c r="HL222" i="7"/>
  <c r="HM222" i="7"/>
  <c r="HN222" i="7"/>
  <c r="HO222" i="7"/>
  <c r="HP222" i="7"/>
  <c r="HQ222" i="7"/>
  <c r="HR222" i="7"/>
  <c r="HS222" i="7"/>
  <c r="HT222" i="7"/>
  <c r="HU222" i="7"/>
  <c r="HV222" i="7"/>
  <c r="HW222" i="7"/>
  <c r="HX222" i="7"/>
  <c r="HY222" i="7"/>
  <c r="HZ222" i="7"/>
  <c r="IA222" i="7"/>
  <c r="IB222" i="7"/>
  <c r="IC222" i="7"/>
  <c r="ID222" i="7"/>
  <c r="IE222" i="7"/>
  <c r="IF222" i="7"/>
  <c r="IG222" i="7"/>
  <c r="IH222" i="7"/>
  <c r="II222" i="7"/>
  <c r="IJ222" i="7"/>
  <c r="IK222" i="7"/>
  <c r="IL222" i="7"/>
  <c r="IM222" i="7"/>
  <c r="IN222" i="7"/>
  <c r="IO222" i="7"/>
  <c r="IP222" i="7"/>
  <c r="IQ222" i="7"/>
  <c r="IR222" i="7"/>
  <c r="IS222" i="7"/>
  <c r="IT222" i="7"/>
  <c r="IU222" i="7"/>
  <c r="IV222" i="7"/>
  <c r="A221" i="7"/>
  <c r="B221" i="7"/>
  <c r="C221" i="7"/>
  <c r="D221" i="7"/>
  <c r="E221" i="7"/>
  <c r="F221" i="7"/>
  <c r="G221" i="7"/>
  <c r="H221" i="7"/>
  <c r="I221" i="7"/>
  <c r="J221" i="7"/>
  <c r="K221" i="7"/>
  <c r="L221" i="7"/>
  <c r="M221" i="7"/>
  <c r="N221" i="7"/>
  <c r="O221" i="7"/>
  <c r="P221" i="7"/>
  <c r="Q221" i="7"/>
  <c r="R221" i="7"/>
  <c r="S221" i="7"/>
  <c r="T221" i="7"/>
  <c r="U221" i="7"/>
  <c r="V221" i="7"/>
  <c r="W221" i="7"/>
  <c r="X221" i="7"/>
  <c r="Y221" i="7"/>
  <c r="Z221" i="7"/>
  <c r="AA221" i="7"/>
  <c r="AB221" i="7"/>
  <c r="AC221" i="7"/>
  <c r="AD221" i="7"/>
  <c r="AE221" i="7"/>
  <c r="AF221" i="7"/>
  <c r="AG221" i="7"/>
  <c r="AH221" i="7"/>
  <c r="AI221" i="7"/>
  <c r="AJ221" i="7"/>
  <c r="AK221" i="7"/>
  <c r="AL221" i="7"/>
  <c r="AM221" i="7"/>
  <c r="AN221" i="7"/>
  <c r="AO221" i="7"/>
  <c r="AP221" i="7"/>
  <c r="AQ221" i="7"/>
  <c r="AR221" i="7"/>
  <c r="AS221" i="7"/>
  <c r="AT221" i="7"/>
  <c r="AU221" i="7"/>
  <c r="AV221" i="7"/>
  <c r="AW221" i="7"/>
  <c r="AX221" i="7"/>
  <c r="AY221" i="7"/>
  <c r="AZ221" i="7"/>
  <c r="BA221" i="7"/>
  <c r="BB221" i="7"/>
  <c r="BC221" i="7"/>
  <c r="BD221" i="7"/>
  <c r="BE221" i="7"/>
  <c r="BF221" i="7"/>
  <c r="BG221" i="7"/>
  <c r="BH221" i="7"/>
  <c r="BI221" i="7"/>
  <c r="BJ221" i="7"/>
  <c r="BK221" i="7"/>
  <c r="BL221" i="7"/>
  <c r="BM221" i="7"/>
  <c r="BN221" i="7"/>
  <c r="BO221" i="7"/>
  <c r="BP221" i="7"/>
  <c r="BQ221" i="7"/>
  <c r="BR221" i="7"/>
  <c r="BS221" i="7"/>
  <c r="BT221" i="7"/>
  <c r="BU221" i="7"/>
  <c r="BV221" i="7"/>
  <c r="BW221" i="7"/>
  <c r="BX221" i="7"/>
  <c r="BY221" i="7"/>
  <c r="BZ221" i="7"/>
  <c r="CA221" i="7"/>
  <c r="CB221" i="7"/>
  <c r="CC221" i="7"/>
  <c r="CD221" i="7"/>
  <c r="CE221" i="7"/>
  <c r="CF221" i="7"/>
  <c r="CG221" i="7"/>
  <c r="CH221" i="7"/>
  <c r="CI221" i="7"/>
  <c r="CJ221" i="7"/>
  <c r="CK221" i="7"/>
  <c r="CL221" i="7"/>
  <c r="CM221" i="7"/>
  <c r="CN221" i="7"/>
  <c r="CO221" i="7"/>
  <c r="CP221" i="7"/>
  <c r="CQ221" i="7"/>
  <c r="CR221" i="7"/>
  <c r="CS221" i="7"/>
  <c r="CT221" i="7"/>
  <c r="CU221" i="7"/>
  <c r="CV221" i="7"/>
  <c r="CW221" i="7"/>
  <c r="CX221" i="7"/>
  <c r="CY221" i="7"/>
  <c r="CZ221" i="7"/>
  <c r="DA221" i="7"/>
  <c r="DB221" i="7"/>
  <c r="DC221" i="7"/>
  <c r="DD221" i="7"/>
  <c r="DE221" i="7"/>
  <c r="DF221" i="7"/>
  <c r="DG221" i="7"/>
  <c r="DH221" i="7"/>
  <c r="DI221" i="7"/>
  <c r="DJ221" i="7"/>
  <c r="DK221" i="7"/>
  <c r="DL221" i="7"/>
  <c r="DM221" i="7"/>
  <c r="DN221" i="7"/>
  <c r="DO221" i="7"/>
  <c r="DP221" i="7"/>
  <c r="DQ221" i="7"/>
  <c r="DR221" i="7"/>
  <c r="DS221" i="7"/>
  <c r="DT221" i="7"/>
  <c r="DU221" i="7"/>
  <c r="DV221" i="7"/>
  <c r="DW221" i="7"/>
  <c r="DX221" i="7"/>
  <c r="DY221" i="7"/>
  <c r="DZ221" i="7"/>
  <c r="EA221" i="7"/>
  <c r="EB221" i="7"/>
  <c r="EC221" i="7"/>
  <c r="ED221" i="7"/>
  <c r="EE221" i="7"/>
  <c r="EF221" i="7"/>
  <c r="EG221" i="7"/>
  <c r="EH221" i="7"/>
  <c r="EI221" i="7"/>
  <c r="EJ221" i="7"/>
  <c r="EK221" i="7"/>
  <c r="EL221" i="7"/>
  <c r="EM221" i="7"/>
  <c r="EN221" i="7"/>
  <c r="EO221" i="7"/>
  <c r="EP221" i="7"/>
  <c r="EQ221" i="7"/>
  <c r="ER221" i="7"/>
  <c r="ES221" i="7"/>
  <c r="ET221" i="7"/>
  <c r="EU221" i="7"/>
  <c r="EV221" i="7"/>
  <c r="EW221" i="7"/>
  <c r="EX221" i="7"/>
  <c r="EY221" i="7"/>
  <c r="EZ221" i="7"/>
  <c r="FA221" i="7"/>
  <c r="FB221" i="7"/>
  <c r="FC221" i="7"/>
  <c r="FD221" i="7"/>
  <c r="FE221" i="7"/>
  <c r="FF221" i="7"/>
  <c r="FG221" i="7"/>
  <c r="FH221" i="7"/>
  <c r="FI221" i="7"/>
  <c r="FJ221" i="7"/>
  <c r="FK221" i="7"/>
  <c r="FL221" i="7"/>
  <c r="FM221" i="7"/>
  <c r="FN221" i="7"/>
  <c r="FO221" i="7"/>
  <c r="FP221" i="7"/>
  <c r="FQ221" i="7"/>
  <c r="FR221" i="7"/>
  <c r="FS221" i="7"/>
  <c r="FT221" i="7"/>
  <c r="FU221" i="7"/>
  <c r="FV221" i="7"/>
  <c r="FW221" i="7"/>
  <c r="FX221" i="7"/>
  <c r="FY221" i="7"/>
  <c r="FZ221" i="7"/>
  <c r="GA221" i="7"/>
  <c r="GB221" i="7"/>
  <c r="GC221" i="7"/>
  <c r="GD221" i="7"/>
  <c r="GE221" i="7"/>
  <c r="GF221" i="7"/>
  <c r="GG221" i="7"/>
  <c r="GH221" i="7"/>
  <c r="GI221" i="7"/>
  <c r="GJ221" i="7"/>
  <c r="GK221" i="7"/>
  <c r="GL221" i="7"/>
  <c r="GM221" i="7"/>
  <c r="GN221" i="7"/>
  <c r="GO221" i="7"/>
  <c r="GP221" i="7"/>
  <c r="GQ221" i="7"/>
  <c r="GR221" i="7"/>
  <c r="GS221" i="7"/>
  <c r="GT221" i="7"/>
  <c r="GU221" i="7"/>
  <c r="GV221" i="7"/>
  <c r="GW221" i="7"/>
  <c r="GX221" i="7"/>
  <c r="GY221" i="7"/>
  <c r="GZ221" i="7"/>
  <c r="HA221" i="7"/>
  <c r="HB221" i="7"/>
  <c r="HC221" i="7"/>
  <c r="HD221" i="7"/>
  <c r="HE221" i="7"/>
  <c r="HF221" i="7"/>
  <c r="HG221" i="7"/>
  <c r="HH221" i="7"/>
  <c r="HI221" i="7"/>
  <c r="HJ221" i="7"/>
  <c r="HK221" i="7"/>
  <c r="HL221" i="7"/>
  <c r="HM221" i="7"/>
  <c r="HN221" i="7"/>
  <c r="HO221" i="7"/>
  <c r="HP221" i="7"/>
  <c r="HQ221" i="7"/>
  <c r="HR221" i="7"/>
  <c r="HS221" i="7"/>
  <c r="HT221" i="7"/>
  <c r="HU221" i="7"/>
  <c r="HV221" i="7"/>
  <c r="HW221" i="7"/>
  <c r="HX221" i="7"/>
  <c r="HY221" i="7"/>
  <c r="HZ221" i="7"/>
  <c r="IA221" i="7"/>
  <c r="IB221" i="7"/>
  <c r="IC221" i="7"/>
  <c r="ID221" i="7"/>
  <c r="IE221" i="7"/>
  <c r="IF221" i="7"/>
  <c r="IG221" i="7"/>
  <c r="IH221" i="7"/>
  <c r="II221" i="7"/>
  <c r="IJ221" i="7"/>
  <c r="IK221" i="7"/>
  <c r="IL221" i="7"/>
  <c r="IM221" i="7"/>
  <c r="IN221" i="7"/>
  <c r="IO221" i="7"/>
  <c r="IP221" i="7"/>
  <c r="IQ221" i="7"/>
  <c r="IR221" i="7"/>
  <c r="IS221" i="7"/>
  <c r="IT221" i="7"/>
  <c r="IU221" i="7"/>
  <c r="IV221" i="7"/>
  <c r="A220" i="7"/>
  <c r="B220" i="7"/>
  <c r="C220" i="7"/>
  <c r="D220" i="7"/>
  <c r="E220" i="7"/>
  <c r="F220" i="7"/>
  <c r="G220" i="7"/>
  <c r="H220" i="7"/>
  <c r="I220" i="7"/>
  <c r="J220" i="7"/>
  <c r="K220" i="7"/>
  <c r="L220" i="7"/>
  <c r="M220" i="7"/>
  <c r="N220" i="7"/>
  <c r="O220" i="7"/>
  <c r="P220" i="7"/>
  <c r="Q220" i="7"/>
  <c r="R220" i="7"/>
  <c r="S220" i="7"/>
  <c r="T220" i="7"/>
  <c r="U220" i="7"/>
  <c r="V220" i="7"/>
  <c r="W220" i="7"/>
  <c r="X220" i="7"/>
  <c r="Y220" i="7"/>
  <c r="Z220" i="7"/>
  <c r="AA220" i="7"/>
  <c r="AB220" i="7"/>
  <c r="AC220" i="7"/>
  <c r="AD220" i="7"/>
  <c r="AE220" i="7"/>
  <c r="AF220" i="7"/>
  <c r="AG220" i="7"/>
  <c r="AH220" i="7"/>
  <c r="AI220" i="7"/>
  <c r="AJ220" i="7"/>
  <c r="AK220" i="7"/>
  <c r="AL220" i="7"/>
  <c r="AM220" i="7"/>
  <c r="AN220" i="7"/>
  <c r="AO220" i="7"/>
  <c r="AP220" i="7"/>
  <c r="AQ220" i="7"/>
  <c r="AR220" i="7"/>
  <c r="AS220" i="7"/>
  <c r="AT220" i="7"/>
  <c r="AU220" i="7"/>
  <c r="AV220" i="7"/>
  <c r="AW220" i="7"/>
  <c r="AX220" i="7"/>
  <c r="AY220" i="7"/>
  <c r="AZ220" i="7"/>
  <c r="BA220" i="7"/>
  <c r="BB220" i="7"/>
  <c r="BC220" i="7"/>
  <c r="BD220" i="7"/>
  <c r="BE220" i="7"/>
  <c r="BF220" i="7"/>
  <c r="BG220" i="7"/>
  <c r="BH220" i="7"/>
  <c r="BI220" i="7"/>
  <c r="BJ220" i="7"/>
  <c r="BK220" i="7"/>
  <c r="BL220" i="7"/>
  <c r="BM220" i="7"/>
  <c r="BN220" i="7"/>
  <c r="BO220" i="7"/>
  <c r="BP220" i="7"/>
  <c r="BQ220" i="7"/>
  <c r="BR220" i="7"/>
  <c r="BS220" i="7"/>
  <c r="BT220" i="7"/>
  <c r="BU220" i="7"/>
  <c r="BV220" i="7"/>
  <c r="BW220" i="7"/>
  <c r="BX220" i="7"/>
  <c r="BY220" i="7"/>
  <c r="BZ220" i="7"/>
  <c r="CA220" i="7"/>
  <c r="CB220" i="7"/>
  <c r="CC220" i="7"/>
  <c r="CD220" i="7"/>
  <c r="CE220" i="7"/>
  <c r="CF220" i="7"/>
  <c r="CG220" i="7"/>
  <c r="CH220" i="7"/>
  <c r="CI220" i="7"/>
  <c r="CJ220" i="7"/>
  <c r="CK220" i="7"/>
  <c r="CL220" i="7"/>
  <c r="CM220" i="7"/>
  <c r="CN220" i="7"/>
  <c r="CO220" i="7"/>
  <c r="CP220" i="7"/>
  <c r="CQ220" i="7"/>
  <c r="CR220" i="7"/>
  <c r="CS220" i="7"/>
  <c r="CT220" i="7"/>
  <c r="CU220" i="7"/>
  <c r="CV220" i="7"/>
  <c r="CW220" i="7"/>
  <c r="CX220" i="7"/>
  <c r="CY220" i="7"/>
  <c r="CZ220" i="7"/>
  <c r="DA220" i="7"/>
  <c r="DB220" i="7"/>
  <c r="DC220" i="7"/>
  <c r="DD220" i="7"/>
  <c r="DE220" i="7"/>
  <c r="DF220" i="7"/>
  <c r="DG220" i="7"/>
  <c r="DH220" i="7"/>
  <c r="DI220" i="7"/>
  <c r="DJ220" i="7"/>
  <c r="DK220" i="7"/>
  <c r="DL220" i="7"/>
  <c r="DM220" i="7"/>
  <c r="DN220" i="7"/>
  <c r="DO220" i="7"/>
  <c r="DP220" i="7"/>
  <c r="DQ220" i="7"/>
  <c r="DR220" i="7"/>
  <c r="DS220" i="7"/>
  <c r="DT220" i="7"/>
  <c r="DU220" i="7"/>
  <c r="DV220" i="7"/>
  <c r="DW220" i="7"/>
  <c r="DX220" i="7"/>
  <c r="DY220" i="7"/>
  <c r="DZ220" i="7"/>
  <c r="EA220" i="7"/>
  <c r="EB220" i="7"/>
  <c r="EC220" i="7"/>
  <c r="ED220" i="7"/>
  <c r="EE220" i="7"/>
  <c r="EF220" i="7"/>
  <c r="EG220" i="7"/>
  <c r="EH220" i="7"/>
  <c r="EI220" i="7"/>
  <c r="EJ220" i="7"/>
  <c r="EK220" i="7"/>
  <c r="EL220" i="7"/>
  <c r="EM220" i="7"/>
  <c r="EN220" i="7"/>
  <c r="EO220" i="7"/>
  <c r="EP220" i="7"/>
  <c r="EQ220" i="7"/>
  <c r="ER220" i="7"/>
  <c r="ES220" i="7"/>
  <c r="ET220" i="7"/>
  <c r="EU220" i="7"/>
  <c r="EV220" i="7"/>
  <c r="EW220" i="7"/>
  <c r="EX220" i="7"/>
  <c r="EY220" i="7"/>
  <c r="EZ220" i="7"/>
  <c r="FA220" i="7"/>
  <c r="FB220" i="7"/>
  <c r="FC220" i="7"/>
  <c r="FD220" i="7"/>
  <c r="FE220" i="7"/>
  <c r="FF220" i="7"/>
  <c r="FG220" i="7"/>
  <c r="FH220" i="7"/>
  <c r="FI220" i="7"/>
  <c r="FJ220" i="7"/>
  <c r="FK220" i="7"/>
  <c r="FL220" i="7"/>
  <c r="FM220" i="7"/>
  <c r="FN220" i="7"/>
  <c r="FO220" i="7"/>
  <c r="FP220" i="7"/>
  <c r="FQ220" i="7"/>
  <c r="FR220" i="7"/>
  <c r="FS220" i="7"/>
  <c r="FT220" i="7"/>
  <c r="FU220" i="7"/>
  <c r="FV220" i="7"/>
  <c r="FW220" i="7"/>
  <c r="FX220" i="7"/>
  <c r="FY220" i="7"/>
  <c r="FZ220" i="7"/>
  <c r="GA220" i="7"/>
  <c r="GB220" i="7"/>
  <c r="GC220" i="7"/>
  <c r="GD220" i="7"/>
  <c r="GE220" i="7"/>
  <c r="GF220" i="7"/>
  <c r="GG220" i="7"/>
  <c r="GH220" i="7"/>
  <c r="GI220" i="7"/>
  <c r="GJ220" i="7"/>
  <c r="GK220" i="7"/>
  <c r="GL220" i="7"/>
  <c r="GM220" i="7"/>
  <c r="GN220" i="7"/>
  <c r="GO220" i="7"/>
  <c r="GP220" i="7"/>
  <c r="GQ220" i="7"/>
  <c r="GR220" i="7"/>
  <c r="GS220" i="7"/>
  <c r="GT220" i="7"/>
  <c r="GU220" i="7"/>
  <c r="GV220" i="7"/>
  <c r="GW220" i="7"/>
  <c r="GX220" i="7"/>
  <c r="GY220" i="7"/>
  <c r="GZ220" i="7"/>
  <c r="HA220" i="7"/>
  <c r="HB220" i="7"/>
  <c r="HC220" i="7"/>
  <c r="HD220" i="7"/>
  <c r="HE220" i="7"/>
  <c r="HF220" i="7"/>
  <c r="HG220" i="7"/>
  <c r="HH220" i="7"/>
  <c r="HI220" i="7"/>
  <c r="HJ220" i="7"/>
  <c r="HK220" i="7"/>
  <c r="HL220" i="7"/>
  <c r="HM220" i="7"/>
  <c r="HN220" i="7"/>
  <c r="HO220" i="7"/>
  <c r="HP220" i="7"/>
  <c r="HQ220" i="7"/>
  <c r="HR220" i="7"/>
  <c r="HS220" i="7"/>
  <c r="HT220" i="7"/>
  <c r="HU220" i="7"/>
  <c r="HV220" i="7"/>
  <c r="HW220" i="7"/>
  <c r="HX220" i="7"/>
  <c r="HY220" i="7"/>
  <c r="HZ220" i="7"/>
  <c r="IA220" i="7"/>
  <c r="IB220" i="7"/>
  <c r="IC220" i="7"/>
  <c r="ID220" i="7"/>
  <c r="IE220" i="7"/>
  <c r="IF220" i="7"/>
  <c r="IG220" i="7"/>
  <c r="IH220" i="7"/>
  <c r="II220" i="7"/>
  <c r="IJ220" i="7"/>
  <c r="IK220" i="7"/>
  <c r="IL220" i="7"/>
  <c r="IM220" i="7"/>
  <c r="IN220" i="7"/>
  <c r="IO220" i="7"/>
  <c r="IP220" i="7"/>
  <c r="IQ220" i="7"/>
  <c r="IR220" i="7"/>
  <c r="IS220" i="7"/>
  <c r="IT220" i="7"/>
  <c r="IU220" i="7"/>
  <c r="IV220" i="7"/>
  <c r="A219" i="7"/>
  <c r="B219" i="7"/>
  <c r="C219" i="7"/>
  <c r="D219" i="7"/>
  <c r="E219" i="7"/>
  <c r="F219" i="7"/>
  <c r="G219" i="7"/>
  <c r="H219" i="7"/>
  <c r="I219" i="7"/>
  <c r="J219" i="7"/>
  <c r="K219" i="7"/>
  <c r="L219" i="7"/>
  <c r="M219" i="7"/>
  <c r="N219" i="7"/>
  <c r="O219" i="7"/>
  <c r="P219" i="7"/>
  <c r="Q219" i="7"/>
  <c r="R219" i="7"/>
  <c r="S219" i="7"/>
  <c r="T219" i="7"/>
  <c r="U219" i="7"/>
  <c r="V219" i="7"/>
  <c r="W219" i="7"/>
  <c r="X219" i="7"/>
  <c r="Y219" i="7"/>
  <c r="Z219" i="7"/>
  <c r="AA219" i="7"/>
  <c r="AB219" i="7"/>
  <c r="AC219" i="7"/>
  <c r="AD219" i="7"/>
  <c r="AE219" i="7"/>
  <c r="AF219" i="7"/>
  <c r="AG219" i="7"/>
  <c r="AH219" i="7"/>
  <c r="AI219" i="7"/>
  <c r="AJ219" i="7"/>
  <c r="AK219" i="7"/>
  <c r="AL219" i="7"/>
  <c r="AM219" i="7"/>
  <c r="AN219" i="7"/>
  <c r="AO219" i="7"/>
  <c r="AP219" i="7"/>
  <c r="AQ219" i="7"/>
  <c r="AR219" i="7"/>
  <c r="AS219" i="7"/>
  <c r="AT219" i="7"/>
  <c r="AU219" i="7"/>
  <c r="AV219" i="7"/>
  <c r="AW219" i="7"/>
  <c r="AX219" i="7"/>
  <c r="AY219" i="7"/>
  <c r="AZ219" i="7"/>
  <c r="BA219" i="7"/>
  <c r="BB219" i="7"/>
  <c r="BC219" i="7"/>
  <c r="BD219" i="7"/>
  <c r="BE219" i="7"/>
  <c r="BF219" i="7"/>
  <c r="BG219" i="7"/>
  <c r="BH219" i="7"/>
  <c r="BI219" i="7"/>
  <c r="BJ219" i="7"/>
  <c r="BK219" i="7"/>
  <c r="BL219" i="7"/>
  <c r="BM219" i="7"/>
  <c r="BN219" i="7"/>
  <c r="BO219" i="7"/>
  <c r="BP219" i="7"/>
  <c r="BQ219" i="7"/>
  <c r="BR219" i="7"/>
  <c r="BS219" i="7"/>
  <c r="BT219" i="7"/>
  <c r="BU219" i="7"/>
  <c r="BV219" i="7"/>
  <c r="BW219" i="7"/>
  <c r="BX219" i="7"/>
  <c r="BY219" i="7"/>
  <c r="BZ219" i="7"/>
  <c r="CA219" i="7"/>
  <c r="CB219" i="7"/>
  <c r="CC219" i="7"/>
  <c r="CD219" i="7"/>
  <c r="CE219" i="7"/>
  <c r="CF219" i="7"/>
  <c r="CG219" i="7"/>
  <c r="CH219" i="7"/>
  <c r="CI219" i="7"/>
  <c r="CJ219" i="7"/>
  <c r="CK219" i="7"/>
  <c r="CL219" i="7"/>
  <c r="CM219" i="7"/>
  <c r="CN219" i="7"/>
  <c r="CO219" i="7"/>
  <c r="CP219" i="7"/>
  <c r="CQ219" i="7"/>
  <c r="CR219" i="7"/>
  <c r="CS219" i="7"/>
  <c r="CT219" i="7"/>
  <c r="CU219" i="7"/>
  <c r="CV219" i="7"/>
  <c r="CW219" i="7"/>
  <c r="CX219" i="7"/>
  <c r="CY219" i="7"/>
  <c r="CZ219" i="7"/>
  <c r="DA219" i="7"/>
  <c r="DB219" i="7"/>
  <c r="DC219" i="7"/>
  <c r="DD219" i="7"/>
  <c r="DE219" i="7"/>
  <c r="DF219" i="7"/>
  <c r="DG219" i="7"/>
  <c r="DH219" i="7"/>
  <c r="DI219" i="7"/>
  <c r="DJ219" i="7"/>
  <c r="DK219" i="7"/>
  <c r="DL219" i="7"/>
  <c r="DM219" i="7"/>
  <c r="DN219" i="7"/>
  <c r="DO219" i="7"/>
  <c r="DP219" i="7"/>
  <c r="DQ219" i="7"/>
  <c r="DR219" i="7"/>
  <c r="DS219" i="7"/>
  <c r="DT219" i="7"/>
  <c r="DU219" i="7"/>
  <c r="DV219" i="7"/>
  <c r="DW219" i="7"/>
  <c r="DX219" i="7"/>
  <c r="DY219" i="7"/>
  <c r="DZ219" i="7"/>
  <c r="EA219" i="7"/>
  <c r="EB219" i="7"/>
  <c r="EC219" i="7"/>
  <c r="ED219" i="7"/>
  <c r="EE219" i="7"/>
  <c r="EF219" i="7"/>
  <c r="EG219" i="7"/>
  <c r="EH219" i="7"/>
  <c r="EI219" i="7"/>
  <c r="EJ219" i="7"/>
  <c r="EK219" i="7"/>
  <c r="EL219" i="7"/>
  <c r="EM219" i="7"/>
  <c r="EN219" i="7"/>
  <c r="EO219" i="7"/>
  <c r="EP219" i="7"/>
  <c r="EQ219" i="7"/>
  <c r="ER219" i="7"/>
  <c r="ES219" i="7"/>
  <c r="ET219" i="7"/>
  <c r="EU219" i="7"/>
  <c r="EV219" i="7"/>
  <c r="EW219" i="7"/>
  <c r="EX219" i="7"/>
  <c r="EY219" i="7"/>
  <c r="EZ219" i="7"/>
  <c r="FA219" i="7"/>
  <c r="FB219" i="7"/>
  <c r="FC219" i="7"/>
  <c r="FD219" i="7"/>
  <c r="FE219" i="7"/>
  <c r="FF219" i="7"/>
  <c r="FG219" i="7"/>
  <c r="FH219" i="7"/>
  <c r="FI219" i="7"/>
  <c r="FJ219" i="7"/>
  <c r="FK219" i="7"/>
  <c r="FL219" i="7"/>
  <c r="FM219" i="7"/>
  <c r="FN219" i="7"/>
  <c r="FO219" i="7"/>
  <c r="FP219" i="7"/>
  <c r="FQ219" i="7"/>
  <c r="FR219" i="7"/>
  <c r="FS219" i="7"/>
  <c r="FT219" i="7"/>
  <c r="FU219" i="7"/>
  <c r="FV219" i="7"/>
  <c r="FW219" i="7"/>
  <c r="FX219" i="7"/>
  <c r="FY219" i="7"/>
  <c r="FZ219" i="7"/>
  <c r="GA219" i="7"/>
  <c r="GB219" i="7"/>
  <c r="GC219" i="7"/>
  <c r="GD219" i="7"/>
  <c r="GE219" i="7"/>
  <c r="GF219" i="7"/>
  <c r="GG219" i="7"/>
  <c r="GH219" i="7"/>
  <c r="GI219" i="7"/>
  <c r="GJ219" i="7"/>
  <c r="GK219" i="7"/>
  <c r="GL219" i="7"/>
  <c r="GM219" i="7"/>
  <c r="GN219" i="7"/>
  <c r="GO219" i="7"/>
  <c r="GP219" i="7"/>
  <c r="GQ219" i="7"/>
  <c r="GR219" i="7"/>
  <c r="GS219" i="7"/>
  <c r="GT219" i="7"/>
  <c r="GU219" i="7"/>
  <c r="GV219" i="7"/>
  <c r="GW219" i="7"/>
  <c r="GX219" i="7"/>
  <c r="GY219" i="7"/>
  <c r="GZ219" i="7"/>
  <c r="HA219" i="7"/>
  <c r="HB219" i="7"/>
  <c r="HC219" i="7"/>
  <c r="HD219" i="7"/>
  <c r="HE219" i="7"/>
  <c r="HF219" i="7"/>
  <c r="HG219" i="7"/>
  <c r="HH219" i="7"/>
  <c r="HI219" i="7"/>
  <c r="HJ219" i="7"/>
  <c r="HK219" i="7"/>
  <c r="HL219" i="7"/>
  <c r="HM219" i="7"/>
  <c r="HN219" i="7"/>
  <c r="HO219" i="7"/>
  <c r="HP219" i="7"/>
  <c r="HQ219" i="7"/>
  <c r="HR219" i="7"/>
  <c r="HS219" i="7"/>
  <c r="HT219" i="7"/>
  <c r="HU219" i="7"/>
  <c r="HV219" i="7"/>
  <c r="HW219" i="7"/>
  <c r="HX219" i="7"/>
  <c r="HY219" i="7"/>
  <c r="HZ219" i="7"/>
  <c r="IA219" i="7"/>
  <c r="IB219" i="7"/>
  <c r="IC219" i="7"/>
  <c r="ID219" i="7"/>
  <c r="IE219" i="7"/>
  <c r="IF219" i="7"/>
  <c r="IG219" i="7"/>
  <c r="IH219" i="7"/>
  <c r="II219" i="7"/>
  <c r="IJ219" i="7"/>
  <c r="IK219" i="7"/>
  <c r="IL219" i="7"/>
  <c r="IM219" i="7"/>
  <c r="IN219" i="7"/>
  <c r="IO219" i="7"/>
  <c r="IP219" i="7"/>
  <c r="IQ219" i="7"/>
  <c r="IR219" i="7"/>
  <c r="IS219" i="7"/>
  <c r="IT219" i="7"/>
  <c r="IU219" i="7"/>
  <c r="IV219" i="7"/>
  <c r="A218" i="7"/>
  <c r="B218" i="7"/>
  <c r="C218" i="7"/>
  <c r="D218" i="7"/>
  <c r="E218" i="7"/>
  <c r="F218" i="7"/>
  <c r="G218" i="7"/>
  <c r="H218" i="7"/>
  <c r="I218" i="7"/>
  <c r="J218" i="7"/>
  <c r="K218" i="7"/>
  <c r="L218" i="7"/>
  <c r="M218" i="7"/>
  <c r="N218" i="7"/>
  <c r="O218" i="7"/>
  <c r="P218" i="7"/>
  <c r="Q218" i="7"/>
  <c r="R218" i="7"/>
  <c r="S218" i="7"/>
  <c r="T218" i="7"/>
  <c r="U218" i="7"/>
  <c r="V218" i="7"/>
  <c r="W218" i="7"/>
  <c r="X218" i="7"/>
  <c r="Y218" i="7"/>
  <c r="Z218" i="7"/>
  <c r="AA218" i="7"/>
  <c r="AB218" i="7"/>
  <c r="AC218" i="7"/>
  <c r="AD218" i="7"/>
  <c r="AE218" i="7"/>
  <c r="AF218" i="7"/>
  <c r="AG218" i="7"/>
  <c r="AH218" i="7"/>
  <c r="AI218" i="7"/>
  <c r="AJ218" i="7"/>
  <c r="AK218" i="7"/>
  <c r="AL218" i="7"/>
  <c r="AM218" i="7"/>
  <c r="AN218" i="7"/>
  <c r="AO218" i="7"/>
  <c r="AP218" i="7"/>
  <c r="AQ218" i="7"/>
  <c r="AR218" i="7"/>
  <c r="AS218" i="7"/>
  <c r="AT218" i="7"/>
  <c r="AU218" i="7"/>
  <c r="AV218" i="7"/>
  <c r="AW218" i="7"/>
  <c r="AX218" i="7"/>
  <c r="AY218" i="7"/>
  <c r="AZ218" i="7"/>
  <c r="BA218" i="7"/>
  <c r="BB218" i="7"/>
  <c r="BC218" i="7"/>
  <c r="BD218" i="7"/>
  <c r="BE218" i="7"/>
  <c r="BF218" i="7"/>
  <c r="BG218" i="7"/>
  <c r="BH218" i="7"/>
  <c r="BI218" i="7"/>
  <c r="BJ218" i="7"/>
  <c r="BK218" i="7"/>
  <c r="BL218" i="7"/>
  <c r="BM218" i="7"/>
  <c r="BN218" i="7"/>
  <c r="BO218" i="7"/>
  <c r="BP218" i="7"/>
  <c r="BQ218" i="7"/>
  <c r="BR218" i="7"/>
  <c r="BS218" i="7"/>
  <c r="BT218" i="7"/>
  <c r="BU218" i="7"/>
  <c r="BV218" i="7"/>
  <c r="BW218" i="7"/>
  <c r="BX218" i="7"/>
  <c r="BY218" i="7"/>
  <c r="BZ218" i="7"/>
  <c r="CA218" i="7"/>
  <c r="CB218" i="7"/>
  <c r="CC218" i="7"/>
  <c r="CD218" i="7"/>
  <c r="CE218" i="7"/>
  <c r="CF218" i="7"/>
  <c r="CG218" i="7"/>
  <c r="CH218" i="7"/>
  <c r="CI218" i="7"/>
  <c r="CJ218" i="7"/>
  <c r="CK218" i="7"/>
  <c r="CL218" i="7"/>
  <c r="CM218" i="7"/>
  <c r="CN218" i="7"/>
  <c r="CO218" i="7"/>
  <c r="CP218" i="7"/>
  <c r="CQ218" i="7"/>
  <c r="CR218" i="7"/>
  <c r="CS218" i="7"/>
  <c r="CT218" i="7"/>
  <c r="CU218" i="7"/>
  <c r="CV218" i="7"/>
  <c r="CW218" i="7"/>
  <c r="CX218" i="7"/>
  <c r="CY218" i="7"/>
  <c r="CZ218" i="7"/>
  <c r="DA218" i="7"/>
  <c r="DB218" i="7"/>
  <c r="DC218" i="7"/>
  <c r="DD218" i="7"/>
  <c r="DE218" i="7"/>
  <c r="DF218" i="7"/>
  <c r="DG218" i="7"/>
  <c r="DH218" i="7"/>
  <c r="DI218" i="7"/>
  <c r="DJ218" i="7"/>
  <c r="DK218" i="7"/>
  <c r="DL218" i="7"/>
  <c r="DM218" i="7"/>
  <c r="DN218" i="7"/>
  <c r="DO218" i="7"/>
  <c r="DP218" i="7"/>
  <c r="DQ218" i="7"/>
  <c r="DR218" i="7"/>
  <c r="DS218" i="7"/>
  <c r="DT218" i="7"/>
  <c r="DU218" i="7"/>
  <c r="DV218" i="7"/>
  <c r="DW218" i="7"/>
  <c r="DX218" i="7"/>
  <c r="DY218" i="7"/>
  <c r="DZ218" i="7"/>
  <c r="EA218" i="7"/>
  <c r="EB218" i="7"/>
  <c r="EC218" i="7"/>
  <c r="ED218" i="7"/>
  <c r="EE218" i="7"/>
  <c r="EF218" i="7"/>
  <c r="EG218" i="7"/>
  <c r="EH218" i="7"/>
  <c r="EI218" i="7"/>
  <c r="EJ218" i="7"/>
  <c r="EK218" i="7"/>
  <c r="EL218" i="7"/>
  <c r="EM218" i="7"/>
  <c r="EN218" i="7"/>
  <c r="EO218" i="7"/>
  <c r="EP218" i="7"/>
  <c r="EQ218" i="7"/>
  <c r="ER218" i="7"/>
  <c r="ES218" i="7"/>
  <c r="ET218" i="7"/>
  <c r="EU218" i="7"/>
  <c r="EV218" i="7"/>
  <c r="EW218" i="7"/>
  <c r="EX218" i="7"/>
  <c r="EY218" i="7"/>
  <c r="EZ218" i="7"/>
  <c r="FA218" i="7"/>
  <c r="FB218" i="7"/>
  <c r="FC218" i="7"/>
  <c r="FD218" i="7"/>
  <c r="FE218" i="7"/>
  <c r="FF218" i="7"/>
  <c r="FG218" i="7"/>
  <c r="FH218" i="7"/>
  <c r="FI218" i="7"/>
  <c r="FJ218" i="7"/>
  <c r="FK218" i="7"/>
  <c r="FL218" i="7"/>
  <c r="FM218" i="7"/>
  <c r="FN218" i="7"/>
  <c r="FO218" i="7"/>
  <c r="FP218" i="7"/>
  <c r="FQ218" i="7"/>
  <c r="FR218" i="7"/>
  <c r="FS218" i="7"/>
  <c r="FT218" i="7"/>
  <c r="FU218" i="7"/>
  <c r="FV218" i="7"/>
  <c r="FW218" i="7"/>
  <c r="FX218" i="7"/>
  <c r="FY218" i="7"/>
  <c r="FZ218" i="7"/>
  <c r="GA218" i="7"/>
  <c r="GB218" i="7"/>
  <c r="GC218" i="7"/>
  <c r="GD218" i="7"/>
  <c r="GE218" i="7"/>
  <c r="GF218" i="7"/>
  <c r="GG218" i="7"/>
  <c r="GH218" i="7"/>
  <c r="GI218" i="7"/>
  <c r="GJ218" i="7"/>
  <c r="GK218" i="7"/>
  <c r="GL218" i="7"/>
  <c r="GM218" i="7"/>
  <c r="GN218" i="7"/>
  <c r="GO218" i="7"/>
  <c r="GP218" i="7"/>
  <c r="GQ218" i="7"/>
  <c r="GR218" i="7"/>
  <c r="GS218" i="7"/>
  <c r="GT218" i="7"/>
  <c r="GU218" i="7"/>
  <c r="GV218" i="7"/>
  <c r="GW218" i="7"/>
  <c r="GX218" i="7"/>
  <c r="GY218" i="7"/>
  <c r="GZ218" i="7"/>
  <c r="HA218" i="7"/>
  <c r="HB218" i="7"/>
  <c r="HC218" i="7"/>
  <c r="HD218" i="7"/>
  <c r="HE218" i="7"/>
  <c r="HF218" i="7"/>
  <c r="HG218" i="7"/>
  <c r="HH218" i="7"/>
  <c r="HI218" i="7"/>
  <c r="HJ218" i="7"/>
  <c r="HK218" i="7"/>
  <c r="HL218" i="7"/>
  <c r="HM218" i="7"/>
  <c r="HN218" i="7"/>
  <c r="HO218" i="7"/>
  <c r="HP218" i="7"/>
  <c r="HQ218" i="7"/>
  <c r="HR218" i="7"/>
  <c r="HS218" i="7"/>
  <c r="HT218" i="7"/>
  <c r="HU218" i="7"/>
  <c r="HV218" i="7"/>
  <c r="HW218" i="7"/>
  <c r="HX218" i="7"/>
  <c r="HY218" i="7"/>
  <c r="HZ218" i="7"/>
  <c r="IA218" i="7"/>
  <c r="IB218" i="7"/>
  <c r="IC218" i="7"/>
  <c r="ID218" i="7"/>
  <c r="IE218" i="7"/>
  <c r="IF218" i="7"/>
  <c r="IG218" i="7"/>
  <c r="IH218" i="7"/>
  <c r="II218" i="7"/>
  <c r="IJ218" i="7"/>
  <c r="IK218" i="7"/>
  <c r="IL218" i="7"/>
  <c r="IM218" i="7"/>
  <c r="IN218" i="7"/>
  <c r="IO218" i="7"/>
  <c r="IP218" i="7"/>
  <c r="IQ218" i="7"/>
  <c r="IR218" i="7"/>
  <c r="IS218" i="7"/>
  <c r="IT218" i="7"/>
  <c r="IU218" i="7"/>
  <c r="IV218" i="7"/>
  <c r="A217" i="7"/>
  <c r="B217" i="7"/>
  <c r="C217" i="7"/>
  <c r="D217" i="7"/>
  <c r="E217" i="7"/>
  <c r="F217" i="7"/>
  <c r="G217" i="7"/>
  <c r="H217" i="7"/>
  <c r="I217" i="7"/>
  <c r="J217" i="7"/>
  <c r="K217" i="7"/>
  <c r="L217" i="7"/>
  <c r="M217" i="7"/>
  <c r="N217" i="7"/>
  <c r="O217" i="7"/>
  <c r="P217" i="7"/>
  <c r="Q217" i="7"/>
  <c r="R217" i="7"/>
  <c r="S217" i="7"/>
  <c r="T217" i="7"/>
  <c r="U217" i="7"/>
  <c r="V217" i="7"/>
  <c r="W217" i="7"/>
  <c r="X217" i="7"/>
  <c r="Y217" i="7"/>
  <c r="Z217" i="7"/>
  <c r="AA217" i="7"/>
  <c r="AB217" i="7"/>
  <c r="AC217" i="7"/>
  <c r="AD217" i="7"/>
  <c r="AE217" i="7"/>
  <c r="AF217" i="7"/>
  <c r="AG217" i="7"/>
  <c r="AH217" i="7"/>
  <c r="AI217" i="7"/>
  <c r="AJ217" i="7"/>
  <c r="AK217" i="7"/>
  <c r="AL217" i="7"/>
  <c r="AM217" i="7"/>
  <c r="AN217" i="7"/>
  <c r="AO217" i="7"/>
  <c r="AP217" i="7"/>
  <c r="AQ217" i="7"/>
  <c r="AR217" i="7"/>
  <c r="AS217" i="7"/>
  <c r="AT217" i="7"/>
  <c r="AU217" i="7"/>
  <c r="AV217" i="7"/>
  <c r="AW217" i="7"/>
  <c r="AX217" i="7"/>
  <c r="AY217" i="7"/>
  <c r="AZ217" i="7"/>
  <c r="BA217" i="7"/>
  <c r="BB217" i="7"/>
  <c r="BC217" i="7"/>
  <c r="BD217" i="7"/>
  <c r="BE217" i="7"/>
  <c r="BF217" i="7"/>
  <c r="BG217" i="7"/>
  <c r="BH217" i="7"/>
  <c r="BI217" i="7"/>
  <c r="BJ217" i="7"/>
  <c r="BK217" i="7"/>
  <c r="BL217" i="7"/>
  <c r="BM217" i="7"/>
  <c r="BN217" i="7"/>
  <c r="BO217" i="7"/>
  <c r="BP217" i="7"/>
  <c r="BQ217" i="7"/>
  <c r="BR217" i="7"/>
  <c r="BS217" i="7"/>
  <c r="BT217" i="7"/>
  <c r="BU217" i="7"/>
  <c r="BV217" i="7"/>
  <c r="BW217" i="7"/>
  <c r="BX217" i="7"/>
  <c r="BY217" i="7"/>
  <c r="BZ217" i="7"/>
  <c r="CA217" i="7"/>
  <c r="CB217" i="7"/>
  <c r="CC217" i="7"/>
  <c r="CD217" i="7"/>
  <c r="CE217" i="7"/>
  <c r="CF217" i="7"/>
  <c r="CG217" i="7"/>
  <c r="CH217" i="7"/>
  <c r="CI217" i="7"/>
  <c r="CJ217" i="7"/>
  <c r="CK217" i="7"/>
  <c r="CL217" i="7"/>
  <c r="CM217" i="7"/>
  <c r="CN217" i="7"/>
  <c r="CO217" i="7"/>
  <c r="CP217" i="7"/>
  <c r="CQ217" i="7"/>
  <c r="CR217" i="7"/>
  <c r="CS217" i="7"/>
  <c r="CT217" i="7"/>
  <c r="CU217" i="7"/>
  <c r="CV217" i="7"/>
  <c r="CW217" i="7"/>
  <c r="CX217" i="7"/>
  <c r="CY217" i="7"/>
  <c r="CZ217" i="7"/>
  <c r="DA217" i="7"/>
  <c r="DB217" i="7"/>
  <c r="DC217" i="7"/>
  <c r="DD217" i="7"/>
  <c r="DE217" i="7"/>
  <c r="DF217" i="7"/>
  <c r="DG217" i="7"/>
  <c r="DH217" i="7"/>
  <c r="DI217" i="7"/>
  <c r="DJ217" i="7"/>
  <c r="DK217" i="7"/>
  <c r="DL217" i="7"/>
  <c r="DM217" i="7"/>
  <c r="DN217" i="7"/>
  <c r="DO217" i="7"/>
  <c r="DP217" i="7"/>
  <c r="DQ217" i="7"/>
  <c r="DR217" i="7"/>
  <c r="DS217" i="7"/>
  <c r="DT217" i="7"/>
  <c r="DU217" i="7"/>
  <c r="DV217" i="7"/>
  <c r="DW217" i="7"/>
  <c r="DX217" i="7"/>
  <c r="DY217" i="7"/>
  <c r="DZ217" i="7"/>
  <c r="EA217" i="7"/>
  <c r="EB217" i="7"/>
  <c r="EC217" i="7"/>
  <c r="ED217" i="7"/>
  <c r="EE217" i="7"/>
  <c r="EF217" i="7"/>
  <c r="EG217" i="7"/>
  <c r="EH217" i="7"/>
  <c r="EI217" i="7"/>
  <c r="EJ217" i="7"/>
  <c r="EK217" i="7"/>
  <c r="EL217" i="7"/>
  <c r="EM217" i="7"/>
  <c r="EN217" i="7"/>
  <c r="EO217" i="7"/>
  <c r="EP217" i="7"/>
  <c r="EQ217" i="7"/>
  <c r="ER217" i="7"/>
  <c r="ES217" i="7"/>
  <c r="ET217" i="7"/>
  <c r="EU217" i="7"/>
  <c r="EV217" i="7"/>
  <c r="EW217" i="7"/>
  <c r="EX217" i="7"/>
  <c r="EY217" i="7"/>
  <c r="EZ217" i="7"/>
  <c r="FA217" i="7"/>
  <c r="FB217" i="7"/>
  <c r="FC217" i="7"/>
  <c r="FD217" i="7"/>
  <c r="FE217" i="7"/>
  <c r="FF217" i="7"/>
  <c r="FG217" i="7"/>
  <c r="FH217" i="7"/>
  <c r="FI217" i="7"/>
  <c r="FJ217" i="7"/>
  <c r="FK217" i="7"/>
  <c r="FL217" i="7"/>
  <c r="FM217" i="7"/>
  <c r="FN217" i="7"/>
  <c r="FO217" i="7"/>
  <c r="FP217" i="7"/>
  <c r="FQ217" i="7"/>
  <c r="FR217" i="7"/>
  <c r="FS217" i="7"/>
  <c r="FT217" i="7"/>
  <c r="FU217" i="7"/>
  <c r="FV217" i="7"/>
  <c r="FW217" i="7"/>
  <c r="FX217" i="7"/>
  <c r="FY217" i="7"/>
  <c r="FZ217" i="7"/>
  <c r="GA217" i="7"/>
  <c r="GB217" i="7"/>
  <c r="GC217" i="7"/>
  <c r="GD217" i="7"/>
  <c r="GE217" i="7"/>
  <c r="GF217" i="7"/>
  <c r="GG217" i="7"/>
  <c r="GH217" i="7"/>
  <c r="GI217" i="7"/>
  <c r="GJ217" i="7"/>
  <c r="GK217" i="7"/>
  <c r="GL217" i="7"/>
  <c r="GM217" i="7"/>
  <c r="GN217" i="7"/>
  <c r="GO217" i="7"/>
  <c r="GP217" i="7"/>
  <c r="GQ217" i="7"/>
  <c r="GR217" i="7"/>
  <c r="GS217" i="7"/>
  <c r="GT217" i="7"/>
  <c r="GU217" i="7"/>
  <c r="GV217" i="7"/>
  <c r="GW217" i="7"/>
  <c r="GX217" i="7"/>
  <c r="GY217" i="7"/>
  <c r="GZ217" i="7"/>
  <c r="HA217" i="7"/>
  <c r="HB217" i="7"/>
  <c r="HC217" i="7"/>
  <c r="HD217" i="7"/>
  <c r="HE217" i="7"/>
  <c r="HF217" i="7"/>
  <c r="HG217" i="7"/>
  <c r="HH217" i="7"/>
  <c r="HI217" i="7"/>
  <c r="HJ217" i="7"/>
  <c r="HK217" i="7"/>
  <c r="HL217" i="7"/>
  <c r="HM217" i="7"/>
  <c r="HN217" i="7"/>
  <c r="HO217" i="7"/>
  <c r="HP217" i="7"/>
  <c r="HQ217" i="7"/>
  <c r="HR217" i="7"/>
  <c r="HS217" i="7"/>
  <c r="HT217" i="7"/>
  <c r="HU217" i="7"/>
  <c r="HV217" i="7"/>
  <c r="HW217" i="7"/>
  <c r="HX217" i="7"/>
  <c r="HY217" i="7"/>
  <c r="HZ217" i="7"/>
  <c r="IA217" i="7"/>
  <c r="IB217" i="7"/>
  <c r="IC217" i="7"/>
  <c r="ID217" i="7"/>
  <c r="IE217" i="7"/>
  <c r="IF217" i="7"/>
  <c r="IG217" i="7"/>
  <c r="IH217" i="7"/>
  <c r="II217" i="7"/>
  <c r="IJ217" i="7"/>
  <c r="IK217" i="7"/>
  <c r="IL217" i="7"/>
  <c r="IM217" i="7"/>
  <c r="IN217" i="7"/>
  <c r="IO217" i="7"/>
  <c r="IP217" i="7"/>
  <c r="IQ217" i="7"/>
  <c r="IR217" i="7"/>
  <c r="IS217" i="7"/>
  <c r="IT217" i="7"/>
  <c r="IU217" i="7"/>
  <c r="IV217" i="7"/>
  <c r="A216" i="7"/>
  <c r="B216" i="7"/>
  <c r="C216" i="7"/>
  <c r="D216" i="7"/>
  <c r="E216" i="7"/>
  <c r="F216" i="7"/>
  <c r="G216" i="7"/>
  <c r="H216" i="7"/>
  <c r="I216" i="7"/>
  <c r="J216" i="7"/>
  <c r="K216" i="7"/>
  <c r="L216" i="7"/>
  <c r="M216" i="7"/>
  <c r="N216" i="7"/>
  <c r="O216" i="7"/>
  <c r="P216" i="7"/>
  <c r="Q216" i="7"/>
  <c r="R216" i="7"/>
  <c r="S216" i="7"/>
  <c r="T216" i="7"/>
  <c r="U216" i="7"/>
  <c r="V216" i="7"/>
  <c r="W216" i="7"/>
  <c r="X216" i="7"/>
  <c r="Y216" i="7"/>
  <c r="Z216" i="7"/>
  <c r="AA216" i="7"/>
  <c r="AB216" i="7"/>
  <c r="AC216" i="7"/>
  <c r="AD216" i="7"/>
  <c r="AE216" i="7"/>
  <c r="AF216" i="7"/>
  <c r="AG216" i="7"/>
  <c r="AH216" i="7"/>
  <c r="AI216" i="7"/>
  <c r="AJ216" i="7"/>
  <c r="AK216" i="7"/>
  <c r="AL216" i="7"/>
  <c r="AM216" i="7"/>
  <c r="AN216" i="7"/>
  <c r="AO216" i="7"/>
  <c r="AP216" i="7"/>
  <c r="AQ216" i="7"/>
  <c r="AR216" i="7"/>
  <c r="AS216" i="7"/>
  <c r="AT216" i="7"/>
  <c r="AU216" i="7"/>
  <c r="AV216" i="7"/>
  <c r="AW216" i="7"/>
  <c r="AX216" i="7"/>
  <c r="AY216" i="7"/>
  <c r="AZ216" i="7"/>
  <c r="BA216" i="7"/>
  <c r="BB216" i="7"/>
  <c r="BC216" i="7"/>
  <c r="BD216" i="7"/>
  <c r="BE216" i="7"/>
  <c r="BF216" i="7"/>
  <c r="BG216" i="7"/>
  <c r="BH216" i="7"/>
  <c r="BI216" i="7"/>
  <c r="BJ216" i="7"/>
  <c r="BK216" i="7"/>
  <c r="BL216" i="7"/>
  <c r="BM216" i="7"/>
  <c r="BN216" i="7"/>
  <c r="BO216" i="7"/>
  <c r="BP216" i="7"/>
  <c r="BQ216" i="7"/>
  <c r="BR216" i="7"/>
  <c r="BS216" i="7"/>
  <c r="BT216" i="7"/>
  <c r="BU216" i="7"/>
  <c r="BV216" i="7"/>
  <c r="BW216" i="7"/>
  <c r="BX216" i="7"/>
  <c r="BY216" i="7"/>
  <c r="BZ216" i="7"/>
  <c r="CA216" i="7"/>
  <c r="CB216" i="7"/>
  <c r="CC216" i="7"/>
  <c r="CD216" i="7"/>
  <c r="CE216" i="7"/>
  <c r="CF216" i="7"/>
  <c r="CG216" i="7"/>
  <c r="CH216" i="7"/>
  <c r="CI216" i="7"/>
  <c r="CJ216" i="7"/>
  <c r="CK216" i="7"/>
  <c r="CL216" i="7"/>
  <c r="CM216" i="7"/>
  <c r="CN216" i="7"/>
  <c r="CO216" i="7"/>
  <c r="CP216" i="7"/>
  <c r="CQ216" i="7"/>
  <c r="CR216" i="7"/>
  <c r="CS216" i="7"/>
  <c r="CT216" i="7"/>
  <c r="CU216" i="7"/>
  <c r="CV216" i="7"/>
  <c r="CW216" i="7"/>
  <c r="CX216" i="7"/>
  <c r="CY216" i="7"/>
  <c r="CZ216" i="7"/>
  <c r="DA216" i="7"/>
  <c r="DB216" i="7"/>
  <c r="DC216" i="7"/>
  <c r="DD216" i="7"/>
  <c r="DE216" i="7"/>
  <c r="DF216" i="7"/>
  <c r="DG216" i="7"/>
  <c r="DH216" i="7"/>
  <c r="DI216" i="7"/>
  <c r="DJ216" i="7"/>
  <c r="DK216" i="7"/>
  <c r="DL216" i="7"/>
  <c r="DM216" i="7"/>
  <c r="DN216" i="7"/>
  <c r="DO216" i="7"/>
  <c r="DP216" i="7"/>
  <c r="DQ216" i="7"/>
  <c r="DR216" i="7"/>
  <c r="DS216" i="7"/>
  <c r="DT216" i="7"/>
  <c r="DU216" i="7"/>
  <c r="DV216" i="7"/>
  <c r="DW216" i="7"/>
  <c r="DX216" i="7"/>
  <c r="DY216" i="7"/>
  <c r="DZ216" i="7"/>
  <c r="EA216" i="7"/>
  <c r="EB216" i="7"/>
  <c r="EC216" i="7"/>
  <c r="ED216" i="7"/>
  <c r="EE216" i="7"/>
  <c r="EF216" i="7"/>
  <c r="EG216" i="7"/>
  <c r="EH216" i="7"/>
  <c r="EI216" i="7"/>
  <c r="EJ216" i="7"/>
  <c r="EK216" i="7"/>
  <c r="EL216" i="7"/>
  <c r="EM216" i="7"/>
  <c r="EN216" i="7"/>
  <c r="EO216" i="7"/>
  <c r="EP216" i="7"/>
  <c r="EQ216" i="7"/>
  <c r="ER216" i="7"/>
  <c r="ES216" i="7"/>
  <c r="ET216" i="7"/>
  <c r="EU216" i="7"/>
  <c r="EV216" i="7"/>
  <c r="EW216" i="7"/>
  <c r="EX216" i="7"/>
  <c r="EY216" i="7"/>
  <c r="EZ216" i="7"/>
  <c r="FA216" i="7"/>
  <c r="FB216" i="7"/>
  <c r="FC216" i="7"/>
  <c r="FD216" i="7"/>
  <c r="FE216" i="7"/>
  <c r="FF216" i="7"/>
  <c r="FG216" i="7"/>
  <c r="FH216" i="7"/>
  <c r="FI216" i="7"/>
  <c r="FJ216" i="7"/>
  <c r="FK216" i="7"/>
  <c r="FL216" i="7"/>
  <c r="FM216" i="7"/>
  <c r="FN216" i="7"/>
  <c r="FO216" i="7"/>
  <c r="FP216" i="7"/>
  <c r="FQ216" i="7"/>
  <c r="FR216" i="7"/>
  <c r="FS216" i="7"/>
  <c r="FT216" i="7"/>
  <c r="FU216" i="7"/>
  <c r="FV216" i="7"/>
  <c r="FW216" i="7"/>
  <c r="FX216" i="7"/>
  <c r="FY216" i="7"/>
  <c r="FZ216" i="7"/>
  <c r="GA216" i="7"/>
  <c r="GB216" i="7"/>
  <c r="GC216" i="7"/>
  <c r="GD216" i="7"/>
  <c r="GE216" i="7"/>
  <c r="GF216" i="7"/>
  <c r="GG216" i="7"/>
  <c r="GH216" i="7"/>
  <c r="GI216" i="7"/>
  <c r="GJ216" i="7"/>
  <c r="GK216" i="7"/>
  <c r="GL216" i="7"/>
  <c r="GM216" i="7"/>
  <c r="GN216" i="7"/>
  <c r="GO216" i="7"/>
  <c r="GP216" i="7"/>
  <c r="GQ216" i="7"/>
  <c r="GR216" i="7"/>
  <c r="GS216" i="7"/>
  <c r="GT216" i="7"/>
  <c r="GU216" i="7"/>
  <c r="GV216" i="7"/>
  <c r="GW216" i="7"/>
  <c r="GX216" i="7"/>
  <c r="GY216" i="7"/>
  <c r="GZ216" i="7"/>
  <c r="HA216" i="7"/>
  <c r="HB216" i="7"/>
  <c r="HC216" i="7"/>
  <c r="HD216" i="7"/>
  <c r="HE216" i="7"/>
  <c r="HF216" i="7"/>
  <c r="HG216" i="7"/>
  <c r="HH216" i="7"/>
  <c r="HI216" i="7"/>
  <c r="HJ216" i="7"/>
  <c r="HK216" i="7"/>
  <c r="HL216" i="7"/>
  <c r="HM216" i="7"/>
  <c r="HN216" i="7"/>
  <c r="HO216" i="7"/>
  <c r="HP216" i="7"/>
  <c r="HQ216" i="7"/>
  <c r="HR216" i="7"/>
  <c r="HS216" i="7"/>
  <c r="HT216" i="7"/>
  <c r="HU216" i="7"/>
  <c r="HV216" i="7"/>
  <c r="HW216" i="7"/>
  <c r="HX216" i="7"/>
  <c r="HY216" i="7"/>
  <c r="HZ216" i="7"/>
  <c r="IA216" i="7"/>
  <c r="IB216" i="7"/>
  <c r="IC216" i="7"/>
  <c r="ID216" i="7"/>
  <c r="IE216" i="7"/>
  <c r="IF216" i="7"/>
  <c r="IG216" i="7"/>
  <c r="IH216" i="7"/>
  <c r="II216" i="7"/>
  <c r="IJ216" i="7"/>
  <c r="IK216" i="7"/>
  <c r="IL216" i="7"/>
  <c r="IM216" i="7"/>
  <c r="IN216" i="7"/>
  <c r="IO216" i="7"/>
  <c r="IP216" i="7"/>
  <c r="IQ216" i="7"/>
  <c r="IR216" i="7"/>
  <c r="IS216" i="7"/>
  <c r="IT216" i="7"/>
  <c r="IU216" i="7"/>
  <c r="IV216" i="7"/>
  <c r="A215" i="7"/>
  <c r="B215" i="7"/>
  <c r="C215" i="7"/>
  <c r="D215" i="7"/>
  <c r="E215" i="7"/>
  <c r="F215" i="7"/>
  <c r="G215" i="7"/>
  <c r="H215" i="7"/>
  <c r="I215" i="7"/>
  <c r="J215" i="7"/>
  <c r="K215" i="7"/>
  <c r="L215" i="7"/>
  <c r="M215" i="7"/>
  <c r="N215" i="7"/>
  <c r="O215" i="7"/>
  <c r="P215" i="7"/>
  <c r="Q215" i="7"/>
  <c r="R215" i="7"/>
  <c r="S215" i="7"/>
  <c r="T215" i="7"/>
  <c r="U215" i="7"/>
  <c r="V215" i="7"/>
  <c r="W215" i="7"/>
  <c r="X215" i="7"/>
  <c r="Y215" i="7"/>
  <c r="Z215" i="7"/>
  <c r="AA215" i="7"/>
  <c r="AB215" i="7"/>
  <c r="AC215" i="7"/>
  <c r="AD215" i="7"/>
  <c r="AE215" i="7"/>
  <c r="AF215" i="7"/>
  <c r="AG215" i="7"/>
  <c r="AH215" i="7"/>
  <c r="AI215" i="7"/>
  <c r="AJ215" i="7"/>
  <c r="AK215" i="7"/>
  <c r="AL215" i="7"/>
  <c r="AM215" i="7"/>
  <c r="AN215" i="7"/>
  <c r="AO215" i="7"/>
  <c r="AP215" i="7"/>
  <c r="AQ215" i="7"/>
  <c r="AR215" i="7"/>
  <c r="AS215" i="7"/>
  <c r="AT215" i="7"/>
  <c r="AU215" i="7"/>
  <c r="AV215" i="7"/>
  <c r="AW215" i="7"/>
  <c r="AX215" i="7"/>
  <c r="AY215" i="7"/>
  <c r="AZ215" i="7"/>
  <c r="BA215" i="7"/>
  <c r="BB215" i="7"/>
  <c r="BC215" i="7"/>
  <c r="BD215" i="7"/>
  <c r="BE215" i="7"/>
  <c r="BF215" i="7"/>
  <c r="BG215" i="7"/>
  <c r="BH215" i="7"/>
  <c r="BI215" i="7"/>
  <c r="BJ215" i="7"/>
  <c r="BK215" i="7"/>
  <c r="BL215" i="7"/>
  <c r="BM215" i="7"/>
  <c r="BN215" i="7"/>
  <c r="BO215" i="7"/>
  <c r="BP215" i="7"/>
  <c r="BQ215" i="7"/>
  <c r="BR215" i="7"/>
  <c r="BS215" i="7"/>
  <c r="BT215" i="7"/>
  <c r="BU215" i="7"/>
  <c r="BV215" i="7"/>
  <c r="BW215" i="7"/>
  <c r="BX215" i="7"/>
  <c r="BY215" i="7"/>
  <c r="BZ215" i="7"/>
  <c r="CA215" i="7"/>
  <c r="CB215" i="7"/>
  <c r="CC215" i="7"/>
  <c r="CD215" i="7"/>
  <c r="CE215" i="7"/>
  <c r="CF215" i="7"/>
  <c r="CG215" i="7"/>
  <c r="CH215" i="7"/>
  <c r="CI215" i="7"/>
  <c r="CJ215" i="7"/>
  <c r="CK215" i="7"/>
  <c r="CL215" i="7"/>
  <c r="CM215" i="7"/>
  <c r="CN215" i="7"/>
  <c r="CO215" i="7"/>
  <c r="CP215" i="7"/>
  <c r="CQ215" i="7"/>
  <c r="CR215" i="7"/>
  <c r="CS215" i="7"/>
  <c r="CT215" i="7"/>
  <c r="CU215" i="7"/>
  <c r="CV215" i="7"/>
  <c r="CW215" i="7"/>
  <c r="CX215" i="7"/>
  <c r="CY215" i="7"/>
  <c r="CZ215" i="7"/>
  <c r="DA215" i="7"/>
  <c r="DB215" i="7"/>
  <c r="DC215" i="7"/>
  <c r="DD215" i="7"/>
  <c r="DE215" i="7"/>
  <c r="DF215" i="7"/>
  <c r="DG215" i="7"/>
  <c r="DH215" i="7"/>
  <c r="DI215" i="7"/>
  <c r="DJ215" i="7"/>
  <c r="DK215" i="7"/>
  <c r="DL215" i="7"/>
  <c r="DM215" i="7"/>
  <c r="DN215" i="7"/>
  <c r="DO215" i="7"/>
  <c r="DP215" i="7"/>
  <c r="DQ215" i="7"/>
  <c r="DR215" i="7"/>
  <c r="DS215" i="7"/>
  <c r="DT215" i="7"/>
  <c r="DU215" i="7"/>
  <c r="DV215" i="7"/>
  <c r="DW215" i="7"/>
  <c r="DX215" i="7"/>
  <c r="DY215" i="7"/>
  <c r="DZ215" i="7"/>
  <c r="EA215" i="7"/>
  <c r="EB215" i="7"/>
  <c r="EC215" i="7"/>
  <c r="ED215" i="7"/>
  <c r="EE215" i="7"/>
  <c r="EF215" i="7"/>
  <c r="EG215" i="7"/>
  <c r="EH215" i="7"/>
  <c r="EI215" i="7"/>
  <c r="EJ215" i="7"/>
  <c r="EK215" i="7"/>
  <c r="EL215" i="7"/>
  <c r="EM215" i="7"/>
  <c r="EN215" i="7"/>
  <c r="EO215" i="7"/>
  <c r="EP215" i="7"/>
  <c r="EQ215" i="7"/>
  <c r="ER215" i="7"/>
  <c r="ES215" i="7"/>
  <c r="ET215" i="7"/>
  <c r="EU215" i="7"/>
  <c r="EV215" i="7"/>
  <c r="EW215" i="7"/>
  <c r="EX215" i="7"/>
  <c r="EY215" i="7"/>
  <c r="EZ215" i="7"/>
  <c r="FA215" i="7"/>
  <c r="FB215" i="7"/>
  <c r="FC215" i="7"/>
  <c r="FD215" i="7"/>
  <c r="FE215" i="7"/>
  <c r="FF215" i="7"/>
  <c r="FG215" i="7"/>
  <c r="FH215" i="7"/>
  <c r="FI215" i="7"/>
  <c r="FJ215" i="7"/>
  <c r="FK215" i="7"/>
  <c r="FL215" i="7"/>
  <c r="FM215" i="7"/>
  <c r="FN215" i="7"/>
  <c r="FO215" i="7"/>
  <c r="FP215" i="7"/>
  <c r="FQ215" i="7"/>
  <c r="FR215" i="7"/>
  <c r="FS215" i="7"/>
  <c r="FT215" i="7"/>
  <c r="FU215" i="7"/>
  <c r="FV215" i="7"/>
  <c r="FW215" i="7"/>
  <c r="FX215" i="7"/>
  <c r="FY215" i="7"/>
  <c r="FZ215" i="7"/>
  <c r="GA215" i="7"/>
  <c r="GB215" i="7"/>
  <c r="GC215" i="7"/>
  <c r="GD215" i="7"/>
  <c r="GE215" i="7"/>
  <c r="GF215" i="7"/>
  <c r="GG215" i="7"/>
  <c r="GH215" i="7"/>
  <c r="GI215" i="7"/>
  <c r="GJ215" i="7"/>
  <c r="GK215" i="7"/>
  <c r="GL215" i="7"/>
  <c r="GM215" i="7"/>
  <c r="GN215" i="7"/>
  <c r="GO215" i="7"/>
  <c r="GP215" i="7"/>
  <c r="GQ215" i="7"/>
  <c r="GR215" i="7"/>
  <c r="GS215" i="7"/>
  <c r="GT215" i="7"/>
  <c r="GU215" i="7"/>
  <c r="GV215" i="7"/>
  <c r="GW215" i="7"/>
  <c r="GX215" i="7"/>
  <c r="GY215" i="7"/>
  <c r="GZ215" i="7"/>
  <c r="HA215" i="7"/>
  <c r="HB215" i="7"/>
  <c r="HC215" i="7"/>
  <c r="HD215" i="7"/>
  <c r="HE215" i="7"/>
  <c r="HF215" i="7"/>
  <c r="HG215" i="7"/>
  <c r="HH215" i="7"/>
  <c r="HI215" i="7"/>
  <c r="HJ215" i="7"/>
  <c r="HK215" i="7"/>
  <c r="HL215" i="7"/>
  <c r="HM215" i="7"/>
  <c r="HN215" i="7"/>
  <c r="HO215" i="7"/>
  <c r="HP215" i="7"/>
  <c r="HQ215" i="7"/>
  <c r="HR215" i="7"/>
  <c r="HS215" i="7"/>
  <c r="HT215" i="7"/>
  <c r="HU215" i="7"/>
  <c r="HV215" i="7"/>
  <c r="HW215" i="7"/>
  <c r="HX215" i="7"/>
  <c r="HY215" i="7"/>
  <c r="HZ215" i="7"/>
  <c r="IA215" i="7"/>
  <c r="IB215" i="7"/>
  <c r="IC215" i="7"/>
  <c r="ID215" i="7"/>
  <c r="IE215" i="7"/>
  <c r="IF215" i="7"/>
  <c r="IG215" i="7"/>
  <c r="IH215" i="7"/>
  <c r="II215" i="7"/>
  <c r="IJ215" i="7"/>
  <c r="IK215" i="7"/>
  <c r="IL215" i="7"/>
  <c r="IM215" i="7"/>
  <c r="IN215" i="7"/>
  <c r="IO215" i="7"/>
  <c r="IP215" i="7"/>
  <c r="IQ215" i="7"/>
  <c r="IR215" i="7"/>
  <c r="IS215" i="7"/>
  <c r="IT215" i="7"/>
  <c r="IU215" i="7"/>
  <c r="IV215" i="7"/>
  <c r="A214" i="7"/>
  <c r="B214" i="7"/>
  <c r="C214" i="7"/>
  <c r="D214" i="7"/>
  <c r="E214" i="7"/>
  <c r="F214" i="7"/>
  <c r="G214" i="7"/>
  <c r="H214" i="7"/>
  <c r="I214" i="7"/>
  <c r="J214" i="7"/>
  <c r="K214" i="7"/>
  <c r="L214" i="7"/>
  <c r="M214" i="7"/>
  <c r="N214" i="7"/>
  <c r="O214" i="7"/>
  <c r="P214" i="7"/>
  <c r="Q214" i="7"/>
  <c r="R214" i="7"/>
  <c r="S214" i="7"/>
  <c r="T214" i="7"/>
  <c r="U214" i="7"/>
  <c r="V214" i="7"/>
  <c r="W214" i="7"/>
  <c r="X214" i="7"/>
  <c r="Y214" i="7"/>
  <c r="Z214" i="7"/>
  <c r="AA214" i="7"/>
  <c r="AB214" i="7"/>
  <c r="AC214" i="7"/>
  <c r="AD214" i="7"/>
  <c r="AE214" i="7"/>
  <c r="AF214" i="7"/>
  <c r="AG214" i="7"/>
  <c r="AH214" i="7"/>
  <c r="AI214" i="7"/>
  <c r="AJ214" i="7"/>
  <c r="AK214" i="7"/>
  <c r="AL214" i="7"/>
  <c r="AM214" i="7"/>
  <c r="AN214" i="7"/>
  <c r="AO214" i="7"/>
  <c r="AP214" i="7"/>
  <c r="AQ214" i="7"/>
  <c r="AR214" i="7"/>
  <c r="AS214" i="7"/>
  <c r="AT214" i="7"/>
  <c r="AU214" i="7"/>
  <c r="AV214" i="7"/>
  <c r="AW214" i="7"/>
  <c r="AX214" i="7"/>
  <c r="AY214" i="7"/>
  <c r="AZ214" i="7"/>
  <c r="BA214" i="7"/>
  <c r="BB214" i="7"/>
  <c r="BC214" i="7"/>
  <c r="BD214" i="7"/>
  <c r="BE214" i="7"/>
  <c r="BF214" i="7"/>
  <c r="BG214" i="7"/>
  <c r="BH214" i="7"/>
  <c r="BI214" i="7"/>
  <c r="BJ214" i="7"/>
  <c r="BK214" i="7"/>
  <c r="BL214" i="7"/>
  <c r="BM214" i="7"/>
  <c r="BN214" i="7"/>
  <c r="BO214" i="7"/>
  <c r="BP214" i="7"/>
  <c r="BQ214" i="7"/>
  <c r="BR214" i="7"/>
  <c r="BS214" i="7"/>
  <c r="BT214" i="7"/>
  <c r="BU214" i="7"/>
  <c r="BV214" i="7"/>
  <c r="BW214" i="7"/>
  <c r="BX214" i="7"/>
  <c r="BY214" i="7"/>
  <c r="BZ214" i="7"/>
  <c r="CA214" i="7"/>
  <c r="CB214" i="7"/>
  <c r="CC214" i="7"/>
  <c r="CD214" i="7"/>
  <c r="CE214" i="7"/>
  <c r="CF214" i="7"/>
  <c r="CG214" i="7"/>
  <c r="CH214" i="7"/>
  <c r="CI214" i="7"/>
  <c r="CJ214" i="7"/>
  <c r="CK214" i="7"/>
  <c r="CL214" i="7"/>
  <c r="CM214" i="7"/>
  <c r="CN214" i="7"/>
  <c r="CO214" i="7"/>
  <c r="CP214" i="7"/>
  <c r="CQ214" i="7"/>
  <c r="CR214" i="7"/>
  <c r="CS214" i="7"/>
  <c r="CT214" i="7"/>
  <c r="CU214" i="7"/>
  <c r="CV214" i="7"/>
  <c r="CW214" i="7"/>
  <c r="CX214" i="7"/>
  <c r="CY214" i="7"/>
  <c r="CZ214" i="7"/>
  <c r="DA214" i="7"/>
  <c r="DB214" i="7"/>
  <c r="DC214" i="7"/>
  <c r="DD214" i="7"/>
  <c r="DE214" i="7"/>
  <c r="DF214" i="7"/>
  <c r="DG214" i="7"/>
  <c r="DH214" i="7"/>
  <c r="DI214" i="7"/>
  <c r="DJ214" i="7"/>
  <c r="DK214" i="7"/>
  <c r="DL214" i="7"/>
  <c r="DM214" i="7"/>
  <c r="DN214" i="7"/>
  <c r="DO214" i="7"/>
  <c r="DP214" i="7"/>
  <c r="DQ214" i="7"/>
  <c r="DR214" i="7"/>
  <c r="DS214" i="7"/>
  <c r="DT214" i="7"/>
  <c r="DU214" i="7"/>
  <c r="DV214" i="7"/>
  <c r="DW214" i="7"/>
  <c r="DX214" i="7"/>
  <c r="DY214" i="7"/>
  <c r="DZ214" i="7"/>
  <c r="EA214" i="7"/>
  <c r="EB214" i="7"/>
  <c r="EC214" i="7"/>
  <c r="ED214" i="7"/>
  <c r="EE214" i="7"/>
  <c r="EF214" i="7"/>
  <c r="EG214" i="7"/>
  <c r="EH214" i="7"/>
  <c r="EI214" i="7"/>
  <c r="EJ214" i="7"/>
  <c r="EK214" i="7"/>
  <c r="EL214" i="7"/>
  <c r="EM214" i="7"/>
  <c r="EN214" i="7"/>
  <c r="EO214" i="7"/>
  <c r="EP214" i="7"/>
  <c r="EQ214" i="7"/>
  <c r="ER214" i="7"/>
  <c r="ES214" i="7"/>
  <c r="ET214" i="7"/>
  <c r="EU214" i="7"/>
  <c r="EV214" i="7"/>
  <c r="EW214" i="7"/>
  <c r="EX214" i="7"/>
  <c r="EY214" i="7"/>
  <c r="EZ214" i="7"/>
  <c r="FA214" i="7"/>
  <c r="FB214" i="7"/>
  <c r="FC214" i="7"/>
  <c r="FD214" i="7"/>
  <c r="FE214" i="7"/>
  <c r="FF214" i="7"/>
  <c r="FG214" i="7"/>
  <c r="FH214" i="7"/>
  <c r="FI214" i="7"/>
  <c r="FJ214" i="7"/>
  <c r="FK214" i="7"/>
  <c r="FL214" i="7"/>
  <c r="FM214" i="7"/>
  <c r="FN214" i="7"/>
  <c r="FO214" i="7"/>
  <c r="FP214" i="7"/>
  <c r="FQ214" i="7"/>
  <c r="FR214" i="7"/>
  <c r="FS214" i="7"/>
  <c r="FT214" i="7"/>
  <c r="FU214" i="7"/>
  <c r="FV214" i="7"/>
  <c r="FW214" i="7"/>
  <c r="FX214" i="7"/>
  <c r="FY214" i="7"/>
  <c r="FZ214" i="7"/>
  <c r="GA214" i="7"/>
  <c r="GB214" i="7"/>
  <c r="GC214" i="7"/>
  <c r="GD214" i="7"/>
  <c r="GE214" i="7"/>
  <c r="GF214" i="7"/>
  <c r="GG214" i="7"/>
  <c r="GH214" i="7"/>
  <c r="GI214" i="7"/>
  <c r="GJ214" i="7"/>
  <c r="GK214" i="7"/>
  <c r="GL214" i="7"/>
  <c r="GM214" i="7"/>
  <c r="GN214" i="7"/>
  <c r="GO214" i="7"/>
  <c r="GP214" i="7"/>
  <c r="GQ214" i="7"/>
  <c r="GR214" i="7"/>
  <c r="GS214" i="7"/>
  <c r="GT214" i="7"/>
  <c r="GU214" i="7"/>
  <c r="GV214" i="7"/>
  <c r="GW214" i="7"/>
  <c r="GX214" i="7"/>
  <c r="GY214" i="7"/>
  <c r="GZ214" i="7"/>
  <c r="HA214" i="7"/>
  <c r="HB214" i="7"/>
  <c r="HC214" i="7"/>
  <c r="HD214" i="7"/>
  <c r="HE214" i="7"/>
  <c r="HF214" i="7"/>
  <c r="HG214" i="7"/>
  <c r="HH214" i="7"/>
  <c r="HI214" i="7"/>
  <c r="HJ214" i="7"/>
  <c r="HK214" i="7"/>
  <c r="HL214" i="7"/>
  <c r="HM214" i="7"/>
  <c r="HN214" i="7"/>
  <c r="HO214" i="7"/>
  <c r="HP214" i="7"/>
  <c r="HQ214" i="7"/>
  <c r="HR214" i="7"/>
  <c r="HS214" i="7"/>
  <c r="HT214" i="7"/>
  <c r="HU214" i="7"/>
  <c r="HV214" i="7"/>
  <c r="HW214" i="7"/>
  <c r="HX214" i="7"/>
  <c r="HY214" i="7"/>
  <c r="HZ214" i="7"/>
  <c r="IA214" i="7"/>
  <c r="IB214" i="7"/>
  <c r="IC214" i="7"/>
  <c r="ID214" i="7"/>
  <c r="IE214" i="7"/>
  <c r="IF214" i="7"/>
  <c r="IG214" i="7"/>
  <c r="IH214" i="7"/>
  <c r="II214" i="7"/>
  <c r="IJ214" i="7"/>
  <c r="IK214" i="7"/>
  <c r="IL214" i="7"/>
  <c r="IM214" i="7"/>
  <c r="IN214" i="7"/>
  <c r="IO214" i="7"/>
  <c r="IP214" i="7"/>
  <c r="IQ214" i="7"/>
  <c r="IR214" i="7"/>
  <c r="IS214" i="7"/>
  <c r="IT214" i="7"/>
  <c r="IU214" i="7"/>
  <c r="IV214" i="7"/>
  <c r="A213" i="7"/>
  <c r="B213" i="7"/>
  <c r="C213" i="7"/>
  <c r="D213" i="7"/>
  <c r="E213" i="7"/>
  <c r="F213" i="7"/>
  <c r="G213" i="7"/>
  <c r="H213" i="7"/>
  <c r="I213" i="7"/>
  <c r="J213" i="7"/>
  <c r="K213" i="7"/>
  <c r="L213" i="7"/>
  <c r="M213" i="7"/>
  <c r="N213" i="7"/>
  <c r="O213" i="7"/>
  <c r="P213" i="7"/>
  <c r="Q213" i="7"/>
  <c r="R213" i="7"/>
  <c r="S213" i="7"/>
  <c r="T213" i="7"/>
  <c r="U213" i="7"/>
  <c r="V213" i="7"/>
  <c r="W213" i="7"/>
  <c r="X213" i="7"/>
  <c r="Y213" i="7"/>
  <c r="Z213" i="7"/>
  <c r="AA213" i="7"/>
  <c r="AB213" i="7"/>
  <c r="AC213" i="7"/>
  <c r="AD213" i="7"/>
  <c r="AE213" i="7"/>
  <c r="AF213" i="7"/>
  <c r="AG213" i="7"/>
  <c r="AH213" i="7"/>
  <c r="AI213" i="7"/>
  <c r="AJ213" i="7"/>
  <c r="AK213" i="7"/>
  <c r="AL213" i="7"/>
  <c r="AM213" i="7"/>
  <c r="AN213" i="7"/>
  <c r="AO213" i="7"/>
  <c r="AP213" i="7"/>
  <c r="AQ213" i="7"/>
  <c r="AR213" i="7"/>
  <c r="AS213" i="7"/>
  <c r="AT213" i="7"/>
  <c r="AU213" i="7"/>
  <c r="AV213" i="7"/>
  <c r="AW213" i="7"/>
  <c r="AX213" i="7"/>
  <c r="AY213" i="7"/>
  <c r="AZ213" i="7"/>
  <c r="BA213" i="7"/>
  <c r="BB213" i="7"/>
  <c r="BC213" i="7"/>
  <c r="BD213" i="7"/>
  <c r="BE213" i="7"/>
  <c r="BF213" i="7"/>
  <c r="BG213" i="7"/>
  <c r="BH213" i="7"/>
  <c r="BI213" i="7"/>
  <c r="BJ213" i="7"/>
  <c r="BK213" i="7"/>
  <c r="BL213" i="7"/>
  <c r="BM213" i="7"/>
  <c r="BN213" i="7"/>
  <c r="BO213" i="7"/>
  <c r="BP213" i="7"/>
  <c r="BQ213" i="7"/>
  <c r="BR213" i="7"/>
  <c r="BS213" i="7"/>
  <c r="BT213" i="7"/>
  <c r="BU213" i="7"/>
  <c r="BV213" i="7"/>
  <c r="BW213" i="7"/>
  <c r="BX213" i="7"/>
  <c r="BY213" i="7"/>
  <c r="BZ213" i="7"/>
  <c r="CA213" i="7"/>
  <c r="CB213" i="7"/>
  <c r="CC213" i="7"/>
  <c r="CD213" i="7"/>
  <c r="CE213" i="7"/>
  <c r="CF213" i="7"/>
  <c r="CG213" i="7"/>
  <c r="CH213" i="7"/>
  <c r="CI213" i="7"/>
  <c r="CJ213" i="7"/>
  <c r="CK213" i="7"/>
  <c r="CL213" i="7"/>
  <c r="CM213" i="7"/>
  <c r="CN213" i="7"/>
  <c r="CO213" i="7"/>
  <c r="CP213" i="7"/>
  <c r="CQ213" i="7"/>
  <c r="CR213" i="7"/>
  <c r="CS213" i="7"/>
  <c r="CT213" i="7"/>
  <c r="CU213" i="7"/>
  <c r="CV213" i="7"/>
  <c r="CW213" i="7"/>
  <c r="CX213" i="7"/>
  <c r="CY213" i="7"/>
  <c r="CZ213" i="7"/>
  <c r="DA213" i="7"/>
  <c r="DB213" i="7"/>
  <c r="DC213" i="7"/>
  <c r="DD213" i="7"/>
  <c r="DE213" i="7"/>
  <c r="DF213" i="7"/>
  <c r="DG213" i="7"/>
  <c r="DH213" i="7"/>
  <c r="DI213" i="7"/>
  <c r="DJ213" i="7"/>
  <c r="DK213" i="7"/>
  <c r="DL213" i="7"/>
  <c r="DM213" i="7"/>
  <c r="DN213" i="7"/>
  <c r="DO213" i="7"/>
  <c r="DP213" i="7"/>
  <c r="DQ213" i="7"/>
  <c r="DR213" i="7"/>
  <c r="DS213" i="7"/>
  <c r="DT213" i="7"/>
  <c r="DU213" i="7"/>
  <c r="DV213" i="7"/>
  <c r="DW213" i="7"/>
  <c r="DX213" i="7"/>
  <c r="DY213" i="7"/>
  <c r="DZ213" i="7"/>
  <c r="EA213" i="7"/>
  <c r="EB213" i="7"/>
  <c r="EC213" i="7"/>
  <c r="ED213" i="7"/>
  <c r="EE213" i="7"/>
  <c r="EF213" i="7"/>
  <c r="EG213" i="7"/>
  <c r="EH213" i="7"/>
  <c r="EI213" i="7"/>
  <c r="EJ213" i="7"/>
  <c r="EK213" i="7"/>
  <c r="EL213" i="7"/>
  <c r="EM213" i="7"/>
  <c r="EN213" i="7"/>
  <c r="EO213" i="7"/>
  <c r="EP213" i="7"/>
  <c r="EQ213" i="7"/>
  <c r="ER213" i="7"/>
  <c r="ES213" i="7"/>
  <c r="ET213" i="7"/>
  <c r="EU213" i="7"/>
  <c r="EV213" i="7"/>
  <c r="EW213" i="7"/>
  <c r="EX213" i="7"/>
  <c r="EY213" i="7"/>
  <c r="EZ213" i="7"/>
  <c r="FA213" i="7"/>
  <c r="FB213" i="7"/>
  <c r="FC213" i="7"/>
  <c r="FD213" i="7"/>
  <c r="FE213" i="7"/>
  <c r="FF213" i="7"/>
  <c r="FG213" i="7"/>
  <c r="FH213" i="7"/>
  <c r="FI213" i="7"/>
  <c r="FJ213" i="7"/>
  <c r="FK213" i="7"/>
  <c r="FL213" i="7"/>
  <c r="FM213" i="7"/>
  <c r="FN213" i="7"/>
  <c r="FO213" i="7"/>
  <c r="FP213" i="7"/>
  <c r="FQ213" i="7"/>
  <c r="FR213" i="7"/>
  <c r="FS213" i="7"/>
  <c r="FT213" i="7"/>
  <c r="FU213" i="7"/>
  <c r="FV213" i="7"/>
  <c r="FW213" i="7"/>
  <c r="FX213" i="7"/>
  <c r="FY213" i="7"/>
  <c r="FZ213" i="7"/>
  <c r="GA213" i="7"/>
  <c r="GB213" i="7"/>
  <c r="GC213" i="7"/>
  <c r="GD213" i="7"/>
  <c r="GE213" i="7"/>
  <c r="GF213" i="7"/>
  <c r="GG213" i="7"/>
  <c r="GH213" i="7"/>
  <c r="GI213" i="7"/>
  <c r="GJ213" i="7"/>
  <c r="GK213" i="7"/>
  <c r="GL213" i="7"/>
  <c r="GM213" i="7"/>
  <c r="GN213" i="7"/>
  <c r="GO213" i="7"/>
  <c r="GP213" i="7"/>
  <c r="GQ213" i="7"/>
  <c r="GR213" i="7"/>
  <c r="GS213" i="7"/>
  <c r="GT213" i="7"/>
  <c r="GU213" i="7"/>
  <c r="GV213" i="7"/>
  <c r="GW213" i="7"/>
  <c r="GX213" i="7"/>
  <c r="GY213" i="7"/>
  <c r="GZ213" i="7"/>
  <c r="HA213" i="7"/>
  <c r="HB213" i="7"/>
  <c r="HC213" i="7"/>
  <c r="HD213" i="7"/>
  <c r="HE213" i="7"/>
  <c r="HF213" i="7"/>
  <c r="HG213" i="7"/>
  <c r="HH213" i="7"/>
  <c r="HI213" i="7"/>
  <c r="HJ213" i="7"/>
  <c r="HK213" i="7"/>
  <c r="HL213" i="7"/>
  <c r="HM213" i="7"/>
  <c r="HN213" i="7"/>
  <c r="HO213" i="7"/>
  <c r="HP213" i="7"/>
  <c r="HQ213" i="7"/>
  <c r="HR213" i="7"/>
  <c r="HS213" i="7"/>
  <c r="HT213" i="7"/>
  <c r="HU213" i="7"/>
  <c r="HV213" i="7"/>
  <c r="HW213" i="7"/>
  <c r="HX213" i="7"/>
  <c r="HY213" i="7"/>
  <c r="HZ213" i="7"/>
  <c r="IA213" i="7"/>
  <c r="IB213" i="7"/>
  <c r="IC213" i="7"/>
  <c r="ID213" i="7"/>
  <c r="IE213" i="7"/>
  <c r="IF213" i="7"/>
  <c r="IG213" i="7"/>
  <c r="IH213" i="7"/>
  <c r="II213" i="7"/>
  <c r="IJ213" i="7"/>
  <c r="IK213" i="7"/>
  <c r="IL213" i="7"/>
  <c r="IM213" i="7"/>
  <c r="IN213" i="7"/>
  <c r="IO213" i="7"/>
  <c r="IP213" i="7"/>
  <c r="IQ213" i="7"/>
  <c r="IR213" i="7"/>
  <c r="IS213" i="7"/>
  <c r="IT213" i="7"/>
  <c r="IU213" i="7"/>
  <c r="IV213" i="7"/>
  <c r="A212" i="7"/>
  <c r="B212" i="7"/>
  <c r="C212" i="7"/>
  <c r="D212" i="7"/>
  <c r="E212" i="7"/>
  <c r="F212" i="7"/>
  <c r="G212" i="7"/>
  <c r="H212" i="7"/>
  <c r="I212" i="7"/>
  <c r="J212" i="7"/>
  <c r="K212" i="7"/>
  <c r="L212" i="7"/>
  <c r="M212" i="7"/>
  <c r="N212" i="7"/>
  <c r="O212" i="7"/>
  <c r="P212" i="7"/>
  <c r="Q212" i="7"/>
  <c r="R212" i="7"/>
  <c r="S212" i="7"/>
  <c r="T212" i="7"/>
  <c r="U212" i="7"/>
  <c r="V212" i="7"/>
  <c r="W212" i="7"/>
  <c r="X212" i="7"/>
  <c r="Y212" i="7"/>
  <c r="Z212" i="7"/>
  <c r="AA212" i="7"/>
  <c r="AB212" i="7"/>
  <c r="AC212" i="7"/>
  <c r="AD212" i="7"/>
  <c r="AE212" i="7"/>
  <c r="AF212" i="7"/>
  <c r="AG212" i="7"/>
  <c r="AH212" i="7"/>
  <c r="AI212" i="7"/>
  <c r="AJ212" i="7"/>
  <c r="AK212" i="7"/>
  <c r="AL212" i="7"/>
  <c r="AM212" i="7"/>
  <c r="AN212" i="7"/>
  <c r="AO212" i="7"/>
  <c r="AP212" i="7"/>
  <c r="AQ212" i="7"/>
  <c r="AR212" i="7"/>
  <c r="AS212" i="7"/>
  <c r="AT212" i="7"/>
  <c r="AU212" i="7"/>
  <c r="AV212" i="7"/>
  <c r="AW212" i="7"/>
  <c r="AX212" i="7"/>
  <c r="AY212" i="7"/>
  <c r="AZ212" i="7"/>
  <c r="BA212" i="7"/>
  <c r="BB212" i="7"/>
  <c r="BC212" i="7"/>
  <c r="BD212" i="7"/>
  <c r="BE212" i="7"/>
  <c r="BF212" i="7"/>
  <c r="BG212" i="7"/>
  <c r="BH212" i="7"/>
  <c r="BI212" i="7"/>
  <c r="BJ212" i="7"/>
  <c r="BK212" i="7"/>
  <c r="BL212" i="7"/>
  <c r="BM212" i="7"/>
  <c r="BN212" i="7"/>
  <c r="BO212" i="7"/>
  <c r="BP212" i="7"/>
  <c r="BQ212" i="7"/>
  <c r="BR212" i="7"/>
  <c r="BS212" i="7"/>
  <c r="BT212" i="7"/>
  <c r="BU212" i="7"/>
  <c r="BV212" i="7"/>
  <c r="BW212" i="7"/>
  <c r="BX212" i="7"/>
  <c r="BY212" i="7"/>
  <c r="BZ212" i="7"/>
  <c r="CA212" i="7"/>
  <c r="CB212" i="7"/>
  <c r="CC212" i="7"/>
  <c r="CD212" i="7"/>
  <c r="CE212" i="7"/>
  <c r="CF212" i="7"/>
  <c r="CG212" i="7"/>
  <c r="CH212" i="7"/>
  <c r="CI212" i="7"/>
  <c r="CJ212" i="7"/>
  <c r="CK212" i="7"/>
  <c r="CL212" i="7"/>
  <c r="CM212" i="7"/>
  <c r="CN212" i="7"/>
  <c r="CO212" i="7"/>
  <c r="CP212" i="7"/>
  <c r="CQ212" i="7"/>
  <c r="CR212" i="7"/>
  <c r="CS212" i="7"/>
  <c r="CT212" i="7"/>
  <c r="CU212" i="7"/>
  <c r="CV212" i="7"/>
  <c r="CW212" i="7"/>
  <c r="CX212" i="7"/>
  <c r="CY212" i="7"/>
  <c r="CZ212" i="7"/>
  <c r="DA212" i="7"/>
  <c r="DB212" i="7"/>
  <c r="DC212" i="7"/>
  <c r="DD212" i="7"/>
  <c r="DE212" i="7"/>
  <c r="DF212" i="7"/>
  <c r="DG212" i="7"/>
  <c r="DH212" i="7"/>
  <c r="DI212" i="7"/>
  <c r="DJ212" i="7"/>
  <c r="DK212" i="7"/>
  <c r="DL212" i="7"/>
  <c r="DM212" i="7"/>
  <c r="DN212" i="7"/>
  <c r="DO212" i="7"/>
  <c r="DP212" i="7"/>
  <c r="DQ212" i="7"/>
  <c r="DR212" i="7"/>
  <c r="DS212" i="7"/>
  <c r="DT212" i="7"/>
  <c r="DU212" i="7"/>
  <c r="DV212" i="7"/>
  <c r="DW212" i="7"/>
  <c r="DX212" i="7"/>
  <c r="DY212" i="7"/>
  <c r="DZ212" i="7"/>
  <c r="EA212" i="7"/>
  <c r="EB212" i="7"/>
  <c r="EC212" i="7"/>
  <c r="ED212" i="7"/>
  <c r="EE212" i="7"/>
  <c r="EF212" i="7"/>
  <c r="EG212" i="7"/>
  <c r="EH212" i="7"/>
  <c r="EI212" i="7"/>
  <c r="EJ212" i="7"/>
  <c r="EK212" i="7"/>
  <c r="EL212" i="7"/>
  <c r="EM212" i="7"/>
  <c r="EN212" i="7"/>
  <c r="EO212" i="7"/>
  <c r="EP212" i="7"/>
  <c r="EQ212" i="7"/>
  <c r="ER212" i="7"/>
  <c r="ES212" i="7"/>
  <c r="ET212" i="7"/>
  <c r="EU212" i="7"/>
  <c r="EV212" i="7"/>
  <c r="EW212" i="7"/>
  <c r="EX212" i="7"/>
  <c r="EY212" i="7"/>
  <c r="EZ212" i="7"/>
  <c r="FA212" i="7"/>
  <c r="FB212" i="7"/>
  <c r="FC212" i="7"/>
  <c r="FD212" i="7"/>
  <c r="FE212" i="7"/>
  <c r="FF212" i="7"/>
  <c r="FG212" i="7"/>
  <c r="FH212" i="7"/>
  <c r="FI212" i="7"/>
  <c r="FJ212" i="7"/>
  <c r="FK212" i="7"/>
  <c r="FL212" i="7"/>
  <c r="FM212" i="7"/>
  <c r="FN212" i="7"/>
  <c r="FO212" i="7"/>
  <c r="FP212" i="7"/>
  <c r="FQ212" i="7"/>
  <c r="FR212" i="7"/>
  <c r="FS212" i="7"/>
  <c r="FT212" i="7"/>
  <c r="FU212" i="7"/>
  <c r="FV212" i="7"/>
  <c r="FW212" i="7"/>
  <c r="FX212" i="7"/>
  <c r="FY212" i="7"/>
  <c r="FZ212" i="7"/>
  <c r="GA212" i="7"/>
  <c r="GB212" i="7"/>
  <c r="GC212" i="7"/>
  <c r="GD212" i="7"/>
  <c r="GE212" i="7"/>
  <c r="GF212" i="7"/>
  <c r="GG212" i="7"/>
  <c r="GH212" i="7"/>
  <c r="GI212" i="7"/>
  <c r="GJ212" i="7"/>
  <c r="GK212" i="7"/>
  <c r="GL212" i="7"/>
  <c r="GM212" i="7"/>
  <c r="GN212" i="7"/>
  <c r="GO212" i="7"/>
  <c r="GP212" i="7"/>
  <c r="GQ212" i="7"/>
  <c r="GR212" i="7"/>
  <c r="GS212" i="7"/>
  <c r="GT212" i="7"/>
  <c r="GU212" i="7"/>
  <c r="GV212" i="7"/>
  <c r="GW212" i="7"/>
  <c r="GX212" i="7"/>
  <c r="GY212" i="7"/>
  <c r="GZ212" i="7"/>
  <c r="HA212" i="7"/>
  <c r="HB212" i="7"/>
  <c r="HC212" i="7"/>
  <c r="HD212" i="7"/>
  <c r="HE212" i="7"/>
  <c r="HF212" i="7"/>
  <c r="HG212" i="7"/>
  <c r="HH212" i="7"/>
  <c r="HI212" i="7"/>
  <c r="HJ212" i="7"/>
  <c r="HK212" i="7"/>
  <c r="HL212" i="7"/>
  <c r="HM212" i="7"/>
  <c r="HN212" i="7"/>
  <c r="HO212" i="7"/>
  <c r="HP212" i="7"/>
  <c r="HQ212" i="7"/>
  <c r="HR212" i="7"/>
  <c r="HS212" i="7"/>
  <c r="HT212" i="7"/>
  <c r="HU212" i="7"/>
  <c r="HV212" i="7"/>
  <c r="HW212" i="7"/>
  <c r="HX212" i="7"/>
  <c r="HY212" i="7"/>
  <c r="HZ212" i="7"/>
  <c r="IA212" i="7"/>
  <c r="IB212" i="7"/>
  <c r="IC212" i="7"/>
  <c r="ID212" i="7"/>
  <c r="IE212" i="7"/>
  <c r="IF212" i="7"/>
  <c r="IG212" i="7"/>
  <c r="IH212" i="7"/>
  <c r="II212" i="7"/>
  <c r="IJ212" i="7"/>
  <c r="IK212" i="7"/>
  <c r="IL212" i="7"/>
  <c r="IM212" i="7"/>
  <c r="IN212" i="7"/>
  <c r="IO212" i="7"/>
  <c r="IP212" i="7"/>
  <c r="IQ212" i="7"/>
  <c r="IR212" i="7"/>
  <c r="IS212" i="7"/>
  <c r="IT212" i="7"/>
  <c r="IU212" i="7"/>
  <c r="IV212" i="7"/>
  <c r="A211" i="7"/>
  <c r="B211" i="7"/>
  <c r="C211" i="7"/>
  <c r="D211" i="7"/>
  <c r="E211" i="7"/>
  <c r="F211" i="7"/>
  <c r="G211" i="7"/>
  <c r="H211" i="7"/>
  <c r="I211" i="7"/>
  <c r="J211" i="7"/>
  <c r="K211" i="7"/>
  <c r="L211" i="7"/>
  <c r="M211" i="7"/>
  <c r="N211" i="7"/>
  <c r="O211" i="7"/>
  <c r="P211" i="7"/>
  <c r="Q211" i="7"/>
  <c r="R211" i="7"/>
  <c r="S211" i="7"/>
  <c r="T211" i="7"/>
  <c r="U211" i="7"/>
  <c r="V211" i="7"/>
  <c r="W211" i="7"/>
  <c r="X211" i="7"/>
  <c r="Y211" i="7"/>
  <c r="Z211" i="7"/>
  <c r="AA211" i="7"/>
  <c r="AB211" i="7"/>
  <c r="AC211" i="7"/>
  <c r="AD211" i="7"/>
  <c r="AE211" i="7"/>
  <c r="AF211" i="7"/>
  <c r="AG211" i="7"/>
  <c r="AH211" i="7"/>
  <c r="AI211" i="7"/>
  <c r="AJ211" i="7"/>
  <c r="AK211" i="7"/>
  <c r="AL211" i="7"/>
  <c r="AM211" i="7"/>
  <c r="AN211" i="7"/>
  <c r="AO211" i="7"/>
  <c r="AP211" i="7"/>
  <c r="AQ211" i="7"/>
  <c r="AR211" i="7"/>
  <c r="AS211" i="7"/>
  <c r="AT211" i="7"/>
  <c r="AU211" i="7"/>
  <c r="AV211" i="7"/>
  <c r="AW211" i="7"/>
  <c r="AX211" i="7"/>
  <c r="AY211" i="7"/>
  <c r="AZ211" i="7"/>
  <c r="BA211" i="7"/>
  <c r="BB211" i="7"/>
  <c r="BC211" i="7"/>
  <c r="BD211" i="7"/>
  <c r="BE211" i="7"/>
  <c r="BF211" i="7"/>
  <c r="BG211" i="7"/>
  <c r="BH211" i="7"/>
  <c r="BI211" i="7"/>
  <c r="BJ211" i="7"/>
  <c r="BK211" i="7"/>
  <c r="BL211" i="7"/>
  <c r="BM211" i="7"/>
  <c r="BN211" i="7"/>
  <c r="BO211" i="7"/>
  <c r="BP211" i="7"/>
  <c r="BQ211" i="7"/>
  <c r="BR211" i="7"/>
  <c r="BS211" i="7"/>
  <c r="BT211" i="7"/>
  <c r="BU211" i="7"/>
  <c r="BV211" i="7"/>
  <c r="BW211" i="7"/>
  <c r="BX211" i="7"/>
  <c r="BY211" i="7"/>
  <c r="BZ211" i="7"/>
  <c r="CA211" i="7"/>
  <c r="CB211" i="7"/>
  <c r="CC211" i="7"/>
  <c r="CD211" i="7"/>
  <c r="CE211" i="7"/>
  <c r="CF211" i="7"/>
  <c r="CG211" i="7"/>
  <c r="CH211" i="7"/>
  <c r="CI211" i="7"/>
  <c r="CJ211" i="7"/>
  <c r="CK211" i="7"/>
  <c r="CL211" i="7"/>
  <c r="CM211" i="7"/>
  <c r="CN211" i="7"/>
  <c r="CO211" i="7"/>
  <c r="CP211" i="7"/>
  <c r="CQ211" i="7"/>
  <c r="CR211" i="7"/>
  <c r="CS211" i="7"/>
  <c r="CT211" i="7"/>
  <c r="CU211" i="7"/>
  <c r="CV211" i="7"/>
  <c r="CW211" i="7"/>
  <c r="CX211" i="7"/>
  <c r="CY211" i="7"/>
  <c r="CZ211" i="7"/>
  <c r="DA211" i="7"/>
  <c r="DB211" i="7"/>
  <c r="DC211" i="7"/>
  <c r="DD211" i="7"/>
  <c r="DE211" i="7"/>
  <c r="DF211" i="7"/>
  <c r="DG211" i="7"/>
  <c r="DH211" i="7"/>
  <c r="DI211" i="7"/>
  <c r="DJ211" i="7"/>
  <c r="DK211" i="7"/>
  <c r="DL211" i="7"/>
  <c r="DM211" i="7"/>
  <c r="DN211" i="7"/>
  <c r="DO211" i="7"/>
  <c r="DP211" i="7"/>
  <c r="DQ211" i="7"/>
  <c r="DR211" i="7"/>
  <c r="DS211" i="7"/>
  <c r="DT211" i="7"/>
  <c r="DU211" i="7"/>
  <c r="DV211" i="7"/>
  <c r="DW211" i="7"/>
  <c r="DX211" i="7"/>
  <c r="DY211" i="7"/>
  <c r="DZ211" i="7"/>
  <c r="EA211" i="7"/>
  <c r="EB211" i="7"/>
  <c r="EC211" i="7"/>
  <c r="ED211" i="7"/>
  <c r="EE211" i="7"/>
  <c r="EF211" i="7"/>
  <c r="EG211" i="7"/>
  <c r="EH211" i="7"/>
  <c r="EI211" i="7"/>
  <c r="EJ211" i="7"/>
  <c r="EK211" i="7"/>
  <c r="EL211" i="7"/>
  <c r="EM211" i="7"/>
  <c r="EN211" i="7"/>
  <c r="EO211" i="7"/>
  <c r="EP211" i="7"/>
  <c r="EQ211" i="7"/>
  <c r="ER211" i="7"/>
  <c r="ES211" i="7"/>
  <c r="ET211" i="7"/>
  <c r="EU211" i="7"/>
  <c r="EV211" i="7"/>
  <c r="EW211" i="7"/>
  <c r="EX211" i="7"/>
  <c r="EY211" i="7"/>
  <c r="EZ211" i="7"/>
  <c r="FA211" i="7"/>
  <c r="FB211" i="7"/>
  <c r="FC211" i="7"/>
  <c r="FD211" i="7"/>
  <c r="FE211" i="7"/>
  <c r="FF211" i="7"/>
  <c r="FG211" i="7"/>
  <c r="FH211" i="7"/>
  <c r="FI211" i="7"/>
  <c r="FJ211" i="7"/>
  <c r="FK211" i="7"/>
  <c r="FL211" i="7"/>
  <c r="FM211" i="7"/>
  <c r="FN211" i="7"/>
  <c r="FO211" i="7"/>
  <c r="FP211" i="7"/>
  <c r="FQ211" i="7"/>
  <c r="FR211" i="7"/>
  <c r="FS211" i="7"/>
  <c r="FT211" i="7"/>
  <c r="FU211" i="7"/>
  <c r="FV211" i="7"/>
  <c r="FW211" i="7"/>
  <c r="FX211" i="7"/>
  <c r="FY211" i="7"/>
  <c r="FZ211" i="7"/>
  <c r="GA211" i="7"/>
  <c r="GB211" i="7"/>
  <c r="GC211" i="7"/>
  <c r="GD211" i="7"/>
  <c r="GE211" i="7"/>
  <c r="GF211" i="7"/>
  <c r="GG211" i="7"/>
  <c r="GH211" i="7"/>
  <c r="GI211" i="7"/>
  <c r="GJ211" i="7"/>
  <c r="GK211" i="7"/>
  <c r="GL211" i="7"/>
  <c r="GM211" i="7"/>
  <c r="GN211" i="7"/>
  <c r="GO211" i="7"/>
  <c r="GP211" i="7"/>
  <c r="GQ211" i="7"/>
  <c r="GR211" i="7"/>
  <c r="GS211" i="7"/>
  <c r="GT211" i="7"/>
  <c r="GU211" i="7"/>
  <c r="GV211" i="7"/>
  <c r="GW211" i="7"/>
  <c r="GX211" i="7"/>
  <c r="GY211" i="7"/>
  <c r="GZ211" i="7"/>
  <c r="HA211" i="7"/>
  <c r="HB211" i="7"/>
  <c r="HC211" i="7"/>
  <c r="HD211" i="7"/>
  <c r="HE211" i="7"/>
  <c r="HF211" i="7"/>
  <c r="HG211" i="7"/>
  <c r="HH211" i="7"/>
  <c r="HI211" i="7"/>
  <c r="HJ211" i="7"/>
  <c r="HK211" i="7"/>
  <c r="HL211" i="7"/>
  <c r="HM211" i="7"/>
  <c r="HN211" i="7"/>
  <c r="HO211" i="7"/>
  <c r="HP211" i="7"/>
  <c r="HQ211" i="7"/>
  <c r="HR211" i="7"/>
  <c r="HS211" i="7"/>
  <c r="HT211" i="7"/>
  <c r="HU211" i="7"/>
  <c r="HV211" i="7"/>
  <c r="HW211" i="7"/>
  <c r="HX211" i="7"/>
  <c r="HY211" i="7"/>
  <c r="HZ211" i="7"/>
  <c r="IA211" i="7"/>
  <c r="IB211" i="7"/>
  <c r="IC211" i="7"/>
  <c r="ID211" i="7"/>
  <c r="IE211" i="7"/>
  <c r="IF211" i="7"/>
  <c r="IG211" i="7"/>
  <c r="IH211" i="7"/>
  <c r="II211" i="7"/>
  <c r="IJ211" i="7"/>
  <c r="IK211" i="7"/>
  <c r="IL211" i="7"/>
  <c r="IM211" i="7"/>
  <c r="IN211" i="7"/>
  <c r="IO211" i="7"/>
  <c r="IP211" i="7"/>
  <c r="IQ211" i="7"/>
  <c r="IR211" i="7"/>
  <c r="IS211" i="7"/>
  <c r="IT211" i="7"/>
  <c r="IU211" i="7"/>
  <c r="IV211" i="7"/>
  <c r="A210" i="7"/>
  <c r="B210" i="7"/>
  <c r="C210" i="7"/>
  <c r="D210" i="7"/>
  <c r="E210" i="7"/>
  <c r="F210" i="7"/>
  <c r="G210" i="7"/>
  <c r="H210" i="7"/>
  <c r="I210" i="7"/>
  <c r="J210" i="7"/>
  <c r="K210" i="7"/>
  <c r="L210" i="7"/>
  <c r="M210" i="7"/>
  <c r="N210" i="7"/>
  <c r="O210" i="7"/>
  <c r="P210" i="7"/>
  <c r="Q210" i="7"/>
  <c r="R210" i="7"/>
  <c r="S210" i="7"/>
  <c r="T210" i="7"/>
  <c r="U210" i="7"/>
  <c r="V210" i="7"/>
  <c r="W210" i="7"/>
  <c r="X210" i="7"/>
  <c r="Y210" i="7"/>
  <c r="Z210" i="7"/>
  <c r="AA210" i="7"/>
  <c r="AB210" i="7"/>
  <c r="AC210" i="7"/>
  <c r="AD210" i="7"/>
  <c r="AE210" i="7"/>
  <c r="AF210" i="7"/>
  <c r="AG210" i="7"/>
  <c r="AH210" i="7"/>
  <c r="AI210" i="7"/>
  <c r="AJ210" i="7"/>
  <c r="AK210" i="7"/>
  <c r="AL210" i="7"/>
  <c r="AM210" i="7"/>
  <c r="AN210" i="7"/>
  <c r="AO210" i="7"/>
  <c r="AP210" i="7"/>
  <c r="AQ210" i="7"/>
  <c r="AR210" i="7"/>
  <c r="AS210" i="7"/>
  <c r="AT210" i="7"/>
  <c r="AU210" i="7"/>
  <c r="AV210" i="7"/>
  <c r="AW210" i="7"/>
  <c r="AX210" i="7"/>
  <c r="AY210" i="7"/>
  <c r="AZ210" i="7"/>
  <c r="BA210" i="7"/>
  <c r="BB210" i="7"/>
  <c r="BC210" i="7"/>
  <c r="BD210" i="7"/>
  <c r="BE210" i="7"/>
  <c r="BF210" i="7"/>
  <c r="BG210" i="7"/>
  <c r="BH210" i="7"/>
  <c r="BI210" i="7"/>
  <c r="BJ210" i="7"/>
  <c r="BK210" i="7"/>
  <c r="BL210" i="7"/>
  <c r="BM210" i="7"/>
  <c r="BN210" i="7"/>
  <c r="BO210" i="7"/>
  <c r="BP210" i="7"/>
  <c r="BQ210" i="7"/>
  <c r="BR210" i="7"/>
  <c r="BS210" i="7"/>
  <c r="BT210" i="7"/>
  <c r="BU210" i="7"/>
  <c r="BV210" i="7"/>
  <c r="BW210" i="7"/>
  <c r="BX210" i="7"/>
  <c r="BY210" i="7"/>
  <c r="BZ210" i="7"/>
  <c r="CA210" i="7"/>
  <c r="CB210" i="7"/>
  <c r="CC210" i="7"/>
  <c r="CD210" i="7"/>
  <c r="CE210" i="7"/>
  <c r="CF210" i="7"/>
  <c r="CG210" i="7"/>
  <c r="CH210" i="7"/>
  <c r="CI210" i="7"/>
  <c r="CJ210" i="7"/>
  <c r="CK210" i="7"/>
  <c r="CL210" i="7"/>
  <c r="CM210" i="7"/>
  <c r="CN210" i="7"/>
  <c r="CO210" i="7"/>
  <c r="CP210" i="7"/>
  <c r="CQ210" i="7"/>
  <c r="CR210" i="7"/>
  <c r="CS210" i="7"/>
  <c r="CT210" i="7"/>
  <c r="CU210" i="7"/>
  <c r="CV210" i="7"/>
  <c r="CW210" i="7"/>
  <c r="CX210" i="7"/>
  <c r="CY210" i="7"/>
  <c r="CZ210" i="7"/>
  <c r="DA210" i="7"/>
  <c r="DB210" i="7"/>
  <c r="DC210" i="7"/>
  <c r="DD210" i="7"/>
  <c r="DE210" i="7"/>
  <c r="DF210" i="7"/>
  <c r="DG210" i="7"/>
  <c r="DH210" i="7"/>
  <c r="DI210" i="7"/>
  <c r="DJ210" i="7"/>
  <c r="DK210" i="7"/>
  <c r="DL210" i="7"/>
  <c r="DM210" i="7"/>
  <c r="DN210" i="7"/>
  <c r="DO210" i="7"/>
  <c r="DP210" i="7"/>
  <c r="DQ210" i="7"/>
  <c r="DR210" i="7"/>
  <c r="DS210" i="7"/>
  <c r="DT210" i="7"/>
  <c r="DU210" i="7"/>
  <c r="DV210" i="7"/>
  <c r="DW210" i="7"/>
  <c r="DX210" i="7"/>
  <c r="DY210" i="7"/>
  <c r="DZ210" i="7"/>
  <c r="EA210" i="7"/>
  <c r="EB210" i="7"/>
  <c r="EC210" i="7"/>
  <c r="ED210" i="7"/>
  <c r="EE210" i="7"/>
  <c r="EF210" i="7"/>
  <c r="EG210" i="7"/>
  <c r="EH210" i="7"/>
  <c r="EI210" i="7"/>
  <c r="EJ210" i="7"/>
  <c r="EK210" i="7"/>
  <c r="EL210" i="7"/>
  <c r="EM210" i="7"/>
  <c r="EN210" i="7"/>
  <c r="EO210" i="7"/>
  <c r="EP210" i="7"/>
  <c r="EQ210" i="7"/>
  <c r="ER210" i="7"/>
  <c r="ES210" i="7"/>
  <c r="ET210" i="7"/>
  <c r="EU210" i="7"/>
  <c r="EV210" i="7"/>
  <c r="EW210" i="7"/>
  <c r="EX210" i="7"/>
  <c r="EY210" i="7"/>
  <c r="EZ210" i="7"/>
  <c r="FA210" i="7"/>
  <c r="FB210" i="7"/>
  <c r="FC210" i="7"/>
  <c r="FD210" i="7"/>
  <c r="FE210" i="7"/>
  <c r="FF210" i="7"/>
  <c r="FG210" i="7"/>
  <c r="FH210" i="7"/>
  <c r="FI210" i="7"/>
  <c r="FJ210" i="7"/>
  <c r="FK210" i="7"/>
  <c r="FL210" i="7"/>
  <c r="FM210" i="7"/>
  <c r="FN210" i="7"/>
  <c r="FO210" i="7"/>
  <c r="FP210" i="7"/>
  <c r="FQ210" i="7"/>
  <c r="FR210" i="7"/>
  <c r="FS210" i="7"/>
  <c r="FT210" i="7"/>
  <c r="FU210" i="7"/>
  <c r="FV210" i="7"/>
  <c r="FW210" i="7"/>
  <c r="FX210" i="7"/>
  <c r="FY210" i="7"/>
  <c r="FZ210" i="7"/>
  <c r="GA210" i="7"/>
  <c r="GB210" i="7"/>
  <c r="GC210" i="7"/>
  <c r="GD210" i="7"/>
  <c r="GE210" i="7"/>
  <c r="GF210" i="7"/>
  <c r="GG210" i="7"/>
  <c r="GH210" i="7"/>
  <c r="GI210" i="7"/>
  <c r="GJ210" i="7"/>
  <c r="GK210" i="7"/>
  <c r="GL210" i="7"/>
  <c r="GM210" i="7"/>
  <c r="GN210" i="7"/>
  <c r="GO210" i="7"/>
  <c r="GP210" i="7"/>
  <c r="GQ210" i="7"/>
  <c r="GR210" i="7"/>
  <c r="GS210" i="7"/>
  <c r="GT210" i="7"/>
  <c r="GU210" i="7"/>
  <c r="GV210" i="7"/>
  <c r="GW210" i="7"/>
  <c r="GX210" i="7"/>
  <c r="GY210" i="7"/>
  <c r="GZ210" i="7"/>
  <c r="HA210" i="7"/>
  <c r="HB210" i="7"/>
  <c r="HC210" i="7"/>
  <c r="HD210" i="7"/>
  <c r="HE210" i="7"/>
  <c r="HF210" i="7"/>
  <c r="HG210" i="7"/>
  <c r="HH210" i="7"/>
  <c r="HI210" i="7"/>
  <c r="HJ210" i="7"/>
  <c r="HK210" i="7"/>
  <c r="HL210" i="7"/>
  <c r="HM210" i="7"/>
  <c r="HN210" i="7"/>
  <c r="HO210" i="7"/>
  <c r="HP210" i="7"/>
  <c r="HQ210" i="7"/>
  <c r="HR210" i="7"/>
  <c r="HS210" i="7"/>
  <c r="HT210" i="7"/>
  <c r="HU210" i="7"/>
  <c r="HV210" i="7"/>
  <c r="HW210" i="7"/>
  <c r="HX210" i="7"/>
  <c r="HY210" i="7"/>
  <c r="HZ210" i="7"/>
  <c r="IA210" i="7"/>
  <c r="IB210" i="7"/>
  <c r="IC210" i="7"/>
  <c r="ID210" i="7"/>
  <c r="IE210" i="7"/>
  <c r="IF210" i="7"/>
  <c r="IG210" i="7"/>
  <c r="IH210" i="7"/>
  <c r="II210" i="7"/>
  <c r="IJ210" i="7"/>
  <c r="IK210" i="7"/>
  <c r="IL210" i="7"/>
  <c r="IM210" i="7"/>
  <c r="IN210" i="7"/>
  <c r="IO210" i="7"/>
  <c r="IP210" i="7"/>
  <c r="IQ210" i="7"/>
  <c r="IR210" i="7"/>
  <c r="IS210" i="7"/>
  <c r="IT210" i="7"/>
  <c r="IU210" i="7"/>
  <c r="IV210" i="7"/>
  <c r="A209" i="7"/>
  <c r="B209" i="7"/>
  <c r="C209" i="7"/>
  <c r="D209" i="7"/>
  <c r="E209" i="7"/>
  <c r="F209" i="7"/>
  <c r="G209" i="7"/>
  <c r="H209" i="7"/>
  <c r="I209" i="7"/>
  <c r="J209" i="7"/>
  <c r="K209" i="7"/>
  <c r="L209" i="7"/>
  <c r="M209" i="7"/>
  <c r="N209" i="7"/>
  <c r="O209" i="7"/>
  <c r="P209" i="7"/>
  <c r="Q209" i="7"/>
  <c r="R209" i="7"/>
  <c r="S209" i="7"/>
  <c r="T209" i="7"/>
  <c r="U209" i="7"/>
  <c r="V209" i="7"/>
  <c r="W209" i="7"/>
  <c r="X209" i="7"/>
  <c r="Y209" i="7"/>
  <c r="Z209" i="7"/>
  <c r="AA209" i="7"/>
  <c r="AB209" i="7"/>
  <c r="AC209" i="7"/>
  <c r="AD209" i="7"/>
  <c r="AE209" i="7"/>
  <c r="AF209" i="7"/>
  <c r="AG209" i="7"/>
  <c r="AH209" i="7"/>
  <c r="AI209" i="7"/>
  <c r="AJ209" i="7"/>
  <c r="AK209" i="7"/>
  <c r="AL209" i="7"/>
  <c r="AM209" i="7"/>
  <c r="AN209" i="7"/>
  <c r="AO209" i="7"/>
  <c r="AP209" i="7"/>
  <c r="AQ209" i="7"/>
  <c r="AR209" i="7"/>
  <c r="AS209" i="7"/>
  <c r="AT209" i="7"/>
  <c r="AU209" i="7"/>
  <c r="AV209" i="7"/>
  <c r="AW209" i="7"/>
  <c r="AX209" i="7"/>
  <c r="AY209" i="7"/>
  <c r="AZ209" i="7"/>
  <c r="BA209" i="7"/>
  <c r="BB209" i="7"/>
  <c r="BC209" i="7"/>
  <c r="BD209" i="7"/>
  <c r="BE209" i="7"/>
  <c r="BF209" i="7"/>
  <c r="BG209" i="7"/>
  <c r="BH209" i="7"/>
  <c r="BI209" i="7"/>
  <c r="BJ209" i="7"/>
  <c r="BK209" i="7"/>
  <c r="BL209" i="7"/>
  <c r="BM209" i="7"/>
  <c r="BN209" i="7"/>
  <c r="BO209" i="7"/>
  <c r="BP209" i="7"/>
  <c r="BQ209" i="7"/>
  <c r="BR209" i="7"/>
  <c r="BS209" i="7"/>
  <c r="BT209" i="7"/>
  <c r="BU209" i="7"/>
  <c r="BV209" i="7"/>
  <c r="BW209" i="7"/>
  <c r="BX209" i="7"/>
  <c r="BY209" i="7"/>
  <c r="BZ209" i="7"/>
  <c r="CA209" i="7"/>
  <c r="CB209" i="7"/>
  <c r="CC209" i="7"/>
  <c r="CD209" i="7"/>
  <c r="CE209" i="7"/>
  <c r="CF209" i="7"/>
  <c r="CG209" i="7"/>
  <c r="CH209" i="7"/>
  <c r="CI209" i="7"/>
  <c r="CJ209" i="7"/>
  <c r="CK209" i="7"/>
  <c r="CL209" i="7"/>
  <c r="CM209" i="7"/>
  <c r="CN209" i="7"/>
  <c r="CO209" i="7"/>
  <c r="CP209" i="7"/>
  <c r="CQ209" i="7"/>
  <c r="CR209" i="7"/>
  <c r="CS209" i="7"/>
  <c r="CT209" i="7"/>
  <c r="CU209" i="7"/>
  <c r="CV209" i="7"/>
  <c r="CW209" i="7"/>
  <c r="CX209" i="7"/>
  <c r="CY209" i="7"/>
  <c r="CZ209" i="7"/>
  <c r="DA209" i="7"/>
  <c r="DB209" i="7"/>
  <c r="DC209" i="7"/>
  <c r="DD209" i="7"/>
  <c r="DE209" i="7"/>
  <c r="DF209" i="7"/>
  <c r="DG209" i="7"/>
  <c r="DH209" i="7"/>
  <c r="DI209" i="7"/>
  <c r="DJ209" i="7"/>
  <c r="DK209" i="7"/>
  <c r="DL209" i="7"/>
  <c r="DM209" i="7"/>
  <c r="DN209" i="7"/>
  <c r="DO209" i="7"/>
  <c r="DP209" i="7"/>
  <c r="DQ209" i="7"/>
  <c r="DR209" i="7"/>
  <c r="DS209" i="7"/>
  <c r="DT209" i="7"/>
  <c r="DU209" i="7"/>
  <c r="DV209" i="7"/>
  <c r="DW209" i="7"/>
  <c r="DX209" i="7"/>
  <c r="DY209" i="7"/>
  <c r="DZ209" i="7"/>
  <c r="EA209" i="7"/>
  <c r="EB209" i="7"/>
  <c r="EC209" i="7"/>
  <c r="ED209" i="7"/>
  <c r="EE209" i="7"/>
  <c r="EF209" i="7"/>
  <c r="EG209" i="7"/>
  <c r="EH209" i="7"/>
  <c r="EI209" i="7"/>
  <c r="EJ209" i="7"/>
  <c r="EK209" i="7"/>
  <c r="EL209" i="7"/>
  <c r="EM209" i="7"/>
  <c r="EN209" i="7"/>
  <c r="EO209" i="7"/>
  <c r="EP209" i="7"/>
  <c r="EQ209" i="7"/>
  <c r="ER209" i="7"/>
  <c r="ES209" i="7"/>
  <c r="ET209" i="7"/>
  <c r="EU209" i="7"/>
  <c r="EV209" i="7"/>
  <c r="EW209" i="7"/>
  <c r="EX209" i="7"/>
  <c r="EY209" i="7"/>
  <c r="EZ209" i="7"/>
  <c r="FA209" i="7"/>
  <c r="FB209" i="7"/>
  <c r="FC209" i="7"/>
  <c r="FD209" i="7"/>
  <c r="FE209" i="7"/>
  <c r="FF209" i="7"/>
  <c r="FG209" i="7"/>
  <c r="FH209" i="7"/>
  <c r="FI209" i="7"/>
  <c r="FJ209" i="7"/>
  <c r="FK209" i="7"/>
  <c r="FL209" i="7"/>
  <c r="FM209" i="7"/>
  <c r="FN209" i="7"/>
  <c r="FO209" i="7"/>
  <c r="FP209" i="7"/>
  <c r="FQ209" i="7"/>
  <c r="FR209" i="7"/>
  <c r="FS209" i="7"/>
  <c r="FT209" i="7"/>
  <c r="FU209" i="7"/>
  <c r="FV209" i="7"/>
  <c r="FW209" i="7"/>
  <c r="FX209" i="7"/>
  <c r="FY209" i="7"/>
  <c r="FZ209" i="7"/>
  <c r="GA209" i="7"/>
  <c r="GB209" i="7"/>
  <c r="GC209" i="7"/>
  <c r="GD209" i="7"/>
  <c r="GE209" i="7"/>
  <c r="GF209" i="7"/>
  <c r="GG209" i="7"/>
  <c r="GH209" i="7"/>
  <c r="GI209" i="7"/>
  <c r="GJ209" i="7"/>
  <c r="GK209" i="7"/>
  <c r="GL209" i="7"/>
  <c r="GM209" i="7"/>
  <c r="GN209" i="7"/>
  <c r="GO209" i="7"/>
  <c r="GP209" i="7"/>
  <c r="GQ209" i="7"/>
  <c r="GR209" i="7"/>
  <c r="GS209" i="7"/>
  <c r="GT209" i="7"/>
  <c r="GU209" i="7"/>
  <c r="GV209" i="7"/>
  <c r="GW209" i="7"/>
  <c r="GX209" i="7"/>
  <c r="GY209" i="7"/>
  <c r="GZ209" i="7"/>
  <c r="HA209" i="7"/>
  <c r="HB209" i="7"/>
  <c r="HC209" i="7"/>
  <c r="HD209" i="7"/>
  <c r="HE209" i="7"/>
  <c r="HF209" i="7"/>
  <c r="HG209" i="7"/>
  <c r="HH209" i="7"/>
  <c r="HI209" i="7"/>
  <c r="HJ209" i="7"/>
  <c r="HK209" i="7"/>
  <c r="HL209" i="7"/>
  <c r="HM209" i="7"/>
  <c r="HN209" i="7"/>
  <c r="HO209" i="7"/>
  <c r="HP209" i="7"/>
  <c r="HQ209" i="7"/>
  <c r="HR209" i="7"/>
  <c r="HS209" i="7"/>
  <c r="HT209" i="7"/>
  <c r="HU209" i="7"/>
  <c r="HV209" i="7"/>
  <c r="HW209" i="7"/>
  <c r="HX209" i="7"/>
  <c r="HY209" i="7"/>
  <c r="HZ209" i="7"/>
  <c r="IA209" i="7"/>
  <c r="IB209" i="7"/>
  <c r="IC209" i="7"/>
  <c r="ID209" i="7"/>
  <c r="IE209" i="7"/>
  <c r="IF209" i="7"/>
  <c r="IG209" i="7"/>
  <c r="IH209" i="7"/>
  <c r="II209" i="7"/>
  <c r="IJ209" i="7"/>
  <c r="IK209" i="7"/>
  <c r="IL209" i="7"/>
  <c r="IM209" i="7"/>
  <c r="IN209" i="7"/>
  <c r="IO209" i="7"/>
  <c r="IP209" i="7"/>
  <c r="IQ209" i="7"/>
  <c r="IR209" i="7"/>
  <c r="IS209" i="7"/>
  <c r="IT209" i="7"/>
  <c r="IU209" i="7"/>
  <c r="IV209" i="7"/>
  <c r="A208" i="7"/>
  <c r="B208" i="7"/>
  <c r="C208" i="7"/>
  <c r="D208" i="7"/>
  <c r="E208" i="7"/>
  <c r="F208" i="7"/>
  <c r="G208" i="7"/>
  <c r="H208" i="7"/>
  <c r="I208" i="7"/>
  <c r="J208" i="7"/>
  <c r="K208" i="7"/>
  <c r="L208" i="7"/>
  <c r="M208" i="7"/>
  <c r="N208" i="7"/>
  <c r="O208" i="7"/>
  <c r="P208" i="7"/>
  <c r="Q208" i="7"/>
  <c r="R208" i="7"/>
  <c r="S208" i="7"/>
  <c r="T208" i="7"/>
  <c r="U208" i="7"/>
  <c r="V208" i="7"/>
  <c r="W208" i="7"/>
  <c r="X208" i="7"/>
  <c r="Y208" i="7"/>
  <c r="Z208" i="7"/>
  <c r="AA208" i="7"/>
  <c r="AB208" i="7"/>
  <c r="AC208" i="7"/>
  <c r="AD208" i="7"/>
  <c r="AE208" i="7"/>
  <c r="AF208" i="7"/>
  <c r="AG208" i="7"/>
  <c r="AH208" i="7"/>
  <c r="AI208" i="7"/>
  <c r="AJ208" i="7"/>
  <c r="AK208" i="7"/>
  <c r="AL208" i="7"/>
  <c r="AM208" i="7"/>
  <c r="AN208" i="7"/>
  <c r="AO208" i="7"/>
  <c r="AP208" i="7"/>
  <c r="AQ208" i="7"/>
  <c r="AR208" i="7"/>
  <c r="AS208" i="7"/>
  <c r="AT208" i="7"/>
  <c r="AU208" i="7"/>
  <c r="AV208" i="7"/>
  <c r="AW208" i="7"/>
  <c r="AX208" i="7"/>
  <c r="AY208" i="7"/>
  <c r="AZ208" i="7"/>
  <c r="BA208" i="7"/>
  <c r="BB208" i="7"/>
  <c r="BC208" i="7"/>
  <c r="BD208" i="7"/>
  <c r="BE208" i="7"/>
  <c r="BF208" i="7"/>
  <c r="BG208" i="7"/>
  <c r="BH208" i="7"/>
  <c r="BI208" i="7"/>
  <c r="BJ208" i="7"/>
  <c r="BK208" i="7"/>
  <c r="BL208" i="7"/>
  <c r="BM208" i="7"/>
  <c r="BN208" i="7"/>
  <c r="BO208" i="7"/>
  <c r="BP208" i="7"/>
  <c r="BQ208" i="7"/>
  <c r="BR208" i="7"/>
  <c r="BS208" i="7"/>
  <c r="BT208" i="7"/>
  <c r="BU208" i="7"/>
  <c r="BV208" i="7"/>
  <c r="BW208" i="7"/>
  <c r="BX208" i="7"/>
  <c r="BY208" i="7"/>
  <c r="BZ208" i="7"/>
  <c r="CA208" i="7"/>
  <c r="CB208" i="7"/>
  <c r="CC208" i="7"/>
  <c r="CD208" i="7"/>
  <c r="CE208" i="7"/>
  <c r="CF208" i="7"/>
  <c r="CG208" i="7"/>
  <c r="CH208" i="7"/>
  <c r="CI208" i="7"/>
  <c r="CJ208" i="7"/>
  <c r="CK208" i="7"/>
  <c r="CL208" i="7"/>
  <c r="CM208" i="7"/>
  <c r="CN208" i="7"/>
  <c r="CO208" i="7"/>
  <c r="CP208" i="7"/>
  <c r="CQ208" i="7"/>
  <c r="CR208" i="7"/>
  <c r="CS208" i="7"/>
  <c r="CT208" i="7"/>
  <c r="CU208" i="7"/>
  <c r="CV208" i="7"/>
  <c r="CW208" i="7"/>
  <c r="CX208" i="7"/>
  <c r="CY208" i="7"/>
  <c r="CZ208" i="7"/>
  <c r="DA208" i="7"/>
  <c r="DB208" i="7"/>
  <c r="DC208" i="7"/>
  <c r="DD208" i="7"/>
  <c r="DE208" i="7"/>
  <c r="DF208" i="7"/>
  <c r="DG208" i="7"/>
  <c r="DH208" i="7"/>
  <c r="DI208" i="7"/>
  <c r="DJ208" i="7"/>
  <c r="DK208" i="7"/>
  <c r="DL208" i="7"/>
  <c r="DM208" i="7"/>
  <c r="DN208" i="7"/>
  <c r="DO208" i="7"/>
  <c r="DP208" i="7"/>
  <c r="DQ208" i="7"/>
  <c r="DR208" i="7"/>
  <c r="DS208" i="7"/>
  <c r="DT208" i="7"/>
  <c r="DU208" i="7"/>
  <c r="DV208" i="7"/>
  <c r="DW208" i="7"/>
  <c r="DX208" i="7"/>
  <c r="DY208" i="7"/>
  <c r="DZ208" i="7"/>
  <c r="EA208" i="7"/>
  <c r="EB208" i="7"/>
  <c r="EC208" i="7"/>
  <c r="ED208" i="7"/>
  <c r="EE208" i="7"/>
  <c r="EF208" i="7"/>
  <c r="EG208" i="7"/>
  <c r="EH208" i="7"/>
  <c r="EI208" i="7"/>
  <c r="EJ208" i="7"/>
  <c r="EK208" i="7"/>
  <c r="EL208" i="7"/>
  <c r="EM208" i="7"/>
  <c r="EN208" i="7"/>
  <c r="EO208" i="7"/>
  <c r="EP208" i="7"/>
  <c r="EQ208" i="7"/>
  <c r="ER208" i="7"/>
  <c r="ES208" i="7"/>
  <c r="ET208" i="7"/>
  <c r="EU208" i="7"/>
  <c r="EV208" i="7"/>
  <c r="EW208" i="7"/>
  <c r="EX208" i="7"/>
  <c r="EY208" i="7"/>
  <c r="EZ208" i="7"/>
  <c r="FA208" i="7"/>
  <c r="FB208" i="7"/>
  <c r="FC208" i="7"/>
  <c r="FD208" i="7"/>
  <c r="FE208" i="7"/>
  <c r="FF208" i="7"/>
  <c r="FG208" i="7"/>
  <c r="FH208" i="7"/>
  <c r="FI208" i="7"/>
  <c r="FJ208" i="7"/>
  <c r="FK208" i="7"/>
  <c r="FL208" i="7"/>
  <c r="FM208" i="7"/>
  <c r="FN208" i="7"/>
  <c r="FO208" i="7"/>
  <c r="FP208" i="7"/>
  <c r="FQ208" i="7"/>
  <c r="FR208" i="7"/>
  <c r="FS208" i="7"/>
  <c r="FT208" i="7"/>
  <c r="FU208" i="7"/>
  <c r="FV208" i="7"/>
  <c r="FW208" i="7"/>
  <c r="FX208" i="7"/>
  <c r="FY208" i="7"/>
  <c r="FZ208" i="7"/>
  <c r="GA208" i="7"/>
  <c r="GB208" i="7"/>
  <c r="GC208" i="7"/>
  <c r="GD208" i="7"/>
  <c r="GE208" i="7"/>
  <c r="GF208" i="7"/>
  <c r="GG208" i="7"/>
  <c r="GH208" i="7"/>
  <c r="GI208" i="7"/>
  <c r="GJ208" i="7"/>
  <c r="GK208" i="7"/>
  <c r="GL208" i="7"/>
  <c r="GM208" i="7"/>
  <c r="GN208" i="7"/>
  <c r="GO208" i="7"/>
  <c r="GP208" i="7"/>
  <c r="GQ208" i="7"/>
  <c r="GR208" i="7"/>
  <c r="GS208" i="7"/>
  <c r="GT208" i="7"/>
  <c r="GU208" i="7"/>
  <c r="GV208" i="7"/>
  <c r="GW208" i="7"/>
  <c r="GX208" i="7"/>
  <c r="GY208" i="7"/>
  <c r="GZ208" i="7"/>
  <c r="HA208" i="7"/>
  <c r="HB208" i="7"/>
  <c r="HC208" i="7"/>
  <c r="HD208" i="7"/>
  <c r="HE208" i="7"/>
  <c r="HF208" i="7"/>
  <c r="HG208" i="7"/>
  <c r="HH208" i="7"/>
  <c r="HI208" i="7"/>
  <c r="HJ208" i="7"/>
  <c r="HK208" i="7"/>
  <c r="HL208" i="7"/>
  <c r="HM208" i="7"/>
  <c r="HN208" i="7"/>
  <c r="HO208" i="7"/>
  <c r="HP208" i="7"/>
  <c r="HQ208" i="7"/>
  <c r="HR208" i="7"/>
  <c r="HS208" i="7"/>
  <c r="HT208" i="7"/>
  <c r="HU208" i="7"/>
  <c r="HV208" i="7"/>
  <c r="HW208" i="7"/>
  <c r="HX208" i="7"/>
  <c r="HY208" i="7"/>
  <c r="HZ208" i="7"/>
  <c r="IA208" i="7"/>
  <c r="IB208" i="7"/>
  <c r="IC208" i="7"/>
  <c r="ID208" i="7"/>
  <c r="IE208" i="7"/>
  <c r="IF208" i="7"/>
  <c r="IG208" i="7"/>
  <c r="IH208" i="7"/>
  <c r="II208" i="7"/>
  <c r="IJ208" i="7"/>
  <c r="IK208" i="7"/>
  <c r="IL208" i="7"/>
  <c r="IM208" i="7"/>
  <c r="IN208" i="7"/>
  <c r="IO208" i="7"/>
  <c r="IP208" i="7"/>
  <c r="IQ208" i="7"/>
  <c r="IR208" i="7"/>
  <c r="IS208" i="7"/>
  <c r="IT208" i="7"/>
  <c r="IU208" i="7"/>
  <c r="IV208" i="7"/>
  <c r="A207" i="7"/>
  <c r="B207" i="7"/>
  <c r="C207" i="7"/>
  <c r="D207" i="7"/>
  <c r="E207" i="7"/>
  <c r="F207" i="7"/>
  <c r="G207" i="7"/>
  <c r="H207" i="7"/>
  <c r="I207" i="7"/>
  <c r="J207" i="7"/>
  <c r="K207" i="7"/>
  <c r="L207" i="7"/>
  <c r="M207" i="7"/>
  <c r="N207" i="7"/>
  <c r="O207" i="7"/>
  <c r="P207" i="7"/>
  <c r="Q207" i="7"/>
  <c r="R207" i="7"/>
  <c r="S207" i="7"/>
  <c r="T207" i="7"/>
  <c r="U207" i="7"/>
  <c r="V207" i="7"/>
  <c r="W207" i="7"/>
  <c r="X207" i="7"/>
  <c r="Y207" i="7"/>
  <c r="Z207" i="7"/>
  <c r="AA207" i="7"/>
  <c r="AB207" i="7"/>
  <c r="AC207" i="7"/>
  <c r="AD207" i="7"/>
  <c r="AE207" i="7"/>
  <c r="AF207" i="7"/>
  <c r="AG207" i="7"/>
  <c r="AH207" i="7"/>
  <c r="AI207" i="7"/>
  <c r="AJ207" i="7"/>
  <c r="AK207" i="7"/>
  <c r="AL207" i="7"/>
  <c r="AM207" i="7"/>
  <c r="AN207" i="7"/>
  <c r="AO207" i="7"/>
  <c r="AP207" i="7"/>
  <c r="AQ207" i="7"/>
  <c r="AR207" i="7"/>
  <c r="AS207" i="7"/>
  <c r="AT207" i="7"/>
  <c r="AU207" i="7"/>
  <c r="AV207" i="7"/>
  <c r="AW207" i="7"/>
  <c r="AX207" i="7"/>
  <c r="AY207" i="7"/>
  <c r="AZ207" i="7"/>
  <c r="BA207" i="7"/>
  <c r="BB207" i="7"/>
  <c r="BC207" i="7"/>
  <c r="BD207" i="7"/>
  <c r="BE207" i="7"/>
  <c r="BF207" i="7"/>
  <c r="BG207" i="7"/>
  <c r="BH207" i="7"/>
  <c r="BI207" i="7"/>
  <c r="BJ207" i="7"/>
  <c r="BK207" i="7"/>
  <c r="BL207" i="7"/>
  <c r="BM207" i="7"/>
  <c r="BN207" i="7"/>
  <c r="BO207" i="7"/>
  <c r="BP207" i="7"/>
  <c r="BQ207" i="7"/>
  <c r="BR207" i="7"/>
  <c r="BS207" i="7"/>
  <c r="BT207" i="7"/>
  <c r="BU207" i="7"/>
  <c r="BV207" i="7"/>
  <c r="BW207" i="7"/>
  <c r="BX207" i="7"/>
  <c r="BY207" i="7"/>
  <c r="BZ207" i="7"/>
  <c r="CA207" i="7"/>
  <c r="CB207" i="7"/>
  <c r="CC207" i="7"/>
  <c r="CD207" i="7"/>
  <c r="CE207" i="7"/>
  <c r="CF207" i="7"/>
  <c r="CG207" i="7"/>
  <c r="CH207" i="7"/>
  <c r="CI207" i="7"/>
  <c r="CJ207" i="7"/>
  <c r="CK207" i="7"/>
  <c r="CL207" i="7"/>
  <c r="CM207" i="7"/>
  <c r="CN207" i="7"/>
  <c r="CO207" i="7"/>
  <c r="CP207" i="7"/>
  <c r="CQ207" i="7"/>
  <c r="CR207" i="7"/>
  <c r="CS207" i="7"/>
  <c r="CT207" i="7"/>
  <c r="CU207" i="7"/>
  <c r="CV207" i="7"/>
  <c r="CW207" i="7"/>
  <c r="CX207" i="7"/>
  <c r="CY207" i="7"/>
  <c r="CZ207" i="7"/>
  <c r="DA207" i="7"/>
  <c r="DB207" i="7"/>
  <c r="DC207" i="7"/>
  <c r="DD207" i="7"/>
  <c r="DE207" i="7"/>
  <c r="DF207" i="7"/>
  <c r="DG207" i="7"/>
  <c r="DH207" i="7"/>
  <c r="DI207" i="7"/>
  <c r="DJ207" i="7"/>
  <c r="DK207" i="7"/>
  <c r="DL207" i="7"/>
  <c r="DM207" i="7"/>
  <c r="DN207" i="7"/>
  <c r="DO207" i="7"/>
  <c r="DP207" i="7"/>
  <c r="DQ207" i="7"/>
  <c r="DR207" i="7"/>
  <c r="DS207" i="7"/>
  <c r="DT207" i="7"/>
  <c r="DU207" i="7"/>
  <c r="DV207" i="7"/>
  <c r="DW207" i="7"/>
  <c r="DX207" i="7"/>
  <c r="DY207" i="7"/>
  <c r="DZ207" i="7"/>
  <c r="EA207" i="7"/>
  <c r="EB207" i="7"/>
  <c r="EC207" i="7"/>
  <c r="ED207" i="7"/>
  <c r="EE207" i="7"/>
  <c r="EF207" i="7"/>
  <c r="EG207" i="7"/>
  <c r="EH207" i="7"/>
  <c r="EI207" i="7"/>
  <c r="EJ207" i="7"/>
  <c r="EK207" i="7"/>
  <c r="EL207" i="7"/>
  <c r="EM207" i="7"/>
  <c r="EN207" i="7"/>
  <c r="EO207" i="7"/>
  <c r="EP207" i="7"/>
  <c r="EQ207" i="7"/>
  <c r="ER207" i="7"/>
  <c r="ES207" i="7"/>
  <c r="ET207" i="7"/>
  <c r="EU207" i="7"/>
  <c r="EV207" i="7"/>
  <c r="EW207" i="7"/>
  <c r="EX207" i="7"/>
  <c r="EY207" i="7"/>
  <c r="EZ207" i="7"/>
  <c r="FA207" i="7"/>
  <c r="FB207" i="7"/>
  <c r="FC207" i="7"/>
  <c r="FD207" i="7"/>
  <c r="FE207" i="7"/>
  <c r="FF207" i="7"/>
  <c r="FG207" i="7"/>
  <c r="FH207" i="7"/>
  <c r="FI207" i="7"/>
  <c r="FJ207" i="7"/>
  <c r="FK207" i="7"/>
  <c r="FL207" i="7"/>
  <c r="FM207" i="7"/>
  <c r="FN207" i="7"/>
  <c r="FO207" i="7"/>
  <c r="FP207" i="7"/>
  <c r="FQ207" i="7"/>
  <c r="FR207" i="7"/>
  <c r="FS207" i="7"/>
  <c r="FT207" i="7"/>
  <c r="FU207" i="7"/>
  <c r="FV207" i="7"/>
  <c r="FW207" i="7"/>
  <c r="FX207" i="7"/>
  <c r="FY207" i="7"/>
  <c r="FZ207" i="7"/>
  <c r="GA207" i="7"/>
  <c r="GB207" i="7"/>
  <c r="GC207" i="7"/>
  <c r="GD207" i="7"/>
  <c r="GE207" i="7"/>
  <c r="GF207" i="7"/>
  <c r="GG207" i="7"/>
  <c r="GH207" i="7"/>
  <c r="GI207" i="7"/>
  <c r="GJ207" i="7"/>
  <c r="GK207" i="7"/>
  <c r="GL207" i="7"/>
  <c r="GM207" i="7"/>
  <c r="GN207" i="7"/>
  <c r="GO207" i="7"/>
  <c r="GP207" i="7"/>
  <c r="GQ207" i="7"/>
  <c r="GR207" i="7"/>
  <c r="GS207" i="7"/>
  <c r="GT207" i="7"/>
  <c r="GU207" i="7"/>
  <c r="GV207" i="7"/>
  <c r="GW207" i="7"/>
  <c r="GX207" i="7"/>
  <c r="GY207" i="7"/>
  <c r="GZ207" i="7"/>
  <c r="HA207" i="7"/>
  <c r="HB207" i="7"/>
  <c r="HC207" i="7"/>
  <c r="HD207" i="7"/>
  <c r="HE207" i="7"/>
  <c r="HF207" i="7"/>
  <c r="HG207" i="7"/>
  <c r="HH207" i="7"/>
  <c r="HI207" i="7"/>
  <c r="HJ207" i="7"/>
  <c r="HK207" i="7"/>
  <c r="HL207" i="7"/>
  <c r="HM207" i="7"/>
  <c r="HN207" i="7"/>
  <c r="HO207" i="7"/>
  <c r="HP207" i="7"/>
  <c r="HQ207" i="7"/>
  <c r="HR207" i="7"/>
  <c r="HS207" i="7"/>
  <c r="HT207" i="7"/>
  <c r="HU207" i="7"/>
  <c r="HV207" i="7"/>
  <c r="HW207" i="7"/>
  <c r="HX207" i="7"/>
  <c r="HY207" i="7"/>
  <c r="HZ207" i="7"/>
  <c r="IA207" i="7"/>
  <c r="IB207" i="7"/>
  <c r="IC207" i="7"/>
  <c r="ID207" i="7"/>
  <c r="IE207" i="7"/>
  <c r="IF207" i="7"/>
  <c r="IG207" i="7"/>
  <c r="IH207" i="7"/>
  <c r="II207" i="7"/>
  <c r="IJ207" i="7"/>
  <c r="IK207" i="7"/>
  <c r="IL207" i="7"/>
  <c r="IM207" i="7"/>
  <c r="IN207" i="7"/>
  <c r="IO207" i="7"/>
  <c r="IP207" i="7"/>
  <c r="IQ207" i="7"/>
  <c r="IR207" i="7"/>
  <c r="IS207" i="7"/>
  <c r="IT207" i="7"/>
  <c r="IU207" i="7"/>
  <c r="IV207" i="7"/>
  <c r="A206" i="7"/>
  <c r="B206" i="7"/>
  <c r="C206" i="7"/>
  <c r="D206" i="7"/>
  <c r="E206" i="7"/>
  <c r="F206" i="7"/>
  <c r="G206" i="7"/>
  <c r="H206" i="7"/>
  <c r="I206" i="7"/>
  <c r="J206" i="7"/>
  <c r="K206" i="7"/>
  <c r="L206" i="7"/>
  <c r="M206" i="7"/>
  <c r="N206" i="7"/>
  <c r="O206" i="7"/>
  <c r="P206" i="7"/>
  <c r="Q206" i="7"/>
  <c r="R206" i="7"/>
  <c r="S206" i="7"/>
  <c r="T206" i="7"/>
  <c r="U206" i="7"/>
  <c r="V206" i="7"/>
  <c r="W206" i="7"/>
  <c r="X206" i="7"/>
  <c r="Y206" i="7"/>
  <c r="Z206" i="7"/>
  <c r="AA206" i="7"/>
  <c r="AB206" i="7"/>
  <c r="AC206" i="7"/>
  <c r="AD206" i="7"/>
  <c r="AE206" i="7"/>
  <c r="AF206" i="7"/>
  <c r="AG206" i="7"/>
  <c r="AH206" i="7"/>
  <c r="AI206" i="7"/>
  <c r="AJ206" i="7"/>
  <c r="AK206" i="7"/>
  <c r="AL206" i="7"/>
  <c r="AM206" i="7"/>
  <c r="AN206" i="7"/>
  <c r="AO206" i="7"/>
  <c r="AP206" i="7"/>
  <c r="AQ206" i="7"/>
  <c r="AR206" i="7"/>
  <c r="AS206" i="7"/>
  <c r="AT206" i="7"/>
  <c r="AU206" i="7"/>
  <c r="AV206" i="7"/>
  <c r="AW206" i="7"/>
  <c r="AX206" i="7"/>
  <c r="AY206" i="7"/>
  <c r="AZ206" i="7"/>
  <c r="BA206" i="7"/>
  <c r="BB206" i="7"/>
  <c r="BC206" i="7"/>
  <c r="BD206" i="7"/>
  <c r="BE206" i="7"/>
  <c r="BF206" i="7"/>
  <c r="BG206" i="7"/>
  <c r="BH206" i="7"/>
  <c r="BI206" i="7"/>
  <c r="BJ206" i="7"/>
  <c r="BK206" i="7"/>
  <c r="BL206" i="7"/>
  <c r="BM206" i="7"/>
  <c r="BN206" i="7"/>
  <c r="BO206" i="7"/>
  <c r="BP206" i="7"/>
  <c r="BQ206" i="7"/>
  <c r="BR206" i="7"/>
  <c r="BS206" i="7"/>
  <c r="BT206" i="7"/>
  <c r="BU206" i="7"/>
  <c r="BV206" i="7"/>
  <c r="BW206" i="7"/>
  <c r="BX206" i="7"/>
  <c r="BY206" i="7"/>
  <c r="BZ206" i="7"/>
  <c r="CA206" i="7"/>
  <c r="CB206" i="7"/>
  <c r="CC206" i="7"/>
  <c r="CD206" i="7"/>
  <c r="CE206" i="7"/>
  <c r="CF206" i="7"/>
  <c r="CG206" i="7"/>
  <c r="CH206" i="7"/>
  <c r="CI206" i="7"/>
  <c r="CJ206" i="7"/>
  <c r="CK206" i="7"/>
  <c r="CL206" i="7"/>
  <c r="CM206" i="7"/>
  <c r="CN206" i="7"/>
  <c r="CO206" i="7"/>
  <c r="CP206" i="7"/>
  <c r="CQ206" i="7"/>
  <c r="CR206" i="7"/>
  <c r="CS206" i="7"/>
  <c r="CT206" i="7"/>
  <c r="CU206" i="7"/>
  <c r="CV206" i="7"/>
  <c r="CW206" i="7"/>
  <c r="CX206" i="7"/>
  <c r="CY206" i="7"/>
  <c r="CZ206" i="7"/>
  <c r="DA206" i="7"/>
  <c r="DB206" i="7"/>
  <c r="DC206" i="7"/>
  <c r="DD206" i="7"/>
  <c r="DE206" i="7"/>
  <c r="DF206" i="7"/>
  <c r="DG206" i="7"/>
  <c r="DH206" i="7"/>
  <c r="DI206" i="7"/>
  <c r="DJ206" i="7"/>
  <c r="DK206" i="7"/>
  <c r="DL206" i="7"/>
  <c r="DM206" i="7"/>
  <c r="DN206" i="7"/>
  <c r="DO206" i="7"/>
  <c r="DP206" i="7"/>
  <c r="DQ206" i="7"/>
  <c r="DR206" i="7"/>
  <c r="DS206" i="7"/>
  <c r="DT206" i="7"/>
  <c r="DU206" i="7"/>
  <c r="DV206" i="7"/>
  <c r="DW206" i="7"/>
  <c r="DX206" i="7"/>
  <c r="DY206" i="7"/>
  <c r="DZ206" i="7"/>
  <c r="EA206" i="7"/>
  <c r="EB206" i="7"/>
  <c r="EC206" i="7"/>
  <c r="ED206" i="7"/>
  <c r="EE206" i="7"/>
  <c r="EF206" i="7"/>
  <c r="EG206" i="7"/>
  <c r="EH206" i="7"/>
  <c r="EI206" i="7"/>
  <c r="EJ206" i="7"/>
  <c r="EK206" i="7"/>
  <c r="EL206" i="7"/>
  <c r="EM206" i="7"/>
  <c r="EN206" i="7"/>
  <c r="EO206" i="7"/>
  <c r="EP206" i="7"/>
  <c r="EQ206" i="7"/>
  <c r="ER206" i="7"/>
  <c r="ES206" i="7"/>
  <c r="ET206" i="7"/>
  <c r="EU206" i="7"/>
  <c r="EV206" i="7"/>
  <c r="EW206" i="7"/>
  <c r="EX206" i="7"/>
  <c r="EY206" i="7"/>
  <c r="EZ206" i="7"/>
  <c r="FA206" i="7"/>
  <c r="FB206" i="7"/>
  <c r="FC206" i="7"/>
  <c r="FD206" i="7"/>
  <c r="FE206" i="7"/>
  <c r="FF206" i="7"/>
  <c r="FG206" i="7"/>
  <c r="FH206" i="7"/>
  <c r="FI206" i="7"/>
  <c r="FJ206" i="7"/>
  <c r="FK206" i="7"/>
  <c r="FL206" i="7"/>
  <c r="FM206" i="7"/>
  <c r="FN206" i="7"/>
  <c r="FO206" i="7"/>
  <c r="FP206" i="7"/>
  <c r="FQ206" i="7"/>
  <c r="FR206" i="7"/>
  <c r="FS206" i="7"/>
  <c r="FT206" i="7"/>
  <c r="FU206" i="7"/>
  <c r="FV206" i="7"/>
  <c r="FW206" i="7"/>
  <c r="FX206" i="7"/>
  <c r="FY206" i="7"/>
  <c r="FZ206" i="7"/>
  <c r="GA206" i="7"/>
  <c r="GB206" i="7"/>
  <c r="GC206" i="7"/>
  <c r="GD206" i="7"/>
  <c r="GE206" i="7"/>
  <c r="GF206" i="7"/>
  <c r="GG206" i="7"/>
  <c r="GH206" i="7"/>
  <c r="GI206" i="7"/>
  <c r="GJ206" i="7"/>
  <c r="GK206" i="7"/>
  <c r="GL206" i="7"/>
  <c r="GM206" i="7"/>
  <c r="GN206" i="7"/>
  <c r="GO206" i="7"/>
  <c r="GP206" i="7"/>
  <c r="GQ206" i="7"/>
  <c r="GR206" i="7"/>
  <c r="GS206" i="7"/>
  <c r="GT206" i="7"/>
  <c r="GU206" i="7"/>
  <c r="GV206" i="7"/>
  <c r="GW206" i="7"/>
  <c r="GX206" i="7"/>
  <c r="GY206" i="7"/>
  <c r="GZ206" i="7"/>
  <c r="HA206" i="7"/>
  <c r="HB206" i="7"/>
  <c r="HC206" i="7"/>
  <c r="HD206" i="7"/>
  <c r="HE206" i="7"/>
  <c r="HF206" i="7"/>
  <c r="HG206" i="7"/>
  <c r="HH206" i="7"/>
  <c r="HI206" i="7"/>
  <c r="HJ206" i="7"/>
  <c r="HK206" i="7"/>
  <c r="HL206" i="7"/>
  <c r="HM206" i="7"/>
  <c r="HN206" i="7"/>
  <c r="HO206" i="7"/>
  <c r="HP206" i="7"/>
  <c r="HQ206" i="7"/>
  <c r="HR206" i="7"/>
  <c r="HS206" i="7"/>
  <c r="HT206" i="7"/>
  <c r="HU206" i="7"/>
  <c r="HV206" i="7"/>
  <c r="HW206" i="7"/>
  <c r="HX206" i="7"/>
  <c r="HY206" i="7"/>
  <c r="HZ206" i="7"/>
  <c r="IA206" i="7"/>
  <c r="IB206" i="7"/>
  <c r="IC206" i="7"/>
  <c r="ID206" i="7"/>
  <c r="IE206" i="7"/>
  <c r="IF206" i="7"/>
  <c r="IG206" i="7"/>
  <c r="IH206" i="7"/>
  <c r="II206" i="7"/>
  <c r="IJ206" i="7"/>
  <c r="IK206" i="7"/>
  <c r="IL206" i="7"/>
  <c r="IM206" i="7"/>
  <c r="IN206" i="7"/>
  <c r="IO206" i="7"/>
  <c r="IP206" i="7"/>
  <c r="IQ206" i="7"/>
  <c r="IR206" i="7"/>
  <c r="IS206" i="7"/>
  <c r="IT206" i="7"/>
  <c r="IU206" i="7"/>
  <c r="IV206" i="7"/>
  <c r="A205" i="7"/>
  <c r="B205" i="7"/>
  <c r="C205" i="7"/>
  <c r="D205" i="7"/>
  <c r="E205" i="7"/>
  <c r="F205" i="7"/>
  <c r="G205" i="7"/>
  <c r="H205" i="7"/>
  <c r="I205" i="7"/>
  <c r="J205" i="7"/>
  <c r="K205" i="7"/>
  <c r="L205" i="7"/>
  <c r="M205" i="7"/>
  <c r="N205" i="7"/>
  <c r="O205" i="7"/>
  <c r="P205" i="7"/>
  <c r="Q205" i="7"/>
  <c r="R205" i="7"/>
  <c r="S205" i="7"/>
  <c r="T205" i="7"/>
  <c r="U205" i="7"/>
  <c r="V205" i="7"/>
  <c r="W205" i="7"/>
  <c r="X205" i="7"/>
  <c r="Y205" i="7"/>
  <c r="Z205" i="7"/>
  <c r="AA205" i="7"/>
  <c r="AB205" i="7"/>
  <c r="AC205" i="7"/>
  <c r="AD205" i="7"/>
  <c r="AE205" i="7"/>
  <c r="AF205" i="7"/>
  <c r="AG205" i="7"/>
  <c r="AH205" i="7"/>
  <c r="AI205" i="7"/>
  <c r="AJ205" i="7"/>
  <c r="AK205" i="7"/>
  <c r="AL205" i="7"/>
  <c r="AM205" i="7"/>
  <c r="AN205" i="7"/>
  <c r="AO205" i="7"/>
  <c r="AP205" i="7"/>
  <c r="AQ205" i="7"/>
  <c r="AR205" i="7"/>
  <c r="AS205" i="7"/>
  <c r="AT205" i="7"/>
  <c r="AU205" i="7"/>
  <c r="AV205" i="7"/>
  <c r="AW205" i="7"/>
  <c r="AX205" i="7"/>
  <c r="AY205" i="7"/>
  <c r="AZ205" i="7"/>
  <c r="BA205" i="7"/>
  <c r="BB205" i="7"/>
  <c r="BC205" i="7"/>
  <c r="BD205" i="7"/>
  <c r="BE205" i="7"/>
  <c r="BF205" i="7"/>
  <c r="BG205" i="7"/>
  <c r="BH205" i="7"/>
  <c r="BI205" i="7"/>
  <c r="BJ205" i="7"/>
  <c r="BK205" i="7"/>
  <c r="BL205" i="7"/>
  <c r="BM205" i="7"/>
  <c r="BN205" i="7"/>
  <c r="BO205" i="7"/>
  <c r="BP205" i="7"/>
  <c r="BQ205" i="7"/>
  <c r="BR205" i="7"/>
  <c r="BS205" i="7"/>
  <c r="BT205" i="7"/>
  <c r="BU205" i="7"/>
  <c r="BV205" i="7"/>
  <c r="BW205" i="7"/>
  <c r="BX205" i="7"/>
  <c r="BY205" i="7"/>
  <c r="BZ205" i="7"/>
  <c r="CA205" i="7"/>
  <c r="CB205" i="7"/>
  <c r="CC205" i="7"/>
  <c r="CD205" i="7"/>
  <c r="CE205" i="7"/>
  <c r="CF205" i="7"/>
  <c r="CG205" i="7"/>
  <c r="CH205" i="7"/>
  <c r="CI205" i="7"/>
  <c r="CJ205" i="7"/>
  <c r="CK205" i="7"/>
  <c r="CL205" i="7"/>
  <c r="CM205" i="7"/>
  <c r="CN205" i="7"/>
  <c r="CO205" i="7"/>
  <c r="CP205" i="7"/>
  <c r="CQ205" i="7"/>
  <c r="CR205" i="7"/>
  <c r="CS205" i="7"/>
  <c r="CT205" i="7"/>
  <c r="CU205" i="7"/>
  <c r="CV205" i="7"/>
  <c r="CW205" i="7"/>
  <c r="CX205" i="7"/>
  <c r="CY205" i="7"/>
  <c r="CZ205" i="7"/>
  <c r="DA205" i="7"/>
  <c r="DB205" i="7"/>
  <c r="DC205" i="7"/>
  <c r="DD205" i="7"/>
  <c r="DE205" i="7"/>
  <c r="DF205" i="7"/>
  <c r="DG205" i="7"/>
  <c r="DH205" i="7"/>
  <c r="DI205" i="7"/>
  <c r="DJ205" i="7"/>
  <c r="DK205" i="7"/>
  <c r="DL205" i="7"/>
  <c r="DM205" i="7"/>
  <c r="DN205" i="7"/>
  <c r="DO205" i="7"/>
  <c r="DP205" i="7"/>
  <c r="DQ205" i="7"/>
  <c r="DR205" i="7"/>
  <c r="DS205" i="7"/>
  <c r="DT205" i="7"/>
  <c r="DU205" i="7"/>
  <c r="DV205" i="7"/>
  <c r="DW205" i="7"/>
  <c r="DX205" i="7"/>
  <c r="DY205" i="7"/>
  <c r="DZ205" i="7"/>
  <c r="EA205" i="7"/>
  <c r="EB205" i="7"/>
  <c r="EC205" i="7"/>
  <c r="ED205" i="7"/>
  <c r="EE205" i="7"/>
  <c r="EF205" i="7"/>
  <c r="EG205" i="7"/>
  <c r="EH205" i="7"/>
  <c r="EI205" i="7"/>
  <c r="EJ205" i="7"/>
  <c r="EK205" i="7"/>
  <c r="EL205" i="7"/>
  <c r="EM205" i="7"/>
  <c r="EN205" i="7"/>
  <c r="EO205" i="7"/>
  <c r="EP205" i="7"/>
  <c r="EQ205" i="7"/>
  <c r="ER205" i="7"/>
  <c r="ES205" i="7"/>
  <c r="ET205" i="7"/>
  <c r="EU205" i="7"/>
  <c r="EV205" i="7"/>
  <c r="EW205" i="7"/>
  <c r="EX205" i="7"/>
  <c r="EY205" i="7"/>
  <c r="EZ205" i="7"/>
  <c r="FA205" i="7"/>
  <c r="FB205" i="7"/>
  <c r="FC205" i="7"/>
  <c r="FD205" i="7"/>
  <c r="FE205" i="7"/>
  <c r="FF205" i="7"/>
  <c r="FG205" i="7"/>
  <c r="FH205" i="7"/>
  <c r="FI205" i="7"/>
  <c r="FJ205" i="7"/>
  <c r="FK205" i="7"/>
  <c r="FL205" i="7"/>
  <c r="FM205" i="7"/>
  <c r="FN205" i="7"/>
  <c r="FO205" i="7"/>
  <c r="FP205" i="7"/>
  <c r="FQ205" i="7"/>
  <c r="FR205" i="7"/>
  <c r="FS205" i="7"/>
  <c r="FT205" i="7"/>
  <c r="FU205" i="7"/>
  <c r="FV205" i="7"/>
  <c r="FW205" i="7"/>
  <c r="FX205" i="7"/>
  <c r="FY205" i="7"/>
  <c r="FZ205" i="7"/>
  <c r="GA205" i="7"/>
  <c r="GB205" i="7"/>
  <c r="GC205" i="7"/>
  <c r="GD205" i="7"/>
  <c r="GE205" i="7"/>
  <c r="GF205" i="7"/>
  <c r="GG205" i="7"/>
  <c r="GH205" i="7"/>
  <c r="GI205" i="7"/>
  <c r="GJ205" i="7"/>
  <c r="GK205" i="7"/>
  <c r="GL205" i="7"/>
  <c r="GM205" i="7"/>
  <c r="GN205" i="7"/>
  <c r="GO205" i="7"/>
  <c r="GP205" i="7"/>
  <c r="GQ205" i="7"/>
  <c r="GR205" i="7"/>
  <c r="GS205" i="7"/>
  <c r="GT205" i="7"/>
  <c r="GU205" i="7"/>
  <c r="GV205" i="7"/>
  <c r="GW205" i="7"/>
  <c r="GX205" i="7"/>
  <c r="GY205" i="7"/>
  <c r="GZ205" i="7"/>
  <c r="HA205" i="7"/>
  <c r="HB205" i="7"/>
  <c r="HC205" i="7"/>
  <c r="HD205" i="7"/>
  <c r="HE205" i="7"/>
  <c r="HF205" i="7"/>
  <c r="HG205" i="7"/>
  <c r="HH205" i="7"/>
  <c r="HI205" i="7"/>
  <c r="HJ205" i="7"/>
  <c r="HK205" i="7"/>
  <c r="HL205" i="7"/>
  <c r="HM205" i="7"/>
  <c r="HN205" i="7"/>
  <c r="HO205" i="7"/>
  <c r="HP205" i="7"/>
  <c r="HQ205" i="7"/>
  <c r="HR205" i="7"/>
  <c r="HS205" i="7"/>
  <c r="HT205" i="7"/>
  <c r="HU205" i="7"/>
  <c r="HV205" i="7"/>
  <c r="HW205" i="7"/>
  <c r="HX205" i="7"/>
  <c r="HY205" i="7"/>
  <c r="HZ205" i="7"/>
  <c r="IA205" i="7"/>
  <c r="IB205" i="7"/>
  <c r="IC205" i="7"/>
  <c r="ID205" i="7"/>
  <c r="IE205" i="7"/>
  <c r="IF205" i="7"/>
  <c r="IG205" i="7"/>
  <c r="IH205" i="7"/>
  <c r="II205" i="7"/>
  <c r="IJ205" i="7"/>
  <c r="IK205" i="7"/>
  <c r="IL205" i="7"/>
  <c r="IM205" i="7"/>
  <c r="IN205" i="7"/>
  <c r="IO205" i="7"/>
  <c r="IP205" i="7"/>
  <c r="IQ205" i="7"/>
  <c r="IR205" i="7"/>
  <c r="IS205" i="7"/>
  <c r="IT205" i="7"/>
  <c r="IU205" i="7"/>
  <c r="IV205" i="7"/>
  <c r="A204" i="7"/>
  <c r="B204" i="7"/>
  <c r="C204" i="7"/>
  <c r="D204" i="7"/>
  <c r="E204" i="7"/>
  <c r="F204" i="7"/>
  <c r="G204" i="7"/>
  <c r="H204" i="7"/>
  <c r="I204" i="7"/>
  <c r="J204" i="7"/>
  <c r="K204" i="7"/>
  <c r="L204" i="7"/>
  <c r="M204" i="7"/>
  <c r="N204" i="7"/>
  <c r="O204" i="7"/>
  <c r="P204" i="7"/>
  <c r="Q204" i="7"/>
  <c r="R204" i="7"/>
  <c r="S204" i="7"/>
  <c r="T204" i="7"/>
  <c r="U204" i="7"/>
  <c r="V204" i="7"/>
  <c r="W204" i="7"/>
  <c r="X204" i="7"/>
  <c r="Y204" i="7"/>
  <c r="Z204" i="7"/>
  <c r="AA204" i="7"/>
  <c r="AB204" i="7"/>
  <c r="AC204" i="7"/>
  <c r="AD204" i="7"/>
  <c r="AE204" i="7"/>
  <c r="AF204" i="7"/>
  <c r="AG204" i="7"/>
  <c r="AH204" i="7"/>
  <c r="AI204" i="7"/>
  <c r="AJ204" i="7"/>
  <c r="AK204" i="7"/>
  <c r="AL204" i="7"/>
  <c r="AM204" i="7"/>
  <c r="AN204" i="7"/>
  <c r="AO204" i="7"/>
  <c r="AP204" i="7"/>
  <c r="AQ204" i="7"/>
  <c r="AR204" i="7"/>
  <c r="AS204" i="7"/>
  <c r="AT204" i="7"/>
  <c r="AU204" i="7"/>
  <c r="AV204" i="7"/>
  <c r="AW204" i="7"/>
  <c r="AX204" i="7"/>
  <c r="AY204" i="7"/>
  <c r="AZ204" i="7"/>
  <c r="BA204" i="7"/>
  <c r="BB204" i="7"/>
  <c r="BC204" i="7"/>
  <c r="BD204" i="7"/>
  <c r="BE204" i="7"/>
  <c r="BF204" i="7"/>
  <c r="BG204" i="7"/>
  <c r="BH204" i="7"/>
  <c r="BI204" i="7"/>
  <c r="BJ204" i="7"/>
  <c r="BK204" i="7"/>
  <c r="BL204" i="7"/>
  <c r="BM204" i="7"/>
  <c r="BN204" i="7"/>
  <c r="BO204" i="7"/>
  <c r="BP204" i="7"/>
  <c r="BQ204" i="7"/>
  <c r="BR204" i="7"/>
  <c r="BS204" i="7"/>
  <c r="BT204" i="7"/>
  <c r="BU204" i="7"/>
  <c r="BV204" i="7"/>
  <c r="BW204" i="7"/>
  <c r="BX204" i="7"/>
  <c r="BY204" i="7"/>
  <c r="BZ204" i="7"/>
  <c r="CA204" i="7"/>
  <c r="CB204" i="7"/>
  <c r="CC204" i="7"/>
  <c r="CD204" i="7"/>
  <c r="CE204" i="7"/>
  <c r="CF204" i="7"/>
  <c r="CG204" i="7"/>
  <c r="CH204" i="7"/>
  <c r="CI204" i="7"/>
  <c r="CJ204" i="7"/>
  <c r="CK204" i="7"/>
  <c r="CL204" i="7"/>
  <c r="CM204" i="7"/>
  <c r="CN204" i="7"/>
  <c r="CO204" i="7"/>
  <c r="CP204" i="7"/>
  <c r="CQ204" i="7"/>
  <c r="CR204" i="7"/>
  <c r="CS204" i="7"/>
  <c r="CT204" i="7"/>
  <c r="CU204" i="7"/>
  <c r="CV204" i="7"/>
  <c r="CW204" i="7"/>
  <c r="CX204" i="7"/>
  <c r="CY204" i="7"/>
  <c r="CZ204" i="7"/>
  <c r="DA204" i="7"/>
  <c r="DB204" i="7"/>
  <c r="DC204" i="7"/>
  <c r="DD204" i="7"/>
  <c r="DE204" i="7"/>
  <c r="DF204" i="7"/>
  <c r="DG204" i="7"/>
  <c r="DH204" i="7"/>
  <c r="DI204" i="7"/>
  <c r="DJ204" i="7"/>
  <c r="DK204" i="7"/>
  <c r="DL204" i="7"/>
  <c r="DM204" i="7"/>
  <c r="DN204" i="7"/>
  <c r="DO204" i="7"/>
  <c r="DP204" i="7"/>
  <c r="DQ204" i="7"/>
  <c r="DR204" i="7"/>
  <c r="DS204" i="7"/>
  <c r="DT204" i="7"/>
  <c r="DU204" i="7"/>
  <c r="DV204" i="7"/>
  <c r="DW204" i="7"/>
  <c r="DX204" i="7"/>
  <c r="DY204" i="7"/>
  <c r="DZ204" i="7"/>
  <c r="EA204" i="7"/>
  <c r="EB204" i="7"/>
  <c r="EC204" i="7"/>
  <c r="ED204" i="7"/>
  <c r="EE204" i="7"/>
  <c r="EF204" i="7"/>
  <c r="EG204" i="7"/>
  <c r="EH204" i="7"/>
  <c r="EI204" i="7"/>
  <c r="EJ204" i="7"/>
  <c r="EK204" i="7"/>
  <c r="EL204" i="7"/>
  <c r="EM204" i="7"/>
  <c r="EN204" i="7"/>
  <c r="EO204" i="7"/>
  <c r="EP204" i="7"/>
  <c r="EQ204" i="7"/>
  <c r="ER204" i="7"/>
  <c r="ES204" i="7"/>
  <c r="ET204" i="7"/>
  <c r="EU204" i="7"/>
  <c r="EV204" i="7"/>
  <c r="EW204" i="7"/>
  <c r="EX204" i="7"/>
  <c r="EY204" i="7"/>
  <c r="EZ204" i="7"/>
  <c r="FA204" i="7"/>
  <c r="FB204" i="7"/>
  <c r="FC204" i="7"/>
  <c r="FD204" i="7"/>
  <c r="FE204" i="7"/>
  <c r="FF204" i="7"/>
  <c r="FG204" i="7"/>
  <c r="FH204" i="7"/>
  <c r="FI204" i="7"/>
  <c r="FJ204" i="7"/>
  <c r="FK204" i="7"/>
  <c r="FL204" i="7"/>
  <c r="FM204" i="7"/>
  <c r="FN204" i="7"/>
  <c r="FO204" i="7"/>
  <c r="FP204" i="7"/>
  <c r="FQ204" i="7"/>
  <c r="FR204" i="7"/>
  <c r="FS204" i="7"/>
  <c r="FT204" i="7"/>
  <c r="FU204" i="7"/>
  <c r="FV204" i="7"/>
  <c r="FW204" i="7"/>
  <c r="FX204" i="7"/>
  <c r="FY204" i="7"/>
  <c r="FZ204" i="7"/>
  <c r="GA204" i="7"/>
  <c r="GB204" i="7"/>
  <c r="GC204" i="7"/>
  <c r="GD204" i="7"/>
  <c r="GE204" i="7"/>
  <c r="GF204" i="7"/>
  <c r="GG204" i="7"/>
  <c r="GH204" i="7"/>
  <c r="GI204" i="7"/>
  <c r="GJ204" i="7"/>
  <c r="GK204" i="7"/>
  <c r="GL204" i="7"/>
  <c r="GM204" i="7"/>
  <c r="GN204" i="7"/>
  <c r="GO204" i="7"/>
  <c r="GP204" i="7"/>
  <c r="GQ204" i="7"/>
  <c r="GR204" i="7"/>
  <c r="GS204" i="7"/>
  <c r="GT204" i="7"/>
  <c r="GU204" i="7"/>
  <c r="GV204" i="7"/>
  <c r="GW204" i="7"/>
  <c r="GX204" i="7"/>
  <c r="GY204" i="7"/>
  <c r="GZ204" i="7"/>
  <c r="HA204" i="7"/>
  <c r="HB204" i="7"/>
  <c r="HC204" i="7"/>
  <c r="HD204" i="7"/>
  <c r="HE204" i="7"/>
  <c r="HF204" i="7"/>
  <c r="HG204" i="7"/>
  <c r="HH204" i="7"/>
  <c r="HI204" i="7"/>
  <c r="HJ204" i="7"/>
  <c r="HK204" i="7"/>
  <c r="HL204" i="7"/>
  <c r="HM204" i="7"/>
  <c r="HN204" i="7"/>
  <c r="HO204" i="7"/>
  <c r="HP204" i="7"/>
  <c r="HQ204" i="7"/>
  <c r="HR204" i="7"/>
  <c r="HS204" i="7"/>
  <c r="HT204" i="7"/>
  <c r="HU204" i="7"/>
  <c r="HV204" i="7"/>
  <c r="HW204" i="7"/>
  <c r="HX204" i="7"/>
  <c r="HY204" i="7"/>
  <c r="HZ204" i="7"/>
  <c r="IA204" i="7"/>
  <c r="IB204" i="7"/>
  <c r="IC204" i="7"/>
  <c r="ID204" i="7"/>
  <c r="IE204" i="7"/>
  <c r="IF204" i="7"/>
  <c r="IG204" i="7"/>
  <c r="IH204" i="7"/>
  <c r="II204" i="7"/>
  <c r="IJ204" i="7"/>
  <c r="IK204" i="7"/>
  <c r="IL204" i="7"/>
  <c r="IM204" i="7"/>
  <c r="IN204" i="7"/>
  <c r="IO204" i="7"/>
  <c r="IP204" i="7"/>
  <c r="IQ204" i="7"/>
  <c r="IR204" i="7"/>
  <c r="IS204" i="7"/>
  <c r="IT204" i="7"/>
  <c r="IU204" i="7"/>
  <c r="IV204" i="7"/>
  <c r="A203" i="7"/>
  <c r="B203" i="7"/>
  <c r="C203" i="7"/>
  <c r="D203" i="7"/>
  <c r="E203" i="7"/>
  <c r="F203" i="7"/>
  <c r="G203" i="7"/>
  <c r="H203" i="7"/>
  <c r="I203" i="7"/>
  <c r="J203" i="7"/>
  <c r="K203" i="7"/>
  <c r="L203" i="7"/>
  <c r="M203" i="7"/>
  <c r="N203" i="7"/>
  <c r="O203" i="7"/>
  <c r="P203" i="7"/>
  <c r="Q203" i="7"/>
  <c r="R203" i="7"/>
  <c r="S203" i="7"/>
  <c r="T203" i="7"/>
  <c r="U203" i="7"/>
  <c r="V203" i="7"/>
  <c r="W203" i="7"/>
  <c r="X203" i="7"/>
  <c r="Y203" i="7"/>
  <c r="Z203" i="7"/>
  <c r="AA203" i="7"/>
  <c r="AB203" i="7"/>
  <c r="AC203" i="7"/>
  <c r="AD203" i="7"/>
  <c r="AE203" i="7"/>
  <c r="AF203" i="7"/>
  <c r="AG203" i="7"/>
  <c r="AH203" i="7"/>
  <c r="AI203" i="7"/>
  <c r="AJ203" i="7"/>
  <c r="AK203" i="7"/>
  <c r="AL203" i="7"/>
  <c r="AM203" i="7"/>
  <c r="AN203" i="7"/>
  <c r="AO203" i="7"/>
  <c r="AP203" i="7"/>
  <c r="AQ203" i="7"/>
  <c r="AR203" i="7"/>
  <c r="AS203" i="7"/>
  <c r="AT203" i="7"/>
  <c r="AU203" i="7"/>
  <c r="AV203" i="7"/>
  <c r="AW203" i="7"/>
  <c r="AX203" i="7"/>
  <c r="AY203" i="7"/>
  <c r="AZ203" i="7"/>
  <c r="BA203" i="7"/>
  <c r="BB203" i="7"/>
  <c r="BC203" i="7"/>
  <c r="BD203" i="7"/>
  <c r="BE203" i="7"/>
  <c r="BF203" i="7"/>
  <c r="BG203" i="7"/>
  <c r="BH203" i="7"/>
  <c r="BI203" i="7"/>
  <c r="BJ203" i="7"/>
  <c r="BK203" i="7"/>
  <c r="BL203" i="7"/>
  <c r="BM203" i="7"/>
  <c r="BN203" i="7"/>
  <c r="BO203" i="7"/>
  <c r="BP203" i="7"/>
  <c r="BQ203" i="7"/>
  <c r="BR203" i="7"/>
  <c r="BS203" i="7"/>
  <c r="BT203" i="7"/>
  <c r="BU203" i="7"/>
  <c r="BV203" i="7"/>
  <c r="BW203" i="7"/>
  <c r="BX203" i="7"/>
  <c r="BY203" i="7"/>
  <c r="BZ203" i="7"/>
  <c r="CA203" i="7"/>
  <c r="CB203" i="7"/>
  <c r="CC203" i="7"/>
  <c r="CD203" i="7"/>
  <c r="CE203" i="7"/>
  <c r="CF203" i="7"/>
  <c r="CG203" i="7"/>
  <c r="CH203" i="7"/>
  <c r="CI203" i="7"/>
  <c r="CJ203" i="7"/>
  <c r="CK203" i="7"/>
  <c r="CL203" i="7"/>
  <c r="CM203" i="7"/>
  <c r="CN203" i="7"/>
  <c r="CO203" i="7"/>
  <c r="CP203" i="7"/>
  <c r="CQ203" i="7"/>
  <c r="CR203" i="7"/>
  <c r="CS203" i="7"/>
  <c r="CT203" i="7"/>
  <c r="CU203" i="7"/>
  <c r="CV203" i="7"/>
  <c r="CW203" i="7"/>
  <c r="CX203" i="7"/>
  <c r="CY203" i="7"/>
  <c r="CZ203" i="7"/>
  <c r="DA203" i="7"/>
  <c r="DB203" i="7"/>
  <c r="DC203" i="7"/>
  <c r="DD203" i="7"/>
  <c r="DE203" i="7"/>
  <c r="DF203" i="7"/>
  <c r="DG203" i="7"/>
  <c r="DH203" i="7"/>
  <c r="DI203" i="7"/>
  <c r="DJ203" i="7"/>
  <c r="DK203" i="7"/>
  <c r="DL203" i="7"/>
  <c r="DM203" i="7"/>
  <c r="DN203" i="7"/>
  <c r="DO203" i="7"/>
  <c r="DP203" i="7"/>
  <c r="DQ203" i="7"/>
  <c r="DR203" i="7"/>
  <c r="DS203" i="7"/>
  <c r="DT203" i="7"/>
  <c r="DU203" i="7"/>
  <c r="DV203" i="7"/>
  <c r="DW203" i="7"/>
  <c r="DX203" i="7"/>
  <c r="DY203" i="7"/>
  <c r="DZ203" i="7"/>
  <c r="EA203" i="7"/>
  <c r="EB203" i="7"/>
  <c r="EC203" i="7"/>
  <c r="ED203" i="7"/>
  <c r="EE203" i="7"/>
  <c r="EF203" i="7"/>
  <c r="EG203" i="7"/>
  <c r="EH203" i="7"/>
  <c r="EI203" i="7"/>
  <c r="EJ203" i="7"/>
  <c r="EK203" i="7"/>
  <c r="EL203" i="7"/>
  <c r="EM203" i="7"/>
  <c r="EN203" i="7"/>
  <c r="EO203" i="7"/>
  <c r="EP203" i="7"/>
  <c r="EQ203" i="7"/>
  <c r="ER203" i="7"/>
  <c r="ES203" i="7"/>
  <c r="ET203" i="7"/>
  <c r="EU203" i="7"/>
  <c r="EV203" i="7"/>
  <c r="EW203" i="7"/>
  <c r="EX203" i="7"/>
  <c r="EY203" i="7"/>
  <c r="EZ203" i="7"/>
  <c r="FA203" i="7"/>
  <c r="FB203" i="7"/>
  <c r="FC203" i="7"/>
  <c r="FD203" i="7"/>
  <c r="FE203" i="7"/>
  <c r="FF203" i="7"/>
  <c r="FG203" i="7"/>
  <c r="FH203" i="7"/>
  <c r="FI203" i="7"/>
  <c r="FJ203" i="7"/>
  <c r="FK203" i="7"/>
  <c r="FL203" i="7"/>
  <c r="FM203" i="7"/>
  <c r="FN203" i="7"/>
  <c r="FO203" i="7"/>
  <c r="FP203" i="7"/>
  <c r="FQ203" i="7"/>
  <c r="FR203" i="7"/>
  <c r="FS203" i="7"/>
  <c r="FT203" i="7"/>
  <c r="FU203" i="7"/>
  <c r="FV203" i="7"/>
  <c r="FW203" i="7"/>
  <c r="FX203" i="7"/>
  <c r="FY203" i="7"/>
  <c r="FZ203" i="7"/>
  <c r="GA203" i="7"/>
  <c r="GB203" i="7"/>
  <c r="GC203" i="7"/>
  <c r="GD203" i="7"/>
  <c r="GE203" i="7"/>
  <c r="GF203" i="7"/>
  <c r="GG203" i="7"/>
  <c r="GH203" i="7"/>
  <c r="GI203" i="7"/>
  <c r="GJ203" i="7"/>
  <c r="GK203" i="7"/>
  <c r="GL203" i="7"/>
  <c r="GM203" i="7"/>
  <c r="GN203" i="7"/>
  <c r="GO203" i="7"/>
  <c r="GP203" i="7"/>
  <c r="GQ203" i="7"/>
  <c r="GR203" i="7"/>
  <c r="GS203" i="7"/>
  <c r="GT203" i="7"/>
  <c r="GU203" i="7"/>
  <c r="GV203" i="7"/>
  <c r="GW203" i="7"/>
  <c r="GX203" i="7"/>
  <c r="GY203" i="7"/>
  <c r="GZ203" i="7"/>
  <c r="HA203" i="7"/>
  <c r="HB203" i="7"/>
  <c r="HC203" i="7"/>
  <c r="HD203" i="7"/>
  <c r="HE203" i="7"/>
  <c r="HF203" i="7"/>
  <c r="HG203" i="7"/>
  <c r="HH203" i="7"/>
  <c r="HI203" i="7"/>
  <c r="HJ203" i="7"/>
  <c r="HK203" i="7"/>
  <c r="HL203" i="7"/>
  <c r="HM203" i="7"/>
  <c r="HN203" i="7"/>
  <c r="HO203" i="7"/>
  <c r="HP203" i="7"/>
  <c r="HQ203" i="7"/>
  <c r="HR203" i="7"/>
  <c r="HS203" i="7"/>
  <c r="HT203" i="7"/>
  <c r="HU203" i="7"/>
  <c r="HV203" i="7"/>
  <c r="HW203" i="7"/>
  <c r="HX203" i="7"/>
  <c r="HY203" i="7"/>
  <c r="HZ203" i="7"/>
  <c r="IA203" i="7"/>
  <c r="IB203" i="7"/>
  <c r="IC203" i="7"/>
  <c r="ID203" i="7"/>
  <c r="IE203" i="7"/>
  <c r="IF203" i="7"/>
  <c r="IG203" i="7"/>
  <c r="IH203" i="7"/>
  <c r="II203" i="7"/>
  <c r="IJ203" i="7"/>
  <c r="IK203" i="7"/>
  <c r="IL203" i="7"/>
  <c r="IM203" i="7"/>
  <c r="IN203" i="7"/>
  <c r="IO203" i="7"/>
  <c r="IP203" i="7"/>
  <c r="IQ203" i="7"/>
  <c r="IR203" i="7"/>
  <c r="IS203" i="7"/>
  <c r="IT203" i="7"/>
  <c r="IU203" i="7"/>
  <c r="IV203" i="7"/>
  <c r="A202" i="7"/>
  <c r="B202" i="7"/>
  <c r="C202" i="7"/>
  <c r="D202" i="7"/>
  <c r="E202" i="7"/>
  <c r="F202" i="7"/>
  <c r="G202" i="7"/>
  <c r="H202" i="7"/>
  <c r="I202" i="7"/>
  <c r="J202" i="7"/>
  <c r="K202" i="7"/>
  <c r="L202" i="7"/>
  <c r="M202" i="7"/>
  <c r="N202" i="7"/>
  <c r="O202" i="7"/>
  <c r="P202" i="7"/>
  <c r="Q202" i="7"/>
  <c r="R202" i="7"/>
  <c r="S202" i="7"/>
  <c r="T202" i="7"/>
  <c r="U202" i="7"/>
  <c r="V202" i="7"/>
  <c r="W202" i="7"/>
  <c r="X202" i="7"/>
  <c r="Y202" i="7"/>
  <c r="Z202" i="7"/>
  <c r="AA202" i="7"/>
  <c r="AB202" i="7"/>
  <c r="AC202" i="7"/>
  <c r="AD202" i="7"/>
  <c r="AE202" i="7"/>
  <c r="AF202" i="7"/>
  <c r="AG202" i="7"/>
  <c r="AH202" i="7"/>
  <c r="AI202" i="7"/>
  <c r="AJ202" i="7"/>
  <c r="AK202" i="7"/>
  <c r="AL202" i="7"/>
  <c r="AM202" i="7"/>
  <c r="AN202" i="7"/>
  <c r="AO202" i="7"/>
  <c r="AP202" i="7"/>
  <c r="AQ202" i="7"/>
  <c r="AR202" i="7"/>
  <c r="AS202" i="7"/>
  <c r="AT202" i="7"/>
  <c r="AU202" i="7"/>
  <c r="AV202" i="7"/>
  <c r="AW202" i="7"/>
  <c r="AX202" i="7"/>
  <c r="AY202" i="7"/>
  <c r="AZ202" i="7"/>
  <c r="BA202" i="7"/>
  <c r="BB202" i="7"/>
  <c r="BC202" i="7"/>
  <c r="BD202" i="7"/>
  <c r="BE202" i="7"/>
  <c r="BF202" i="7"/>
  <c r="BG202" i="7"/>
  <c r="BH202" i="7"/>
  <c r="BI202" i="7"/>
  <c r="BJ202" i="7"/>
  <c r="BK202" i="7"/>
  <c r="BL202" i="7"/>
  <c r="BM202" i="7"/>
  <c r="BN202" i="7"/>
  <c r="BO202" i="7"/>
  <c r="BP202" i="7"/>
  <c r="BQ202" i="7"/>
  <c r="BR202" i="7"/>
  <c r="BS202" i="7"/>
  <c r="BT202" i="7"/>
  <c r="BU202" i="7"/>
  <c r="BV202" i="7"/>
  <c r="BW202" i="7"/>
  <c r="BX202" i="7"/>
  <c r="BY202" i="7"/>
  <c r="BZ202" i="7"/>
  <c r="CA202" i="7"/>
  <c r="CB202" i="7"/>
  <c r="CC202" i="7"/>
  <c r="CD202" i="7"/>
  <c r="CE202" i="7"/>
  <c r="CF202" i="7"/>
  <c r="CG202" i="7"/>
  <c r="CH202" i="7"/>
  <c r="CI202" i="7"/>
  <c r="CJ202" i="7"/>
  <c r="CK202" i="7"/>
  <c r="CL202" i="7"/>
  <c r="CM202" i="7"/>
  <c r="CN202" i="7"/>
  <c r="CO202" i="7"/>
  <c r="CP202" i="7"/>
  <c r="CQ202" i="7"/>
  <c r="CR202" i="7"/>
  <c r="CS202" i="7"/>
  <c r="CT202" i="7"/>
  <c r="CU202" i="7"/>
  <c r="CV202" i="7"/>
  <c r="CW202" i="7"/>
  <c r="CX202" i="7"/>
  <c r="CY202" i="7"/>
  <c r="CZ202" i="7"/>
  <c r="DA202" i="7"/>
  <c r="DB202" i="7"/>
  <c r="DC202" i="7"/>
  <c r="DD202" i="7"/>
  <c r="DE202" i="7"/>
  <c r="DF202" i="7"/>
  <c r="DG202" i="7"/>
  <c r="DH202" i="7"/>
  <c r="DI202" i="7"/>
  <c r="DJ202" i="7"/>
  <c r="DK202" i="7"/>
  <c r="DL202" i="7"/>
  <c r="DM202" i="7"/>
  <c r="DN202" i="7"/>
  <c r="DO202" i="7"/>
  <c r="DP202" i="7"/>
  <c r="DQ202" i="7"/>
  <c r="DR202" i="7"/>
  <c r="DS202" i="7"/>
  <c r="DT202" i="7"/>
  <c r="DU202" i="7"/>
  <c r="DV202" i="7"/>
  <c r="DW202" i="7"/>
  <c r="DX202" i="7"/>
  <c r="DY202" i="7"/>
  <c r="DZ202" i="7"/>
  <c r="EA202" i="7"/>
  <c r="EB202" i="7"/>
  <c r="EC202" i="7"/>
  <c r="ED202" i="7"/>
  <c r="EE202" i="7"/>
  <c r="EF202" i="7"/>
  <c r="EG202" i="7"/>
  <c r="EH202" i="7"/>
  <c r="EI202" i="7"/>
  <c r="EJ202" i="7"/>
  <c r="EK202" i="7"/>
  <c r="EL202" i="7"/>
  <c r="EM202" i="7"/>
  <c r="EN202" i="7"/>
  <c r="EO202" i="7"/>
  <c r="EP202" i="7"/>
  <c r="EQ202" i="7"/>
  <c r="ER202" i="7"/>
  <c r="ES202" i="7"/>
  <c r="ET202" i="7"/>
  <c r="EU202" i="7"/>
  <c r="EV202" i="7"/>
  <c r="EW202" i="7"/>
  <c r="EX202" i="7"/>
  <c r="EY202" i="7"/>
  <c r="EZ202" i="7"/>
  <c r="FA202" i="7"/>
  <c r="FB202" i="7"/>
  <c r="FC202" i="7"/>
  <c r="FD202" i="7"/>
  <c r="FE202" i="7"/>
  <c r="FF202" i="7"/>
  <c r="FG202" i="7"/>
  <c r="FH202" i="7"/>
  <c r="FI202" i="7"/>
  <c r="FJ202" i="7"/>
  <c r="FK202" i="7"/>
  <c r="FL202" i="7"/>
  <c r="FM202" i="7"/>
  <c r="FN202" i="7"/>
  <c r="FO202" i="7"/>
  <c r="FP202" i="7"/>
  <c r="FQ202" i="7"/>
  <c r="FR202" i="7"/>
  <c r="FS202" i="7"/>
  <c r="FT202" i="7"/>
  <c r="FU202" i="7"/>
  <c r="FV202" i="7"/>
  <c r="FW202" i="7"/>
  <c r="FX202" i="7"/>
  <c r="FY202" i="7"/>
  <c r="FZ202" i="7"/>
  <c r="GA202" i="7"/>
  <c r="GB202" i="7"/>
  <c r="GC202" i="7"/>
  <c r="GD202" i="7"/>
  <c r="GE202" i="7"/>
  <c r="GF202" i="7"/>
  <c r="GG202" i="7"/>
  <c r="GH202" i="7"/>
  <c r="GI202" i="7"/>
  <c r="GJ202" i="7"/>
  <c r="GK202" i="7"/>
  <c r="GL202" i="7"/>
  <c r="GM202" i="7"/>
  <c r="GN202" i="7"/>
  <c r="GO202" i="7"/>
  <c r="GP202" i="7"/>
  <c r="GQ202" i="7"/>
  <c r="GR202" i="7"/>
  <c r="GS202" i="7"/>
  <c r="GT202" i="7"/>
  <c r="GU202" i="7"/>
  <c r="GV202" i="7"/>
  <c r="GW202" i="7"/>
  <c r="GX202" i="7"/>
  <c r="GY202" i="7"/>
  <c r="GZ202" i="7"/>
  <c r="HA202" i="7"/>
  <c r="HB202" i="7"/>
  <c r="HC202" i="7"/>
  <c r="HD202" i="7"/>
  <c r="HE202" i="7"/>
  <c r="HF202" i="7"/>
  <c r="HG202" i="7"/>
  <c r="HH202" i="7"/>
  <c r="HI202" i="7"/>
  <c r="HJ202" i="7"/>
  <c r="HK202" i="7"/>
  <c r="HL202" i="7"/>
  <c r="HM202" i="7"/>
  <c r="HN202" i="7"/>
  <c r="HO202" i="7"/>
  <c r="HP202" i="7"/>
  <c r="HQ202" i="7"/>
  <c r="HR202" i="7"/>
  <c r="HS202" i="7"/>
  <c r="HT202" i="7"/>
  <c r="HU202" i="7"/>
  <c r="HV202" i="7"/>
  <c r="HW202" i="7"/>
  <c r="HX202" i="7"/>
  <c r="HY202" i="7"/>
  <c r="HZ202" i="7"/>
  <c r="IA202" i="7"/>
  <c r="IB202" i="7"/>
  <c r="IC202" i="7"/>
  <c r="ID202" i="7"/>
  <c r="IE202" i="7"/>
  <c r="IF202" i="7"/>
  <c r="IG202" i="7"/>
  <c r="IH202" i="7"/>
  <c r="II202" i="7"/>
  <c r="IJ202" i="7"/>
  <c r="IK202" i="7"/>
  <c r="IL202" i="7"/>
  <c r="IM202" i="7"/>
  <c r="IN202" i="7"/>
  <c r="IO202" i="7"/>
  <c r="IP202" i="7"/>
  <c r="IQ202" i="7"/>
  <c r="IR202" i="7"/>
  <c r="IS202" i="7"/>
  <c r="IT202" i="7"/>
  <c r="IU202" i="7"/>
  <c r="IV202" i="7"/>
  <c r="A201" i="7"/>
  <c r="B201" i="7"/>
  <c r="C201" i="7"/>
  <c r="D201" i="7"/>
  <c r="E201" i="7"/>
  <c r="F201" i="7"/>
  <c r="G201" i="7"/>
  <c r="H201" i="7"/>
  <c r="I201" i="7"/>
  <c r="J201" i="7"/>
  <c r="K201" i="7"/>
  <c r="L201" i="7"/>
  <c r="M201" i="7"/>
  <c r="N201" i="7"/>
  <c r="O201" i="7"/>
  <c r="P201" i="7"/>
  <c r="Q201" i="7"/>
  <c r="R201" i="7"/>
  <c r="S201" i="7"/>
  <c r="T201" i="7"/>
  <c r="U201" i="7"/>
  <c r="V201" i="7"/>
  <c r="W201" i="7"/>
  <c r="X201" i="7"/>
  <c r="Y201" i="7"/>
  <c r="Z201" i="7"/>
  <c r="AA201" i="7"/>
  <c r="AB201" i="7"/>
  <c r="AC201" i="7"/>
  <c r="AD201" i="7"/>
  <c r="AE201" i="7"/>
  <c r="AF201" i="7"/>
  <c r="AG201" i="7"/>
  <c r="AH201" i="7"/>
  <c r="AI201" i="7"/>
  <c r="AJ201" i="7"/>
  <c r="AK201" i="7"/>
  <c r="AL201" i="7"/>
  <c r="AM201" i="7"/>
  <c r="AN201" i="7"/>
  <c r="AO201" i="7"/>
  <c r="AP201" i="7"/>
  <c r="AQ201" i="7"/>
  <c r="AR201" i="7"/>
  <c r="AS201" i="7"/>
  <c r="AT201" i="7"/>
  <c r="AU201" i="7"/>
  <c r="AV201" i="7"/>
  <c r="AW201" i="7"/>
  <c r="AX201" i="7"/>
  <c r="AY201" i="7"/>
  <c r="AZ201" i="7"/>
  <c r="BA201" i="7"/>
  <c r="BB201" i="7"/>
  <c r="BC201" i="7"/>
  <c r="BD201" i="7"/>
  <c r="BE201" i="7"/>
  <c r="BF201" i="7"/>
  <c r="BG201" i="7"/>
  <c r="BH201" i="7"/>
  <c r="BI201" i="7"/>
  <c r="BJ201" i="7"/>
  <c r="BK201" i="7"/>
  <c r="BL201" i="7"/>
  <c r="BM201" i="7"/>
  <c r="BN201" i="7"/>
  <c r="BO201" i="7"/>
  <c r="BP201" i="7"/>
  <c r="BQ201" i="7"/>
  <c r="BR201" i="7"/>
  <c r="BS201" i="7"/>
  <c r="BT201" i="7"/>
  <c r="BU201" i="7"/>
  <c r="BV201" i="7"/>
  <c r="BW201" i="7"/>
  <c r="BX201" i="7"/>
  <c r="BY201" i="7"/>
  <c r="BZ201" i="7"/>
  <c r="CA201" i="7"/>
  <c r="CB201" i="7"/>
  <c r="CC201" i="7"/>
  <c r="CD201" i="7"/>
  <c r="CE201" i="7"/>
  <c r="CF201" i="7"/>
  <c r="CG201" i="7"/>
  <c r="CH201" i="7"/>
  <c r="CI201" i="7"/>
  <c r="CJ201" i="7"/>
  <c r="CK201" i="7"/>
  <c r="CL201" i="7"/>
  <c r="CM201" i="7"/>
  <c r="CN201" i="7"/>
  <c r="CO201" i="7"/>
  <c r="CP201" i="7"/>
  <c r="CQ201" i="7"/>
  <c r="CR201" i="7"/>
  <c r="CS201" i="7"/>
  <c r="CT201" i="7"/>
  <c r="CU201" i="7"/>
  <c r="CV201" i="7"/>
  <c r="CW201" i="7"/>
  <c r="CX201" i="7"/>
  <c r="CY201" i="7"/>
  <c r="CZ201" i="7"/>
  <c r="DA201" i="7"/>
  <c r="DB201" i="7"/>
  <c r="DC201" i="7"/>
  <c r="DD201" i="7"/>
  <c r="DE201" i="7"/>
  <c r="DF201" i="7"/>
  <c r="DG201" i="7"/>
  <c r="DH201" i="7"/>
  <c r="DI201" i="7"/>
  <c r="DJ201" i="7"/>
  <c r="DK201" i="7"/>
  <c r="DL201" i="7"/>
  <c r="DM201" i="7"/>
  <c r="DN201" i="7"/>
  <c r="DO201" i="7"/>
  <c r="DP201" i="7"/>
  <c r="DQ201" i="7"/>
  <c r="DR201" i="7"/>
  <c r="DS201" i="7"/>
  <c r="DT201" i="7"/>
  <c r="DU201" i="7"/>
  <c r="DV201" i="7"/>
  <c r="DW201" i="7"/>
  <c r="DX201" i="7"/>
  <c r="DY201" i="7"/>
  <c r="DZ201" i="7"/>
  <c r="EA201" i="7"/>
  <c r="EB201" i="7"/>
  <c r="EC201" i="7"/>
  <c r="ED201" i="7"/>
  <c r="EE201" i="7"/>
  <c r="EF201" i="7"/>
  <c r="EG201" i="7"/>
  <c r="EH201" i="7"/>
  <c r="EI201" i="7"/>
  <c r="EJ201" i="7"/>
  <c r="EK201" i="7"/>
  <c r="EL201" i="7"/>
  <c r="EM201" i="7"/>
  <c r="EN201" i="7"/>
  <c r="EO201" i="7"/>
  <c r="EP201" i="7"/>
  <c r="EQ201" i="7"/>
  <c r="ER201" i="7"/>
  <c r="ES201" i="7"/>
  <c r="ET201" i="7"/>
  <c r="EU201" i="7"/>
  <c r="EV201" i="7"/>
  <c r="EW201" i="7"/>
  <c r="EX201" i="7"/>
  <c r="EY201" i="7"/>
  <c r="EZ201" i="7"/>
  <c r="FA201" i="7"/>
  <c r="FB201" i="7"/>
  <c r="FC201" i="7"/>
  <c r="FD201" i="7"/>
  <c r="FE201" i="7"/>
  <c r="FF201" i="7"/>
  <c r="FG201" i="7"/>
  <c r="FH201" i="7"/>
  <c r="FI201" i="7"/>
  <c r="FJ201" i="7"/>
  <c r="FK201" i="7"/>
  <c r="FL201" i="7"/>
  <c r="FM201" i="7"/>
  <c r="FN201" i="7"/>
  <c r="FO201" i="7"/>
  <c r="FP201" i="7"/>
  <c r="FQ201" i="7"/>
  <c r="FR201" i="7"/>
  <c r="FS201" i="7"/>
  <c r="FT201" i="7"/>
  <c r="FU201" i="7"/>
  <c r="FV201" i="7"/>
  <c r="FW201" i="7"/>
  <c r="FX201" i="7"/>
  <c r="FY201" i="7"/>
  <c r="FZ201" i="7"/>
  <c r="GA201" i="7"/>
  <c r="GB201" i="7"/>
  <c r="GC201" i="7"/>
  <c r="GD201" i="7"/>
  <c r="GE201" i="7"/>
  <c r="GF201" i="7"/>
  <c r="GG201" i="7"/>
  <c r="GH201" i="7"/>
  <c r="GI201" i="7"/>
  <c r="GJ201" i="7"/>
  <c r="GK201" i="7"/>
  <c r="GL201" i="7"/>
  <c r="GM201" i="7"/>
  <c r="GN201" i="7"/>
  <c r="GO201" i="7"/>
  <c r="GP201" i="7"/>
  <c r="GQ201" i="7"/>
  <c r="GR201" i="7"/>
  <c r="GS201" i="7"/>
  <c r="GT201" i="7"/>
  <c r="GU201" i="7"/>
  <c r="GV201" i="7"/>
  <c r="GW201" i="7"/>
  <c r="GX201" i="7"/>
  <c r="GY201" i="7"/>
  <c r="GZ201" i="7"/>
  <c r="HA201" i="7"/>
  <c r="HB201" i="7"/>
  <c r="HC201" i="7"/>
  <c r="HD201" i="7"/>
  <c r="HE201" i="7"/>
  <c r="HF201" i="7"/>
  <c r="HG201" i="7"/>
  <c r="HH201" i="7"/>
  <c r="HI201" i="7"/>
  <c r="HJ201" i="7"/>
  <c r="HK201" i="7"/>
  <c r="HL201" i="7"/>
  <c r="HM201" i="7"/>
  <c r="HN201" i="7"/>
  <c r="HO201" i="7"/>
  <c r="HP201" i="7"/>
  <c r="HQ201" i="7"/>
  <c r="HR201" i="7"/>
  <c r="HS201" i="7"/>
  <c r="HT201" i="7"/>
  <c r="HU201" i="7"/>
  <c r="HV201" i="7"/>
  <c r="HW201" i="7"/>
  <c r="HX201" i="7"/>
  <c r="HY201" i="7"/>
  <c r="HZ201" i="7"/>
  <c r="IA201" i="7"/>
  <c r="IB201" i="7"/>
  <c r="IC201" i="7"/>
  <c r="ID201" i="7"/>
  <c r="IE201" i="7"/>
  <c r="IF201" i="7"/>
  <c r="IG201" i="7"/>
  <c r="IH201" i="7"/>
  <c r="II201" i="7"/>
  <c r="IJ201" i="7"/>
  <c r="IK201" i="7"/>
  <c r="IL201" i="7"/>
  <c r="IM201" i="7"/>
  <c r="IN201" i="7"/>
  <c r="IO201" i="7"/>
  <c r="IP201" i="7"/>
  <c r="IQ201" i="7"/>
  <c r="IR201" i="7"/>
  <c r="IS201" i="7"/>
  <c r="IT201" i="7"/>
  <c r="IU201" i="7"/>
  <c r="IV201" i="7"/>
  <c r="A200" i="7"/>
  <c r="B200" i="7"/>
  <c r="C200" i="7"/>
  <c r="D200" i="7"/>
  <c r="E200" i="7"/>
  <c r="F200" i="7"/>
  <c r="G200" i="7"/>
  <c r="H200" i="7"/>
  <c r="I200" i="7"/>
  <c r="J200" i="7"/>
  <c r="K200" i="7"/>
  <c r="L200" i="7"/>
  <c r="M200" i="7"/>
  <c r="N200" i="7"/>
  <c r="O200" i="7"/>
  <c r="P200" i="7"/>
  <c r="Q200" i="7"/>
  <c r="R200" i="7"/>
  <c r="S200" i="7"/>
  <c r="T200" i="7"/>
  <c r="U200" i="7"/>
  <c r="V200" i="7"/>
  <c r="W200" i="7"/>
  <c r="X200" i="7"/>
  <c r="Y200" i="7"/>
  <c r="Z200" i="7"/>
  <c r="AA200" i="7"/>
  <c r="AB200" i="7"/>
  <c r="AC200" i="7"/>
  <c r="AD200" i="7"/>
  <c r="AE200" i="7"/>
  <c r="AF200" i="7"/>
  <c r="AG200" i="7"/>
  <c r="AH200" i="7"/>
  <c r="AI200" i="7"/>
  <c r="AJ200" i="7"/>
  <c r="AK200" i="7"/>
  <c r="AL200" i="7"/>
  <c r="AM200" i="7"/>
  <c r="AN200" i="7"/>
  <c r="AO200" i="7"/>
  <c r="AP200" i="7"/>
  <c r="AQ200" i="7"/>
  <c r="AR200" i="7"/>
  <c r="AS200" i="7"/>
  <c r="AT200" i="7"/>
  <c r="AU200" i="7"/>
  <c r="AV200" i="7"/>
  <c r="AW200" i="7"/>
  <c r="AX200" i="7"/>
  <c r="AY200" i="7"/>
  <c r="AZ200" i="7"/>
  <c r="BA200" i="7"/>
  <c r="BB200" i="7"/>
  <c r="BC200" i="7"/>
  <c r="BD200" i="7"/>
  <c r="BE200" i="7"/>
  <c r="BF200" i="7"/>
  <c r="BG200" i="7"/>
  <c r="BH200" i="7"/>
  <c r="BI200" i="7"/>
  <c r="BJ200" i="7"/>
  <c r="BK200" i="7"/>
  <c r="BL200" i="7"/>
  <c r="BM200" i="7"/>
  <c r="BN200" i="7"/>
  <c r="BO200" i="7"/>
  <c r="BP200" i="7"/>
  <c r="BQ200" i="7"/>
  <c r="BR200" i="7"/>
  <c r="BS200" i="7"/>
  <c r="BT200" i="7"/>
  <c r="BU200" i="7"/>
  <c r="BV200" i="7"/>
  <c r="BW200" i="7"/>
  <c r="BX200" i="7"/>
  <c r="BY200" i="7"/>
  <c r="BZ200" i="7"/>
  <c r="CA200" i="7"/>
  <c r="CB200" i="7"/>
  <c r="CC200" i="7"/>
  <c r="CD200" i="7"/>
  <c r="CE200" i="7"/>
  <c r="CF200" i="7"/>
  <c r="CG200" i="7"/>
  <c r="CH200" i="7"/>
  <c r="CI200" i="7"/>
  <c r="CJ200" i="7"/>
  <c r="CK200" i="7"/>
  <c r="CL200" i="7"/>
  <c r="CM200" i="7"/>
  <c r="CN200" i="7"/>
  <c r="CO200" i="7"/>
  <c r="CP200" i="7"/>
  <c r="CQ200" i="7"/>
  <c r="CR200" i="7"/>
  <c r="CS200" i="7"/>
  <c r="CT200" i="7"/>
  <c r="CU200" i="7"/>
  <c r="CV200" i="7"/>
  <c r="CW200" i="7"/>
  <c r="CX200" i="7"/>
  <c r="CY200" i="7"/>
  <c r="CZ200" i="7"/>
  <c r="DA200" i="7"/>
  <c r="DB200" i="7"/>
  <c r="DC200" i="7"/>
  <c r="DD200" i="7"/>
  <c r="DE200" i="7"/>
  <c r="DF200" i="7"/>
  <c r="DG200" i="7"/>
  <c r="DH200" i="7"/>
  <c r="DI200" i="7"/>
  <c r="DJ200" i="7"/>
  <c r="DK200" i="7"/>
  <c r="DL200" i="7"/>
  <c r="DM200" i="7"/>
  <c r="DN200" i="7"/>
  <c r="DO200" i="7"/>
  <c r="DP200" i="7"/>
  <c r="DQ200" i="7"/>
  <c r="DR200" i="7"/>
  <c r="DS200" i="7"/>
  <c r="DT200" i="7"/>
  <c r="DU200" i="7"/>
  <c r="DV200" i="7"/>
  <c r="DW200" i="7"/>
  <c r="DX200" i="7"/>
  <c r="DY200" i="7"/>
  <c r="DZ200" i="7"/>
  <c r="EA200" i="7"/>
  <c r="EB200" i="7"/>
  <c r="EC200" i="7"/>
  <c r="ED200" i="7"/>
  <c r="EE200" i="7"/>
  <c r="EF200" i="7"/>
  <c r="EG200" i="7"/>
  <c r="EH200" i="7"/>
  <c r="EI200" i="7"/>
  <c r="EJ200" i="7"/>
  <c r="EK200" i="7"/>
  <c r="EL200" i="7"/>
  <c r="EM200" i="7"/>
  <c r="EN200" i="7"/>
  <c r="EO200" i="7"/>
  <c r="EP200" i="7"/>
  <c r="EQ200" i="7"/>
  <c r="ER200" i="7"/>
  <c r="ES200" i="7"/>
  <c r="ET200" i="7"/>
  <c r="EU200" i="7"/>
  <c r="EV200" i="7"/>
  <c r="EW200" i="7"/>
  <c r="EX200" i="7"/>
  <c r="EY200" i="7"/>
  <c r="EZ200" i="7"/>
  <c r="FA200" i="7"/>
  <c r="FB200" i="7"/>
  <c r="FC200" i="7"/>
  <c r="FD200" i="7"/>
  <c r="FE200" i="7"/>
  <c r="FF200" i="7"/>
  <c r="FG200" i="7"/>
  <c r="FH200" i="7"/>
  <c r="FI200" i="7"/>
  <c r="FJ200" i="7"/>
  <c r="FK200" i="7"/>
  <c r="FL200" i="7"/>
  <c r="FM200" i="7"/>
  <c r="FN200" i="7"/>
  <c r="FO200" i="7"/>
  <c r="FP200" i="7"/>
  <c r="FQ200" i="7"/>
  <c r="FR200" i="7"/>
  <c r="FS200" i="7"/>
  <c r="FT200" i="7"/>
  <c r="FU200" i="7"/>
  <c r="FV200" i="7"/>
  <c r="FW200" i="7"/>
  <c r="FX200" i="7"/>
  <c r="FY200" i="7"/>
  <c r="FZ200" i="7"/>
  <c r="GA200" i="7"/>
  <c r="GB200" i="7"/>
  <c r="GC200" i="7"/>
  <c r="GD200" i="7"/>
  <c r="GE200" i="7"/>
  <c r="GF200" i="7"/>
  <c r="GG200" i="7"/>
  <c r="GH200" i="7"/>
  <c r="GI200" i="7"/>
  <c r="GJ200" i="7"/>
  <c r="GK200" i="7"/>
  <c r="GL200" i="7"/>
  <c r="GM200" i="7"/>
  <c r="GN200" i="7"/>
  <c r="GO200" i="7"/>
  <c r="GP200" i="7"/>
  <c r="GQ200" i="7"/>
  <c r="GR200" i="7"/>
  <c r="GS200" i="7"/>
  <c r="GT200" i="7"/>
  <c r="GU200" i="7"/>
  <c r="GV200" i="7"/>
  <c r="GW200" i="7"/>
  <c r="GX200" i="7"/>
  <c r="GY200" i="7"/>
  <c r="GZ200" i="7"/>
  <c r="HA200" i="7"/>
  <c r="HB200" i="7"/>
  <c r="HC200" i="7"/>
  <c r="HD200" i="7"/>
  <c r="HE200" i="7"/>
  <c r="HF200" i="7"/>
  <c r="HG200" i="7"/>
  <c r="HH200" i="7"/>
  <c r="HI200" i="7"/>
  <c r="HJ200" i="7"/>
  <c r="HK200" i="7"/>
  <c r="HL200" i="7"/>
  <c r="HM200" i="7"/>
  <c r="HN200" i="7"/>
  <c r="HO200" i="7"/>
  <c r="HP200" i="7"/>
  <c r="HQ200" i="7"/>
  <c r="HR200" i="7"/>
  <c r="HS200" i="7"/>
  <c r="HT200" i="7"/>
  <c r="HU200" i="7"/>
  <c r="HV200" i="7"/>
  <c r="HW200" i="7"/>
  <c r="HX200" i="7"/>
  <c r="HY200" i="7"/>
  <c r="HZ200" i="7"/>
  <c r="IA200" i="7"/>
  <c r="IB200" i="7"/>
  <c r="IC200" i="7"/>
  <c r="ID200" i="7"/>
  <c r="IE200" i="7"/>
  <c r="IF200" i="7"/>
  <c r="IG200" i="7"/>
  <c r="IH200" i="7"/>
  <c r="II200" i="7"/>
  <c r="IJ200" i="7"/>
  <c r="IK200" i="7"/>
  <c r="IL200" i="7"/>
  <c r="IM200" i="7"/>
  <c r="IN200" i="7"/>
  <c r="IO200" i="7"/>
  <c r="IP200" i="7"/>
  <c r="IQ200" i="7"/>
  <c r="IR200" i="7"/>
  <c r="IS200" i="7"/>
  <c r="IT200" i="7"/>
  <c r="IU200" i="7"/>
  <c r="IV200" i="7"/>
  <c r="A199" i="7"/>
  <c r="B199" i="7"/>
  <c r="C199" i="7"/>
  <c r="D199" i="7"/>
  <c r="E199" i="7"/>
  <c r="F199" i="7"/>
  <c r="G199" i="7"/>
  <c r="H199" i="7"/>
  <c r="I199" i="7"/>
  <c r="J199" i="7"/>
  <c r="K199" i="7"/>
  <c r="L199" i="7"/>
  <c r="M199" i="7"/>
  <c r="N199" i="7"/>
  <c r="O199" i="7"/>
  <c r="P199" i="7"/>
  <c r="Q199" i="7"/>
  <c r="R199" i="7"/>
  <c r="S199" i="7"/>
  <c r="T199" i="7"/>
  <c r="U199" i="7"/>
  <c r="V199" i="7"/>
  <c r="W199" i="7"/>
  <c r="X199" i="7"/>
  <c r="Y199" i="7"/>
  <c r="Z199" i="7"/>
  <c r="AA199" i="7"/>
  <c r="AB199" i="7"/>
  <c r="AC199" i="7"/>
  <c r="AD199" i="7"/>
  <c r="AE199" i="7"/>
  <c r="AF199" i="7"/>
  <c r="AG199" i="7"/>
  <c r="AH199" i="7"/>
  <c r="AI199" i="7"/>
  <c r="AJ199" i="7"/>
  <c r="AK199" i="7"/>
  <c r="AL199" i="7"/>
  <c r="AM199" i="7"/>
  <c r="AN199" i="7"/>
  <c r="AO199" i="7"/>
  <c r="AP199" i="7"/>
  <c r="AQ199" i="7"/>
  <c r="AR199" i="7"/>
  <c r="AS199" i="7"/>
  <c r="AT199" i="7"/>
  <c r="AU199" i="7"/>
  <c r="AV199" i="7"/>
  <c r="AW199" i="7"/>
  <c r="AX199" i="7"/>
  <c r="AY199" i="7"/>
  <c r="AZ199" i="7"/>
  <c r="BA199" i="7"/>
  <c r="BB199" i="7"/>
  <c r="BC199" i="7"/>
  <c r="BD199" i="7"/>
  <c r="BE199" i="7"/>
  <c r="BF199" i="7"/>
  <c r="BG199" i="7"/>
  <c r="BH199" i="7"/>
  <c r="BI199" i="7"/>
  <c r="BJ199" i="7"/>
  <c r="BK199" i="7"/>
  <c r="BL199" i="7"/>
  <c r="BM199" i="7"/>
  <c r="BN199" i="7"/>
  <c r="BO199" i="7"/>
  <c r="BP199" i="7"/>
  <c r="BQ199" i="7"/>
  <c r="BR199" i="7"/>
  <c r="BS199" i="7"/>
  <c r="BT199" i="7"/>
  <c r="BU199" i="7"/>
  <c r="BV199" i="7"/>
  <c r="BW199" i="7"/>
  <c r="BX199" i="7"/>
  <c r="BY199" i="7"/>
  <c r="BZ199" i="7"/>
  <c r="CA199" i="7"/>
  <c r="CB199" i="7"/>
  <c r="CC199" i="7"/>
  <c r="CD199" i="7"/>
  <c r="CE199" i="7"/>
  <c r="CF199" i="7"/>
  <c r="CG199" i="7"/>
  <c r="CH199" i="7"/>
  <c r="CI199" i="7"/>
  <c r="CJ199" i="7"/>
  <c r="CK199" i="7"/>
  <c r="CL199" i="7"/>
  <c r="CM199" i="7"/>
  <c r="CN199" i="7"/>
  <c r="CO199" i="7"/>
  <c r="CP199" i="7"/>
  <c r="CQ199" i="7"/>
  <c r="CR199" i="7"/>
  <c r="CS199" i="7"/>
  <c r="CT199" i="7"/>
  <c r="CU199" i="7"/>
  <c r="CV199" i="7"/>
  <c r="CW199" i="7"/>
  <c r="CX199" i="7"/>
  <c r="CY199" i="7"/>
  <c r="CZ199" i="7"/>
  <c r="DA199" i="7"/>
  <c r="DB199" i="7"/>
  <c r="DC199" i="7"/>
  <c r="DD199" i="7"/>
  <c r="DE199" i="7"/>
  <c r="DF199" i="7"/>
  <c r="DG199" i="7"/>
  <c r="DH199" i="7"/>
  <c r="DI199" i="7"/>
  <c r="DJ199" i="7"/>
  <c r="DK199" i="7"/>
  <c r="DL199" i="7"/>
  <c r="DM199" i="7"/>
  <c r="DN199" i="7"/>
  <c r="DO199" i="7"/>
  <c r="DP199" i="7"/>
  <c r="DQ199" i="7"/>
  <c r="DR199" i="7"/>
  <c r="DS199" i="7"/>
  <c r="DT199" i="7"/>
  <c r="DU199" i="7"/>
  <c r="DV199" i="7"/>
  <c r="DW199" i="7"/>
  <c r="DX199" i="7"/>
  <c r="DY199" i="7"/>
  <c r="DZ199" i="7"/>
  <c r="EA199" i="7"/>
  <c r="EB199" i="7"/>
  <c r="EC199" i="7"/>
  <c r="ED199" i="7"/>
  <c r="EE199" i="7"/>
  <c r="EF199" i="7"/>
  <c r="EG199" i="7"/>
  <c r="EH199" i="7"/>
  <c r="EI199" i="7"/>
  <c r="EJ199" i="7"/>
  <c r="EK199" i="7"/>
  <c r="EL199" i="7"/>
  <c r="EM199" i="7"/>
  <c r="EN199" i="7"/>
  <c r="EO199" i="7"/>
  <c r="EP199" i="7"/>
  <c r="EQ199" i="7"/>
  <c r="ER199" i="7"/>
  <c r="ES199" i="7"/>
  <c r="ET199" i="7"/>
  <c r="EU199" i="7"/>
  <c r="EV199" i="7"/>
  <c r="EW199" i="7"/>
  <c r="EX199" i="7"/>
  <c r="EY199" i="7"/>
  <c r="EZ199" i="7"/>
  <c r="FA199" i="7"/>
  <c r="FB199" i="7"/>
  <c r="FC199" i="7"/>
  <c r="FD199" i="7"/>
  <c r="FE199" i="7"/>
  <c r="FF199" i="7"/>
  <c r="FG199" i="7"/>
  <c r="FH199" i="7"/>
  <c r="FI199" i="7"/>
  <c r="FJ199" i="7"/>
  <c r="FK199" i="7"/>
  <c r="FL199" i="7"/>
  <c r="FM199" i="7"/>
  <c r="FN199" i="7"/>
  <c r="FO199" i="7"/>
  <c r="FP199" i="7"/>
  <c r="FQ199" i="7"/>
  <c r="FR199" i="7"/>
  <c r="FS199" i="7"/>
  <c r="FT199" i="7"/>
  <c r="FU199" i="7"/>
  <c r="FV199" i="7"/>
  <c r="FW199" i="7"/>
  <c r="FX199" i="7"/>
  <c r="FY199" i="7"/>
  <c r="FZ199" i="7"/>
  <c r="GA199" i="7"/>
  <c r="GB199" i="7"/>
  <c r="GC199" i="7"/>
  <c r="GD199" i="7"/>
  <c r="GE199" i="7"/>
  <c r="GF199" i="7"/>
  <c r="GG199" i="7"/>
  <c r="GH199" i="7"/>
  <c r="GI199" i="7"/>
  <c r="GJ199" i="7"/>
  <c r="GK199" i="7"/>
  <c r="GL199" i="7"/>
  <c r="GM199" i="7"/>
  <c r="GN199" i="7"/>
  <c r="GO199" i="7"/>
  <c r="GP199" i="7"/>
  <c r="GQ199" i="7"/>
  <c r="GR199" i="7"/>
  <c r="GS199" i="7"/>
  <c r="GT199" i="7"/>
  <c r="GU199" i="7"/>
  <c r="GV199" i="7"/>
  <c r="GW199" i="7"/>
  <c r="GX199" i="7"/>
  <c r="GY199" i="7"/>
  <c r="GZ199" i="7"/>
  <c r="HA199" i="7"/>
  <c r="HB199" i="7"/>
  <c r="HC199" i="7"/>
  <c r="HD199" i="7"/>
  <c r="HE199" i="7"/>
  <c r="HF199" i="7"/>
  <c r="HG199" i="7"/>
  <c r="HH199" i="7"/>
  <c r="HI199" i="7"/>
  <c r="HJ199" i="7"/>
  <c r="HK199" i="7"/>
  <c r="HL199" i="7"/>
  <c r="HM199" i="7"/>
  <c r="HN199" i="7"/>
  <c r="HO199" i="7"/>
  <c r="HP199" i="7"/>
  <c r="HQ199" i="7"/>
  <c r="HR199" i="7"/>
  <c r="HS199" i="7"/>
  <c r="HT199" i="7"/>
  <c r="HU199" i="7"/>
  <c r="HV199" i="7"/>
  <c r="HW199" i="7"/>
  <c r="HX199" i="7"/>
  <c r="HY199" i="7"/>
  <c r="HZ199" i="7"/>
  <c r="IA199" i="7"/>
  <c r="IB199" i="7"/>
  <c r="IC199" i="7"/>
  <c r="ID199" i="7"/>
  <c r="IE199" i="7"/>
  <c r="IF199" i="7"/>
  <c r="IG199" i="7"/>
  <c r="IH199" i="7"/>
  <c r="II199" i="7"/>
  <c r="IJ199" i="7"/>
  <c r="IK199" i="7"/>
  <c r="IL199" i="7"/>
  <c r="IM199" i="7"/>
  <c r="IN199" i="7"/>
  <c r="IO199" i="7"/>
  <c r="IP199" i="7"/>
  <c r="IQ199" i="7"/>
  <c r="IR199" i="7"/>
  <c r="IS199" i="7"/>
  <c r="IT199" i="7"/>
  <c r="IU199" i="7"/>
  <c r="IV199" i="7"/>
  <c r="A198" i="7"/>
  <c r="B198" i="7"/>
  <c r="C198" i="7"/>
  <c r="D198" i="7"/>
  <c r="E198" i="7"/>
  <c r="F198" i="7"/>
  <c r="G198" i="7"/>
  <c r="H198" i="7"/>
  <c r="I198" i="7"/>
  <c r="J198" i="7"/>
  <c r="K198" i="7"/>
  <c r="L198" i="7"/>
  <c r="M198" i="7"/>
  <c r="N198" i="7"/>
  <c r="O198" i="7"/>
  <c r="P198" i="7"/>
  <c r="Q198" i="7"/>
  <c r="R198" i="7"/>
  <c r="S198" i="7"/>
  <c r="T198" i="7"/>
  <c r="U198" i="7"/>
  <c r="V198" i="7"/>
  <c r="W198" i="7"/>
  <c r="X198" i="7"/>
  <c r="Y198" i="7"/>
  <c r="Z198" i="7"/>
  <c r="AA198" i="7"/>
  <c r="AB198" i="7"/>
  <c r="AC198" i="7"/>
  <c r="AD198" i="7"/>
  <c r="AE198" i="7"/>
  <c r="AF198" i="7"/>
  <c r="AG198" i="7"/>
  <c r="AH198" i="7"/>
  <c r="AI198" i="7"/>
  <c r="AJ198" i="7"/>
  <c r="AK198" i="7"/>
  <c r="AL198" i="7"/>
  <c r="AM198" i="7"/>
  <c r="AN198" i="7"/>
  <c r="AO198" i="7"/>
  <c r="AP198" i="7"/>
  <c r="AQ198" i="7"/>
  <c r="AR198" i="7"/>
  <c r="AS198" i="7"/>
  <c r="AT198" i="7"/>
  <c r="AU198" i="7"/>
  <c r="AV198" i="7"/>
  <c r="AW198" i="7"/>
  <c r="AX198" i="7"/>
  <c r="AY198" i="7"/>
  <c r="AZ198" i="7"/>
  <c r="BA198" i="7"/>
  <c r="BB198" i="7"/>
  <c r="BC198" i="7"/>
  <c r="BD198" i="7"/>
  <c r="BE198" i="7"/>
  <c r="BF198" i="7"/>
  <c r="BG198" i="7"/>
  <c r="BH198" i="7"/>
  <c r="BI198" i="7"/>
  <c r="BJ198" i="7"/>
  <c r="BK198" i="7"/>
  <c r="BL198" i="7"/>
  <c r="BM198" i="7"/>
  <c r="BN198" i="7"/>
  <c r="BO198" i="7"/>
  <c r="BP198" i="7"/>
  <c r="BQ198" i="7"/>
  <c r="BR198" i="7"/>
  <c r="BS198" i="7"/>
  <c r="BT198" i="7"/>
  <c r="BU198" i="7"/>
  <c r="BV198" i="7"/>
  <c r="BW198" i="7"/>
  <c r="BX198" i="7"/>
  <c r="BY198" i="7"/>
  <c r="BZ198" i="7"/>
  <c r="CA198" i="7"/>
  <c r="CB198" i="7"/>
  <c r="CC198" i="7"/>
  <c r="CD198" i="7"/>
  <c r="CE198" i="7"/>
  <c r="CF198" i="7"/>
  <c r="CG198" i="7"/>
  <c r="CH198" i="7"/>
  <c r="CI198" i="7"/>
  <c r="CJ198" i="7"/>
  <c r="CK198" i="7"/>
  <c r="CL198" i="7"/>
  <c r="CM198" i="7"/>
  <c r="CN198" i="7"/>
  <c r="CO198" i="7"/>
  <c r="CP198" i="7"/>
  <c r="CQ198" i="7"/>
  <c r="CR198" i="7"/>
  <c r="CS198" i="7"/>
  <c r="CT198" i="7"/>
  <c r="CU198" i="7"/>
  <c r="CV198" i="7"/>
  <c r="CW198" i="7"/>
  <c r="CX198" i="7"/>
  <c r="CY198" i="7"/>
  <c r="CZ198" i="7"/>
  <c r="DA198" i="7"/>
  <c r="DB198" i="7"/>
  <c r="DC198" i="7"/>
  <c r="DD198" i="7"/>
  <c r="DE198" i="7"/>
  <c r="DF198" i="7"/>
  <c r="DG198" i="7"/>
  <c r="DH198" i="7"/>
  <c r="DI198" i="7"/>
  <c r="DJ198" i="7"/>
  <c r="DK198" i="7"/>
  <c r="DL198" i="7"/>
  <c r="DM198" i="7"/>
  <c r="DN198" i="7"/>
  <c r="DO198" i="7"/>
  <c r="DP198" i="7"/>
  <c r="DQ198" i="7"/>
  <c r="DR198" i="7"/>
  <c r="DS198" i="7"/>
  <c r="DT198" i="7"/>
  <c r="DU198" i="7"/>
  <c r="DV198" i="7"/>
  <c r="DW198" i="7"/>
  <c r="DX198" i="7"/>
  <c r="DY198" i="7"/>
  <c r="DZ198" i="7"/>
  <c r="EA198" i="7"/>
  <c r="EB198" i="7"/>
  <c r="EC198" i="7"/>
  <c r="ED198" i="7"/>
  <c r="EE198" i="7"/>
  <c r="EF198" i="7"/>
  <c r="EG198" i="7"/>
  <c r="EH198" i="7"/>
  <c r="EI198" i="7"/>
  <c r="EJ198" i="7"/>
  <c r="EK198" i="7"/>
  <c r="EL198" i="7"/>
  <c r="EM198" i="7"/>
  <c r="EN198" i="7"/>
  <c r="EO198" i="7"/>
  <c r="EP198" i="7"/>
  <c r="EQ198" i="7"/>
  <c r="ER198" i="7"/>
  <c r="ES198" i="7"/>
  <c r="ET198" i="7"/>
  <c r="EU198" i="7"/>
  <c r="EV198" i="7"/>
  <c r="EW198" i="7"/>
  <c r="EX198" i="7"/>
  <c r="EY198" i="7"/>
  <c r="EZ198" i="7"/>
  <c r="FA198" i="7"/>
  <c r="FB198" i="7"/>
  <c r="FC198" i="7"/>
  <c r="FD198" i="7"/>
  <c r="FE198" i="7"/>
  <c r="FF198" i="7"/>
  <c r="FG198" i="7"/>
  <c r="FH198" i="7"/>
  <c r="FI198" i="7"/>
  <c r="FJ198" i="7"/>
  <c r="FK198" i="7"/>
  <c r="FL198" i="7"/>
  <c r="FM198" i="7"/>
  <c r="FN198" i="7"/>
  <c r="FO198" i="7"/>
  <c r="FP198" i="7"/>
  <c r="FQ198" i="7"/>
  <c r="FR198" i="7"/>
  <c r="FS198" i="7"/>
  <c r="FT198" i="7"/>
  <c r="FU198" i="7"/>
  <c r="FV198" i="7"/>
  <c r="FW198" i="7"/>
  <c r="FX198" i="7"/>
  <c r="FY198" i="7"/>
  <c r="FZ198" i="7"/>
  <c r="GA198" i="7"/>
  <c r="GB198" i="7"/>
  <c r="GC198" i="7"/>
  <c r="GD198" i="7"/>
  <c r="GE198" i="7"/>
  <c r="GF198" i="7"/>
  <c r="GG198" i="7"/>
  <c r="GH198" i="7"/>
  <c r="GI198" i="7"/>
  <c r="GJ198" i="7"/>
  <c r="GK198" i="7"/>
  <c r="GL198" i="7"/>
  <c r="GM198" i="7"/>
  <c r="GN198" i="7"/>
  <c r="GO198" i="7"/>
  <c r="GP198" i="7"/>
  <c r="GQ198" i="7"/>
  <c r="GR198" i="7"/>
  <c r="GS198" i="7"/>
  <c r="GT198" i="7"/>
  <c r="GU198" i="7"/>
  <c r="GV198" i="7"/>
  <c r="GW198" i="7"/>
  <c r="GX198" i="7"/>
  <c r="GY198" i="7"/>
  <c r="GZ198" i="7"/>
  <c r="HA198" i="7"/>
  <c r="HB198" i="7"/>
  <c r="HC198" i="7"/>
  <c r="HD198" i="7"/>
  <c r="HE198" i="7"/>
  <c r="HF198" i="7"/>
  <c r="HG198" i="7"/>
  <c r="HH198" i="7"/>
  <c r="HI198" i="7"/>
  <c r="HJ198" i="7"/>
  <c r="HK198" i="7"/>
  <c r="HL198" i="7"/>
  <c r="HM198" i="7"/>
  <c r="HN198" i="7"/>
  <c r="HO198" i="7"/>
  <c r="HP198" i="7"/>
  <c r="HQ198" i="7"/>
  <c r="HR198" i="7"/>
  <c r="HS198" i="7"/>
  <c r="HT198" i="7"/>
  <c r="HU198" i="7"/>
  <c r="HV198" i="7"/>
  <c r="HW198" i="7"/>
  <c r="HX198" i="7"/>
  <c r="HY198" i="7"/>
  <c r="HZ198" i="7"/>
  <c r="IA198" i="7"/>
  <c r="IB198" i="7"/>
  <c r="IC198" i="7"/>
  <c r="ID198" i="7"/>
  <c r="IE198" i="7"/>
  <c r="IF198" i="7"/>
  <c r="IG198" i="7"/>
  <c r="IH198" i="7"/>
  <c r="II198" i="7"/>
  <c r="IJ198" i="7"/>
  <c r="IK198" i="7"/>
  <c r="IL198" i="7"/>
  <c r="IM198" i="7"/>
  <c r="IN198" i="7"/>
  <c r="IO198" i="7"/>
  <c r="IP198" i="7"/>
  <c r="IQ198" i="7"/>
  <c r="IR198" i="7"/>
  <c r="IS198" i="7"/>
  <c r="IT198" i="7"/>
  <c r="IU198" i="7"/>
  <c r="IV198" i="7"/>
  <c r="A197" i="7"/>
  <c r="B197" i="7"/>
  <c r="C197" i="7"/>
  <c r="D197" i="7"/>
  <c r="E197" i="7"/>
  <c r="F197" i="7"/>
  <c r="G197" i="7"/>
  <c r="H197" i="7"/>
  <c r="I197" i="7"/>
  <c r="J197" i="7"/>
  <c r="K197" i="7"/>
  <c r="L197" i="7"/>
  <c r="M197" i="7"/>
  <c r="N197" i="7"/>
  <c r="O197" i="7"/>
  <c r="P197" i="7"/>
  <c r="Q197" i="7"/>
  <c r="R197" i="7"/>
  <c r="S197" i="7"/>
  <c r="T197" i="7"/>
  <c r="U197" i="7"/>
  <c r="V197" i="7"/>
  <c r="W197" i="7"/>
  <c r="X197" i="7"/>
  <c r="Y197" i="7"/>
  <c r="Z197" i="7"/>
  <c r="AA197" i="7"/>
  <c r="AB197" i="7"/>
  <c r="AC197" i="7"/>
  <c r="AD197" i="7"/>
  <c r="AE197" i="7"/>
  <c r="AF197" i="7"/>
  <c r="AG197" i="7"/>
  <c r="AH197" i="7"/>
  <c r="AI197" i="7"/>
  <c r="AJ197" i="7"/>
  <c r="AK197" i="7"/>
  <c r="AL197" i="7"/>
  <c r="AM197" i="7"/>
  <c r="AN197" i="7"/>
  <c r="AO197" i="7"/>
  <c r="AP197" i="7"/>
  <c r="AQ197" i="7"/>
  <c r="AR197" i="7"/>
  <c r="AS197" i="7"/>
  <c r="AT197" i="7"/>
  <c r="AU197" i="7"/>
  <c r="AV197" i="7"/>
  <c r="AW197" i="7"/>
  <c r="AX197" i="7"/>
  <c r="AY197" i="7"/>
  <c r="AZ197" i="7"/>
  <c r="BA197" i="7"/>
  <c r="BB197" i="7"/>
  <c r="BC197" i="7"/>
  <c r="BD197" i="7"/>
  <c r="BE197" i="7"/>
  <c r="BF197" i="7"/>
  <c r="BG197" i="7"/>
  <c r="BH197" i="7"/>
  <c r="BI197" i="7"/>
  <c r="BJ197" i="7"/>
  <c r="BK197" i="7"/>
  <c r="BL197" i="7"/>
  <c r="BM197" i="7"/>
  <c r="BN197" i="7"/>
  <c r="BO197" i="7"/>
  <c r="BP197" i="7"/>
  <c r="BQ197" i="7"/>
  <c r="BR197" i="7"/>
  <c r="BS197" i="7"/>
  <c r="BT197" i="7"/>
  <c r="BU197" i="7"/>
  <c r="BV197" i="7"/>
  <c r="BW197" i="7"/>
  <c r="BX197" i="7"/>
  <c r="BY197" i="7"/>
  <c r="BZ197" i="7"/>
  <c r="CA197" i="7"/>
  <c r="CB197" i="7"/>
  <c r="CC197" i="7"/>
  <c r="CD197" i="7"/>
  <c r="CE197" i="7"/>
  <c r="CF197" i="7"/>
  <c r="CG197" i="7"/>
  <c r="CH197" i="7"/>
  <c r="CI197" i="7"/>
  <c r="CJ197" i="7"/>
  <c r="CK197" i="7"/>
  <c r="CL197" i="7"/>
  <c r="CM197" i="7"/>
  <c r="CN197" i="7"/>
  <c r="CO197" i="7"/>
  <c r="CP197" i="7"/>
  <c r="CQ197" i="7"/>
  <c r="CR197" i="7"/>
  <c r="CS197" i="7"/>
  <c r="CT197" i="7"/>
  <c r="CU197" i="7"/>
  <c r="CV197" i="7"/>
  <c r="CW197" i="7"/>
  <c r="CX197" i="7"/>
  <c r="CY197" i="7"/>
  <c r="CZ197" i="7"/>
  <c r="DA197" i="7"/>
  <c r="DB197" i="7"/>
  <c r="DC197" i="7"/>
  <c r="DD197" i="7"/>
  <c r="DE197" i="7"/>
  <c r="DF197" i="7"/>
  <c r="DG197" i="7"/>
  <c r="DH197" i="7"/>
  <c r="DI197" i="7"/>
  <c r="DJ197" i="7"/>
  <c r="DK197" i="7"/>
  <c r="DL197" i="7"/>
  <c r="DM197" i="7"/>
  <c r="DN197" i="7"/>
  <c r="DO197" i="7"/>
  <c r="DP197" i="7"/>
  <c r="DQ197" i="7"/>
  <c r="DR197" i="7"/>
  <c r="DS197" i="7"/>
  <c r="DT197" i="7"/>
  <c r="DU197" i="7"/>
  <c r="DV197" i="7"/>
  <c r="DW197" i="7"/>
  <c r="DX197" i="7"/>
  <c r="DY197" i="7"/>
  <c r="DZ197" i="7"/>
  <c r="EA197" i="7"/>
  <c r="EB197" i="7"/>
  <c r="EC197" i="7"/>
  <c r="ED197" i="7"/>
  <c r="EE197" i="7"/>
  <c r="EF197" i="7"/>
  <c r="EG197" i="7"/>
  <c r="EH197" i="7"/>
  <c r="EI197" i="7"/>
  <c r="EJ197" i="7"/>
  <c r="EK197" i="7"/>
  <c r="EL197" i="7"/>
  <c r="EM197" i="7"/>
  <c r="EN197" i="7"/>
  <c r="EO197" i="7"/>
  <c r="EP197" i="7"/>
  <c r="EQ197" i="7"/>
  <c r="ER197" i="7"/>
  <c r="ES197" i="7"/>
  <c r="ET197" i="7"/>
  <c r="EU197" i="7"/>
  <c r="EV197" i="7"/>
  <c r="EW197" i="7"/>
  <c r="EX197" i="7"/>
  <c r="EY197" i="7"/>
  <c r="EZ197" i="7"/>
  <c r="FA197" i="7"/>
  <c r="FB197" i="7"/>
  <c r="FC197" i="7"/>
  <c r="FD197" i="7"/>
  <c r="FE197" i="7"/>
  <c r="FF197" i="7"/>
  <c r="FG197" i="7"/>
  <c r="FH197" i="7"/>
  <c r="FI197" i="7"/>
  <c r="FJ197" i="7"/>
  <c r="FK197" i="7"/>
  <c r="FL197" i="7"/>
  <c r="FM197" i="7"/>
  <c r="FN197" i="7"/>
  <c r="FO197" i="7"/>
  <c r="FP197" i="7"/>
  <c r="FQ197" i="7"/>
  <c r="FR197" i="7"/>
  <c r="FS197" i="7"/>
  <c r="FT197" i="7"/>
  <c r="FU197" i="7"/>
  <c r="FV197" i="7"/>
  <c r="FW197" i="7"/>
  <c r="FX197" i="7"/>
  <c r="FY197" i="7"/>
  <c r="FZ197" i="7"/>
  <c r="GA197" i="7"/>
  <c r="GB197" i="7"/>
  <c r="GC197" i="7"/>
  <c r="GD197" i="7"/>
  <c r="GE197" i="7"/>
  <c r="GF197" i="7"/>
  <c r="GG197" i="7"/>
  <c r="GH197" i="7"/>
  <c r="GI197" i="7"/>
  <c r="GJ197" i="7"/>
  <c r="GK197" i="7"/>
  <c r="GL197" i="7"/>
  <c r="GM197" i="7"/>
  <c r="GN197" i="7"/>
  <c r="GO197" i="7"/>
  <c r="GP197" i="7"/>
  <c r="GQ197" i="7"/>
  <c r="GR197" i="7"/>
  <c r="GS197" i="7"/>
  <c r="GT197" i="7"/>
  <c r="GU197" i="7"/>
  <c r="GV197" i="7"/>
  <c r="GW197" i="7"/>
  <c r="GX197" i="7"/>
  <c r="GY197" i="7"/>
  <c r="GZ197" i="7"/>
  <c r="HA197" i="7"/>
  <c r="HB197" i="7"/>
  <c r="HC197" i="7"/>
  <c r="HD197" i="7"/>
  <c r="HE197" i="7"/>
  <c r="HF197" i="7"/>
  <c r="HG197" i="7"/>
  <c r="HH197" i="7"/>
  <c r="HI197" i="7"/>
  <c r="HJ197" i="7"/>
  <c r="HK197" i="7"/>
  <c r="HL197" i="7"/>
  <c r="HM197" i="7"/>
  <c r="HN197" i="7"/>
  <c r="HO197" i="7"/>
  <c r="HP197" i="7"/>
  <c r="HQ197" i="7"/>
  <c r="HR197" i="7"/>
  <c r="HS197" i="7"/>
  <c r="HT197" i="7"/>
  <c r="HU197" i="7"/>
  <c r="HV197" i="7"/>
  <c r="HW197" i="7"/>
  <c r="HX197" i="7"/>
  <c r="HY197" i="7"/>
  <c r="HZ197" i="7"/>
  <c r="IA197" i="7"/>
  <c r="IB197" i="7"/>
  <c r="IC197" i="7"/>
  <c r="ID197" i="7"/>
  <c r="IE197" i="7"/>
  <c r="IF197" i="7"/>
  <c r="IG197" i="7"/>
  <c r="IH197" i="7"/>
  <c r="II197" i="7"/>
  <c r="IJ197" i="7"/>
  <c r="IK197" i="7"/>
  <c r="IL197" i="7"/>
  <c r="IM197" i="7"/>
  <c r="IN197" i="7"/>
  <c r="IO197" i="7"/>
  <c r="IP197" i="7"/>
  <c r="IQ197" i="7"/>
  <c r="IR197" i="7"/>
  <c r="IS197" i="7"/>
  <c r="IT197" i="7"/>
  <c r="IU197" i="7"/>
  <c r="IV197" i="7"/>
  <c r="A196" i="7"/>
  <c r="B196" i="7"/>
  <c r="C196" i="7"/>
  <c r="D196" i="7"/>
  <c r="E196" i="7"/>
  <c r="F196" i="7"/>
  <c r="G196" i="7"/>
  <c r="H196" i="7"/>
  <c r="I196" i="7"/>
  <c r="J196" i="7"/>
  <c r="K196" i="7"/>
  <c r="L196" i="7"/>
  <c r="M196" i="7"/>
  <c r="N196" i="7"/>
  <c r="O196" i="7"/>
  <c r="P196" i="7"/>
  <c r="Q196" i="7"/>
  <c r="R196" i="7"/>
  <c r="S196" i="7"/>
  <c r="T196" i="7"/>
  <c r="U196" i="7"/>
  <c r="V196" i="7"/>
  <c r="W196" i="7"/>
  <c r="X196" i="7"/>
  <c r="Y196" i="7"/>
  <c r="Z196" i="7"/>
  <c r="AA196" i="7"/>
  <c r="AB196" i="7"/>
  <c r="AC196" i="7"/>
  <c r="AD196" i="7"/>
  <c r="AE196" i="7"/>
  <c r="AF196" i="7"/>
  <c r="AG196" i="7"/>
  <c r="AH196" i="7"/>
  <c r="AI196" i="7"/>
  <c r="AJ196" i="7"/>
  <c r="AK196" i="7"/>
  <c r="AL196" i="7"/>
  <c r="AM196" i="7"/>
  <c r="AN196" i="7"/>
  <c r="AO196" i="7"/>
  <c r="AP196" i="7"/>
  <c r="AQ196" i="7"/>
  <c r="AR196" i="7"/>
  <c r="AS196" i="7"/>
  <c r="AT196" i="7"/>
  <c r="AU196" i="7"/>
  <c r="AV196" i="7"/>
  <c r="AW196" i="7"/>
  <c r="AX196" i="7"/>
  <c r="AY196" i="7"/>
  <c r="AZ196" i="7"/>
  <c r="BA196" i="7"/>
  <c r="BB196" i="7"/>
  <c r="BC196" i="7"/>
  <c r="BD196" i="7"/>
  <c r="BE196" i="7"/>
  <c r="BF196" i="7"/>
  <c r="BG196" i="7"/>
  <c r="BH196" i="7"/>
  <c r="BI196" i="7"/>
  <c r="BJ196" i="7"/>
  <c r="BK196" i="7"/>
  <c r="BL196" i="7"/>
  <c r="BM196" i="7"/>
  <c r="BN196" i="7"/>
  <c r="BO196" i="7"/>
  <c r="BP196" i="7"/>
  <c r="BQ196" i="7"/>
  <c r="BR196" i="7"/>
  <c r="BS196" i="7"/>
  <c r="BT196" i="7"/>
  <c r="BU196" i="7"/>
  <c r="BV196" i="7"/>
  <c r="BW196" i="7"/>
  <c r="BX196" i="7"/>
  <c r="BY196" i="7"/>
  <c r="BZ196" i="7"/>
  <c r="CA196" i="7"/>
  <c r="CB196" i="7"/>
  <c r="CC196" i="7"/>
  <c r="CD196" i="7"/>
  <c r="CE196" i="7"/>
  <c r="CF196" i="7"/>
  <c r="CG196" i="7"/>
  <c r="CH196" i="7"/>
  <c r="CI196" i="7"/>
  <c r="CJ196" i="7"/>
  <c r="CK196" i="7"/>
  <c r="CL196" i="7"/>
  <c r="CM196" i="7"/>
  <c r="CN196" i="7"/>
  <c r="CO196" i="7"/>
  <c r="CP196" i="7"/>
  <c r="CQ196" i="7"/>
  <c r="CR196" i="7"/>
  <c r="CS196" i="7"/>
  <c r="CT196" i="7"/>
  <c r="CU196" i="7"/>
  <c r="CV196" i="7"/>
  <c r="CW196" i="7"/>
  <c r="CX196" i="7"/>
  <c r="CY196" i="7"/>
  <c r="CZ196" i="7"/>
  <c r="DA196" i="7"/>
  <c r="DB196" i="7"/>
  <c r="DC196" i="7"/>
  <c r="DD196" i="7"/>
  <c r="DE196" i="7"/>
  <c r="DF196" i="7"/>
  <c r="DG196" i="7"/>
  <c r="DH196" i="7"/>
  <c r="DI196" i="7"/>
  <c r="DJ196" i="7"/>
  <c r="DK196" i="7"/>
  <c r="DL196" i="7"/>
  <c r="DM196" i="7"/>
  <c r="DN196" i="7"/>
  <c r="DO196" i="7"/>
  <c r="DP196" i="7"/>
  <c r="DQ196" i="7"/>
  <c r="DR196" i="7"/>
  <c r="DS196" i="7"/>
  <c r="DT196" i="7"/>
  <c r="DU196" i="7"/>
  <c r="DV196" i="7"/>
  <c r="DW196" i="7"/>
  <c r="DX196" i="7"/>
  <c r="DY196" i="7"/>
  <c r="DZ196" i="7"/>
  <c r="EA196" i="7"/>
  <c r="EB196" i="7"/>
  <c r="EC196" i="7"/>
  <c r="ED196" i="7"/>
  <c r="EE196" i="7"/>
  <c r="EF196" i="7"/>
  <c r="EG196" i="7"/>
  <c r="EH196" i="7"/>
  <c r="EI196" i="7"/>
  <c r="EJ196" i="7"/>
  <c r="EK196" i="7"/>
  <c r="EL196" i="7"/>
  <c r="EM196" i="7"/>
  <c r="EN196" i="7"/>
  <c r="EO196" i="7"/>
  <c r="EP196" i="7"/>
  <c r="EQ196" i="7"/>
  <c r="ER196" i="7"/>
  <c r="ES196" i="7"/>
  <c r="ET196" i="7"/>
  <c r="EU196" i="7"/>
  <c r="EV196" i="7"/>
  <c r="EW196" i="7"/>
  <c r="EX196" i="7"/>
  <c r="EY196" i="7"/>
  <c r="EZ196" i="7"/>
  <c r="FA196" i="7"/>
  <c r="FB196" i="7"/>
  <c r="FC196" i="7"/>
  <c r="FD196" i="7"/>
  <c r="FE196" i="7"/>
  <c r="FF196" i="7"/>
  <c r="FG196" i="7"/>
  <c r="FH196" i="7"/>
  <c r="FI196" i="7"/>
  <c r="FJ196" i="7"/>
  <c r="FK196" i="7"/>
  <c r="FL196" i="7"/>
  <c r="FM196" i="7"/>
  <c r="FN196" i="7"/>
  <c r="FO196" i="7"/>
  <c r="FP196" i="7"/>
  <c r="FQ196" i="7"/>
  <c r="FR196" i="7"/>
  <c r="FS196" i="7"/>
  <c r="FT196" i="7"/>
  <c r="FU196" i="7"/>
  <c r="FV196" i="7"/>
  <c r="FW196" i="7"/>
  <c r="FX196" i="7"/>
  <c r="FY196" i="7"/>
  <c r="FZ196" i="7"/>
  <c r="GA196" i="7"/>
  <c r="GB196" i="7"/>
  <c r="GC196" i="7"/>
  <c r="GD196" i="7"/>
  <c r="GE196" i="7"/>
  <c r="GF196" i="7"/>
  <c r="GG196" i="7"/>
  <c r="GH196" i="7"/>
  <c r="GI196" i="7"/>
  <c r="GJ196" i="7"/>
  <c r="GK196" i="7"/>
  <c r="GL196" i="7"/>
  <c r="GM196" i="7"/>
  <c r="GN196" i="7"/>
  <c r="GO196" i="7"/>
  <c r="GP196" i="7"/>
  <c r="GQ196" i="7"/>
  <c r="GR196" i="7"/>
  <c r="GS196" i="7"/>
  <c r="GT196" i="7"/>
  <c r="GU196" i="7"/>
  <c r="GV196" i="7"/>
  <c r="GW196" i="7"/>
  <c r="GX196" i="7"/>
  <c r="GY196" i="7"/>
  <c r="GZ196" i="7"/>
  <c r="HA196" i="7"/>
  <c r="HB196" i="7"/>
  <c r="HC196" i="7"/>
  <c r="HD196" i="7"/>
  <c r="HE196" i="7"/>
  <c r="HF196" i="7"/>
  <c r="HG196" i="7"/>
  <c r="HH196" i="7"/>
  <c r="HI196" i="7"/>
  <c r="HJ196" i="7"/>
  <c r="HK196" i="7"/>
  <c r="HL196" i="7"/>
  <c r="HM196" i="7"/>
  <c r="HN196" i="7"/>
  <c r="HO196" i="7"/>
  <c r="HP196" i="7"/>
  <c r="HQ196" i="7"/>
  <c r="HR196" i="7"/>
  <c r="HS196" i="7"/>
  <c r="HT196" i="7"/>
  <c r="HU196" i="7"/>
  <c r="HV196" i="7"/>
  <c r="HW196" i="7"/>
  <c r="HX196" i="7"/>
  <c r="HY196" i="7"/>
  <c r="HZ196" i="7"/>
  <c r="IA196" i="7"/>
  <c r="IB196" i="7"/>
  <c r="IC196" i="7"/>
  <c r="ID196" i="7"/>
  <c r="IE196" i="7"/>
  <c r="IF196" i="7"/>
  <c r="IG196" i="7"/>
  <c r="IH196" i="7"/>
  <c r="II196" i="7"/>
  <c r="IJ196" i="7"/>
  <c r="IK196" i="7"/>
  <c r="IL196" i="7"/>
  <c r="IM196" i="7"/>
  <c r="IN196" i="7"/>
  <c r="IO196" i="7"/>
  <c r="IP196" i="7"/>
  <c r="IQ196" i="7"/>
  <c r="IR196" i="7"/>
  <c r="IS196" i="7"/>
  <c r="IT196" i="7"/>
  <c r="IU196" i="7"/>
  <c r="IV196" i="7"/>
  <c r="A195" i="7"/>
  <c r="B195" i="7"/>
  <c r="C195" i="7"/>
  <c r="D195" i="7"/>
  <c r="E195" i="7"/>
  <c r="F195" i="7"/>
  <c r="G195" i="7"/>
  <c r="H195" i="7"/>
  <c r="I195" i="7"/>
  <c r="J195" i="7"/>
  <c r="K195" i="7"/>
  <c r="L195" i="7"/>
  <c r="M195" i="7"/>
  <c r="N195" i="7"/>
  <c r="O195" i="7"/>
  <c r="P195" i="7"/>
  <c r="Q195" i="7"/>
  <c r="R195" i="7"/>
  <c r="S195" i="7"/>
  <c r="T195" i="7"/>
  <c r="U195" i="7"/>
  <c r="V195" i="7"/>
  <c r="W195" i="7"/>
  <c r="X195" i="7"/>
  <c r="Y195" i="7"/>
  <c r="Z195" i="7"/>
  <c r="AA195" i="7"/>
  <c r="AB195" i="7"/>
  <c r="AC195" i="7"/>
  <c r="AD195" i="7"/>
  <c r="AE195" i="7"/>
  <c r="AF195" i="7"/>
  <c r="AG195" i="7"/>
  <c r="AH195" i="7"/>
  <c r="AI195" i="7"/>
  <c r="AJ195" i="7"/>
  <c r="AK195" i="7"/>
  <c r="AL195" i="7"/>
  <c r="AM195" i="7"/>
  <c r="AN195" i="7"/>
  <c r="AO195" i="7"/>
  <c r="AP195" i="7"/>
  <c r="AQ195" i="7"/>
  <c r="AR195" i="7"/>
  <c r="AS195" i="7"/>
  <c r="AT195" i="7"/>
  <c r="AU195" i="7"/>
  <c r="AV195" i="7"/>
  <c r="AW195" i="7"/>
  <c r="AX195" i="7"/>
  <c r="AY195" i="7"/>
  <c r="AZ195" i="7"/>
  <c r="BA195" i="7"/>
  <c r="BB195" i="7"/>
  <c r="BC195" i="7"/>
  <c r="BD195" i="7"/>
  <c r="BE195" i="7"/>
  <c r="BF195" i="7"/>
  <c r="BG195" i="7"/>
  <c r="BH195" i="7"/>
  <c r="BI195" i="7"/>
  <c r="BJ195" i="7"/>
  <c r="BK195" i="7"/>
  <c r="BL195" i="7"/>
  <c r="BM195" i="7"/>
  <c r="BN195" i="7"/>
  <c r="BO195" i="7"/>
  <c r="BP195" i="7"/>
  <c r="BQ195" i="7"/>
  <c r="BR195" i="7"/>
  <c r="BS195" i="7"/>
  <c r="BT195" i="7"/>
  <c r="BU195" i="7"/>
  <c r="BV195" i="7"/>
  <c r="BW195" i="7"/>
  <c r="BX195" i="7"/>
  <c r="BY195" i="7"/>
  <c r="BZ195" i="7"/>
  <c r="CA195" i="7"/>
  <c r="CB195" i="7"/>
  <c r="CC195" i="7"/>
  <c r="CD195" i="7"/>
  <c r="CE195" i="7"/>
  <c r="CF195" i="7"/>
  <c r="CG195" i="7"/>
  <c r="CH195" i="7"/>
  <c r="CI195" i="7"/>
  <c r="CJ195" i="7"/>
  <c r="CK195" i="7"/>
  <c r="CL195" i="7"/>
  <c r="CM195" i="7"/>
  <c r="CN195" i="7"/>
  <c r="CO195" i="7"/>
  <c r="CP195" i="7"/>
  <c r="CQ195" i="7"/>
  <c r="CR195" i="7"/>
  <c r="CS195" i="7"/>
  <c r="CT195" i="7"/>
  <c r="CU195" i="7"/>
  <c r="CV195" i="7"/>
  <c r="CW195" i="7"/>
  <c r="CX195" i="7"/>
  <c r="CY195" i="7"/>
  <c r="CZ195" i="7"/>
  <c r="DA195" i="7"/>
  <c r="DB195" i="7"/>
  <c r="DC195" i="7"/>
  <c r="DD195" i="7"/>
  <c r="DE195" i="7"/>
  <c r="DF195" i="7"/>
  <c r="DG195" i="7"/>
  <c r="DH195" i="7"/>
  <c r="DI195" i="7"/>
  <c r="DJ195" i="7"/>
  <c r="DK195" i="7"/>
  <c r="DL195" i="7"/>
  <c r="DM195" i="7"/>
  <c r="DN195" i="7"/>
  <c r="DO195" i="7"/>
  <c r="DP195" i="7"/>
  <c r="DQ195" i="7"/>
  <c r="DR195" i="7"/>
  <c r="DS195" i="7"/>
  <c r="DT195" i="7"/>
  <c r="DU195" i="7"/>
  <c r="DV195" i="7"/>
  <c r="DW195" i="7"/>
  <c r="DX195" i="7"/>
  <c r="DY195" i="7"/>
  <c r="DZ195" i="7"/>
  <c r="EA195" i="7"/>
  <c r="EB195" i="7"/>
  <c r="EC195" i="7"/>
  <c r="ED195" i="7"/>
  <c r="EE195" i="7"/>
  <c r="EF195" i="7"/>
  <c r="EG195" i="7"/>
  <c r="EH195" i="7"/>
  <c r="EI195" i="7"/>
  <c r="EJ195" i="7"/>
  <c r="EK195" i="7"/>
  <c r="EL195" i="7"/>
  <c r="EM195" i="7"/>
  <c r="EN195" i="7"/>
  <c r="EO195" i="7"/>
  <c r="EP195" i="7"/>
  <c r="EQ195" i="7"/>
  <c r="ER195" i="7"/>
  <c r="ES195" i="7"/>
  <c r="ET195" i="7"/>
  <c r="EU195" i="7"/>
  <c r="EV195" i="7"/>
  <c r="EW195" i="7"/>
  <c r="EX195" i="7"/>
  <c r="EY195" i="7"/>
  <c r="EZ195" i="7"/>
  <c r="FA195" i="7"/>
  <c r="FB195" i="7"/>
  <c r="FC195" i="7"/>
  <c r="FD195" i="7"/>
  <c r="FE195" i="7"/>
  <c r="FF195" i="7"/>
  <c r="FG195" i="7"/>
  <c r="FH195" i="7"/>
  <c r="FI195" i="7"/>
  <c r="FJ195" i="7"/>
  <c r="FK195" i="7"/>
  <c r="FL195" i="7"/>
  <c r="FM195" i="7"/>
  <c r="FN195" i="7"/>
  <c r="FO195" i="7"/>
  <c r="FP195" i="7"/>
  <c r="FQ195" i="7"/>
  <c r="FR195" i="7"/>
  <c r="FS195" i="7"/>
  <c r="FT195" i="7"/>
  <c r="FU195" i="7"/>
  <c r="FV195" i="7"/>
  <c r="FW195" i="7"/>
  <c r="FX195" i="7"/>
  <c r="FY195" i="7"/>
  <c r="FZ195" i="7"/>
  <c r="GA195" i="7"/>
  <c r="GB195" i="7"/>
  <c r="GC195" i="7"/>
  <c r="GD195" i="7"/>
  <c r="GE195" i="7"/>
  <c r="GF195" i="7"/>
  <c r="GG195" i="7"/>
  <c r="GH195" i="7"/>
  <c r="GI195" i="7"/>
  <c r="GJ195" i="7"/>
  <c r="GK195" i="7"/>
  <c r="GL195" i="7"/>
  <c r="GM195" i="7"/>
  <c r="GN195" i="7"/>
  <c r="GO195" i="7"/>
  <c r="GP195" i="7"/>
  <c r="GQ195" i="7"/>
  <c r="GR195" i="7"/>
  <c r="GS195" i="7"/>
  <c r="GT195" i="7"/>
  <c r="GU195" i="7"/>
  <c r="GV195" i="7"/>
  <c r="GW195" i="7"/>
  <c r="GX195" i="7"/>
  <c r="GY195" i="7"/>
  <c r="GZ195" i="7"/>
  <c r="HA195" i="7"/>
  <c r="HB195" i="7"/>
  <c r="HC195" i="7"/>
  <c r="HD195" i="7"/>
  <c r="HE195" i="7"/>
  <c r="HF195" i="7"/>
  <c r="HG195" i="7"/>
  <c r="HH195" i="7"/>
  <c r="HI195" i="7"/>
  <c r="HJ195" i="7"/>
  <c r="HK195" i="7"/>
  <c r="HL195" i="7"/>
  <c r="HM195" i="7"/>
  <c r="HN195" i="7"/>
  <c r="HO195" i="7"/>
  <c r="HP195" i="7"/>
  <c r="HQ195" i="7"/>
  <c r="HR195" i="7"/>
  <c r="HS195" i="7"/>
  <c r="HT195" i="7"/>
  <c r="HU195" i="7"/>
  <c r="HV195" i="7"/>
  <c r="HW195" i="7"/>
  <c r="HX195" i="7"/>
  <c r="HY195" i="7"/>
  <c r="HZ195" i="7"/>
  <c r="IA195" i="7"/>
  <c r="IB195" i="7"/>
  <c r="IC195" i="7"/>
  <c r="ID195" i="7"/>
  <c r="IE195" i="7"/>
  <c r="IF195" i="7"/>
  <c r="IG195" i="7"/>
  <c r="IH195" i="7"/>
  <c r="II195" i="7"/>
  <c r="IJ195" i="7"/>
  <c r="IK195" i="7"/>
  <c r="IL195" i="7"/>
  <c r="IM195" i="7"/>
  <c r="IN195" i="7"/>
  <c r="IO195" i="7"/>
  <c r="IP195" i="7"/>
  <c r="IQ195" i="7"/>
  <c r="IR195" i="7"/>
  <c r="IS195" i="7"/>
  <c r="IT195" i="7"/>
  <c r="IU195" i="7"/>
  <c r="IV195" i="7"/>
  <c r="A194" i="7"/>
  <c r="B194" i="7"/>
  <c r="C194" i="7"/>
  <c r="D194" i="7"/>
  <c r="E194" i="7"/>
  <c r="F194" i="7"/>
  <c r="G194" i="7"/>
  <c r="H194" i="7"/>
  <c r="I194" i="7"/>
  <c r="J194" i="7"/>
  <c r="K194" i="7"/>
  <c r="L194" i="7"/>
  <c r="M194" i="7"/>
  <c r="N194" i="7"/>
  <c r="O194" i="7"/>
  <c r="P194" i="7"/>
  <c r="Q194" i="7"/>
  <c r="R194" i="7"/>
  <c r="S194" i="7"/>
  <c r="T194" i="7"/>
  <c r="U194" i="7"/>
  <c r="V194" i="7"/>
  <c r="W194" i="7"/>
  <c r="X194" i="7"/>
  <c r="Y194" i="7"/>
  <c r="Z194" i="7"/>
  <c r="AA194" i="7"/>
  <c r="AB194" i="7"/>
  <c r="AC194" i="7"/>
  <c r="AD194" i="7"/>
  <c r="AE194" i="7"/>
  <c r="AF194" i="7"/>
  <c r="AG194" i="7"/>
  <c r="AH194" i="7"/>
  <c r="AI194" i="7"/>
  <c r="AJ194" i="7"/>
  <c r="AK194" i="7"/>
  <c r="AL194" i="7"/>
  <c r="AM194" i="7"/>
  <c r="AN194" i="7"/>
  <c r="AO194" i="7"/>
  <c r="AP194" i="7"/>
  <c r="AQ194" i="7"/>
  <c r="AR194" i="7"/>
  <c r="AS194" i="7"/>
  <c r="AT194" i="7"/>
  <c r="AU194" i="7"/>
  <c r="AV194" i="7"/>
  <c r="AW194" i="7"/>
  <c r="AX194" i="7"/>
  <c r="AY194" i="7"/>
  <c r="AZ194" i="7"/>
  <c r="BA194" i="7"/>
  <c r="BB194" i="7"/>
  <c r="BC194" i="7"/>
  <c r="BD194" i="7"/>
  <c r="BE194" i="7"/>
  <c r="BF194" i="7"/>
  <c r="BG194" i="7"/>
  <c r="BH194" i="7"/>
  <c r="BI194" i="7"/>
  <c r="BJ194" i="7"/>
  <c r="BK194" i="7"/>
  <c r="BL194" i="7"/>
  <c r="BM194" i="7"/>
  <c r="BN194" i="7"/>
  <c r="BO194" i="7"/>
  <c r="BP194" i="7"/>
  <c r="BQ194" i="7"/>
  <c r="BR194" i="7"/>
  <c r="BS194" i="7"/>
  <c r="BT194" i="7"/>
  <c r="BU194" i="7"/>
  <c r="BV194" i="7"/>
  <c r="BW194" i="7"/>
  <c r="BX194" i="7"/>
  <c r="BY194" i="7"/>
  <c r="BZ194" i="7"/>
  <c r="CA194" i="7"/>
  <c r="CB194" i="7"/>
  <c r="CC194" i="7"/>
  <c r="CD194" i="7"/>
  <c r="CE194" i="7"/>
  <c r="CF194" i="7"/>
  <c r="CG194" i="7"/>
  <c r="CH194" i="7"/>
  <c r="CI194" i="7"/>
  <c r="CJ194" i="7"/>
  <c r="CK194" i="7"/>
  <c r="CL194" i="7"/>
  <c r="CM194" i="7"/>
  <c r="CN194" i="7"/>
  <c r="CO194" i="7"/>
  <c r="CP194" i="7"/>
  <c r="CQ194" i="7"/>
  <c r="CR194" i="7"/>
  <c r="CS194" i="7"/>
  <c r="CT194" i="7"/>
  <c r="CU194" i="7"/>
  <c r="CV194" i="7"/>
  <c r="CW194" i="7"/>
  <c r="CX194" i="7"/>
  <c r="CY194" i="7"/>
  <c r="CZ194" i="7"/>
  <c r="DA194" i="7"/>
  <c r="DB194" i="7"/>
  <c r="DC194" i="7"/>
  <c r="DD194" i="7"/>
  <c r="DE194" i="7"/>
  <c r="DF194" i="7"/>
  <c r="DG194" i="7"/>
  <c r="DH194" i="7"/>
  <c r="DI194" i="7"/>
  <c r="DJ194" i="7"/>
  <c r="DK194" i="7"/>
  <c r="DL194" i="7"/>
  <c r="DM194" i="7"/>
  <c r="DN194" i="7"/>
  <c r="DO194" i="7"/>
  <c r="DP194" i="7"/>
  <c r="DQ194" i="7"/>
  <c r="DR194" i="7"/>
  <c r="DS194" i="7"/>
  <c r="DT194" i="7"/>
  <c r="DU194" i="7"/>
  <c r="DV194" i="7"/>
  <c r="DW194" i="7"/>
  <c r="DX194" i="7"/>
  <c r="DY194" i="7"/>
  <c r="DZ194" i="7"/>
  <c r="EA194" i="7"/>
  <c r="EB194" i="7"/>
  <c r="EC194" i="7"/>
  <c r="ED194" i="7"/>
  <c r="EE194" i="7"/>
  <c r="EF194" i="7"/>
  <c r="EG194" i="7"/>
  <c r="EH194" i="7"/>
  <c r="EI194" i="7"/>
  <c r="EJ194" i="7"/>
  <c r="EK194" i="7"/>
  <c r="EL194" i="7"/>
  <c r="EM194" i="7"/>
  <c r="EN194" i="7"/>
  <c r="EO194" i="7"/>
  <c r="EP194" i="7"/>
  <c r="EQ194" i="7"/>
  <c r="ER194" i="7"/>
  <c r="ES194" i="7"/>
  <c r="ET194" i="7"/>
  <c r="EU194" i="7"/>
  <c r="EV194" i="7"/>
  <c r="EW194" i="7"/>
  <c r="EX194" i="7"/>
  <c r="EY194" i="7"/>
  <c r="EZ194" i="7"/>
  <c r="FA194" i="7"/>
  <c r="FB194" i="7"/>
  <c r="FC194" i="7"/>
  <c r="FD194" i="7"/>
  <c r="FE194" i="7"/>
  <c r="FF194" i="7"/>
  <c r="FG194" i="7"/>
  <c r="FH194" i="7"/>
  <c r="FI194" i="7"/>
  <c r="FJ194" i="7"/>
  <c r="FK194" i="7"/>
  <c r="FL194" i="7"/>
  <c r="FM194" i="7"/>
  <c r="FN194" i="7"/>
  <c r="FO194" i="7"/>
  <c r="FP194" i="7"/>
  <c r="FQ194" i="7"/>
  <c r="FR194" i="7"/>
  <c r="FS194" i="7"/>
  <c r="FT194" i="7"/>
  <c r="FU194" i="7"/>
  <c r="FV194" i="7"/>
  <c r="FW194" i="7"/>
  <c r="FX194" i="7"/>
  <c r="FY194" i="7"/>
  <c r="FZ194" i="7"/>
  <c r="GA194" i="7"/>
  <c r="GB194" i="7"/>
  <c r="GC194" i="7"/>
  <c r="GD194" i="7"/>
  <c r="GE194" i="7"/>
  <c r="GF194" i="7"/>
  <c r="GG194" i="7"/>
  <c r="GH194" i="7"/>
  <c r="GI194" i="7"/>
  <c r="GJ194" i="7"/>
  <c r="GK194" i="7"/>
  <c r="GL194" i="7"/>
  <c r="GM194" i="7"/>
  <c r="GN194" i="7"/>
  <c r="GO194" i="7"/>
  <c r="GP194" i="7"/>
  <c r="GQ194" i="7"/>
  <c r="GR194" i="7"/>
  <c r="GS194" i="7"/>
  <c r="GT194" i="7"/>
  <c r="GU194" i="7"/>
  <c r="GV194" i="7"/>
  <c r="GW194" i="7"/>
  <c r="GX194" i="7"/>
  <c r="GY194" i="7"/>
  <c r="GZ194" i="7"/>
  <c r="HA194" i="7"/>
  <c r="HB194" i="7"/>
  <c r="HC194" i="7"/>
  <c r="HD194" i="7"/>
  <c r="HE194" i="7"/>
  <c r="HF194" i="7"/>
  <c r="HG194" i="7"/>
  <c r="HH194" i="7"/>
  <c r="HI194" i="7"/>
  <c r="HJ194" i="7"/>
  <c r="HK194" i="7"/>
  <c r="HL194" i="7"/>
  <c r="HM194" i="7"/>
  <c r="HN194" i="7"/>
  <c r="HO194" i="7"/>
  <c r="HP194" i="7"/>
  <c r="HQ194" i="7"/>
  <c r="HR194" i="7"/>
  <c r="HS194" i="7"/>
  <c r="HT194" i="7"/>
  <c r="HU194" i="7"/>
  <c r="HV194" i="7"/>
  <c r="HW194" i="7"/>
  <c r="HX194" i="7"/>
  <c r="HY194" i="7"/>
  <c r="HZ194" i="7"/>
  <c r="IA194" i="7"/>
  <c r="IB194" i="7"/>
  <c r="IC194" i="7"/>
  <c r="ID194" i="7"/>
  <c r="IE194" i="7"/>
  <c r="IF194" i="7"/>
  <c r="IG194" i="7"/>
  <c r="IH194" i="7"/>
  <c r="II194" i="7"/>
  <c r="IJ194" i="7"/>
  <c r="IK194" i="7"/>
  <c r="IL194" i="7"/>
  <c r="IM194" i="7"/>
  <c r="IN194" i="7"/>
  <c r="IO194" i="7"/>
  <c r="IP194" i="7"/>
  <c r="IQ194" i="7"/>
  <c r="IR194" i="7"/>
  <c r="IS194" i="7"/>
  <c r="IT194" i="7"/>
  <c r="IU194" i="7"/>
  <c r="IV194" i="7"/>
  <c r="A193" i="7"/>
  <c r="B193" i="7"/>
  <c r="C193" i="7"/>
  <c r="D193" i="7"/>
  <c r="E193" i="7"/>
  <c r="F193" i="7"/>
  <c r="G193" i="7"/>
  <c r="H193" i="7"/>
  <c r="I193" i="7"/>
  <c r="J193" i="7"/>
  <c r="K193" i="7"/>
  <c r="L193" i="7"/>
  <c r="M193" i="7"/>
  <c r="N193" i="7"/>
  <c r="O193" i="7"/>
  <c r="P193" i="7"/>
  <c r="Q193" i="7"/>
  <c r="R193" i="7"/>
  <c r="S193" i="7"/>
  <c r="T193" i="7"/>
  <c r="U193" i="7"/>
  <c r="V193" i="7"/>
  <c r="W193" i="7"/>
  <c r="X193" i="7"/>
  <c r="Y193" i="7"/>
  <c r="Z193" i="7"/>
  <c r="AA193" i="7"/>
  <c r="AB193" i="7"/>
  <c r="AC193" i="7"/>
  <c r="AD193" i="7"/>
  <c r="AE193" i="7"/>
  <c r="AF193" i="7"/>
  <c r="AG193" i="7"/>
  <c r="AH193" i="7"/>
  <c r="AI193" i="7"/>
  <c r="AJ193" i="7"/>
  <c r="AK193" i="7"/>
  <c r="AL193" i="7"/>
  <c r="AM193" i="7"/>
  <c r="AN193" i="7"/>
  <c r="AO193" i="7"/>
  <c r="AP193" i="7"/>
  <c r="AQ193" i="7"/>
  <c r="AR193" i="7"/>
  <c r="AS193" i="7"/>
  <c r="AT193" i="7"/>
  <c r="AU193" i="7"/>
  <c r="AV193" i="7"/>
  <c r="AW193" i="7"/>
  <c r="AX193" i="7"/>
  <c r="AY193" i="7"/>
  <c r="AZ193" i="7"/>
  <c r="BA193" i="7"/>
  <c r="BB193" i="7"/>
  <c r="BC193" i="7"/>
  <c r="BD193" i="7"/>
  <c r="BE193" i="7"/>
  <c r="BF193" i="7"/>
  <c r="BG193" i="7"/>
  <c r="BH193" i="7"/>
  <c r="BI193" i="7"/>
  <c r="BJ193" i="7"/>
  <c r="BK193" i="7"/>
  <c r="BL193" i="7"/>
  <c r="BM193" i="7"/>
  <c r="BN193" i="7"/>
  <c r="BO193" i="7"/>
  <c r="BP193" i="7"/>
  <c r="BQ193" i="7"/>
  <c r="BR193" i="7"/>
  <c r="BS193" i="7"/>
  <c r="BT193" i="7"/>
  <c r="BU193" i="7"/>
  <c r="BV193" i="7"/>
  <c r="BW193" i="7"/>
  <c r="BX193" i="7"/>
  <c r="BY193" i="7"/>
  <c r="BZ193" i="7"/>
  <c r="CA193" i="7"/>
  <c r="CB193" i="7"/>
  <c r="CC193" i="7"/>
  <c r="CD193" i="7"/>
  <c r="CE193" i="7"/>
  <c r="CF193" i="7"/>
  <c r="CG193" i="7"/>
  <c r="CH193" i="7"/>
  <c r="CI193" i="7"/>
  <c r="CJ193" i="7"/>
  <c r="CK193" i="7"/>
  <c r="CL193" i="7"/>
  <c r="CM193" i="7"/>
  <c r="CN193" i="7"/>
  <c r="CO193" i="7"/>
  <c r="CP193" i="7"/>
  <c r="CQ193" i="7"/>
  <c r="CR193" i="7"/>
  <c r="CS193" i="7"/>
  <c r="CT193" i="7"/>
  <c r="CU193" i="7"/>
  <c r="CV193" i="7"/>
  <c r="CW193" i="7"/>
  <c r="CX193" i="7"/>
  <c r="CY193" i="7"/>
  <c r="CZ193" i="7"/>
  <c r="DA193" i="7"/>
  <c r="DB193" i="7"/>
  <c r="DC193" i="7"/>
  <c r="DD193" i="7"/>
  <c r="DE193" i="7"/>
  <c r="DF193" i="7"/>
  <c r="DG193" i="7"/>
  <c r="DH193" i="7"/>
  <c r="DI193" i="7"/>
  <c r="DJ193" i="7"/>
  <c r="DK193" i="7"/>
  <c r="DL193" i="7"/>
  <c r="DM193" i="7"/>
  <c r="DN193" i="7"/>
  <c r="DO193" i="7"/>
  <c r="DP193" i="7"/>
  <c r="DQ193" i="7"/>
  <c r="DR193" i="7"/>
  <c r="DS193" i="7"/>
  <c r="DT193" i="7"/>
  <c r="DU193" i="7"/>
  <c r="DV193" i="7"/>
  <c r="DW193" i="7"/>
  <c r="DX193" i="7"/>
  <c r="DY193" i="7"/>
  <c r="DZ193" i="7"/>
  <c r="EA193" i="7"/>
  <c r="EB193" i="7"/>
  <c r="EC193" i="7"/>
  <c r="ED193" i="7"/>
  <c r="EE193" i="7"/>
  <c r="EF193" i="7"/>
  <c r="EG193" i="7"/>
  <c r="EH193" i="7"/>
  <c r="EI193" i="7"/>
  <c r="EJ193" i="7"/>
  <c r="EK193" i="7"/>
  <c r="EL193" i="7"/>
  <c r="EM193" i="7"/>
  <c r="EN193" i="7"/>
  <c r="EO193" i="7"/>
  <c r="EP193" i="7"/>
  <c r="EQ193" i="7"/>
  <c r="ER193" i="7"/>
  <c r="ES193" i="7"/>
  <c r="ET193" i="7"/>
  <c r="EU193" i="7"/>
  <c r="EV193" i="7"/>
  <c r="EW193" i="7"/>
  <c r="EX193" i="7"/>
  <c r="EY193" i="7"/>
  <c r="EZ193" i="7"/>
  <c r="FA193" i="7"/>
  <c r="FB193" i="7"/>
  <c r="FC193" i="7"/>
  <c r="FD193" i="7"/>
  <c r="FE193" i="7"/>
  <c r="FF193" i="7"/>
  <c r="FG193" i="7"/>
  <c r="FH193" i="7"/>
  <c r="FI193" i="7"/>
  <c r="FJ193" i="7"/>
  <c r="FK193" i="7"/>
  <c r="FL193" i="7"/>
  <c r="FM193" i="7"/>
  <c r="FN193" i="7"/>
  <c r="FO193" i="7"/>
  <c r="FP193" i="7"/>
  <c r="FQ193" i="7"/>
  <c r="FR193" i="7"/>
  <c r="FS193" i="7"/>
  <c r="FT193" i="7"/>
  <c r="FU193" i="7"/>
  <c r="FV193" i="7"/>
  <c r="FW193" i="7"/>
  <c r="FX193" i="7"/>
  <c r="FY193" i="7"/>
  <c r="FZ193" i="7"/>
  <c r="GA193" i="7"/>
  <c r="GB193" i="7"/>
  <c r="GC193" i="7"/>
  <c r="GD193" i="7"/>
  <c r="GE193" i="7"/>
  <c r="GF193" i="7"/>
  <c r="GG193" i="7"/>
  <c r="GH193" i="7"/>
  <c r="GI193" i="7"/>
  <c r="GJ193" i="7"/>
  <c r="GK193" i="7"/>
  <c r="GL193" i="7"/>
  <c r="GM193" i="7"/>
  <c r="GN193" i="7"/>
  <c r="GO193" i="7"/>
  <c r="GP193" i="7"/>
  <c r="GQ193" i="7"/>
  <c r="GR193" i="7"/>
  <c r="GS193" i="7"/>
  <c r="GT193" i="7"/>
  <c r="GU193" i="7"/>
  <c r="GV193" i="7"/>
  <c r="GW193" i="7"/>
  <c r="GX193" i="7"/>
  <c r="GY193" i="7"/>
  <c r="GZ193" i="7"/>
  <c r="HA193" i="7"/>
  <c r="HB193" i="7"/>
  <c r="HC193" i="7"/>
  <c r="HD193" i="7"/>
  <c r="HE193" i="7"/>
  <c r="HF193" i="7"/>
  <c r="HG193" i="7"/>
  <c r="HH193" i="7"/>
  <c r="HI193" i="7"/>
  <c r="HJ193" i="7"/>
  <c r="HK193" i="7"/>
  <c r="HL193" i="7"/>
  <c r="HM193" i="7"/>
  <c r="HN193" i="7"/>
  <c r="HO193" i="7"/>
  <c r="HP193" i="7"/>
  <c r="HQ193" i="7"/>
  <c r="HR193" i="7"/>
  <c r="HS193" i="7"/>
  <c r="HT193" i="7"/>
  <c r="HU193" i="7"/>
  <c r="HV193" i="7"/>
  <c r="HW193" i="7"/>
  <c r="HX193" i="7"/>
  <c r="HY193" i="7"/>
  <c r="HZ193" i="7"/>
  <c r="IA193" i="7"/>
  <c r="IB193" i="7"/>
  <c r="IC193" i="7"/>
  <c r="ID193" i="7"/>
  <c r="IE193" i="7"/>
  <c r="IF193" i="7"/>
  <c r="IG193" i="7"/>
  <c r="IH193" i="7"/>
  <c r="II193" i="7"/>
  <c r="IJ193" i="7"/>
  <c r="IK193" i="7"/>
  <c r="IL193" i="7"/>
  <c r="IM193" i="7"/>
  <c r="IN193" i="7"/>
  <c r="IO193" i="7"/>
  <c r="IP193" i="7"/>
  <c r="IQ193" i="7"/>
  <c r="IR193" i="7"/>
  <c r="IS193" i="7"/>
  <c r="IT193" i="7"/>
  <c r="IU193" i="7"/>
  <c r="IV193" i="7"/>
  <c r="A192" i="7"/>
  <c r="B192" i="7"/>
  <c r="C192" i="7"/>
  <c r="D192" i="7"/>
  <c r="E192" i="7"/>
  <c r="F192" i="7"/>
  <c r="G192" i="7"/>
  <c r="H192" i="7"/>
  <c r="I192" i="7"/>
  <c r="J192" i="7"/>
  <c r="K192" i="7"/>
  <c r="L192" i="7"/>
  <c r="M192" i="7"/>
  <c r="N192" i="7"/>
  <c r="O192" i="7"/>
  <c r="P192" i="7"/>
  <c r="Q192" i="7"/>
  <c r="R192" i="7"/>
  <c r="S192" i="7"/>
  <c r="T192" i="7"/>
  <c r="U192" i="7"/>
  <c r="V192" i="7"/>
  <c r="W192" i="7"/>
  <c r="X192" i="7"/>
  <c r="Y192" i="7"/>
  <c r="Z192" i="7"/>
  <c r="AA192" i="7"/>
  <c r="AB192" i="7"/>
  <c r="AC192" i="7"/>
  <c r="AD192" i="7"/>
  <c r="AE192" i="7"/>
  <c r="AF192" i="7"/>
  <c r="AG192" i="7"/>
  <c r="AH192" i="7"/>
  <c r="AI192" i="7"/>
  <c r="AJ192" i="7"/>
  <c r="AK192" i="7"/>
  <c r="AL192" i="7"/>
  <c r="AM192" i="7"/>
  <c r="AN192" i="7"/>
  <c r="AO192" i="7"/>
  <c r="AP192" i="7"/>
  <c r="AQ192" i="7"/>
  <c r="AR192" i="7"/>
  <c r="AS192" i="7"/>
  <c r="AT192" i="7"/>
  <c r="AU192" i="7"/>
  <c r="AV192" i="7"/>
  <c r="AW192" i="7"/>
  <c r="AX192" i="7"/>
  <c r="AY192" i="7"/>
  <c r="AZ192" i="7"/>
  <c r="BA192" i="7"/>
  <c r="BB192" i="7"/>
  <c r="BC192" i="7"/>
  <c r="BD192" i="7"/>
  <c r="BE192" i="7"/>
  <c r="BF192" i="7"/>
  <c r="BG192" i="7"/>
  <c r="BH192" i="7"/>
  <c r="BI192" i="7"/>
  <c r="BJ192" i="7"/>
  <c r="BK192" i="7"/>
  <c r="BL192" i="7"/>
  <c r="BM192" i="7"/>
  <c r="BN192" i="7"/>
  <c r="BO192" i="7"/>
  <c r="BP192" i="7"/>
  <c r="BQ192" i="7"/>
  <c r="BR192" i="7"/>
  <c r="BS192" i="7"/>
  <c r="BT192" i="7"/>
  <c r="BU192" i="7"/>
  <c r="BV192" i="7"/>
  <c r="BW192" i="7"/>
  <c r="BX192" i="7"/>
  <c r="BY192" i="7"/>
  <c r="BZ192" i="7"/>
  <c r="CA192" i="7"/>
  <c r="CB192" i="7"/>
  <c r="CC192" i="7"/>
  <c r="CD192" i="7"/>
  <c r="CE192" i="7"/>
  <c r="CF192" i="7"/>
  <c r="CG192" i="7"/>
  <c r="CH192" i="7"/>
  <c r="CI192" i="7"/>
  <c r="CJ192" i="7"/>
  <c r="CK192" i="7"/>
  <c r="CL192" i="7"/>
  <c r="CM192" i="7"/>
  <c r="CN192" i="7"/>
  <c r="CO192" i="7"/>
  <c r="CP192" i="7"/>
  <c r="CQ192" i="7"/>
  <c r="CR192" i="7"/>
  <c r="CS192" i="7"/>
  <c r="CT192" i="7"/>
  <c r="CU192" i="7"/>
  <c r="CV192" i="7"/>
  <c r="CW192" i="7"/>
  <c r="CX192" i="7"/>
  <c r="CY192" i="7"/>
  <c r="CZ192" i="7"/>
  <c r="DA192" i="7"/>
  <c r="DB192" i="7"/>
  <c r="DC192" i="7"/>
  <c r="DD192" i="7"/>
  <c r="DE192" i="7"/>
  <c r="DF192" i="7"/>
  <c r="DG192" i="7"/>
  <c r="DH192" i="7"/>
  <c r="DI192" i="7"/>
  <c r="DJ192" i="7"/>
  <c r="DK192" i="7"/>
  <c r="DL192" i="7"/>
  <c r="DM192" i="7"/>
  <c r="DN192" i="7"/>
  <c r="DO192" i="7"/>
  <c r="DP192" i="7"/>
  <c r="DQ192" i="7"/>
  <c r="DR192" i="7"/>
  <c r="DS192" i="7"/>
  <c r="DT192" i="7"/>
  <c r="DU192" i="7"/>
  <c r="DV192" i="7"/>
  <c r="DW192" i="7"/>
  <c r="DX192" i="7"/>
  <c r="DY192" i="7"/>
  <c r="DZ192" i="7"/>
  <c r="EA192" i="7"/>
  <c r="EB192" i="7"/>
  <c r="EC192" i="7"/>
  <c r="ED192" i="7"/>
  <c r="EE192" i="7"/>
  <c r="EF192" i="7"/>
  <c r="EG192" i="7"/>
  <c r="EH192" i="7"/>
  <c r="EI192" i="7"/>
  <c r="EJ192" i="7"/>
  <c r="EK192" i="7"/>
  <c r="EL192" i="7"/>
  <c r="EM192" i="7"/>
  <c r="EN192" i="7"/>
  <c r="EO192" i="7"/>
  <c r="EP192" i="7"/>
  <c r="EQ192" i="7"/>
  <c r="ER192" i="7"/>
  <c r="ES192" i="7"/>
  <c r="ET192" i="7"/>
  <c r="EU192" i="7"/>
  <c r="EV192" i="7"/>
  <c r="EW192" i="7"/>
  <c r="EX192" i="7"/>
  <c r="EY192" i="7"/>
  <c r="EZ192" i="7"/>
  <c r="FA192" i="7"/>
  <c r="FB192" i="7"/>
  <c r="FC192" i="7"/>
  <c r="FD192" i="7"/>
  <c r="FE192" i="7"/>
  <c r="FF192" i="7"/>
  <c r="FG192" i="7"/>
  <c r="FH192" i="7"/>
  <c r="FI192" i="7"/>
  <c r="FJ192" i="7"/>
  <c r="FK192" i="7"/>
  <c r="FL192" i="7"/>
  <c r="FM192" i="7"/>
  <c r="FN192" i="7"/>
  <c r="FO192" i="7"/>
  <c r="FP192" i="7"/>
  <c r="FQ192" i="7"/>
  <c r="FR192" i="7"/>
  <c r="FS192" i="7"/>
  <c r="FT192" i="7"/>
  <c r="FU192" i="7"/>
  <c r="FV192" i="7"/>
  <c r="FW192" i="7"/>
  <c r="FX192" i="7"/>
  <c r="FY192" i="7"/>
  <c r="FZ192" i="7"/>
  <c r="GA192" i="7"/>
  <c r="GB192" i="7"/>
  <c r="GC192" i="7"/>
  <c r="GD192" i="7"/>
  <c r="GE192" i="7"/>
  <c r="GF192" i="7"/>
  <c r="GG192" i="7"/>
  <c r="GH192" i="7"/>
  <c r="GI192" i="7"/>
  <c r="GJ192" i="7"/>
  <c r="GK192" i="7"/>
  <c r="GL192" i="7"/>
  <c r="GM192" i="7"/>
  <c r="GN192" i="7"/>
  <c r="GO192" i="7"/>
  <c r="GP192" i="7"/>
  <c r="GQ192" i="7"/>
  <c r="GR192" i="7"/>
  <c r="GS192" i="7"/>
  <c r="GT192" i="7"/>
  <c r="GU192" i="7"/>
  <c r="GV192" i="7"/>
  <c r="GW192" i="7"/>
  <c r="GX192" i="7"/>
  <c r="GY192" i="7"/>
  <c r="GZ192" i="7"/>
  <c r="HA192" i="7"/>
  <c r="HB192" i="7"/>
  <c r="HC192" i="7"/>
  <c r="HD192" i="7"/>
  <c r="HE192" i="7"/>
  <c r="HF192" i="7"/>
  <c r="HG192" i="7"/>
  <c r="HH192" i="7"/>
  <c r="HI192" i="7"/>
  <c r="HJ192" i="7"/>
  <c r="HK192" i="7"/>
  <c r="HL192" i="7"/>
  <c r="HM192" i="7"/>
  <c r="HN192" i="7"/>
  <c r="HO192" i="7"/>
  <c r="HP192" i="7"/>
  <c r="HQ192" i="7"/>
  <c r="HR192" i="7"/>
  <c r="HS192" i="7"/>
  <c r="HT192" i="7"/>
  <c r="HU192" i="7"/>
  <c r="HV192" i="7"/>
  <c r="HW192" i="7"/>
  <c r="HX192" i="7"/>
  <c r="HY192" i="7"/>
  <c r="HZ192" i="7"/>
  <c r="IA192" i="7"/>
  <c r="IB192" i="7"/>
  <c r="IC192" i="7"/>
  <c r="ID192" i="7"/>
  <c r="IE192" i="7"/>
  <c r="IF192" i="7"/>
  <c r="IG192" i="7"/>
  <c r="IH192" i="7"/>
  <c r="II192" i="7"/>
  <c r="IJ192" i="7"/>
  <c r="IK192" i="7"/>
  <c r="IL192" i="7"/>
  <c r="IM192" i="7"/>
  <c r="IN192" i="7"/>
  <c r="IO192" i="7"/>
  <c r="IP192" i="7"/>
  <c r="IQ192" i="7"/>
  <c r="IR192" i="7"/>
  <c r="IS192" i="7"/>
  <c r="IT192" i="7"/>
  <c r="IU192" i="7"/>
  <c r="IV192" i="7"/>
  <c r="A191" i="7"/>
  <c r="B191" i="7"/>
  <c r="C191" i="7"/>
  <c r="D191" i="7"/>
  <c r="E191" i="7"/>
  <c r="F191" i="7"/>
  <c r="G191" i="7"/>
  <c r="H191" i="7"/>
  <c r="I191" i="7"/>
  <c r="J191" i="7"/>
  <c r="K191" i="7"/>
  <c r="L191" i="7"/>
  <c r="M191" i="7"/>
  <c r="N191" i="7"/>
  <c r="O191" i="7"/>
  <c r="P191" i="7"/>
  <c r="Q191" i="7"/>
  <c r="R191" i="7"/>
  <c r="S191" i="7"/>
  <c r="T191" i="7"/>
  <c r="U191" i="7"/>
  <c r="V191" i="7"/>
  <c r="W191" i="7"/>
  <c r="X191" i="7"/>
  <c r="Y191" i="7"/>
  <c r="Z191" i="7"/>
  <c r="AA191" i="7"/>
  <c r="AB191" i="7"/>
  <c r="AC191" i="7"/>
  <c r="AD191" i="7"/>
  <c r="AE191" i="7"/>
  <c r="AF191" i="7"/>
  <c r="AG191" i="7"/>
  <c r="AH191" i="7"/>
  <c r="AI191" i="7"/>
  <c r="AJ191" i="7"/>
  <c r="AK191" i="7"/>
  <c r="AL191" i="7"/>
  <c r="AM191" i="7"/>
  <c r="AN191" i="7"/>
  <c r="AO191" i="7"/>
  <c r="AP191" i="7"/>
  <c r="AQ191" i="7"/>
  <c r="AR191" i="7"/>
  <c r="AS191" i="7"/>
  <c r="AT191" i="7"/>
  <c r="AU191" i="7"/>
  <c r="AV191" i="7"/>
  <c r="AW191" i="7"/>
  <c r="AX191" i="7"/>
  <c r="AY191" i="7"/>
  <c r="AZ191" i="7"/>
  <c r="BA191" i="7"/>
  <c r="BB191" i="7"/>
  <c r="BC191" i="7"/>
  <c r="BD191" i="7"/>
  <c r="BE191" i="7"/>
  <c r="BF191" i="7"/>
  <c r="BG191" i="7"/>
  <c r="BH191" i="7"/>
  <c r="BI191" i="7"/>
  <c r="BJ191" i="7"/>
  <c r="BK191" i="7"/>
  <c r="BL191" i="7"/>
  <c r="BM191" i="7"/>
  <c r="BN191" i="7"/>
  <c r="BO191" i="7"/>
  <c r="BP191" i="7"/>
  <c r="BQ191" i="7"/>
  <c r="BR191" i="7"/>
  <c r="BS191" i="7"/>
  <c r="BT191" i="7"/>
  <c r="BU191" i="7"/>
  <c r="BV191" i="7"/>
  <c r="BW191" i="7"/>
  <c r="BX191" i="7"/>
  <c r="BY191" i="7"/>
  <c r="BZ191" i="7"/>
  <c r="CA191" i="7"/>
  <c r="CB191" i="7"/>
  <c r="CC191" i="7"/>
  <c r="CD191" i="7"/>
  <c r="CE191" i="7"/>
  <c r="CF191" i="7"/>
  <c r="CG191" i="7"/>
  <c r="CH191" i="7"/>
  <c r="CI191" i="7"/>
  <c r="CJ191" i="7"/>
  <c r="CK191" i="7"/>
  <c r="CL191" i="7"/>
  <c r="CM191" i="7"/>
  <c r="CN191" i="7"/>
  <c r="CO191" i="7"/>
  <c r="CP191" i="7"/>
  <c r="CQ191" i="7"/>
  <c r="CR191" i="7"/>
  <c r="CS191" i="7"/>
  <c r="CT191" i="7"/>
  <c r="CU191" i="7"/>
  <c r="CV191" i="7"/>
  <c r="CW191" i="7"/>
  <c r="CX191" i="7"/>
  <c r="CY191" i="7"/>
  <c r="CZ191" i="7"/>
  <c r="DA191" i="7"/>
  <c r="DB191" i="7"/>
  <c r="DC191" i="7"/>
  <c r="DD191" i="7"/>
  <c r="DE191" i="7"/>
  <c r="DF191" i="7"/>
  <c r="DG191" i="7"/>
  <c r="DH191" i="7"/>
  <c r="DI191" i="7"/>
  <c r="DJ191" i="7"/>
  <c r="DK191" i="7"/>
  <c r="DL191" i="7"/>
  <c r="DM191" i="7"/>
  <c r="DN191" i="7"/>
  <c r="DO191" i="7"/>
  <c r="DP191" i="7"/>
  <c r="DQ191" i="7"/>
  <c r="DR191" i="7"/>
  <c r="DS191" i="7"/>
  <c r="DT191" i="7"/>
  <c r="DU191" i="7"/>
  <c r="DV191" i="7"/>
  <c r="DW191" i="7"/>
  <c r="DX191" i="7"/>
  <c r="DY191" i="7"/>
  <c r="DZ191" i="7"/>
  <c r="EA191" i="7"/>
  <c r="EB191" i="7"/>
  <c r="EC191" i="7"/>
  <c r="ED191" i="7"/>
  <c r="EE191" i="7"/>
  <c r="EF191" i="7"/>
  <c r="EG191" i="7"/>
  <c r="EH191" i="7"/>
  <c r="EI191" i="7"/>
  <c r="EJ191" i="7"/>
  <c r="EK191" i="7"/>
  <c r="EL191" i="7"/>
  <c r="EM191" i="7"/>
  <c r="EN191" i="7"/>
  <c r="EO191" i="7"/>
  <c r="EP191" i="7"/>
  <c r="EQ191" i="7"/>
  <c r="ER191" i="7"/>
  <c r="ES191" i="7"/>
  <c r="ET191" i="7"/>
  <c r="EU191" i="7"/>
  <c r="EV191" i="7"/>
  <c r="EW191" i="7"/>
  <c r="EX191" i="7"/>
  <c r="EY191" i="7"/>
  <c r="EZ191" i="7"/>
  <c r="FA191" i="7"/>
  <c r="FB191" i="7"/>
  <c r="FC191" i="7"/>
  <c r="FD191" i="7"/>
  <c r="FE191" i="7"/>
  <c r="FF191" i="7"/>
  <c r="FG191" i="7"/>
  <c r="FH191" i="7"/>
  <c r="FI191" i="7"/>
  <c r="FJ191" i="7"/>
  <c r="FK191" i="7"/>
  <c r="FL191" i="7"/>
  <c r="FM191" i="7"/>
  <c r="FN191" i="7"/>
  <c r="FO191" i="7"/>
  <c r="FP191" i="7"/>
  <c r="FQ191" i="7"/>
  <c r="FR191" i="7"/>
  <c r="FS191" i="7"/>
  <c r="FT191" i="7"/>
  <c r="FU191" i="7"/>
  <c r="FV191" i="7"/>
  <c r="FW191" i="7"/>
  <c r="FX191" i="7"/>
  <c r="FY191" i="7"/>
  <c r="FZ191" i="7"/>
  <c r="GA191" i="7"/>
  <c r="GB191" i="7"/>
  <c r="GC191" i="7"/>
  <c r="GD191" i="7"/>
  <c r="GE191" i="7"/>
  <c r="GF191" i="7"/>
  <c r="GG191" i="7"/>
  <c r="GH191" i="7"/>
  <c r="GI191" i="7"/>
  <c r="GJ191" i="7"/>
  <c r="GK191" i="7"/>
  <c r="GL191" i="7"/>
  <c r="GM191" i="7"/>
  <c r="GN191" i="7"/>
  <c r="GO191" i="7"/>
  <c r="GP191" i="7"/>
  <c r="GQ191" i="7"/>
  <c r="GR191" i="7"/>
  <c r="GS191" i="7"/>
  <c r="GT191" i="7"/>
  <c r="GU191" i="7"/>
  <c r="GV191" i="7"/>
  <c r="GW191" i="7"/>
  <c r="GX191" i="7"/>
  <c r="GY191" i="7"/>
  <c r="GZ191" i="7"/>
  <c r="HA191" i="7"/>
  <c r="HB191" i="7"/>
  <c r="HC191" i="7"/>
  <c r="HD191" i="7"/>
  <c r="HE191" i="7"/>
  <c r="HF191" i="7"/>
  <c r="HG191" i="7"/>
  <c r="HH191" i="7"/>
  <c r="HI191" i="7"/>
  <c r="HJ191" i="7"/>
  <c r="HK191" i="7"/>
  <c r="HL191" i="7"/>
  <c r="HM191" i="7"/>
  <c r="HN191" i="7"/>
  <c r="HO191" i="7"/>
  <c r="HP191" i="7"/>
  <c r="HQ191" i="7"/>
  <c r="HR191" i="7"/>
  <c r="HS191" i="7"/>
  <c r="HT191" i="7"/>
  <c r="HU191" i="7"/>
  <c r="HV191" i="7"/>
  <c r="HW191" i="7"/>
  <c r="HX191" i="7"/>
  <c r="HY191" i="7"/>
  <c r="HZ191" i="7"/>
  <c r="IA191" i="7"/>
  <c r="IB191" i="7"/>
  <c r="IC191" i="7"/>
  <c r="ID191" i="7"/>
  <c r="IE191" i="7"/>
  <c r="IF191" i="7"/>
  <c r="IG191" i="7"/>
  <c r="IH191" i="7"/>
  <c r="II191" i="7"/>
  <c r="IJ191" i="7"/>
  <c r="IK191" i="7"/>
  <c r="IL191" i="7"/>
  <c r="IM191" i="7"/>
  <c r="IN191" i="7"/>
  <c r="IO191" i="7"/>
  <c r="IP191" i="7"/>
  <c r="IQ191" i="7"/>
  <c r="IR191" i="7"/>
  <c r="IS191" i="7"/>
  <c r="IT191" i="7"/>
  <c r="IU191" i="7"/>
  <c r="IV191" i="7"/>
  <c r="A190" i="7"/>
  <c r="B190" i="7"/>
  <c r="C190" i="7"/>
  <c r="D190" i="7"/>
  <c r="E190" i="7"/>
  <c r="F190" i="7"/>
  <c r="G190" i="7"/>
  <c r="H190" i="7"/>
  <c r="I190" i="7"/>
  <c r="J190" i="7"/>
  <c r="K190" i="7"/>
  <c r="L190" i="7"/>
  <c r="M190" i="7"/>
  <c r="N190" i="7"/>
  <c r="O190" i="7"/>
  <c r="P190" i="7"/>
  <c r="Q190" i="7"/>
  <c r="R190" i="7"/>
  <c r="S190" i="7"/>
  <c r="T190" i="7"/>
  <c r="U190" i="7"/>
  <c r="V190" i="7"/>
  <c r="W190" i="7"/>
  <c r="X190" i="7"/>
  <c r="Y190" i="7"/>
  <c r="Z190" i="7"/>
  <c r="AA190" i="7"/>
  <c r="AB190" i="7"/>
  <c r="AC190" i="7"/>
  <c r="AD190" i="7"/>
  <c r="AE190" i="7"/>
  <c r="AF190" i="7"/>
  <c r="AG190" i="7"/>
  <c r="AH190" i="7"/>
  <c r="AI190" i="7"/>
  <c r="AJ190" i="7"/>
  <c r="AK190" i="7"/>
  <c r="AL190" i="7"/>
  <c r="AM190" i="7"/>
  <c r="AN190" i="7"/>
  <c r="AO190" i="7"/>
  <c r="AP190" i="7"/>
  <c r="AQ190" i="7"/>
  <c r="AR190" i="7"/>
  <c r="AS190" i="7"/>
  <c r="AT190" i="7"/>
  <c r="AU190" i="7"/>
  <c r="AV190" i="7"/>
  <c r="AW190" i="7"/>
  <c r="AX190" i="7"/>
  <c r="AY190" i="7"/>
  <c r="AZ190" i="7"/>
  <c r="BA190" i="7"/>
  <c r="BB190" i="7"/>
  <c r="BC190" i="7"/>
  <c r="BD190" i="7"/>
  <c r="BE190" i="7"/>
  <c r="BF190" i="7"/>
  <c r="BG190" i="7"/>
  <c r="BH190" i="7"/>
  <c r="BI190" i="7"/>
  <c r="BJ190" i="7"/>
  <c r="BK190" i="7"/>
  <c r="BL190" i="7"/>
  <c r="BM190" i="7"/>
  <c r="BN190" i="7"/>
  <c r="BO190" i="7"/>
  <c r="BP190" i="7"/>
  <c r="BQ190" i="7"/>
  <c r="BR190" i="7"/>
  <c r="BS190" i="7"/>
  <c r="BT190" i="7"/>
  <c r="BU190" i="7"/>
  <c r="BV190" i="7"/>
  <c r="BW190" i="7"/>
  <c r="BX190" i="7"/>
  <c r="BY190" i="7"/>
  <c r="BZ190" i="7"/>
  <c r="CA190" i="7"/>
  <c r="CB190" i="7"/>
  <c r="CC190" i="7"/>
  <c r="CD190" i="7"/>
  <c r="CE190" i="7"/>
  <c r="CF190" i="7"/>
  <c r="CG190" i="7"/>
  <c r="CH190" i="7"/>
  <c r="CI190" i="7"/>
  <c r="CJ190" i="7"/>
  <c r="CK190" i="7"/>
  <c r="CL190" i="7"/>
  <c r="CM190" i="7"/>
  <c r="CN190" i="7"/>
  <c r="CO190" i="7"/>
  <c r="CP190" i="7"/>
  <c r="CQ190" i="7"/>
  <c r="CR190" i="7"/>
  <c r="CS190" i="7"/>
  <c r="CT190" i="7"/>
  <c r="CU190" i="7"/>
  <c r="CV190" i="7"/>
  <c r="CW190" i="7"/>
  <c r="CX190" i="7"/>
  <c r="CY190" i="7"/>
  <c r="CZ190" i="7"/>
  <c r="DA190" i="7"/>
  <c r="DB190" i="7"/>
  <c r="DC190" i="7"/>
  <c r="DD190" i="7"/>
  <c r="DE190" i="7"/>
  <c r="DF190" i="7"/>
  <c r="DG190" i="7"/>
  <c r="DH190" i="7"/>
  <c r="DI190" i="7"/>
  <c r="DJ190" i="7"/>
  <c r="DK190" i="7"/>
  <c r="DL190" i="7"/>
  <c r="DM190" i="7"/>
  <c r="DN190" i="7"/>
  <c r="DO190" i="7"/>
  <c r="DP190" i="7"/>
  <c r="DQ190" i="7"/>
  <c r="DR190" i="7"/>
  <c r="DS190" i="7"/>
  <c r="DT190" i="7"/>
  <c r="DU190" i="7"/>
  <c r="DV190" i="7"/>
  <c r="DW190" i="7"/>
  <c r="DX190" i="7"/>
  <c r="DY190" i="7"/>
  <c r="DZ190" i="7"/>
  <c r="EA190" i="7"/>
  <c r="EB190" i="7"/>
  <c r="EC190" i="7"/>
  <c r="ED190" i="7"/>
  <c r="EE190" i="7"/>
  <c r="EF190" i="7"/>
  <c r="EG190" i="7"/>
  <c r="EH190" i="7"/>
  <c r="EI190" i="7"/>
  <c r="EJ190" i="7"/>
  <c r="EK190" i="7"/>
  <c r="EL190" i="7"/>
  <c r="EM190" i="7"/>
  <c r="EN190" i="7"/>
  <c r="EO190" i="7"/>
  <c r="EP190" i="7"/>
  <c r="EQ190" i="7"/>
  <c r="ER190" i="7"/>
  <c r="ES190" i="7"/>
  <c r="ET190" i="7"/>
  <c r="EU190" i="7"/>
  <c r="EV190" i="7"/>
  <c r="EW190" i="7"/>
  <c r="EX190" i="7"/>
  <c r="EY190" i="7"/>
  <c r="EZ190" i="7"/>
  <c r="FA190" i="7"/>
  <c r="FB190" i="7"/>
  <c r="FC190" i="7"/>
  <c r="FD190" i="7"/>
  <c r="FE190" i="7"/>
  <c r="FF190" i="7"/>
  <c r="FG190" i="7"/>
  <c r="FH190" i="7"/>
  <c r="FI190" i="7"/>
  <c r="FJ190" i="7"/>
  <c r="FK190" i="7"/>
  <c r="FL190" i="7"/>
  <c r="FM190" i="7"/>
  <c r="FN190" i="7"/>
  <c r="FO190" i="7"/>
  <c r="FP190" i="7"/>
  <c r="FQ190" i="7"/>
  <c r="FR190" i="7"/>
  <c r="FS190" i="7"/>
  <c r="FT190" i="7"/>
  <c r="FU190" i="7"/>
  <c r="FV190" i="7"/>
  <c r="FW190" i="7"/>
  <c r="FX190" i="7"/>
  <c r="FY190" i="7"/>
  <c r="FZ190" i="7"/>
  <c r="GA190" i="7"/>
  <c r="GB190" i="7"/>
  <c r="GC190" i="7"/>
  <c r="GD190" i="7"/>
  <c r="GE190" i="7"/>
  <c r="GF190" i="7"/>
  <c r="GG190" i="7"/>
  <c r="GH190" i="7"/>
  <c r="GI190" i="7"/>
  <c r="GJ190" i="7"/>
  <c r="GK190" i="7"/>
  <c r="GL190" i="7"/>
  <c r="GM190" i="7"/>
  <c r="GN190" i="7"/>
  <c r="GO190" i="7"/>
  <c r="GP190" i="7"/>
  <c r="GQ190" i="7"/>
  <c r="GR190" i="7"/>
  <c r="GS190" i="7"/>
  <c r="GT190" i="7"/>
  <c r="GU190" i="7"/>
  <c r="GV190" i="7"/>
  <c r="GW190" i="7"/>
  <c r="GX190" i="7"/>
  <c r="GY190" i="7"/>
  <c r="GZ190" i="7"/>
  <c r="HA190" i="7"/>
  <c r="HB190" i="7"/>
  <c r="HC190" i="7"/>
  <c r="HD190" i="7"/>
  <c r="HE190" i="7"/>
  <c r="HF190" i="7"/>
  <c r="HG190" i="7"/>
  <c r="HH190" i="7"/>
  <c r="HI190" i="7"/>
  <c r="HJ190" i="7"/>
  <c r="HK190" i="7"/>
  <c r="HL190" i="7"/>
  <c r="HM190" i="7"/>
  <c r="HN190" i="7"/>
  <c r="HO190" i="7"/>
  <c r="HP190" i="7"/>
  <c r="HQ190" i="7"/>
  <c r="HR190" i="7"/>
  <c r="HS190" i="7"/>
  <c r="HT190" i="7"/>
  <c r="HU190" i="7"/>
  <c r="HV190" i="7"/>
  <c r="HW190" i="7"/>
  <c r="HX190" i="7"/>
  <c r="HY190" i="7"/>
  <c r="HZ190" i="7"/>
  <c r="IA190" i="7"/>
  <c r="IB190" i="7"/>
  <c r="IC190" i="7"/>
  <c r="ID190" i="7"/>
  <c r="IE190" i="7"/>
  <c r="IF190" i="7"/>
  <c r="IG190" i="7"/>
  <c r="IH190" i="7"/>
  <c r="II190" i="7"/>
  <c r="IJ190" i="7"/>
  <c r="IK190" i="7"/>
  <c r="IL190" i="7"/>
  <c r="IM190" i="7"/>
  <c r="IN190" i="7"/>
  <c r="IO190" i="7"/>
  <c r="IP190" i="7"/>
  <c r="IQ190" i="7"/>
  <c r="IR190" i="7"/>
  <c r="IS190" i="7"/>
  <c r="IT190" i="7"/>
  <c r="IU190" i="7"/>
  <c r="IV190" i="7"/>
  <c r="A189" i="7"/>
  <c r="B189" i="7"/>
  <c r="C189" i="7"/>
  <c r="D189" i="7"/>
  <c r="E189" i="7"/>
  <c r="F189" i="7"/>
  <c r="G189" i="7"/>
  <c r="H189" i="7"/>
  <c r="I189" i="7"/>
  <c r="J189" i="7"/>
  <c r="K189" i="7"/>
  <c r="L189" i="7"/>
  <c r="M189" i="7"/>
  <c r="N189" i="7"/>
  <c r="O189" i="7"/>
  <c r="P189" i="7"/>
  <c r="Q189" i="7"/>
  <c r="R189" i="7"/>
  <c r="S189" i="7"/>
  <c r="T189" i="7"/>
  <c r="U189" i="7"/>
  <c r="V189" i="7"/>
  <c r="W189" i="7"/>
  <c r="X189" i="7"/>
  <c r="Y189" i="7"/>
  <c r="Z189" i="7"/>
  <c r="AA189" i="7"/>
  <c r="AB189" i="7"/>
  <c r="AC189" i="7"/>
  <c r="AD189" i="7"/>
  <c r="AE189" i="7"/>
  <c r="AF189" i="7"/>
  <c r="AG189" i="7"/>
  <c r="AH189" i="7"/>
  <c r="AI189" i="7"/>
  <c r="AJ189" i="7"/>
  <c r="AK189" i="7"/>
  <c r="AL189" i="7"/>
  <c r="AM189" i="7"/>
  <c r="AN189" i="7"/>
  <c r="AO189" i="7"/>
  <c r="AP189" i="7"/>
  <c r="AQ189" i="7"/>
  <c r="AR189" i="7"/>
  <c r="AS189" i="7"/>
  <c r="AT189" i="7"/>
  <c r="AU189" i="7"/>
  <c r="AV189" i="7"/>
  <c r="AW189" i="7"/>
  <c r="AX189" i="7"/>
  <c r="AY189" i="7"/>
  <c r="AZ189" i="7"/>
  <c r="BA189" i="7"/>
  <c r="BB189" i="7"/>
  <c r="BC189" i="7"/>
  <c r="BD189" i="7"/>
  <c r="BE189" i="7"/>
  <c r="BF189" i="7"/>
  <c r="BG189" i="7"/>
  <c r="BH189" i="7"/>
  <c r="BI189" i="7"/>
  <c r="BJ189" i="7"/>
  <c r="BK189" i="7"/>
  <c r="BL189" i="7"/>
  <c r="BM189" i="7"/>
  <c r="BN189" i="7"/>
  <c r="BO189" i="7"/>
  <c r="BP189" i="7"/>
  <c r="BQ189" i="7"/>
  <c r="BR189" i="7"/>
  <c r="BS189" i="7"/>
  <c r="BT189" i="7"/>
  <c r="BU189" i="7"/>
  <c r="BV189" i="7"/>
  <c r="BW189" i="7"/>
  <c r="BX189" i="7"/>
  <c r="BY189" i="7"/>
  <c r="BZ189" i="7"/>
  <c r="CA189" i="7"/>
  <c r="CB189" i="7"/>
  <c r="CC189" i="7"/>
  <c r="CD189" i="7"/>
  <c r="CE189" i="7"/>
  <c r="CF189" i="7"/>
  <c r="CG189" i="7"/>
  <c r="CH189" i="7"/>
  <c r="CI189" i="7"/>
  <c r="CJ189" i="7"/>
  <c r="CK189" i="7"/>
  <c r="CL189" i="7"/>
  <c r="CM189" i="7"/>
  <c r="CN189" i="7"/>
  <c r="CO189" i="7"/>
  <c r="CP189" i="7"/>
  <c r="CQ189" i="7"/>
  <c r="CR189" i="7"/>
  <c r="CS189" i="7"/>
  <c r="CT189" i="7"/>
  <c r="CU189" i="7"/>
  <c r="CV189" i="7"/>
  <c r="CW189" i="7"/>
  <c r="CX189" i="7"/>
  <c r="CY189" i="7"/>
  <c r="CZ189" i="7"/>
  <c r="DA189" i="7"/>
  <c r="DB189" i="7"/>
  <c r="DC189" i="7"/>
  <c r="DD189" i="7"/>
  <c r="DE189" i="7"/>
  <c r="DF189" i="7"/>
  <c r="DG189" i="7"/>
  <c r="DH189" i="7"/>
  <c r="DI189" i="7"/>
  <c r="DJ189" i="7"/>
  <c r="DK189" i="7"/>
  <c r="DL189" i="7"/>
  <c r="DM189" i="7"/>
  <c r="DN189" i="7"/>
  <c r="DO189" i="7"/>
  <c r="DP189" i="7"/>
  <c r="DQ189" i="7"/>
  <c r="DR189" i="7"/>
  <c r="DS189" i="7"/>
  <c r="DT189" i="7"/>
  <c r="DU189" i="7"/>
  <c r="DV189" i="7"/>
  <c r="DW189" i="7"/>
  <c r="DX189" i="7"/>
  <c r="DY189" i="7"/>
  <c r="DZ189" i="7"/>
  <c r="EA189" i="7"/>
  <c r="EB189" i="7"/>
  <c r="EC189" i="7"/>
  <c r="ED189" i="7"/>
  <c r="EE189" i="7"/>
  <c r="EF189" i="7"/>
  <c r="EG189" i="7"/>
  <c r="EH189" i="7"/>
  <c r="EI189" i="7"/>
  <c r="EJ189" i="7"/>
  <c r="EK189" i="7"/>
  <c r="EL189" i="7"/>
  <c r="EM189" i="7"/>
  <c r="EN189" i="7"/>
  <c r="EO189" i="7"/>
  <c r="EP189" i="7"/>
  <c r="EQ189" i="7"/>
  <c r="ER189" i="7"/>
  <c r="ES189" i="7"/>
  <c r="ET189" i="7"/>
  <c r="EU189" i="7"/>
  <c r="EV189" i="7"/>
  <c r="EW189" i="7"/>
  <c r="EX189" i="7"/>
  <c r="EY189" i="7"/>
  <c r="EZ189" i="7"/>
  <c r="FA189" i="7"/>
  <c r="FB189" i="7"/>
  <c r="FC189" i="7"/>
  <c r="FD189" i="7"/>
  <c r="FE189" i="7"/>
  <c r="FF189" i="7"/>
  <c r="FG189" i="7"/>
  <c r="FH189" i="7"/>
  <c r="FI189" i="7"/>
  <c r="FJ189" i="7"/>
  <c r="FK189" i="7"/>
  <c r="FL189" i="7"/>
  <c r="FM189" i="7"/>
  <c r="FN189" i="7"/>
  <c r="FO189" i="7"/>
  <c r="FP189" i="7"/>
  <c r="FQ189" i="7"/>
  <c r="FR189" i="7"/>
  <c r="FS189" i="7"/>
  <c r="FT189" i="7"/>
  <c r="FU189" i="7"/>
  <c r="FV189" i="7"/>
  <c r="FW189" i="7"/>
  <c r="FX189" i="7"/>
  <c r="FY189" i="7"/>
  <c r="FZ189" i="7"/>
  <c r="GA189" i="7"/>
  <c r="GB189" i="7"/>
  <c r="GC189" i="7"/>
  <c r="GD189" i="7"/>
  <c r="GE189" i="7"/>
  <c r="GF189" i="7"/>
  <c r="GG189" i="7"/>
  <c r="GH189" i="7"/>
  <c r="GI189" i="7"/>
  <c r="GJ189" i="7"/>
  <c r="GK189" i="7"/>
  <c r="GL189" i="7"/>
  <c r="GM189" i="7"/>
  <c r="GN189" i="7"/>
  <c r="GO189" i="7"/>
  <c r="GP189" i="7"/>
  <c r="GQ189" i="7"/>
  <c r="GR189" i="7"/>
  <c r="GS189" i="7"/>
  <c r="GT189" i="7"/>
  <c r="GU189" i="7"/>
  <c r="GV189" i="7"/>
  <c r="GW189" i="7"/>
  <c r="GX189" i="7"/>
  <c r="GY189" i="7"/>
  <c r="GZ189" i="7"/>
  <c r="HA189" i="7"/>
  <c r="HB189" i="7"/>
  <c r="HC189" i="7"/>
  <c r="HD189" i="7"/>
  <c r="HE189" i="7"/>
  <c r="HF189" i="7"/>
  <c r="HG189" i="7"/>
  <c r="HH189" i="7"/>
  <c r="HI189" i="7"/>
  <c r="HJ189" i="7"/>
  <c r="HK189" i="7"/>
  <c r="HL189" i="7"/>
  <c r="HM189" i="7"/>
  <c r="HN189" i="7"/>
  <c r="HO189" i="7"/>
  <c r="HP189" i="7"/>
  <c r="HQ189" i="7"/>
  <c r="HR189" i="7"/>
  <c r="HS189" i="7"/>
  <c r="HT189" i="7"/>
  <c r="HU189" i="7"/>
  <c r="HV189" i="7"/>
  <c r="HW189" i="7"/>
  <c r="HX189" i="7"/>
  <c r="HY189" i="7"/>
  <c r="HZ189" i="7"/>
  <c r="IA189" i="7"/>
  <c r="IB189" i="7"/>
  <c r="IC189" i="7"/>
  <c r="ID189" i="7"/>
  <c r="IE189" i="7"/>
  <c r="IF189" i="7"/>
  <c r="IG189" i="7"/>
  <c r="IH189" i="7"/>
  <c r="II189" i="7"/>
  <c r="IJ189" i="7"/>
  <c r="IK189" i="7"/>
  <c r="IL189" i="7"/>
  <c r="IM189" i="7"/>
  <c r="IN189" i="7"/>
  <c r="IO189" i="7"/>
  <c r="IP189" i="7"/>
  <c r="IQ189" i="7"/>
  <c r="IR189" i="7"/>
  <c r="IS189" i="7"/>
  <c r="IT189" i="7"/>
  <c r="IU189" i="7"/>
  <c r="IV189" i="7"/>
  <c r="A188" i="7"/>
  <c r="B188" i="7"/>
  <c r="C188" i="7"/>
  <c r="D188" i="7"/>
  <c r="E188" i="7"/>
  <c r="F188" i="7"/>
  <c r="G188" i="7"/>
  <c r="H188" i="7"/>
  <c r="I188" i="7"/>
  <c r="J188" i="7"/>
  <c r="K188" i="7"/>
  <c r="L188" i="7"/>
  <c r="M188" i="7"/>
  <c r="N188" i="7"/>
  <c r="O188" i="7"/>
  <c r="P188" i="7"/>
  <c r="Q188" i="7"/>
  <c r="R188" i="7"/>
  <c r="S188" i="7"/>
  <c r="T188" i="7"/>
  <c r="U188" i="7"/>
  <c r="V188" i="7"/>
  <c r="W188" i="7"/>
  <c r="X188" i="7"/>
  <c r="Y188" i="7"/>
  <c r="Z188" i="7"/>
  <c r="AA188" i="7"/>
  <c r="AB188" i="7"/>
  <c r="AC188" i="7"/>
  <c r="AD188" i="7"/>
  <c r="AE188" i="7"/>
  <c r="AF188" i="7"/>
  <c r="AG188" i="7"/>
  <c r="AH188" i="7"/>
  <c r="AI188" i="7"/>
  <c r="AJ188" i="7"/>
  <c r="AK188" i="7"/>
  <c r="AL188" i="7"/>
  <c r="AM188" i="7"/>
  <c r="AN188" i="7"/>
  <c r="AO188" i="7"/>
  <c r="AP188" i="7"/>
  <c r="AQ188" i="7"/>
  <c r="AR188" i="7"/>
  <c r="AS188" i="7"/>
  <c r="AT188" i="7"/>
  <c r="AU188" i="7"/>
  <c r="AV188" i="7"/>
  <c r="AW188" i="7"/>
  <c r="AX188" i="7"/>
  <c r="AY188" i="7"/>
  <c r="AZ188" i="7"/>
  <c r="BA188" i="7"/>
  <c r="BB188" i="7"/>
  <c r="BC188" i="7"/>
  <c r="BD188" i="7"/>
  <c r="BE188" i="7"/>
  <c r="BF188" i="7"/>
  <c r="BG188" i="7"/>
  <c r="BH188" i="7"/>
  <c r="BI188" i="7"/>
  <c r="BJ188" i="7"/>
  <c r="BK188" i="7"/>
  <c r="BL188" i="7"/>
  <c r="BM188" i="7"/>
  <c r="BN188" i="7"/>
  <c r="BO188" i="7"/>
  <c r="BP188" i="7"/>
  <c r="BQ188" i="7"/>
  <c r="BR188" i="7"/>
  <c r="BS188" i="7"/>
  <c r="BT188" i="7"/>
  <c r="BU188" i="7"/>
  <c r="BV188" i="7"/>
  <c r="BW188" i="7"/>
  <c r="BX188" i="7"/>
  <c r="BY188" i="7"/>
  <c r="BZ188" i="7"/>
  <c r="CA188" i="7"/>
  <c r="CB188" i="7"/>
  <c r="CC188" i="7"/>
  <c r="CD188" i="7"/>
  <c r="CE188" i="7"/>
  <c r="CF188" i="7"/>
  <c r="CG188" i="7"/>
  <c r="CH188" i="7"/>
  <c r="CI188" i="7"/>
  <c r="CJ188" i="7"/>
  <c r="CK188" i="7"/>
  <c r="CL188" i="7"/>
  <c r="CM188" i="7"/>
  <c r="CN188" i="7"/>
  <c r="CO188" i="7"/>
  <c r="CP188" i="7"/>
  <c r="CQ188" i="7"/>
  <c r="CR188" i="7"/>
  <c r="CS188" i="7"/>
  <c r="CT188" i="7"/>
  <c r="CU188" i="7"/>
  <c r="CV188" i="7"/>
  <c r="CW188" i="7"/>
  <c r="CX188" i="7"/>
  <c r="CY188" i="7"/>
  <c r="CZ188" i="7"/>
  <c r="DA188" i="7"/>
  <c r="DB188" i="7"/>
  <c r="DC188" i="7"/>
  <c r="DD188" i="7"/>
  <c r="DE188" i="7"/>
  <c r="DF188" i="7"/>
  <c r="DG188" i="7"/>
  <c r="DH188" i="7"/>
  <c r="DI188" i="7"/>
  <c r="DJ188" i="7"/>
  <c r="DK188" i="7"/>
  <c r="DL188" i="7"/>
  <c r="DM188" i="7"/>
  <c r="DN188" i="7"/>
  <c r="DO188" i="7"/>
  <c r="DP188" i="7"/>
  <c r="DQ188" i="7"/>
  <c r="DR188" i="7"/>
  <c r="DS188" i="7"/>
  <c r="DT188" i="7"/>
  <c r="DU188" i="7"/>
  <c r="DV188" i="7"/>
  <c r="DW188" i="7"/>
  <c r="DX188" i="7"/>
  <c r="DY188" i="7"/>
  <c r="DZ188" i="7"/>
  <c r="EA188" i="7"/>
  <c r="EB188" i="7"/>
  <c r="EC188" i="7"/>
  <c r="ED188" i="7"/>
  <c r="EE188" i="7"/>
  <c r="EF188" i="7"/>
  <c r="EG188" i="7"/>
  <c r="EH188" i="7"/>
  <c r="EI188" i="7"/>
  <c r="EJ188" i="7"/>
  <c r="EK188" i="7"/>
  <c r="EL188" i="7"/>
  <c r="EM188" i="7"/>
  <c r="EN188" i="7"/>
  <c r="EO188" i="7"/>
  <c r="EP188" i="7"/>
  <c r="EQ188" i="7"/>
  <c r="ER188" i="7"/>
  <c r="ES188" i="7"/>
  <c r="ET188" i="7"/>
  <c r="EU188" i="7"/>
  <c r="EV188" i="7"/>
  <c r="EW188" i="7"/>
  <c r="EX188" i="7"/>
  <c r="EY188" i="7"/>
  <c r="EZ188" i="7"/>
  <c r="FA188" i="7"/>
  <c r="FB188" i="7"/>
  <c r="FC188" i="7"/>
  <c r="FD188" i="7"/>
  <c r="FE188" i="7"/>
  <c r="FF188" i="7"/>
  <c r="FG188" i="7"/>
  <c r="FH188" i="7"/>
  <c r="FI188" i="7"/>
  <c r="FJ188" i="7"/>
  <c r="FK188" i="7"/>
  <c r="FL188" i="7"/>
  <c r="FM188" i="7"/>
  <c r="FN188" i="7"/>
  <c r="FO188" i="7"/>
  <c r="FP188" i="7"/>
  <c r="FQ188" i="7"/>
  <c r="FR188" i="7"/>
  <c r="FS188" i="7"/>
  <c r="FT188" i="7"/>
  <c r="FU188" i="7"/>
  <c r="FV188" i="7"/>
  <c r="FW188" i="7"/>
  <c r="FX188" i="7"/>
  <c r="FY188" i="7"/>
  <c r="FZ188" i="7"/>
  <c r="GA188" i="7"/>
  <c r="GB188" i="7"/>
  <c r="GC188" i="7"/>
  <c r="GD188" i="7"/>
  <c r="GE188" i="7"/>
  <c r="GF188" i="7"/>
  <c r="GG188" i="7"/>
  <c r="GH188" i="7"/>
  <c r="GI188" i="7"/>
  <c r="GJ188" i="7"/>
  <c r="GK188" i="7"/>
  <c r="GL188" i="7"/>
  <c r="GM188" i="7"/>
  <c r="GN188" i="7"/>
  <c r="GO188" i="7"/>
  <c r="GP188" i="7"/>
  <c r="GQ188" i="7"/>
  <c r="GR188" i="7"/>
  <c r="GS188" i="7"/>
  <c r="GT188" i="7"/>
  <c r="GU188" i="7"/>
  <c r="GV188" i="7"/>
  <c r="GW188" i="7"/>
  <c r="GX188" i="7"/>
  <c r="GY188" i="7"/>
  <c r="GZ188" i="7"/>
  <c r="HA188" i="7"/>
  <c r="HB188" i="7"/>
  <c r="HC188" i="7"/>
  <c r="HD188" i="7"/>
  <c r="HE188" i="7"/>
  <c r="HF188" i="7"/>
  <c r="HG188" i="7"/>
  <c r="HH188" i="7"/>
  <c r="HI188" i="7"/>
  <c r="HJ188" i="7"/>
  <c r="HK188" i="7"/>
  <c r="HL188" i="7"/>
  <c r="HM188" i="7"/>
  <c r="HN188" i="7"/>
  <c r="HO188" i="7"/>
  <c r="HP188" i="7"/>
  <c r="HQ188" i="7"/>
  <c r="HR188" i="7"/>
  <c r="HS188" i="7"/>
  <c r="HT188" i="7"/>
  <c r="HU188" i="7"/>
  <c r="HV188" i="7"/>
  <c r="HW188" i="7"/>
  <c r="HX188" i="7"/>
  <c r="HY188" i="7"/>
  <c r="HZ188" i="7"/>
  <c r="IA188" i="7"/>
  <c r="IB188" i="7"/>
  <c r="IC188" i="7"/>
  <c r="ID188" i="7"/>
  <c r="IE188" i="7"/>
  <c r="IF188" i="7"/>
  <c r="IG188" i="7"/>
  <c r="IH188" i="7"/>
  <c r="II188" i="7"/>
  <c r="IJ188" i="7"/>
  <c r="IK188" i="7"/>
  <c r="IL188" i="7"/>
  <c r="IM188" i="7"/>
  <c r="IN188" i="7"/>
  <c r="IO188" i="7"/>
  <c r="IP188" i="7"/>
  <c r="IQ188" i="7"/>
  <c r="IR188" i="7"/>
  <c r="IS188" i="7"/>
  <c r="IT188" i="7"/>
  <c r="IU188" i="7"/>
  <c r="IV188" i="7"/>
  <c r="A187" i="7"/>
  <c r="B187" i="7"/>
  <c r="C187" i="7"/>
  <c r="D187" i="7"/>
  <c r="E187" i="7"/>
  <c r="F187" i="7"/>
  <c r="G187" i="7"/>
  <c r="H187" i="7"/>
  <c r="I187" i="7"/>
  <c r="J187" i="7"/>
  <c r="K187" i="7"/>
  <c r="L187" i="7"/>
  <c r="M187" i="7"/>
  <c r="N187" i="7"/>
  <c r="O187" i="7"/>
  <c r="P187" i="7"/>
  <c r="Q187" i="7"/>
  <c r="R187" i="7"/>
  <c r="S187" i="7"/>
  <c r="T187" i="7"/>
  <c r="U187" i="7"/>
  <c r="V187" i="7"/>
  <c r="W187" i="7"/>
  <c r="X187" i="7"/>
  <c r="Y187" i="7"/>
  <c r="Z187" i="7"/>
  <c r="AA187" i="7"/>
  <c r="AB187" i="7"/>
  <c r="AC187" i="7"/>
  <c r="AD187" i="7"/>
  <c r="AE187" i="7"/>
  <c r="AF187" i="7"/>
  <c r="AG187" i="7"/>
  <c r="AH187" i="7"/>
  <c r="AI187" i="7"/>
  <c r="AJ187" i="7"/>
  <c r="AK187" i="7"/>
  <c r="AL187" i="7"/>
  <c r="AM187" i="7"/>
  <c r="AN187" i="7"/>
  <c r="AO187" i="7"/>
  <c r="AP187" i="7"/>
  <c r="AQ187" i="7"/>
  <c r="AR187" i="7"/>
  <c r="AS187" i="7"/>
  <c r="AT187" i="7"/>
  <c r="AU187" i="7"/>
  <c r="AV187" i="7"/>
  <c r="AW187" i="7"/>
  <c r="AX187" i="7"/>
  <c r="AY187" i="7"/>
  <c r="AZ187" i="7"/>
  <c r="BA187" i="7"/>
  <c r="BB187" i="7"/>
  <c r="BC187" i="7"/>
  <c r="BD187" i="7"/>
  <c r="BE187" i="7"/>
  <c r="BF187" i="7"/>
  <c r="BG187" i="7"/>
  <c r="BH187" i="7"/>
  <c r="BI187" i="7"/>
  <c r="BJ187" i="7"/>
  <c r="BK187" i="7"/>
  <c r="BL187" i="7"/>
  <c r="BM187" i="7"/>
  <c r="BN187" i="7"/>
  <c r="BO187" i="7"/>
  <c r="BP187" i="7"/>
  <c r="BQ187" i="7"/>
  <c r="BR187" i="7"/>
  <c r="BS187" i="7"/>
  <c r="BT187" i="7"/>
  <c r="BU187" i="7"/>
  <c r="BV187" i="7"/>
  <c r="BW187" i="7"/>
  <c r="BX187" i="7"/>
  <c r="BY187" i="7"/>
  <c r="BZ187" i="7"/>
  <c r="CA187" i="7"/>
  <c r="CB187" i="7"/>
  <c r="CC187" i="7"/>
  <c r="CD187" i="7"/>
  <c r="CE187" i="7"/>
  <c r="CF187" i="7"/>
  <c r="CG187" i="7"/>
  <c r="CH187" i="7"/>
  <c r="CI187" i="7"/>
  <c r="CJ187" i="7"/>
  <c r="CK187" i="7"/>
  <c r="CL187" i="7"/>
  <c r="CM187" i="7"/>
  <c r="CN187" i="7"/>
  <c r="CO187" i="7"/>
  <c r="CP187" i="7"/>
  <c r="CQ187" i="7"/>
  <c r="CR187" i="7"/>
  <c r="CS187" i="7"/>
  <c r="CT187" i="7"/>
  <c r="CU187" i="7"/>
  <c r="CV187" i="7"/>
  <c r="CW187" i="7"/>
  <c r="CX187" i="7"/>
  <c r="CY187" i="7"/>
  <c r="CZ187" i="7"/>
  <c r="DA187" i="7"/>
  <c r="DB187" i="7"/>
  <c r="DC187" i="7"/>
  <c r="DD187" i="7"/>
  <c r="DE187" i="7"/>
  <c r="DF187" i="7"/>
  <c r="DG187" i="7"/>
  <c r="DH187" i="7"/>
  <c r="DI187" i="7"/>
  <c r="DJ187" i="7"/>
  <c r="DK187" i="7"/>
  <c r="DL187" i="7"/>
  <c r="DM187" i="7"/>
  <c r="DN187" i="7"/>
  <c r="DO187" i="7"/>
  <c r="DP187" i="7"/>
  <c r="DQ187" i="7"/>
  <c r="DR187" i="7"/>
  <c r="DS187" i="7"/>
  <c r="DT187" i="7"/>
  <c r="DU187" i="7"/>
  <c r="DV187" i="7"/>
  <c r="DW187" i="7"/>
  <c r="DX187" i="7"/>
  <c r="DY187" i="7"/>
  <c r="DZ187" i="7"/>
  <c r="EA187" i="7"/>
  <c r="EB187" i="7"/>
  <c r="EC187" i="7"/>
  <c r="ED187" i="7"/>
  <c r="EE187" i="7"/>
  <c r="EF187" i="7"/>
  <c r="EG187" i="7"/>
  <c r="EH187" i="7"/>
  <c r="EI187" i="7"/>
  <c r="EJ187" i="7"/>
  <c r="EK187" i="7"/>
  <c r="EL187" i="7"/>
  <c r="EM187" i="7"/>
  <c r="EN187" i="7"/>
  <c r="EO187" i="7"/>
  <c r="EP187" i="7"/>
  <c r="EQ187" i="7"/>
  <c r="ER187" i="7"/>
  <c r="ES187" i="7"/>
  <c r="ET187" i="7"/>
  <c r="EU187" i="7"/>
  <c r="EV187" i="7"/>
  <c r="EW187" i="7"/>
  <c r="EX187" i="7"/>
  <c r="EY187" i="7"/>
  <c r="EZ187" i="7"/>
  <c r="FA187" i="7"/>
  <c r="FB187" i="7"/>
  <c r="FC187" i="7"/>
  <c r="FD187" i="7"/>
  <c r="FE187" i="7"/>
  <c r="FF187" i="7"/>
  <c r="FG187" i="7"/>
  <c r="FH187" i="7"/>
  <c r="FI187" i="7"/>
  <c r="FJ187" i="7"/>
  <c r="FK187" i="7"/>
  <c r="FL187" i="7"/>
  <c r="FM187" i="7"/>
  <c r="FN187" i="7"/>
  <c r="FO187" i="7"/>
  <c r="FP187" i="7"/>
  <c r="FQ187" i="7"/>
  <c r="FR187" i="7"/>
  <c r="FS187" i="7"/>
  <c r="FT187" i="7"/>
  <c r="FU187" i="7"/>
  <c r="FV187" i="7"/>
  <c r="FW187" i="7"/>
  <c r="FX187" i="7"/>
  <c r="FY187" i="7"/>
  <c r="FZ187" i="7"/>
  <c r="GA187" i="7"/>
  <c r="GB187" i="7"/>
  <c r="GC187" i="7"/>
  <c r="GD187" i="7"/>
  <c r="GE187" i="7"/>
  <c r="GF187" i="7"/>
  <c r="GG187" i="7"/>
  <c r="GH187" i="7"/>
  <c r="GI187" i="7"/>
  <c r="GJ187" i="7"/>
  <c r="GK187" i="7"/>
  <c r="GL187" i="7"/>
  <c r="GM187" i="7"/>
  <c r="GN187" i="7"/>
  <c r="GO187" i="7"/>
  <c r="GP187" i="7"/>
  <c r="GQ187" i="7"/>
  <c r="GR187" i="7"/>
  <c r="GS187" i="7"/>
  <c r="GT187" i="7"/>
  <c r="GU187" i="7"/>
  <c r="GV187" i="7"/>
  <c r="GW187" i="7"/>
  <c r="GX187" i="7"/>
  <c r="GY187" i="7"/>
  <c r="GZ187" i="7"/>
  <c r="HA187" i="7"/>
  <c r="HB187" i="7"/>
  <c r="HC187" i="7"/>
  <c r="HD187" i="7"/>
  <c r="HE187" i="7"/>
  <c r="HF187" i="7"/>
  <c r="HG187" i="7"/>
  <c r="HH187" i="7"/>
  <c r="HI187" i="7"/>
  <c r="HJ187" i="7"/>
  <c r="HK187" i="7"/>
  <c r="HL187" i="7"/>
  <c r="HM187" i="7"/>
  <c r="HN187" i="7"/>
  <c r="HO187" i="7"/>
  <c r="HP187" i="7"/>
  <c r="HQ187" i="7"/>
  <c r="HR187" i="7"/>
  <c r="HS187" i="7"/>
  <c r="HT187" i="7"/>
  <c r="HU187" i="7"/>
  <c r="HV187" i="7"/>
  <c r="HW187" i="7"/>
  <c r="HX187" i="7"/>
  <c r="HY187" i="7"/>
  <c r="HZ187" i="7"/>
  <c r="IA187" i="7"/>
  <c r="IB187" i="7"/>
  <c r="IC187" i="7"/>
  <c r="ID187" i="7"/>
  <c r="IE187" i="7"/>
  <c r="IF187" i="7"/>
  <c r="IG187" i="7"/>
  <c r="IH187" i="7"/>
  <c r="II187" i="7"/>
  <c r="IJ187" i="7"/>
  <c r="IK187" i="7"/>
  <c r="IL187" i="7"/>
  <c r="IM187" i="7"/>
  <c r="IN187" i="7"/>
  <c r="IO187" i="7"/>
  <c r="IP187" i="7"/>
  <c r="IQ187" i="7"/>
  <c r="IR187" i="7"/>
  <c r="IS187" i="7"/>
  <c r="IT187" i="7"/>
  <c r="IU187" i="7"/>
  <c r="IV187" i="7"/>
  <c r="A186" i="7"/>
  <c r="B186" i="7"/>
  <c r="C186" i="7"/>
  <c r="D186" i="7"/>
  <c r="E186" i="7"/>
  <c r="F186" i="7"/>
  <c r="G186" i="7"/>
  <c r="H186" i="7"/>
  <c r="I186" i="7"/>
  <c r="J186" i="7"/>
  <c r="K186" i="7"/>
  <c r="L186" i="7"/>
  <c r="M186" i="7"/>
  <c r="N186" i="7"/>
  <c r="O186" i="7"/>
  <c r="P186" i="7"/>
  <c r="Q186" i="7"/>
  <c r="R186" i="7"/>
  <c r="S186" i="7"/>
  <c r="T186" i="7"/>
  <c r="U186" i="7"/>
  <c r="V186" i="7"/>
  <c r="W186" i="7"/>
  <c r="X186" i="7"/>
  <c r="Y186" i="7"/>
  <c r="Z186" i="7"/>
  <c r="AA186" i="7"/>
  <c r="AB186" i="7"/>
  <c r="AC186" i="7"/>
  <c r="AD186" i="7"/>
  <c r="AE186" i="7"/>
  <c r="AF186" i="7"/>
  <c r="AG186" i="7"/>
  <c r="AH186" i="7"/>
  <c r="AI186" i="7"/>
  <c r="AJ186" i="7"/>
  <c r="AK186" i="7"/>
  <c r="AL186" i="7"/>
  <c r="AM186" i="7"/>
  <c r="AN186" i="7"/>
  <c r="AO186" i="7"/>
  <c r="AP186" i="7"/>
  <c r="AQ186" i="7"/>
  <c r="AR186" i="7"/>
  <c r="AS186" i="7"/>
  <c r="AT186" i="7"/>
  <c r="AU186" i="7"/>
  <c r="AV186" i="7"/>
  <c r="AW186" i="7"/>
  <c r="AX186" i="7"/>
  <c r="AY186" i="7"/>
  <c r="AZ186" i="7"/>
  <c r="BA186" i="7"/>
  <c r="BB186" i="7"/>
  <c r="BC186" i="7"/>
  <c r="BD186" i="7"/>
  <c r="BE186" i="7"/>
  <c r="BF186" i="7"/>
  <c r="BG186" i="7"/>
  <c r="BH186" i="7"/>
  <c r="BI186" i="7"/>
  <c r="BJ186" i="7"/>
  <c r="BK186" i="7"/>
  <c r="BL186" i="7"/>
  <c r="BM186" i="7"/>
  <c r="BN186" i="7"/>
  <c r="BO186" i="7"/>
  <c r="BP186" i="7"/>
  <c r="BQ186" i="7"/>
  <c r="BR186" i="7"/>
  <c r="BS186" i="7"/>
  <c r="BT186" i="7"/>
  <c r="BU186" i="7"/>
  <c r="BV186" i="7"/>
  <c r="BW186" i="7"/>
  <c r="BX186" i="7"/>
  <c r="BY186" i="7"/>
  <c r="BZ186" i="7"/>
  <c r="CA186" i="7"/>
  <c r="CB186" i="7"/>
  <c r="CC186" i="7"/>
  <c r="CD186" i="7"/>
  <c r="CE186" i="7"/>
  <c r="CF186" i="7"/>
  <c r="CG186" i="7"/>
  <c r="CH186" i="7"/>
  <c r="CI186" i="7"/>
  <c r="CJ186" i="7"/>
  <c r="CK186" i="7"/>
  <c r="CL186" i="7"/>
  <c r="CM186" i="7"/>
  <c r="CN186" i="7"/>
  <c r="CO186" i="7"/>
  <c r="CP186" i="7"/>
  <c r="CQ186" i="7"/>
  <c r="CR186" i="7"/>
  <c r="CS186" i="7"/>
  <c r="CT186" i="7"/>
  <c r="CU186" i="7"/>
  <c r="CV186" i="7"/>
  <c r="CW186" i="7"/>
  <c r="CX186" i="7"/>
  <c r="CY186" i="7"/>
  <c r="CZ186" i="7"/>
  <c r="DA186" i="7"/>
  <c r="DB186" i="7"/>
  <c r="DC186" i="7"/>
  <c r="DD186" i="7"/>
  <c r="DE186" i="7"/>
  <c r="DF186" i="7"/>
  <c r="DG186" i="7"/>
  <c r="DH186" i="7"/>
  <c r="DI186" i="7"/>
  <c r="DJ186" i="7"/>
  <c r="DK186" i="7"/>
  <c r="DL186" i="7"/>
  <c r="DM186" i="7"/>
  <c r="DN186" i="7"/>
  <c r="DO186" i="7"/>
  <c r="DP186" i="7"/>
  <c r="DQ186" i="7"/>
  <c r="DR186" i="7"/>
  <c r="DS186" i="7"/>
  <c r="DT186" i="7"/>
  <c r="DU186" i="7"/>
  <c r="DV186" i="7"/>
  <c r="DW186" i="7"/>
  <c r="DX186" i="7"/>
  <c r="DY186" i="7"/>
  <c r="DZ186" i="7"/>
  <c r="EA186" i="7"/>
  <c r="EB186" i="7"/>
  <c r="EC186" i="7"/>
  <c r="ED186" i="7"/>
  <c r="EE186" i="7"/>
  <c r="EF186" i="7"/>
  <c r="EG186" i="7"/>
  <c r="EH186" i="7"/>
  <c r="EI186" i="7"/>
  <c r="EJ186" i="7"/>
  <c r="EK186" i="7"/>
  <c r="EL186" i="7"/>
  <c r="EM186" i="7"/>
  <c r="EN186" i="7"/>
  <c r="EO186" i="7"/>
  <c r="EP186" i="7"/>
  <c r="EQ186" i="7"/>
  <c r="ER186" i="7"/>
  <c r="ES186" i="7"/>
  <c r="ET186" i="7"/>
  <c r="EU186" i="7"/>
  <c r="EV186" i="7"/>
  <c r="EW186" i="7"/>
  <c r="EX186" i="7"/>
  <c r="EY186" i="7"/>
  <c r="EZ186" i="7"/>
  <c r="FA186" i="7"/>
  <c r="FB186" i="7"/>
  <c r="FC186" i="7"/>
  <c r="FD186" i="7"/>
  <c r="FE186" i="7"/>
  <c r="FF186" i="7"/>
  <c r="FG186" i="7"/>
  <c r="FH186" i="7"/>
  <c r="FI186" i="7"/>
  <c r="FJ186" i="7"/>
  <c r="FK186" i="7"/>
  <c r="FL186" i="7"/>
  <c r="FM186" i="7"/>
  <c r="FN186" i="7"/>
  <c r="FO186" i="7"/>
  <c r="FP186" i="7"/>
  <c r="FQ186" i="7"/>
  <c r="FR186" i="7"/>
  <c r="FS186" i="7"/>
  <c r="FT186" i="7"/>
  <c r="FU186" i="7"/>
  <c r="FV186" i="7"/>
  <c r="FW186" i="7"/>
  <c r="FX186" i="7"/>
  <c r="FY186" i="7"/>
  <c r="FZ186" i="7"/>
  <c r="GA186" i="7"/>
  <c r="GB186" i="7"/>
  <c r="GC186" i="7"/>
  <c r="GD186" i="7"/>
  <c r="GE186" i="7"/>
  <c r="GF186" i="7"/>
  <c r="GG186" i="7"/>
  <c r="GH186" i="7"/>
  <c r="GI186" i="7"/>
  <c r="GJ186" i="7"/>
  <c r="GK186" i="7"/>
  <c r="GL186" i="7"/>
  <c r="GM186" i="7"/>
  <c r="GN186" i="7"/>
  <c r="GO186" i="7"/>
  <c r="GP186" i="7"/>
  <c r="GQ186" i="7"/>
  <c r="GR186" i="7"/>
  <c r="GS186" i="7"/>
  <c r="GT186" i="7"/>
  <c r="GU186" i="7"/>
  <c r="GV186" i="7"/>
  <c r="GW186" i="7"/>
  <c r="GX186" i="7"/>
  <c r="GY186" i="7"/>
  <c r="GZ186" i="7"/>
  <c r="HA186" i="7"/>
  <c r="HB186" i="7"/>
  <c r="HC186" i="7"/>
  <c r="HD186" i="7"/>
  <c r="HE186" i="7"/>
  <c r="HF186" i="7"/>
  <c r="HG186" i="7"/>
  <c r="HH186" i="7"/>
  <c r="HI186" i="7"/>
  <c r="HJ186" i="7"/>
  <c r="HK186" i="7"/>
  <c r="HL186" i="7"/>
  <c r="HM186" i="7"/>
  <c r="HN186" i="7"/>
  <c r="HO186" i="7"/>
  <c r="HP186" i="7"/>
  <c r="HQ186" i="7"/>
  <c r="HR186" i="7"/>
  <c r="HS186" i="7"/>
  <c r="HT186" i="7"/>
  <c r="HU186" i="7"/>
  <c r="HV186" i="7"/>
  <c r="HW186" i="7"/>
  <c r="HX186" i="7"/>
  <c r="HY186" i="7"/>
  <c r="HZ186" i="7"/>
  <c r="IA186" i="7"/>
  <c r="IB186" i="7"/>
  <c r="IC186" i="7"/>
  <c r="ID186" i="7"/>
  <c r="IE186" i="7"/>
  <c r="IF186" i="7"/>
  <c r="IG186" i="7"/>
  <c r="IH186" i="7"/>
  <c r="II186" i="7"/>
  <c r="IJ186" i="7"/>
  <c r="IK186" i="7"/>
  <c r="IL186" i="7"/>
  <c r="IM186" i="7"/>
  <c r="IN186" i="7"/>
  <c r="IO186" i="7"/>
  <c r="IP186" i="7"/>
  <c r="IQ186" i="7"/>
  <c r="IR186" i="7"/>
  <c r="IS186" i="7"/>
  <c r="IT186" i="7"/>
  <c r="IU186" i="7"/>
  <c r="IV186" i="7"/>
  <c r="A185" i="7"/>
  <c r="B185" i="7"/>
  <c r="C185" i="7"/>
  <c r="D185" i="7"/>
  <c r="E185" i="7"/>
  <c r="F185" i="7"/>
  <c r="G185" i="7"/>
  <c r="H185" i="7"/>
  <c r="I185" i="7"/>
  <c r="J185" i="7"/>
  <c r="K185" i="7"/>
  <c r="L185" i="7"/>
  <c r="M185" i="7"/>
  <c r="N185" i="7"/>
  <c r="O185" i="7"/>
  <c r="P185" i="7"/>
  <c r="Q185" i="7"/>
  <c r="R185" i="7"/>
  <c r="S185" i="7"/>
  <c r="T185" i="7"/>
  <c r="U185" i="7"/>
  <c r="V185" i="7"/>
  <c r="W185" i="7"/>
  <c r="X185" i="7"/>
  <c r="Y185" i="7"/>
  <c r="Z185" i="7"/>
  <c r="AA185" i="7"/>
  <c r="AB185" i="7"/>
  <c r="AC185" i="7"/>
  <c r="AD185" i="7"/>
  <c r="AE185" i="7"/>
  <c r="AF185" i="7"/>
  <c r="AG185" i="7"/>
  <c r="AH185" i="7"/>
  <c r="AI185" i="7"/>
  <c r="AJ185" i="7"/>
  <c r="AK185" i="7"/>
  <c r="AL185" i="7"/>
  <c r="AM185" i="7"/>
  <c r="AN185" i="7"/>
  <c r="AO185" i="7"/>
  <c r="AP185" i="7"/>
  <c r="AQ185" i="7"/>
  <c r="AR185" i="7"/>
  <c r="AS185" i="7"/>
  <c r="AT185" i="7"/>
  <c r="AU185" i="7"/>
  <c r="AV185" i="7"/>
  <c r="AW185" i="7"/>
  <c r="AX185" i="7"/>
  <c r="AY185" i="7"/>
  <c r="AZ185" i="7"/>
  <c r="BA185" i="7"/>
  <c r="BB185" i="7"/>
  <c r="BC185" i="7"/>
  <c r="BD185" i="7"/>
  <c r="BE185" i="7"/>
  <c r="BF185" i="7"/>
  <c r="BG185" i="7"/>
  <c r="BH185" i="7"/>
  <c r="BI185" i="7"/>
  <c r="BJ185" i="7"/>
  <c r="BK185" i="7"/>
  <c r="BL185" i="7"/>
  <c r="BM185" i="7"/>
  <c r="BN185" i="7"/>
  <c r="BO185" i="7"/>
  <c r="BP185" i="7"/>
  <c r="BQ185" i="7"/>
  <c r="BR185" i="7"/>
  <c r="BS185" i="7"/>
  <c r="BT185" i="7"/>
  <c r="BU185" i="7"/>
  <c r="BV185" i="7"/>
  <c r="BW185" i="7"/>
  <c r="BX185" i="7"/>
  <c r="BY185" i="7"/>
  <c r="BZ185" i="7"/>
  <c r="CA185" i="7"/>
  <c r="CB185" i="7"/>
  <c r="CC185" i="7"/>
  <c r="CD185" i="7"/>
  <c r="CE185" i="7"/>
  <c r="CF185" i="7"/>
  <c r="CG185" i="7"/>
  <c r="CH185" i="7"/>
  <c r="CI185" i="7"/>
  <c r="CJ185" i="7"/>
  <c r="CK185" i="7"/>
  <c r="CL185" i="7"/>
  <c r="CM185" i="7"/>
  <c r="CN185" i="7"/>
  <c r="CO185" i="7"/>
  <c r="CP185" i="7"/>
  <c r="CQ185" i="7"/>
  <c r="CR185" i="7"/>
  <c r="CS185" i="7"/>
  <c r="CT185" i="7"/>
  <c r="CU185" i="7"/>
  <c r="CV185" i="7"/>
  <c r="CW185" i="7"/>
  <c r="CX185" i="7"/>
  <c r="CY185" i="7"/>
  <c r="CZ185" i="7"/>
  <c r="DA185" i="7"/>
  <c r="DB185" i="7"/>
  <c r="DC185" i="7"/>
  <c r="DD185" i="7"/>
  <c r="DE185" i="7"/>
  <c r="DF185" i="7"/>
  <c r="DG185" i="7"/>
  <c r="DH185" i="7"/>
  <c r="DI185" i="7"/>
  <c r="DJ185" i="7"/>
  <c r="DK185" i="7"/>
  <c r="DL185" i="7"/>
  <c r="DM185" i="7"/>
  <c r="DN185" i="7"/>
  <c r="DO185" i="7"/>
  <c r="DP185" i="7"/>
  <c r="DQ185" i="7"/>
  <c r="DR185" i="7"/>
  <c r="DS185" i="7"/>
  <c r="DT185" i="7"/>
  <c r="DU185" i="7"/>
  <c r="DV185" i="7"/>
  <c r="DW185" i="7"/>
  <c r="DX185" i="7"/>
  <c r="DY185" i="7"/>
  <c r="DZ185" i="7"/>
  <c r="EA185" i="7"/>
  <c r="EB185" i="7"/>
  <c r="EC185" i="7"/>
  <c r="ED185" i="7"/>
  <c r="EE185" i="7"/>
  <c r="EF185" i="7"/>
  <c r="EG185" i="7"/>
  <c r="EH185" i="7"/>
  <c r="EI185" i="7"/>
  <c r="EJ185" i="7"/>
  <c r="EK185" i="7"/>
  <c r="EL185" i="7"/>
  <c r="EM185" i="7"/>
  <c r="EN185" i="7"/>
  <c r="EO185" i="7"/>
  <c r="EP185" i="7"/>
  <c r="EQ185" i="7"/>
  <c r="ER185" i="7"/>
  <c r="ES185" i="7"/>
  <c r="ET185" i="7"/>
  <c r="EU185" i="7"/>
  <c r="EV185" i="7"/>
  <c r="EW185" i="7"/>
  <c r="EX185" i="7"/>
  <c r="EY185" i="7"/>
  <c r="EZ185" i="7"/>
  <c r="FA185" i="7"/>
  <c r="FB185" i="7"/>
  <c r="FC185" i="7"/>
  <c r="FD185" i="7"/>
  <c r="FE185" i="7"/>
  <c r="FF185" i="7"/>
  <c r="FG185" i="7"/>
  <c r="FH185" i="7"/>
  <c r="FI185" i="7"/>
  <c r="FJ185" i="7"/>
  <c r="FK185" i="7"/>
  <c r="FL185" i="7"/>
  <c r="FM185" i="7"/>
  <c r="FN185" i="7"/>
  <c r="FO185" i="7"/>
  <c r="FP185" i="7"/>
  <c r="FQ185" i="7"/>
  <c r="FR185" i="7"/>
  <c r="FS185" i="7"/>
  <c r="FT185" i="7"/>
  <c r="FU185" i="7"/>
  <c r="FV185" i="7"/>
  <c r="FW185" i="7"/>
  <c r="FX185" i="7"/>
  <c r="FY185" i="7"/>
  <c r="FZ185" i="7"/>
  <c r="GA185" i="7"/>
  <c r="GB185" i="7"/>
  <c r="GC185" i="7"/>
  <c r="GD185" i="7"/>
  <c r="GE185" i="7"/>
  <c r="GF185" i="7"/>
  <c r="GG185" i="7"/>
  <c r="GH185" i="7"/>
  <c r="GI185" i="7"/>
  <c r="GJ185" i="7"/>
  <c r="GK185" i="7"/>
  <c r="GL185" i="7"/>
  <c r="GM185" i="7"/>
  <c r="GN185" i="7"/>
  <c r="GO185" i="7"/>
  <c r="GP185" i="7"/>
  <c r="GQ185" i="7"/>
  <c r="GR185" i="7"/>
  <c r="GS185" i="7"/>
  <c r="GT185" i="7"/>
  <c r="GU185" i="7"/>
  <c r="GV185" i="7"/>
  <c r="GW185" i="7"/>
  <c r="GX185" i="7"/>
  <c r="GY185" i="7"/>
  <c r="GZ185" i="7"/>
  <c r="HA185" i="7"/>
  <c r="HB185" i="7"/>
  <c r="HC185" i="7"/>
  <c r="HD185" i="7"/>
  <c r="HE185" i="7"/>
  <c r="HF185" i="7"/>
  <c r="HG185" i="7"/>
  <c r="HH185" i="7"/>
  <c r="HI185" i="7"/>
  <c r="HJ185" i="7"/>
  <c r="HK185" i="7"/>
  <c r="HL185" i="7"/>
  <c r="HM185" i="7"/>
  <c r="HN185" i="7"/>
  <c r="HO185" i="7"/>
  <c r="HP185" i="7"/>
  <c r="HQ185" i="7"/>
  <c r="HR185" i="7"/>
  <c r="HS185" i="7"/>
  <c r="HT185" i="7"/>
  <c r="HU185" i="7"/>
  <c r="HV185" i="7"/>
  <c r="HW185" i="7"/>
  <c r="HX185" i="7"/>
  <c r="HY185" i="7"/>
  <c r="HZ185" i="7"/>
  <c r="IA185" i="7"/>
  <c r="IB185" i="7"/>
  <c r="IC185" i="7"/>
  <c r="ID185" i="7"/>
  <c r="IE185" i="7"/>
  <c r="IF185" i="7"/>
  <c r="IG185" i="7"/>
  <c r="IH185" i="7"/>
  <c r="II185" i="7"/>
  <c r="IJ185" i="7"/>
  <c r="IK185" i="7"/>
  <c r="IL185" i="7"/>
  <c r="IM185" i="7"/>
  <c r="IN185" i="7"/>
  <c r="IO185" i="7"/>
  <c r="IP185" i="7"/>
  <c r="IQ185" i="7"/>
  <c r="IR185" i="7"/>
  <c r="IS185" i="7"/>
  <c r="IT185" i="7"/>
  <c r="IU185" i="7"/>
  <c r="IV185" i="7"/>
  <c r="A184" i="7"/>
  <c r="B184" i="7"/>
  <c r="C184" i="7"/>
  <c r="D184" i="7"/>
  <c r="E184" i="7"/>
  <c r="F184" i="7"/>
  <c r="G184" i="7"/>
  <c r="H184" i="7"/>
  <c r="I184" i="7"/>
  <c r="J184" i="7"/>
  <c r="K184" i="7"/>
  <c r="L184" i="7"/>
  <c r="M184" i="7"/>
  <c r="N184" i="7"/>
  <c r="O184" i="7"/>
  <c r="P184" i="7"/>
  <c r="Q184" i="7"/>
  <c r="R184" i="7"/>
  <c r="S184" i="7"/>
  <c r="T184" i="7"/>
  <c r="U184" i="7"/>
  <c r="V184" i="7"/>
  <c r="W184" i="7"/>
  <c r="X184" i="7"/>
  <c r="Y184" i="7"/>
  <c r="Z184" i="7"/>
  <c r="AA184" i="7"/>
  <c r="AB184" i="7"/>
  <c r="AC184" i="7"/>
  <c r="AD184" i="7"/>
  <c r="AE184" i="7"/>
  <c r="AF184" i="7"/>
  <c r="AG184" i="7"/>
  <c r="AH184" i="7"/>
  <c r="AI184" i="7"/>
  <c r="AJ184" i="7"/>
  <c r="AK184" i="7"/>
  <c r="AL184" i="7"/>
  <c r="AM184" i="7"/>
  <c r="AN184" i="7"/>
  <c r="AO184" i="7"/>
  <c r="AP184" i="7"/>
  <c r="AQ184" i="7"/>
  <c r="AR184" i="7"/>
  <c r="AS184" i="7"/>
  <c r="AT184" i="7"/>
  <c r="AU184" i="7"/>
  <c r="AV184" i="7"/>
  <c r="AW184" i="7"/>
  <c r="AX184" i="7"/>
  <c r="AY184" i="7"/>
  <c r="AZ184" i="7"/>
  <c r="BA184" i="7"/>
  <c r="BB184" i="7"/>
  <c r="BC184" i="7"/>
  <c r="BD184" i="7"/>
  <c r="BE184" i="7"/>
  <c r="BF184" i="7"/>
  <c r="BG184" i="7"/>
  <c r="BH184" i="7"/>
  <c r="BI184" i="7"/>
  <c r="BJ184" i="7"/>
  <c r="BK184" i="7"/>
  <c r="BL184" i="7"/>
  <c r="BM184" i="7"/>
  <c r="BN184" i="7"/>
  <c r="BO184" i="7"/>
  <c r="BP184" i="7"/>
  <c r="BQ184" i="7"/>
  <c r="BR184" i="7"/>
  <c r="BS184" i="7"/>
  <c r="BT184" i="7"/>
  <c r="BU184" i="7"/>
  <c r="BV184" i="7"/>
  <c r="BW184" i="7"/>
  <c r="BX184" i="7"/>
  <c r="BY184" i="7"/>
  <c r="BZ184" i="7"/>
  <c r="CA184" i="7"/>
  <c r="CB184" i="7"/>
  <c r="CC184" i="7"/>
  <c r="CD184" i="7"/>
  <c r="CE184" i="7"/>
  <c r="CF184" i="7"/>
  <c r="CG184" i="7"/>
  <c r="CH184" i="7"/>
  <c r="CI184" i="7"/>
  <c r="CJ184" i="7"/>
  <c r="CK184" i="7"/>
  <c r="CL184" i="7"/>
  <c r="CM184" i="7"/>
  <c r="CN184" i="7"/>
  <c r="CO184" i="7"/>
  <c r="CP184" i="7"/>
  <c r="CQ184" i="7"/>
  <c r="CR184" i="7"/>
  <c r="CS184" i="7"/>
  <c r="CT184" i="7"/>
  <c r="CU184" i="7"/>
  <c r="CV184" i="7"/>
  <c r="CW184" i="7"/>
  <c r="CX184" i="7"/>
  <c r="CY184" i="7"/>
  <c r="CZ184" i="7"/>
  <c r="DA184" i="7"/>
  <c r="DB184" i="7"/>
  <c r="DC184" i="7"/>
  <c r="DD184" i="7"/>
  <c r="DE184" i="7"/>
  <c r="DF184" i="7"/>
  <c r="DG184" i="7"/>
  <c r="DH184" i="7"/>
  <c r="DI184" i="7"/>
  <c r="DJ184" i="7"/>
  <c r="DK184" i="7"/>
  <c r="DL184" i="7"/>
  <c r="DM184" i="7"/>
  <c r="DN184" i="7"/>
  <c r="DO184" i="7"/>
  <c r="DP184" i="7"/>
  <c r="DQ184" i="7"/>
  <c r="DR184" i="7"/>
  <c r="DS184" i="7"/>
  <c r="DT184" i="7"/>
  <c r="DU184" i="7"/>
  <c r="DV184" i="7"/>
  <c r="DW184" i="7"/>
  <c r="DX184" i="7"/>
  <c r="DY184" i="7"/>
  <c r="DZ184" i="7"/>
  <c r="EA184" i="7"/>
  <c r="EB184" i="7"/>
  <c r="EC184" i="7"/>
  <c r="ED184" i="7"/>
  <c r="EE184" i="7"/>
  <c r="EF184" i="7"/>
  <c r="EG184" i="7"/>
  <c r="EH184" i="7"/>
  <c r="EI184" i="7"/>
  <c r="EJ184" i="7"/>
  <c r="EK184" i="7"/>
  <c r="EL184" i="7"/>
  <c r="EM184" i="7"/>
  <c r="EN184" i="7"/>
  <c r="EO184" i="7"/>
  <c r="EP184" i="7"/>
  <c r="EQ184" i="7"/>
  <c r="ER184" i="7"/>
  <c r="ES184" i="7"/>
  <c r="ET184" i="7"/>
  <c r="EU184" i="7"/>
  <c r="EV184" i="7"/>
  <c r="EW184" i="7"/>
  <c r="EX184" i="7"/>
  <c r="EY184" i="7"/>
  <c r="EZ184" i="7"/>
  <c r="FA184" i="7"/>
  <c r="FB184" i="7"/>
  <c r="FC184" i="7"/>
  <c r="FD184" i="7"/>
  <c r="FE184" i="7"/>
  <c r="FF184" i="7"/>
  <c r="FG184" i="7"/>
  <c r="FH184" i="7"/>
  <c r="FI184" i="7"/>
  <c r="FJ184" i="7"/>
  <c r="FK184" i="7"/>
  <c r="FL184" i="7"/>
  <c r="FM184" i="7"/>
  <c r="FN184" i="7"/>
  <c r="FO184" i="7"/>
  <c r="FP184" i="7"/>
  <c r="FQ184" i="7"/>
  <c r="FR184" i="7"/>
  <c r="FS184" i="7"/>
  <c r="FT184" i="7"/>
  <c r="FU184" i="7"/>
  <c r="FV184" i="7"/>
  <c r="FW184" i="7"/>
  <c r="FX184" i="7"/>
  <c r="FY184" i="7"/>
  <c r="FZ184" i="7"/>
  <c r="GA184" i="7"/>
  <c r="GB184" i="7"/>
  <c r="GC184" i="7"/>
  <c r="GD184" i="7"/>
  <c r="GE184" i="7"/>
  <c r="GF184" i="7"/>
  <c r="GG184" i="7"/>
  <c r="GH184" i="7"/>
  <c r="GI184" i="7"/>
  <c r="GJ184" i="7"/>
  <c r="GK184" i="7"/>
  <c r="GL184" i="7"/>
  <c r="GM184" i="7"/>
  <c r="GN184" i="7"/>
  <c r="GO184" i="7"/>
  <c r="GP184" i="7"/>
  <c r="GQ184" i="7"/>
  <c r="GR184" i="7"/>
  <c r="GS184" i="7"/>
  <c r="GT184" i="7"/>
  <c r="GU184" i="7"/>
  <c r="GV184" i="7"/>
  <c r="GW184" i="7"/>
  <c r="GX184" i="7"/>
  <c r="GY184" i="7"/>
  <c r="GZ184" i="7"/>
  <c r="HA184" i="7"/>
  <c r="HB184" i="7"/>
  <c r="HC184" i="7"/>
  <c r="HD184" i="7"/>
  <c r="HE184" i="7"/>
  <c r="HF184" i="7"/>
  <c r="HG184" i="7"/>
  <c r="HH184" i="7"/>
  <c r="HI184" i="7"/>
  <c r="HJ184" i="7"/>
  <c r="HK184" i="7"/>
  <c r="HL184" i="7"/>
  <c r="HM184" i="7"/>
  <c r="HN184" i="7"/>
  <c r="HO184" i="7"/>
  <c r="HP184" i="7"/>
  <c r="HQ184" i="7"/>
  <c r="HR184" i="7"/>
  <c r="HS184" i="7"/>
  <c r="HT184" i="7"/>
  <c r="HU184" i="7"/>
  <c r="HV184" i="7"/>
  <c r="HW184" i="7"/>
  <c r="HX184" i="7"/>
  <c r="HY184" i="7"/>
  <c r="HZ184" i="7"/>
  <c r="IA184" i="7"/>
  <c r="IB184" i="7"/>
  <c r="IC184" i="7"/>
  <c r="ID184" i="7"/>
  <c r="IE184" i="7"/>
  <c r="IF184" i="7"/>
  <c r="IG184" i="7"/>
  <c r="IH184" i="7"/>
  <c r="II184" i="7"/>
  <c r="IJ184" i="7"/>
  <c r="IK184" i="7"/>
  <c r="IL184" i="7"/>
  <c r="IM184" i="7"/>
  <c r="IN184" i="7"/>
  <c r="IO184" i="7"/>
  <c r="IP184" i="7"/>
  <c r="IQ184" i="7"/>
  <c r="IR184" i="7"/>
  <c r="IS184" i="7"/>
  <c r="IT184" i="7"/>
  <c r="IU184" i="7"/>
  <c r="IV184" i="7"/>
  <c r="A183" i="7"/>
  <c r="B183" i="7"/>
  <c r="C183" i="7"/>
  <c r="D183" i="7"/>
  <c r="E183" i="7"/>
  <c r="F183" i="7"/>
  <c r="G183" i="7"/>
  <c r="H183" i="7"/>
  <c r="I183" i="7"/>
  <c r="J183" i="7"/>
  <c r="K183" i="7"/>
  <c r="L183" i="7"/>
  <c r="M183" i="7"/>
  <c r="N183" i="7"/>
  <c r="O183" i="7"/>
  <c r="P183" i="7"/>
  <c r="Q183" i="7"/>
  <c r="R183" i="7"/>
  <c r="S183" i="7"/>
  <c r="T183" i="7"/>
  <c r="U183" i="7"/>
  <c r="V183" i="7"/>
  <c r="W183" i="7"/>
  <c r="X183" i="7"/>
  <c r="Y183" i="7"/>
  <c r="Z183" i="7"/>
  <c r="AA183" i="7"/>
  <c r="AB183" i="7"/>
  <c r="AC183" i="7"/>
  <c r="AD183" i="7"/>
  <c r="AE183" i="7"/>
  <c r="AF183" i="7"/>
  <c r="AG183" i="7"/>
  <c r="AH183" i="7"/>
  <c r="AI183" i="7"/>
  <c r="AJ183" i="7"/>
  <c r="AK183" i="7"/>
  <c r="AL183" i="7"/>
  <c r="AM183" i="7"/>
  <c r="AN183" i="7"/>
  <c r="AO183" i="7"/>
  <c r="AP183" i="7"/>
  <c r="AQ183" i="7"/>
  <c r="AR183" i="7"/>
  <c r="AS183" i="7"/>
  <c r="AT183" i="7"/>
  <c r="AU183" i="7"/>
  <c r="AV183" i="7"/>
  <c r="AW183" i="7"/>
  <c r="AX183" i="7"/>
  <c r="AY183" i="7"/>
  <c r="AZ183" i="7"/>
  <c r="BA183" i="7"/>
  <c r="BB183" i="7"/>
  <c r="BC183" i="7"/>
  <c r="BD183" i="7"/>
  <c r="BE183" i="7"/>
  <c r="BF183" i="7"/>
  <c r="BG183" i="7"/>
  <c r="BH183" i="7"/>
  <c r="BI183" i="7"/>
  <c r="BJ183" i="7"/>
  <c r="BK183" i="7"/>
  <c r="BL183" i="7"/>
  <c r="BM183" i="7"/>
  <c r="BN183" i="7"/>
  <c r="BO183" i="7"/>
  <c r="BP183" i="7"/>
  <c r="BQ183" i="7"/>
  <c r="BR183" i="7"/>
  <c r="BS183" i="7"/>
  <c r="BT183" i="7"/>
  <c r="BU183" i="7"/>
  <c r="BV183" i="7"/>
  <c r="BW183" i="7"/>
  <c r="BX183" i="7"/>
  <c r="BY183" i="7"/>
  <c r="BZ183" i="7"/>
  <c r="CA183" i="7"/>
  <c r="CB183" i="7"/>
  <c r="CC183" i="7"/>
  <c r="CD183" i="7"/>
  <c r="CE183" i="7"/>
  <c r="CF183" i="7"/>
  <c r="CG183" i="7"/>
  <c r="CH183" i="7"/>
  <c r="CI183" i="7"/>
  <c r="CJ183" i="7"/>
  <c r="CK183" i="7"/>
  <c r="CL183" i="7"/>
  <c r="CM183" i="7"/>
  <c r="CN183" i="7"/>
  <c r="CO183" i="7"/>
  <c r="CP183" i="7"/>
  <c r="CQ183" i="7"/>
  <c r="CR183" i="7"/>
  <c r="CS183" i="7"/>
  <c r="CT183" i="7"/>
  <c r="CU183" i="7"/>
  <c r="CV183" i="7"/>
  <c r="CW183" i="7"/>
  <c r="CX183" i="7"/>
  <c r="CY183" i="7"/>
  <c r="CZ183" i="7"/>
  <c r="DA183" i="7"/>
  <c r="DB183" i="7"/>
  <c r="DC183" i="7"/>
  <c r="DD183" i="7"/>
  <c r="DE183" i="7"/>
  <c r="DF183" i="7"/>
  <c r="DG183" i="7"/>
  <c r="DH183" i="7"/>
  <c r="DI183" i="7"/>
  <c r="DJ183" i="7"/>
  <c r="DK183" i="7"/>
  <c r="DL183" i="7"/>
  <c r="DM183" i="7"/>
  <c r="DN183" i="7"/>
  <c r="DO183" i="7"/>
  <c r="DP183" i="7"/>
  <c r="DQ183" i="7"/>
  <c r="DR183" i="7"/>
  <c r="DS183" i="7"/>
  <c r="DT183" i="7"/>
  <c r="DU183" i="7"/>
  <c r="DV183" i="7"/>
  <c r="DW183" i="7"/>
  <c r="DX183" i="7"/>
  <c r="DY183" i="7"/>
  <c r="DZ183" i="7"/>
  <c r="EA183" i="7"/>
  <c r="EB183" i="7"/>
  <c r="EC183" i="7"/>
  <c r="ED183" i="7"/>
  <c r="EE183" i="7"/>
  <c r="EF183" i="7"/>
  <c r="EG183" i="7"/>
  <c r="EH183" i="7"/>
  <c r="EI183" i="7"/>
  <c r="EJ183" i="7"/>
  <c r="EK183" i="7"/>
  <c r="EL183" i="7"/>
  <c r="EM183" i="7"/>
  <c r="EN183" i="7"/>
  <c r="EO183" i="7"/>
  <c r="EP183" i="7"/>
  <c r="EQ183" i="7"/>
  <c r="ER183" i="7"/>
  <c r="ES183" i="7"/>
  <c r="ET183" i="7"/>
  <c r="EU183" i="7"/>
  <c r="EV183" i="7"/>
  <c r="EW183" i="7"/>
  <c r="EX183" i="7"/>
  <c r="EY183" i="7"/>
  <c r="EZ183" i="7"/>
  <c r="FA183" i="7"/>
  <c r="FB183" i="7"/>
  <c r="FC183" i="7"/>
  <c r="FD183" i="7"/>
  <c r="FE183" i="7"/>
  <c r="FF183" i="7"/>
  <c r="FG183" i="7"/>
  <c r="FH183" i="7"/>
  <c r="FI183" i="7"/>
  <c r="FJ183" i="7"/>
  <c r="FK183" i="7"/>
  <c r="FL183" i="7"/>
  <c r="FM183" i="7"/>
  <c r="FN183" i="7"/>
  <c r="FO183" i="7"/>
  <c r="FP183" i="7"/>
  <c r="FQ183" i="7"/>
  <c r="FR183" i="7"/>
  <c r="FS183" i="7"/>
  <c r="FT183" i="7"/>
  <c r="FU183" i="7"/>
  <c r="FV183" i="7"/>
  <c r="FW183" i="7"/>
  <c r="FX183" i="7"/>
  <c r="FY183" i="7"/>
  <c r="FZ183" i="7"/>
  <c r="GA183" i="7"/>
  <c r="GB183" i="7"/>
  <c r="GC183" i="7"/>
  <c r="GD183" i="7"/>
  <c r="GE183" i="7"/>
  <c r="GF183" i="7"/>
  <c r="GG183" i="7"/>
  <c r="GH183" i="7"/>
  <c r="GI183" i="7"/>
  <c r="GJ183" i="7"/>
  <c r="GK183" i="7"/>
  <c r="GL183" i="7"/>
  <c r="GM183" i="7"/>
  <c r="GN183" i="7"/>
  <c r="GO183" i="7"/>
  <c r="GP183" i="7"/>
  <c r="GQ183" i="7"/>
  <c r="GR183" i="7"/>
  <c r="GS183" i="7"/>
  <c r="GT183" i="7"/>
  <c r="GU183" i="7"/>
  <c r="GV183" i="7"/>
  <c r="GW183" i="7"/>
  <c r="GX183" i="7"/>
  <c r="GY183" i="7"/>
  <c r="GZ183" i="7"/>
  <c r="HA183" i="7"/>
  <c r="HB183" i="7"/>
  <c r="HC183" i="7"/>
  <c r="HD183" i="7"/>
  <c r="HE183" i="7"/>
  <c r="HF183" i="7"/>
  <c r="HG183" i="7"/>
  <c r="HH183" i="7"/>
  <c r="HI183" i="7"/>
  <c r="HJ183" i="7"/>
  <c r="HK183" i="7"/>
  <c r="HL183" i="7"/>
  <c r="HM183" i="7"/>
  <c r="HN183" i="7"/>
  <c r="HO183" i="7"/>
  <c r="HP183" i="7"/>
  <c r="HQ183" i="7"/>
  <c r="HR183" i="7"/>
  <c r="HS183" i="7"/>
  <c r="HT183" i="7"/>
  <c r="HU183" i="7"/>
  <c r="HV183" i="7"/>
  <c r="HW183" i="7"/>
  <c r="HX183" i="7"/>
  <c r="HY183" i="7"/>
  <c r="HZ183" i="7"/>
  <c r="IA183" i="7"/>
  <c r="IB183" i="7"/>
  <c r="IC183" i="7"/>
  <c r="ID183" i="7"/>
  <c r="IE183" i="7"/>
  <c r="IF183" i="7"/>
  <c r="IG183" i="7"/>
  <c r="IH183" i="7"/>
  <c r="II183" i="7"/>
  <c r="IJ183" i="7"/>
  <c r="IK183" i="7"/>
  <c r="IL183" i="7"/>
  <c r="IM183" i="7"/>
  <c r="IN183" i="7"/>
  <c r="IO183" i="7"/>
  <c r="IP183" i="7"/>
  <c r="IQ183" i="7"/>
  <c r="IR183" i="7"/>
  <c r="IS183" i="7"/>
  <c r="IT183" i="7"/>
  <c r="IU183" i="7"/>
  <c r="IV183" i="7"/>
  <c r="A182" i="7"/>
  <c r="B182" i="7"/>
  <c r="C182" i="7"/>
  <c r="D182" i="7"/>
  <c r="E182" i="7"/>
  <c r="F182" i="7"/>
  <c r="G182" i="7"/>
  <c r="H182" i="7"/>
  <c r="I182" i="7"/>
  <c r="J182" i="7"/>
  <c r="K182" i="7"/>
  <c r="L182" i="7"/>
  <c r="M182" i="7"/>
  <c r="N182" i="7"/>
  <c r="O182" i="7"/>
  <c r="P182" i="7"/>
  <c r="Q182" i="7"/>
  <c r="R182" i="7"/>
  <c r="S182" i="7"/>
  <c r="T182" i="7"/>
  <c r="U182" i="7"/>
  <c r="V182" i="7"/>
  <c r="W182" i="7"/>
  <c r="X182" i="7"/>
  <c r="Y182" i="7"/>
  <c r="Z182" i="7"/>
  <c r="AA182" i="7"/>
  <c r="AB182" i="7"/>
  <c r="AC182" i="7"/>
  <c r="AD182" i="7"/>
  <c r="AE182" i="7"/>
  <c r="AF182" i="7"/>
  <c r="AG182" i="7"/>
  <c r="AH182" i="7"/>
  <c r="AI182" i="7"/>
  <c r="AJ182" i="7"/>
  <c r="AK182" i="7"/>
  <c r="AL182" i="7"/>
  <c r="AM182" i="7"/>
  <c r="AN182" i="7"/>
  <c r="AO182" i="7"/>
  <c r="AP182" i="7"/>
  <c r="AQ182" i="7"/>
  <c r="AR182" i="7"/>
  <c r="AS182" i="7"/>
  <c r="AT182" i="7"/>
  <c r="AU182" i="7"/>
  <c r="AV182" i="7"/>
  <c r="AW182" i="7"/>
  <c r="AX182" i="7"/>
  <c r="AY182" i="7"/>
  <c r="AZ182" i="7"/>
  <c r="BA182" i="7"/>
  <c r="BB182" i="7"/>
  <c r="BC182" i="7"/>
  <c r="BD182" i="7"/>
  <c r="BE182" i="7"/>
  <c r="BF182" i="7"/>
  <c r="BG182" i="7"/>
  <c r="BH182" i="7"/>
  <c r="BI182" i="7"/>
  <c r="BJ182" i="7"/>
  <c r="BK182" i="7"/>
  <c r="BL182" i="7"/>
  <c r="BM182" i="7"/>
  <c r="BN182" i="7"/>
  <c r="BO182" i="7"/>
  <c r="BP182" i="7"/>
  <c r="BQ182" i="7"/>
  <c r="BR182" i="7"/>
  <c r="BS182" i="7"/>
  <c r="BT182" i="7"/>
  <c r="BU182" i="7"/>
  <c r="BV182" i="7"/>
  <c r="BW182" i="7"/>
  <c r="BX182" i="7"/>
  <c r="BY182" i="7"/>
  <c r="BZ182" i="7"/>
  <c r="CA182" i="7"/>
  <c r="CB182" i="7"/>
  <c r="CC182" i="7"/>
  <c r="CD182" i="7"/>
  <c r="CE182" i="7"/>
  <c r="CF182" i="7"/>
  <c r="CG182" i="7"/>
  <c r="CH182" i="7"/>
  <c r="CI182" i="7"/>
  <c r="CJ182" i="7"/>
  <c r="CK182" i="7"/>
  <c r="CL182" i="7"/>
  <c r="CM182" i="7"/>
  <c r="CN182" i="7"/>
  <c r="CO182" i="7"/>
  <c r="CP182" i="7"/>
  <c r="CQ182" i="7"/>
  <c r="CR182" i="7"/>
  <c r="CS182" i="7"/>
  <c r="CT182" i="7"/>
  <c r="CU182" i="7"/>
  <c r="CV182" i="7"/>
  <c r="CW182" i="7"/>
  <c r="CX182" i="7"/>
  <c r="CY182" i="7"/>
  <c r="CZ182" i="7"/>
  <c r="DA182" i="7"/>
  <c r="DB182" i="7"/>
  <c r="DC182" i="7"/>
  <c r="DD182" i="7"/>
  <c r="DE182" i="7"/>
  <c r="DF182" i="7"/>
  <c r="DG182" i="7"/>
  <c r="DH182" i="7"/>
  <c r="DI182" i="7"/>
  <c r="DJ182" i="7"/>
  <c r="DK182" i="7"/>
  <c r="DL182" i="7"/>
  <c r="DM182" i="7"/>
  <c r="DN182" i="7"/>
  <c r="DO182" i="7"/>
  <c r="DP182" i="7"/>
  <c r="DQ182" i="7"/>
  <c r="DR182" i="7"/>
  <c r="DS182" i="7"/>
  <c r="DT182" i="7"/>
  <c r="DU182" i="7"/>
  <c r="DV182" i="7"/>
  <c r="DW182" i="7"/>
  <c r="DX182" i="7"/>
  <c r="DY182" i="7"/>
  <c r="DZ182" i="7"/>
  <c r="EA182" i="7"/>
  <c r="EB182" i="7"/>
  <c r="EC182" i="7"/>
  <c r="ED182" i="7"/>
  <c r="EE182" i="7"/>
  <c r="EF182" i="7"/>
  <c r="EG182" i="7"/>
  <c r="EH182" i="7"/>
  <c r="EI182" i="7"/>
  <c r="EJ182" i="7"/>
  <c r="EK182" i="7"/>
  <c r="EL182" i="7"/>
  <c r="EM182" i="7"/>
  <c r="EN182" i="7"/>
  <c r="EO182" i="7"/>
  <c r="EP182" i="7"/>
  <c r="EQ182" i="7"/>
  <c r="ER182" i="7"/>
  <c r="ES182" i="7"/>
  <c r="ET182" i="7"/>
  <c r="EU182" i="7"/>
  <c r="EV182" i="7"/>
  <c r="EW182" i="7"/>
  <c r="EX182" i="7"/>
  <c r="EY182" i="7"/>
  <c r="EZ182" i="7"/>
  <c r="FA182" i="7"/>
  <c r="FB182" i="7"/>
  <c r="FC182" i="7"/>
  <c r="FD182" i="7"/>
  <c r="FE182" i="7"/>
  <c r="FF182" i="7"/>
  <c r="FG182" i="7"/>
  <c r="FH182" i="7"/>
  <c r="FI182" i="7"/>
  <c r="FJ182" i="7"/>
  <c r="FK182" i="7"/>
  <c r="FL182" i="7"/>
  <c r="FM182" i="7"/>
  <c r="FN182" i="7"/>
  <c r="FO182" i="7"/>
  <c r="FP182" i="7"/>
  <c r="FQ182" i="7"/>
  <c r="FR182" i="7"/>
  <c r="FS182" i="7"/>
  <c r="FT182" i="7"/>
  <c r="FU182" i="7"/>
  <c r="FV182" i="7"/>
  <c r="FW182" i="7"/>
  <c r="FX182" i="7"/>
  <c r="FY182" i="7"/>
  <c r="FZ182" i="7"/>
  <c r="GA182" i="7"/>
  <c r="GB182" i="7"/>
  <c r="GC182" i="7"/>
  <c r="GD182" i="7"/>
  <c r="GE182" i="7"/>
  <c r="GF182" i="7"/>
  <c r="GG182" i="7"/>
  <c r="GH182" i="7"/>
  <c r="GI182" i="7"/>
  <c r="GJ182" i="7"/>
  <c r="GK182" i="7"/>
  <c r="GL182" i="7"/>
  <c r="GM182" i="7"/>
  <c r="GN182" i="7"/>
  <c r="GO182" i="7"/>
  <c r="GP182" i="7"/>
  <c r="GQ182" i="7"/>
  <c r="GR182" i="7"/>
  <c r="GS182" i="7"/>
  <c r="GT182" i="7"/>
  <c r="GU182" i="7"/>
  <c r="GV182" i="7"/>
  <c r="GW182" i="7"/>
  <c r="GX182" i="7"/>
  <c r="GY182" i="7"/>
  <c r="GZ182" i="7"/>
  <c r="HA182" i="7"/>
  <c r="HB182" i="7"/>
  <c r="HC182" i="7"/>
  <c r="HD182" i="7"/>
  <c r="HE182" i="7"/>
  <c r="HF182" i="7"/>
  <c r="HG182" i="7"/>
  <c r="HH182" i="7"/>
  <c r="HI182" i="7"/>
  <c r="HJ182" i="7"/>
  <c r="HK182" i="7"/>
  <c r="HL182" i="7"/>
  <c r="HM182" i="7"/>
  <c r="HN182" i="7"/>
  <c r="HO182" i="7"/>
  <c r="HP182" i="7"/>
  <c r="HQ182" i="7"/>
  <c r="HR182" i="7"/>
  <c r="HS182" i="7"/>
  <c r="HT182" i="7"/>
  <c r="HU182" i="7"/>
  <c r="HV182" i="7"/>
  <c r="HW182" i="7"/>
  <c r="HX182" i="7"/>
  <c r="HY182" i="7"/>
  <c r="HZ182" i="7"/>
  <c r="IA182" i="7"/>
  <c r="IB182" i="7"/>
  <c r="IC182" i="7"/>
  <c r="ID182" i="7"/>
  <c r="IE182" i="7"/>
  <c r="IF182" i="7"/>
  <c r="IG182" i="7"/>
  <c r="IH182" i="7"/>
  <c r="II182" i="7"/>
  <c r="IJ182" i="7"/>
  <c r="IK182" i="7"/>
  <c r="IL182" i="7"/>
  <c r="IM182" i="7"/>
  <c r="IN182" i="7"/>
  <c r="IO182" i="7"/>
  <c r="IP182" i="7"/>
  <c r="IQ182" i="7"/>
  <c r="IR182" i="7"/>
  <c r="IS182" i="7"/>
  <c r="IT182" i="7"/>
  <c r="IU182" i="7"/>
  <c r="IV182" i="7"/>
  <c r="A181" i="7"/>
  <c r="B181" i="7"/>
  <c r="C181" i="7"/>
  <c r="D181" i="7"/>
  <c r="E181" i="7"/>
  <c r="F181" i="7"/>
  <c r="G181" i="7"/>
  <c r="H181" i="7"/>
  <c r="I181" i="7"/>
  <c r="J181" i="7"/>
  <c r="K181" i="7"/>
  <c r="L181" i="7"/>
  <c r="M181" i="7"/>
  <c r="N181" i="7"/>
  <c r="O181" i="7"/>
  <c r="P181" i="7"/>
  <c r="Q181" i="7"/>
  <c r="R181" i="7"/>
  <c r="S181" i="7"/>
  <c r="T181" i="7"/>
  <c r="U181" i="7"/>
  <c r="V181" i="7"/>
  <c r="W181" i="7"/>
  <c r="X181" i="7"/>
  <c r="Y181" i="7"/>
  <c r="Z181" i="7"/>
  <c r="AA181" i="7"/>
  <c r="AB181" i="7"/>
  <c r="AC181" i="7"/>
  <c r="AD181" i="7"/>
  <c r="AE181" i="7"/>
  <c r="AF181" i="7"/>
  <c r="AG181" i="7"/>
  <c r="AH181" i="7"/>
  <c r="AI181" i="7"/>
  <c r="AJ181" i="7"/>
  <c r="AK181" i="7"/>
  <c r="AL181" i="7"/>
  <c r="AM181" i="7"/>
  <c r="AN181" i="7"/>
  <c r="AO181" i="7"/>
  <c r="AP181" i="7"/>
  <c r="AQ181" i="7"/>
  <c r="AR181" i="7"/>
  <c r="AS181" i="7"/>
  <c r="AT181" i="7"/>
  <c r="AU181" i="7"/>
  <c r="AV181" i="7"/>
  <c r="AW181" i="7"/>
  <c r="AX181" i="7"/>
  <c r="AY181" i="7"/>
  <c r="AZ181" i="7"/>
  <c r="BA181" i="7"/>
  <c r="BB181" i="7"/>
  <c r="BC181" i="7"/>
  <c r="BD181" i="7"/>
  <c r="BE181" i="7"/>
  <c r="BF181" i="7"/>
  <c r="BG181" i="7"/>
  <c r="BH181" i="7"/>
  <c r="BI181" i="7"/>
  <c r="BJ181" i="7"/>
  <c r="BK181" i="7"/>
  <c r="BL181" i="7"/>
  <c r="BM181" i="7"/>
  <c r="BN181" i="7"/>
  <c r="BO181" i="7"/>
  <c r="BP181" i="7"/>
  <c r="BQ181" i="7"/>
  <c r="BR181" i="7"/>
  <c r="BS181" i="7"/>
  <c r="BT181" i="7"/>
  <c r="BU181" i="7"/>
  <c r="BV181" i="7"/>
  <c r="BW181" i="7"/>
  <c r="BX181" i="7"/>
  <c r="BY181" i="7"/>
  <c r="BZ181" i="7"/>
  <c r="CA181" i="7"/>
  <c r="CB181" i="7"/>
  <c r="CC181" i="7"/>
  <c r="CD181" i="7"/>
  <c r="CE181" i="7"/>
  <c r="CF181" i="7"/>
  <c r="CG181" i="7"/>
  <c r="CH181" i="7"/>
  <c r="CI181" i="7"/>
  <c r="CJ181" i="7"/>
  <c r="CK181" i="7"/>
  <c r="CL181" i="7"/>
  <c r="CM181" i="7"/>
  <c r="CN181" i="7"/>
  <c r="CO181" i="7"/>
  <c r="CP181" i="7"/>
  <c r="CQ181" i="7"/>
  <c r="CR181" i="7"/>
  <c r="CS181" i="7"/>
  <c r="CT181" i="7"/>
  <c r="CU181" i="7"/>
  <c r="CV181" i="7"/>
  <c r="CW181" i="7"/>
  <c r="CX181" i="7"/>
  <c r="CY181" i="7"/>
  <c r="CZ181" i="7"/>
  <c r="DA181" i="7"/>
  <c r="DB181" i="7"/>
  <c r="DC181" i="7"/>
  <c r="DD181" i="7"/>
  <c r="DE181" i="7"/>
  <c r="DF181" i="7"/>
  <c r="DG181" i="7"/>
  <c r="DH181" i="7"/>
  <c r="DI181" i="7"/>
  <c r="DJ181" i="7"/>
  <c r="DK181" i="7"/>
  <c r="DL181" i="7"/>
  <c r="DM181" i="7"/>
  <c r="DN181" i="7"/>
  <c r="DO181" i="7"/>
  <c r="DP181" i="7"/>
  <c r="DQ181" i="7"/>
  <c r="DR181" i="7"/>
  <c r="DS181" i="7"/>
  <c r="DT181" i="7"/>
  <c r="DU181" i="7"/>
  <c r="DV181" i="7"/>
  <c r="DW181" i="7"/>
  <c r="DX181" i="7"/>
  <c r="DY181" i="7"/>
  <c r="DZ181" i="7"/>
  <c r="EA181" i="7"/>
  <c r="EB181" i="7"/>
  <c r="EC181" i="7"/>
  <c r="ED181" i="7"/>
  <c r="EE181" i="7"/>
  <c r="EF181" i="7"/>
  <c r="EG181" i="7"/>
  <c r="EH181" i="7"/>
  <c r="EI181" i="7"/>
  <c r="EJ181" i="7"/>
  <c r="EK181" i="7"/>
  <c r="EL181" i="7"/>
  <c r="EM181" i="7"/>
  <c r="EN181" i="7"/>
  <c r="EO181" i="7"/>
  <c r="EP181" i="7"/>
  <c r="EQ181" i="7"/>
  <c r="ER181" i="7"/>
  <c r="ES181" i="7"/>
  <c r="ET181" i="7"/>
  <c r="EU181" i="7"/>
  <c r="EV181" i="7"/>
  <c r="EW181" i="7"/>
  <c r="EX181" i="7"/>
  <c r="EY181" i="7"/>
  <c r="EZ181" i="7"/>
  <c r="FA181" i="7"/>
  <c r="FB181" i="7"/>
  <c r="FC181" i="7"/>
  <c r="FD181" i="7"/>
  <c r="FE181" i="7"/>
  <c r="FF181" i="7"/>
  <c r="FG181" i="7"/>
  <c r="FH181" i="7"/>
  <c r="FI181" i="7"/>
  <c r="FJ181" i="7"/>
  <c r="FK181" i="7"/>
  <c r="FL181" i="7"/>
  <c r="FM181" i="7"/>
  <c r="FN181" i="7"/>
  <c r="FO181" i="7"/>
  <c r="FP181" i="7"/>
  <c r="FQ181" i="7"/>
  <c r="FR181" i="7"/>
  <c r="FS181" i="7"/>
  <c r="FT181" i="7"/>
  <c r="FU181" i="7"/>
  <c r="FV181" i="7"/>
  <c r="FW181" i="7"/>
  <c r="FX181" i="7"/>
  <c r="FY181" i="7"/>
  <c r="FZ181" i="7"/>
  <c r="GA181" i="7"/>
  <c r="GB181" i="7"/>
  <c r="GC181" i="7"/>
  <c r="GD181" i="7"/>
  <c r="GE181" i="7"/>
  <c r="GF181" i="7"/>
  <c r="GG181" i="7"/>
  <c r="GH181" i="7"/>
  <c r="GI181" i="7"/>
  <c r="GJ181" i="7"/>
  <c r="GK181" i="7"/>
  <c r="GL181" i="7"/>
  <c r="GM181" i="7"/>
  <c r="GN181" i="7"/>
  <c r="GO181" i="7"/>
  <c r="GP181" i="7"/>
  <c r="GQ181" i="7"/>
  <c r="GR181" i="7"/>
  <c r="GS181" i="7"/>
  <c r="GT181" i="7"/>
  <c r="GU181" i="7"/>
  <c r="GV181" i="7"/>
  <c r="GW181" i="7"/>
  <c r="GX181" i="7"/>
  <c r="GY181" i="7"/>
  <c r="GZ181" i="7"/>
  <c r="HA181" i="7"/>
  <c r="HB181" i="7"/>
  <c r="HC181" i="7"/>
  <c r="HD181" i="7"/>
  <c r="HE181" i="7"/>
  <c r="HF181" i="7"/>
  <c r="HG181" i="7"/>
  <c r="HH181" i="7"/>
  <c r="HI181" i="7"/>
  <c r="HJ181" i="7"/>
  <c r="HK181" i="7"/>
  <c r="HL181" i="7"/>
  <c r="HM181" i="7"/>
  <c r="HN181" i="7"/>
  <c r="HO181" i="7"/>
  <c r="HP181" i="7"/>
  <c r="HQ181" i="7"/>
  <c r="HR181" i="7"/>
  <c r="HS181" i="7"/>
  <c r="HT181" i="7"/>
  <c r="HU181" i="7"/>
  <c r="HV181" i="7"/>
  <c r="HW181" i="7"/>
  <c r="HX181" i="7"/>
  <c r="HY181" i="7"/>
  <c r="HZ181" i="7"/>
  <c r="IA181" i="7"/>
  <c r="IB181" i="7"/>
  <c r="IC181" i="7"/>
  <c r="ID181" i="7"/>
  <c r="IE181" i="7"/>
  <c r="IF181" i="7"/>
  <c r="IG181" i="7"/>
  <c r="IH181" i="7"/>
  <c r="II181" i="7"/>
  <c r="IJ181" i="7"/>
  <c r="IK181" i="7"/>
  <c r="IL181" i="7"/>
  <c r="IM181" i="7"/>
  <c r="IN181" i="7"/>
  <c r="IO181" i="7"/>
  <c r="IP181" i="7"/>
  <c r="IQ181" i="7"/>
  <c r="IR181" i="7"/>
  <c r="IS181" i="7"/>
  <c r="IT181" i="7"/>
  <c r="IU181" i="7"/>
  <c r="IV181" i="7"/>
  <c r="A180" i="7"/>
  <c r="B180" i="7"/>
  <c r="C180" i="7"/>
  <c r="D180" i="7"/>
  <c r="E180" i="7"/>
  <c r="F180" i="7"/>
  <c r="G180" i="7"/>
  <c r="H180" i="7"/>
  <c r="I180" i="7"/>
  <c r="J180" i="7"/>
  <c r="K180" i="7"/>
  <c r="L180" i="7"/>
  <c r="M180" i="7"/>
  <c r="N180" i="7"/>
  <c r="O180" i="7"/>
  <c r="P180" i="7"/>
  <c r="Q180" i="7"/>
  <c r="R180" i="7"/>
  <c r="S180" i="7"/>
  <c r="T180" i="7"/>
  <c r="U180" i="7"/>
  <c r="V180" i="7"/>
  <c r="W180" i="7"/>
  <c r="X180" i="7"/>
  <c r="Y180" i="7"/>
  <c r="Z180" i="7"/>
  <c r="AA180" i="7"/>
  <c r="AB180" i="7"/>
  <c r="AC180" i="7"/>
  <c r="AD180" i="7"/>
  <c r="AE180" i="7"/>
  <c r="AF180" i="7"/>
  <c r="AG180" i="7"/>
  <c r="AH180" i="7"/>
  <c r="AI180" i="7"/>
  <c r="AJ180" i="7"/>
  <c r="AK180" i="7"/>
  <c r="AL180" i="7"/>
  <c r="AM180" i="7"/>
  <c r="AN180" i="7"/>
  <c r="AO180" i="7"/>
  <c r="AP180" i="7"/>
  <c r="AQ180" i="7"/>
  <c r="AR180" i="7"/>
  <c r="AS180" i="7"/>
  <c r="AT180" i="7"/>
  <c r="AU180" i="7"/>
  <c r="AV180" i="7"/>
  <c r="AW180" i="7"/>
  <c r="AX180" i="7"/>
  <c r="AY180" i="7"/>
  <c r="AZ180" i="7"/>
  <c r="BA180" i="7"/>
  <c r="BB180" i="7"/>
  <c r="BC180" i="7"/>
  <c r="BD180" i="7"/>
  <c r="BE180" i="7"/>
  <c r="BF180" i="7"/>
  <c r="BG180" i="7"/>
  <c r="BH180" i="7"/>
  <c r="BI180" i="7"/>
  <c r="BJ180" i="7"/>
  <c r="BK180" i="7"/>
  <c r="BL180" i="7"/>
  <c r="BM180" i="7"/>
  <c r="BN180" i="7"/>
  <c r="BO180" i="7"/>
  <c r="BP180" i="7"/>
  <c r="BQ180" i="7"/>
  <c r="BR180" i="7"/>
  <c r="BS180" i="7"/>
  <c r="BT180" i="7"/>
  <c r="BU180" i="7"/>
  <c r="BV180" i="7"/>
  <c r="BW180" i="7"/>
  <c r="BX180" i="7"/>
  <c r="BY180" i="7"/>
  <c r="BZ180" i="7"/>
  <c r="CA180" i="7"/>
  <c r="CB180" i="7"/>
  <c r="CC180" i="7"/>
  <c r="CD180" i="7"/>
  <c r="CE180" i="7"/>
  <c r="CF180" i="7"/>
  <c r="CG180" i="7"/>
  <c r="CH180" i="7"/>
  <c r="CI180" i="7"/>
  <c r="CJ180" i="7"/>
  <c r="CK180" i="7"/>
  <c r="CL180" i="7"/>
  <c r="CM180" i="7"/>
  <c r="CN180" i="7"/>
  <c r="CO180" i="7"/>
  <c r="CP180" i="7"/>
  <c r="CQ180" i="7"/>
  <c r="CR180" i="7"/>
  <c r="CS180" i="7"/>
  <c r="CT180" i="7"/>
  <c r="CU180" i="7"/>
  <c r="CV180" i="7"/>
  <c r="CW180" i="7"/>
  <c r="CX180" i="7"/>
  <c r="CY180" i="7"/>
  <c r="CZ180" i="7"/>
  <c r="DA180" i="7"/>
  <c r="DB180" i="7"/>
  <c r="DC180" i="7"/>
  <c r="DD180" i="7"/>
  <c r="DE180" i="7"/>
  <c r="DF180" i="7"/>
  <c r="DG180" i="7"/>
  <c r="DH180" i="7"/>
  <c r="DI180" i="7"/>
  <c r="DJ180" i="7"/>
  <c r="DK180" i="7"/>
  <c r="DL180" i="7"/>
  <c r="DM180" i="7"/>
  <c r="DN180" i="7"/>
  <c r="DO180" i="7"/>
  <c r="DP180" i="7"/>
  <c r="DQ180" i="7"/>
  <c r="DR180" i="7"/>
  <c r="DS180" i="7"/>
  <c r="DT180" i="7"/>
  <c r="DU180" i="7"/>
  <c r="DV180" i="7"/>
  <c r="DW180" i="7"/>
  <c r="DX180" i="7"/>
  <c r="DY180" i="7"/>
  <c r="DZ180" i="7"/>
  <c r="EA180" i="7"/>
  <c r="EB180" i="7"/>
  <c r="EC180" i="7"/>
  <c r="ED180" i="7"/>
  <c r="EE180" i="7"/>
  <c r="EF180" i="7"/>
  <c r="EG180" i="7"/>
  <c r="EH180" i="7"/>
  <c r="EI180" i="7"/>
  <c r="EJ180" i="7"/>
  <c r="EK180" i="7"/>
  <c r="EL180" i="7"/>
  <c r="EM180" i="7"/>
  <c r="EN180" i="7"/>
  <c r="EO180" i="7"/>
  <c r="EP180" i="7"/>
  <c r="EQ180" i="7"/>
  <c r="ER180" i="7"/>
  <c r="ES180" i="7"/>
  <c r="ET180" i="7"/>
  <c r="EU180" i="7"/>
  <c r="EV180" i="7"/>
  <c r="EW180" i="7"/>
  <c r="EX180" i="7"/>
  <c r="EY180" i="7"/>
  <c r="EZ180" i="7"/>
  <c r="FA180" i="7"/>
  <c r="FB180" i="7"/>
  <c r="FC180" i="7"/>
  <c r="FD180" i="7"/>
  <c r="FE180" i="7"/>
  <c r="FF180" i="7"/>
  <c r="FG180" i="7"/>
  <c r="FH180" i="7"/>
  <c r="FI180" i="7"/>
  <c r="FJ180" i="7"/>
  <c r="FK180" i="7"/>
  <c r="FL180" i="7"/>
  <c r="FM180" i="7"/>
  <c r="FN180" i="7"/>
  <c r="FO180" i="7"/>
  <c r="FP180" i="7"/>
  <c r="FQ180" i="7"/>
  <c r="FR180" i="7"/>
  <c r="FS180" i="7"/>
  <c r="FT180" i="7"/>
  <c r="FU180" i="7"/>
  <c r="FV180" i="7"/>
  <c r="FW180" i="7"/>
  <c r="FX180" i="7"/>
  <c r="FY180" i="7"/>
  <c r="FZ180" i="7"/>
  <c r="GA180" i="7"/>
  <c r="GB180" i="7"/>
  <c r="GC180" i="7"/>
  <c r="GD180" i="7"/>
  <c r="GE180" i="7"/>
  <c r="GF180" i="7"/>
  <c r="GG180" i="7"/>
  <c r="GH180" i="7"/>
  <c r="GI180" i="7"/>
  <c r="GJ180" i="7"/>
  <c r="GK180" i="7"/>
  <c r="GL180" i="7"/>
  <c r="GM180" i="7"/>
  <c r="GN180" i="7"/>
  <c r="GO180" i="7"/>
  <c r="GP180" i="7"/>
  <c r="GQ180" i="7"/>
  <c r="GR180" i="7"/>
  <c r="GS180" i="7"/>
  <c r="GT180" i="7"/>
  <c r="GU180" i="7"/>
  <c r="GV180" i="7"/>
  <c r="GW180" i="7"/>
  <c r="GX180" i="7"/>
  <c r="GY180" i="7"/>
  <c r="GZ180" i="7"/>
  <c r="HA180" i="7"/>
  <c r="HB180" i="7"/>
  <c r="HC180" i="7"/>
  <c r="HD180" i="7"/>
  <c r="HE180" i="7"/>
  <c r="HF180" i="7"/>
  <c r="HG180" i="7"/>
  <c r="HH180" i="7"/>
  <c r="HI180" i="7"/>
  <c r="HJ180" i="7"/>
  <c r="HK180" i="7"/>
  <c r="HL180" i="7"/>
  <c r="HM180" i="7"/>
  <c r="HN180" i="7"/>
  <c r="HO180" i="7"/>
  <c r="HP180" i="7"/>
  <c r="HQ180" i="7"/>
  <c r="HR180" i="7"/>
  <c r="HS180" i="7"/>
  <c r="HT180" i="7"/>
  <c r="HU180" i="7"/>
  <c r="HV180" i="7"/>
  <c r="HW180" i="7"/>
  <c r="HX180" i="7"/>
  <c r="HY180" i="7"/>
  <c r="HZ180" i="7"/>
  <c r="IA180" i="7"/>
  <c r="IB180" i="7"/>
  <c r="IC180" i="7"/>
  <c r="ID180" i="7"/>
  <c r="IE180" i="7"/>
  <c r="IF180" i="7"/>
  <c r="IG180" i="7"/>
  <c r="IH180" i="7"/>
  <c r="II180" i="7"/>
  <c r="IJ180" i="7"/>
  <c r="IK180" i="7"/>
  <c r="IL180" i="7"/>
  <c r="IM180" i="7"/>
  <c r="IN180" i="7"/>
  <c r="IO180" i="7"/>
  <c r="IP180" i="7"/>
  <c r="IQ180" i="7"/>
  <c r="IR180" i="7"/>
  <c r="IS180" i="7"/>
  <c r="IT180" i="7"/>
  <c r="IU180" i="7"/>
  <c r="IV180" i="7"/>
  <c r="A179" i="7"/>
  <c r="B179" i="7"/>
  <c r="C179" i="7"/>
  <c r="D179" i="7"/>
  <c r="E179" i="7"/>
  <c r="F179" i="7"/>
  <c r="G179" i="7"/>
  <c r="H179" i="7"/>
  <c r="I179" i="7"/>
  <c r="J179" i="7"/>
  <c r="K179" i="7"/>
  <c r="L179" i="7"/>
  <c r="M179" i="7"/>
  <c r="N179" i="7"/>
  <c r="O179" i="7"/>
  <c r="P179" i="7"/>
  <c r="Q179" i="7"/>
  <c r="R179" i="7"/>
  <c r="S179" i="7"/>
  <c r="T179" i="7"/>
  <c r="U179" i="7"/>
  <c r="V179" i="7"/>
  <c r="W179" i="7"/>
  <c r="X179" i="7"/>
  <c r="Y179" i="7"/>
  <c r="Z179" i="7"/>
  <c r="AA179" i="7"/>
  <c r="AB179" i="7"/>
  <c r="AC179" i="7"/>
  <c r="AD179" i="7"/>
  <c r="AE179" i="7"/>
  <c r="AF179" i="7"/>
  <c r="AG179" i="7"/>
  <c r="AH179" i="7"/>
  <c r="AI179" i="7"/>
  <c r="AJ179" i="7"/>
  <c r="AK179" i="7"/>
  <c r="AL179" i="7"/>
  <c r="AM179" i="7"/>
  <c r="AN179" i="7"/>
  <c r="AO179" i="7"/>
  <c r="AP179" i="7"/>
  <c r="AQ179" i="7"/>
  <c r="AR179" i="7"/>
  <c r="AS179" i="7"/>
  <c r="AT179" i="7"/>
  <c r="AU179" i="7"/>
  <c r="AV179" i="7"/>
  <c r="AW179" i="7"/>
  <c r="AX179" i="7"/>
  <c r="AY179" i="7"/>
  <c r="AZ179" i="7"/>
  <c r="BA179" i="7"/>
  <c r="BB179" i="7"/>
  <c r="BC179" i="7"/>
  <c r="BD179" i="7"/>
  <c r="BE179" i="7"/>
  <c r="BF179" i="7"/>
  <c r="BG179" i="7"/>
  <c r="BH179" i="7"/>
  <c r="BI179" i="7"/>
  <c r="BJ179" i="7"/>
  <c r="BK179" i="7"/>
  <c r="BL179" i="7"/>
  <c r="BM179" i="7"/>
  <c r="BN179" i="7"/>
  <c r="BO179" i="7"/>
  <c r="BP179" i="7"/>
  <c r="BQ179" i="7"/>
  <c r="BR179" i="7"/>
  <c r="BS179" i="7"/>
  <c r="BT179" i="7"/>
  <c r="BU179" i="7"/>
  <c r="BV179" i="7"/>
  <c r="BW179" i="7"/>
  <c r="BX179" i="7"/>
  <c r="BY179" i="7"/>
  <c r="BZ179" i="7"/>
  <c r="CA179" i="7"/>
  <c r="CB179" i="7"/>
  <c r="CC179" i="7"/>
  <c r="CD179" i="7"/>
  <c r="CE179" i="7"/>
  <c r="CF179" i="7"/>
  <c r="CG179" i="7"/>
  <c r="CH179" i="7"/>
  <c r="CI179" i="7"/>
  <c r="CJ179" i="7"/>
  <c r="CK179" i="7"/>
  <c r="CL179" i="7"/>
  <c r="CM179" i="7"/>
  <c r="CN179" i="7"/>
  <c r="CO179" i="7"/>
  <c r="CP179" i="7"/>
  <c r="CQ179" i="7"/>
  <c r="CR179" i="7"/>
  <c r="CS179" i="7"/>
  <c r="CT179" i="7"/>
  <c r="CU179" i="7"/>
  <c r="CV179" i="7"/>
  <c r="CW179" i="7"/>
  <c r="CX179" i="7"/>
  <c r="CY179" i="7"/>
  <c r="CZ179" i="7"/>
  <c r="DA179" i="7"/>
  <c r="DB179" i="7"/>
  <c r="DC179" i="7"/>
  <c r="DD179" i="7"/>
  <c r="DE179" i="7"/>
  <c r="DF179" i="7"/>
  <c r="DG179" i="7"/>
  <c r="DH179" i="7"/>
  <c r="DI179" i="7"/>
  <c r="DJ179" i="7"/>
  <c r="DK179" i="7"/>
  <c r="DL179" i="7"/>
  <c r="DM179" i="7"/>
  <c r="DN179" i="7"/>
  <c r="DO179" i="7"/>
  <c r="DP179" i="7"/>
  <c r="DQ179" i="7"/>
  <c r="DR179" i="7"/>
  <c r="DS179" i="7"/>
  <c r="DT179" i="7"/>
  <c r="DU179" i="7"/>
  <c r="DV179" i="7"/>
  <c r="DW179" i="7"/>
  <c r="DX179" i="7"/>
  <c r="DY179" i="7"/>
  <c r="DZ179" i="7"/>
  <c r="EA179" i="7"/>
  <c r="EB179" i="7"/>
  <c r="EC179" i="7"/>
  <c r="ED179" i="7"/>
  <c r="EE179" i="7"/>
  <c r="EF179" i="7"/>
  <c r="EG179" i="7"/>
  <c r="EH179" i="7"/>
  <c r="EI179" i="7"/>
  <c r="EJ179" i="7"/>
  <c r="EK179" i="7"/>
  <c r="EL179" i="7"/>
  <c r="EM179" i="7"/>
  <c r="EN179" i="7"/>
  <c r="EO179" i="7"/>
  <c r="EP179" i="7"/>
  <c r="EQ179" i="7"/>
  <c r="ER179" i="7"/>
  <c r="ES179" i="7"/>
  <c r="ET179" i="7"/>
  <c r="EU179" i="7"/>
  <c r="EV179" i="7"/>
  <c r="EW179" i="7"/>
  <c r="EX179" i="7"/>
  <c r="EY179" i="7"/>
  <c r="EZ179" i="7"/>
  <c r="FA179" i="7"/>
  <c r="FB179" i="7"/>
  <c r="FC179" i="7"/>
  <c r="FD179" i="7"/>
  <c r="FE179" i="7"/>
  <c r="FF179" i="7"/>
  <c r="FG179" i="7"/>
  <c r="FH179" i="7"/>
  <c r="FI179" i="7"/>
  <c r="FJ179" i="7"/>
  <c r="FK179" i="7"/>
  <c r="FL179" i="7"/>
  <c r="FM179" i="7"/>
  <c r="FN179" i="7"/>
  <c r="FO179" i="7"/>
  <c r="FP179" i="7"/>
  <c r="FQ179" i="7"/>
  <c r="FR179" i="7"/>
  <c r="FS179" i="7"/>
  <c r="FT179" i="7"/>
  <c r="FU179" i="7"/>
  <c r="FV179" i="7"/>
  <c r="FW179" i="7"/>
  <c r="FX179" i="7"/>
  <c r="FY179" i="7"/>
  <c r="FZ179" i="7"/>
  <c r="GA179" i="7"/>
  <c r="GB179" i="7"/>
  <c r="GC179" i="7"/>
  <c r="GD179" i="7"/>
  <c r="GE179" i="7"/>
  <c r="GF179" i="7"/>
  <c r="GG179" i="7"/>
  <c r="GH179" i="7"/>
  <c r="GI179" i="7"/>
  <c r="GJ179" i="7"/>
  <c r="GK179" i="7"/>
  <c r="GL179" i="7"/>
  <c r="GM179" i="7"/>
  <c r="GN179" i="7"/>
  <c r="GO179" i="7"/>
  <c r="GP179" i="7"/>
  <c r="GQ179" i="7"/>
  <c r="GR179" i="7"/>
  <c r="GS179" i="7"/>
  <c r="GT179" i="7"/>
  <c r="GU179" i="7"/>
  <c r="GV179" i="7"/>
  <c r="GW179" i="7"/>
  <c r="GX179" i="7"/>
  <c r="GY179" i="7"/>
  <c r="GZ179" i="7"/>
  <c r="HA179" i="7"/>
  <c r="HB179" i="7"/>
  <c r="HC179" i="7"/>
  <c r="HD179" i="7"/>
  <c r="HE179" i="7"/>
  <c r="HF179" i="7"/>
  <c r="HG179" i="7"/>
  <c r="HH179" i="7"/>
  <c r="HI179" i="7"/>
  <c r="HJ179" i="7"/>
  <c r="HK179" i="7"/>
  <c r="HL179" i="7"/>
  <c r="HM179" i="7"/>
  <c r="HN179" i="7"/>
  <c r="HO179" i="7"/>
  <c r="HP179" i="7"/>
  <c r="HQ179" i="7"/>
  <c r="HR179" i="7"/>
  <c r="HS179" i="7"/>
  <c r="HT179" i="7"/>
  <c r="HU179" i="7"/>
  <c r="HV179" i="7"/>
  <c r="HW179" i="7"/>
  <c r="HX179" i="7"/>
  <c r="HY179" i="7"/>
  <c r="HZ179" i="7"/>
  <c r="IA179" i="7"/>
  <c r="IB179" i="7"/>
  <c r="IC179" i="7"/>
  <c r="ID179" i="7"/>
  <c r="IE179" i="7"/>
  <c r="IF179" i="7"/>
  <c r="IG179" i="7"/>
  <c r="IH179" i="7"/>
  <c r="II179" i="7"/>
  <c r="IJ179" i="7"/>
  <c r="IK179" i="7"/>
  <c r="IL179" i="7"/>
  <c r="IM179" i="7"/>
  <c r="IN179" i="7"/>
  <c r="IO179" i="7"/>
  <c r="IP179" i="7"/>
  <c r="IQ179" i="7"/>
  <c r="IR179" i="7"/>
  <c r="IS179" i="7"/>
  <c r="IT179" i="7"/>
  <c r="IU179" i="7"/>
  <c r="IV179" i="7"/>
  <c r="A178" i="7"/>
  <c r="B178" i="7"/>
  <c r="C178" i="7"/>
  <c r="D178" i="7"/>
  <c r="E178" i="7"/>
  <c r="F178" i="7"/>
  <c r="G178" i="7"/>
  <c r="H178" i="7"/>
  <c r="I178" i="7"/>
  <c r="J178" i="7"/>
  <c r="K178" i="7"/>
  <c r="L178" i="7"/>
  <c r="M178" i="7"/>
  <c r="N178" i="7"/>
  <c r="O178" i="7"/>
  <c r="P178" i="7"/>
  <c r="Q178" i="7"/>
  <c r="R178" i="7"/>
  <c r="S178" i="7"/>
  <c r="T178" i="7"/>
  <c r="U178" i="7"/>
  <c r="V178" i="7"/>
  <c r="W178" i="7"/>
  <c r="X178" i="7"/>
  <c r="Y178" i="7"/>
  <c r="Z178" i="7"/>
  <c r="AA178" i="7"/>
  <c r="AB178" i="7"/>
  <c r="AC178" i="7"/>
  <c r="AD178" i="7"/>
  <c r="AE178" i="7"/>
  <c r="AF178" i="7"/>
  <c r="AG178" i="7"/>
  <c r="AH178" i="7"/>
  <c r="AI178" i="7"/>
  <c r="AJ178" i="7"/>
  <c r="AK178" i="7"/>
  <c r="AL178" i="7"/>
  <c r="AM178" i="7"/>
  <c r="AN178" i="7"/>
  <c r="AO178" i="7"/>
  <c r="AP178" i="7"/>
  <c r="AQ178" i="7"/>
  <c r="AR178" i="7"/>
  <c r="AS178" i="7"/>
  <c r="AT178" i="7"/>
  <c r="AU178" i="7"/>
  <c r="AV178" i="7"/>
  <c r="AW178" i="7"/>
  <c r="AX178" i="7"/>
  <c r="AY178" i="7"/>
  <c r="AZ178" i="7"/>
  <c r="BA178" i="7"/>
  <c r="BB178" i="7"/>
  <c r="BC178" i="7"/>
  <c r="BD178" i="7"/>
  <c r="BE178" i="7"/>
  <c r="BF178" i="7"/>
  <c r="BG178" i="7"/>
  <c r="BH178" i="7"/>
  <c r="BI178" i="7"/>
  <c r="BJ178" i="7"/>
  <c r="BK178" i="7"/>
  <c r="BL178" i="7"/>
  <c r="BM178" i="7"/>
  <c r="BN178" i="7"/>
  <c r="BO178" i="7"/>
  <c r="BP178" i="7"/>
  <c r="BQ178" i="7"/>
  <c r="BR178" i="7"/>
  <c r="BS178" i="7"/>
  <c r="BT178" i="7"/>
  <c r="BU178" i="7"/>
  <c r="BV178" i="7"/>
  <c r="BW178" i="7"/>
  <c r="BX178" i="7"/>
  <c r="BY178" i="7"/>
  <c r="BZ178" i="7"/>
  <c r="CA178" i="7"/>
  <c r="CB178" i="7"/>
  <c r="CC178" i="7"/>
  <c r="CD178" i="7"/>
  <c r="CE178" i="7"/>
  <c r="CF178" i="7"/>
  <c r="CG178" i="7"/>
  <c r="CH178" i="7"/>
  <c r="CI178" i="7"/>
  <c r="CJ178" i="7"/>
  <c r="CK178" i="7"/>
  <c r="CL178" i="7"/>
  <c r="CM178" i="7"/>
  <c r="CN178" i="7"/>
  <c r="CO178" i="7"/>
  <c r="CP178" i="7"/>
  <c r="CQ178" i="7"/>
  <c r="CR178" i="7"/>
  <c r="CS178" i="7"/>
  <c r="CT178" i="7"/>
  <c r="CU178" i="7"/>
  <c r="CV178" i="7"/>
  <c r="CW178" i="7"/>
  <c r="CX178" i="7"/>
  <c r="CY178" i="7"/>
  <c r="CZ178" i="7"/>
  <c r="DA178" i="7"/>
  <c r="DB178" i="7"/>
  <c r="DC178" i="7"/>
  <c r="DD178" i="7"/>
  <c r="DE178" i="7"/>
  <c r="DF178" i="7"/>
  <c r="DG178" i="7"/>
  <c r="DH178" i="7"/>
  <c r="DI178" i="7"/>
  <c r="DJ178" i="7"/>
  <c r="DK178" i="7"/>
  <c r="DL178" i="7"/>
  <c r="DM178" i="7"/>
  <c r="DN178" i="7"/>
  <c r="DO178" i="7"/>
  <c r="DP178" i="7"/>
  <c r="DQ178" i="7"/>
  <c r="DR178" i="7"/>
  <c r="DS178" i="7"/>
  <c r="DT178" i="7"/>
  <c r="DU178" i="7"/>
  <c r="DV178" i="7"/>
  <c r="DW178" i="7"/>
  <c r="DX178" i="7"/>
  <c r="DY178" i="7"/>
  <c r="DZ178" i="7"/>
  <c r="EA178" i="7"/>
  <c r="EB178" i="7"/>
  <c r="EC178" i="7"/>
  <c r="ED178" i="7"/>
  <c r="EE178" i="7"/>
  <c r="EF178" i="7"/>
  <c r="EG178" i="7"/>
  <c r="EH178" i="7"/>
  <c r="EI178" i="7"/>
  <c r="EJ178" i="7"/>
  <c r="EK178" i="7"/>
  <c r="EL178" i="7"/>
  <c r="EM178" i="7"/>
  <c r="EN178" i="7"/>
  <c r="EO178" i="7"/>
  <c r="EP178" i="7"/>
  <c r="EQ178" i="7"/>
  <c r="ER178" i="7"/>
  <c r="ES178" i="7"/>
  <c r="ET178" i="7"/>
  <c r="EU178" i="7"/>
  <c r="EV178" i="7"/>
  <c r="EW178" i="7"/>
  <c r="EX178" i="7"/>
  <c r="EY178" i="7"/>
  <c r="EZ178" i="7"/>
  <c r="FA178" i="7"/>
  <c r="FB178" i="7"/>
  <c r="FC178" i="7"/>
  <c r="FD178" i="7"/>
  <c r="FE178" i="7"/>
  <c r="FF178" i="7"/>
  <c r="FG178" i="7"/>
  <c r="FH178" i="7"/>
  <c r="FI178" i="7"/>
  <c r="FJ178" i="7"/>
  <c r="FK178" i="7"/>
  <c r="FL178" i="7"/>
  <c r="FM178" i="7"/>
  <c r="FN178" i="7"/>
  <c r="FO178" i="7"/>
  <c r="FP178" i="7"/>
  <c r="FQ178" i="7"/>
  <c r="FR178" i="7"/>
  <c r="FS178" i="7"/>
  <c r="FT178" i="7"/>
  <c r="FU178" i="7"/>
  <c r="FV178" i="7"/>
  <c r="FW178" i="7"/>
  <c r="FX178" i="7"/>
  <c r="FY178" i="7"/>
  <c r="FZ178" i="7"/>
  <c r="GA178" i="7"/>
  <c r="GB178" i="7"/>
  <c r="GC178" i="7"/>
  <c r="GD178" i="7"/>
  <c r="GE178" i="7"/>
  <c r="GF178" i="7"/>
  <c r="GG178" i="7"/>
  <c r="GH178" i="7"/>
  <c r="GI178" i="7"/>
  <c r="GJ178" i="7"/>
  <c r="GK178" i="7"/>
  <c r="GL178" i="7"/>
  <c r="GM178" i="7"/>
  <c r="GN178" i="7"/>
  <c r="GO178" i="7"/>
  <c r="GP178" i="7"/>
  <c r="GQ178" i="7"/>
  <c r="GR178" i="7"/>
  <c r="GS178" i="7"/>
  <c r="GT178" i="7"/>
  <c r="GU178" i="7"/>
  <c r="GV178" i="7"/>
  <c r="GW178" i="7"/>
  <c r="GX178" i="7"/>
  <c r="GY178" i="7"/>
  <c r="GZ178" i="7"/>
  <c r="HA178" i="7"/>
  <c r="HB178" i="7"/>
  <c r="HC178" i="7"/>
  <c r="HD178" i="7"/>
  <c r="HE178" i="7"/>
  <c r="HF178" i="7"/>
  <c r="HG178" i="7"/>
  <c r="HH178" i="7"/>
  <c r="HI178" i="7"/>
  <c r="HJ178" i="7"/>
  <c r="HK178" i="7"/>
  <c r="HL178" i="7"/>
  <c r="HM178" i="7"/>
  <c r="HN178" i="7"/>
  <c r="HO178" i="7"/>
  <c r="HP178" i="7"/>
  <c r="HQ178" i="7"/>
  <c r="HR178" i="7"/>
  <c r="HS178" i="7"/>
  <c r="HT178" i="7"/>
  <c r="HU178" i="7"/>
  <c r="HV178" i="7"/>
  <c r="HW178" i="7"/>
  <c r="HX178" i="7"/>
  <c r="HY178" i="7"/>
  <c r="HZ178" i="7"/>
  <c r="IA178" i="7"/>
  <c r="IB178" i="7"/>
  <c r="IC178" i="7"/>
  <c r="ID178" i="7"/>
  <c r="IE178" i="7"/>
  <c r="IF178" i="7"/>
  <c r="IG178" i="7"/>
  <c r="IH178" i="7"/>
  <c r="II178" i="7"/>
  <c r="IJ178" i="7"/>
  <c r="IK178" i="7"/>
  <c r="IL178" i="7"/>
  <c r="IM178" i="7"/>
  <c r="IN178" i="7"/>
  <c r="IO178" i="7"/>
  <c r="IP178" i="7"/>
  <c r="IQ178" i="7"/>
  <c r="IR178" i="7"/>
  <c r="IS178" i="7"/>
  <c r="IT178" i="7"/>
  <c r="IU178" i="7"/>
  <c r="IV178" i="7"/>
  <c r="A177" i="7"/>
  <c r="B177" i="7"/>
  <c r="C177" i="7"/>
  <c r="D177" i="7"/>
  <c r="E177" i="7"/>
  <c r="F177" i="7"/>
  <c r="G177" i="7"/>
  <c r="H177" i="7"/>
  <c r="I177" i="7"/>
  <c r="J177" i="7"/>
  <c r="K177" i="7"/>
  <c r="L177" i="7"/>
  <c r="M177" i="7"/>
  <c r="N177" i="7"/>
  <c r="O177" i="7"/>
  <c r="P177" i="7"/>
  <c r="Q177" i="7"/>
  <c r="R177" i="7"/>
  <c r="S177" i="7"/>
  <c r="T177" i="7"/>
  <c r="U177" i="7"/>
  <c r="V177" i="7"/>
  <c r="W177" i="7"/>
  <c r="X177" i="7"/>
  <c r="Y177" i="7"/>
  <c r="Z177" i="7"/>
  <c r="AA177" i="7"/>
  <c r="AB177" i="7"/>
  <c r="AC177" i="7"/>
  <c r="AD177" i="7"/>
  <c r="AE177" i="7"/>
  <c r="AF177" i="7"/>
  <c r="AG177" i="7"/>
  <c r="AH177" i="7"/>
  <c r="AI177" i="7"/>
  <c r="AJ177" i="7"/>
  <c r="AK177" i="7"/>
  <c r="AL177" i="7"/>
  <c r="AM177" i="7"/>
  <c r="AN177" i="7"/>
  <c r="AO177" i="7"/>
  <c r="AP177" i="7"/>
  <c r="AQ177" i="7"/>
  <c r="AR177" i="7"/>
  <c r="AS177" i="7"/>
  <c r="AT177" i="7"/>
  <c r="AU177" i="7"/>
  <c r="AV177" i="7"/>
  <c r="AW177" i="7"/>
  <c r="AX177" i="7"/>
  <c r="AY177" i="7"/>
  <c r="AZ177" i="7"/>
  <c r="BA177" i="7"/>
  <c r="BB177" i="7"/>
  <c r="BC177" i="7"/>
  <c r="BD177" i="7"/>
  <c r="BE177" i="7"/>
  <c r="BF177" i="7"/>
  <c r="BG177" i="7"/>
  <c r="BH177" i="7"/>
  <c r="BI177" i="7"/>
  <c r="BJ177" i="7"/>
  <c r="BK177" i="7"/>
  <c r="BL177" i="7"/>
  <c r="BM177" i="7"/>
  <c r="BN177" i="7"/>
  <c r="BO177" i="7"/>
  <c r="BP177" i="7"/>
  <c r="BQ177" i="7"/>
  <c r="BR177" i="7"/>
  <c r="BS177" i="7"/>
  <c r="BT177" i="7"/>
  <c r="BU177" i="7"/>
  <c r="BV177" i="7"/>
  <c r="BW177" i="7"/>
  <c r="BX177" i="7"/>
  <c r="BY177" i="7"/>
  <c r="BZ177" i="7"/>
  <c r="CA177" i="7"/>
  <c r="CB177" i="7"/>
  <c r="CC177" i="7"/>
  <c r="CD177" i="7"/>
  <c r="CE177" i="7"/>
  <c r="CF177" i="7"/>
  <c r="CG177" i="7"/>
  <c r="CH177" i="7"/>
  <c r="CI177" i="7"/>
  <c r="CJ177" i="7"/>
  <c r="CK177" i="7"/>
  <c r="CL177" i="7"/>
  <c r="CM177" i="7"/>
  <c r="CN177" i="7"/>
  <c r="CO177" i="7"/>
  <c r="CP177" i="7"/>
  <c r="CQ177" i="7"/>
  <c r="CR177" i="7"/>
  <c r="CS177" i="7"/>
  <c r="CT177" i="7"/>
  <c r="CU177" i="7"/>
  <c r="CV177" i="7"/>
  <c r="CW177" i="7"/>
  <c r="CX177" i="7"/>
  <c r="CY177" i="7"/>
  <c r="CZ177" i="7"/>
  <c r="DA177" i="7"/>
  <c r="DB177" i="7"/>
  <c r="DC177" i="7"/>
  <c r="DD177" i="7"/>
  <c r="DE177" i="7"/>
  <c r="DF177" i="7"/>
  <c r="DG177" i="7"/>
  <c r="DH177" i="7"/>
  <c r="DI177" i="7"/>
  <c r="DJ177" i="7"/>
  <c r="DK177" i="7"/>
  <c r="DL177" i="7"/>
  <c r="DM177" i="7"/>
  <c r="DN177" i="7"/>
  <c r="DO177" i="7"/>
  <c r="DP177" i="7"/>
  <c r="DQ177" i="7"/>
  <c r="DR177" i="7"/>
  <c r="DS177" i="7"/>
  <c r="DT177" i="7"/>
  <c r="DU177" i="7"/>
  <c r="DV177" i="7"/>
  <c r="DW177" i="7"/>
  <c r="DX177" i="7"/>
  <c r="DY177" i="7"/>
  <c r="DZ177" i="7"/>
  <c r="EA177" i="7"/>
  <c r="EB177" i="7"/>
  <c r="EC177" i="7"/>
  <c r="ED177" i="7"/>
  <c r="EE177" i="7"/>
  <c r="EF177" i="7"/>
  <c r="EG177" i="7"/>
  <c r="EH177" i="7"/>
  <c r="EI177" i="7"/>
  <c r="EJ177" i="7"/>
  <c r="EK177" i="7"/>
  <c r="EL177" i="7"/>
  <c r="EM177" i="7"/>
  <c r="EN177" i="7"/>
  <c r="EO177" i="7"/>
  <c r="EP177" i="7"/>
  <c r="EQ177" i="7"/>
  <c r="ER177" i="7"/>
  <c r="ES177" i="7"/>
  <c r="ET177" i="7"/>
  <c r="EU177" i="7"/>
  <c r="EV177" i="7"/>
  <c r="EW177" i="7"/>
  <c r="EX177" i="7"/>
  <c r="EY177" i="7"/>
  <c r="EZ177" i="7"/>
  <c r="FA177" i="7"/>
  <c r="FB177" i="7"/>
  <c r="FC177" i="7"/>
  <c r="FD177" i="7"/>
  <c r="FE177" i="7"/>
  <c r="FF177" i="7"/>
  <c r="FG177" i="7"/>
  <c r="FH177" i="7"/>
  <c r="FI177" i="7"/>
  <c r="FJ177" i="7"/>
  <c r="FK177" i="7"/>
  <c r="FL177" i="7"/>
  <c r="FM177" i="7"/>
  <c r="FN177" i="7"/>
  <c r="FO177" i="7"/>
  <c r="FP177" i="7"/>
  <c r="FQ177" i="7"/>
  <c r="FR177" i="7"/>
  <c r="FS177" i="7"/>
  <c r="FT177" i="7"/>
  <c r="FU177" i="7"/>
  <c r="FV177" i="7"/>
  <c r="FW177" i="7"/>
  <c r="FX177" i="7"/>
  <c r="FY177" i="7"/>
  <c r="FZ177" i="7"/>
  <c r="GA177" i="7"/>
  <c r="GB177" i="7"/>
  <c r="GC177" i="7"/>
  <c r="GD177" i="7"/>
  <c r="GE177" i="7"/>
  <c r="GF177" i="7"/>
  <c r="GG177" i="7"/>
  <c r="GH177" i="7"/>
  <c r="GI177" i="7"/>
  <c r="GJ177" i="7"/>
  <c r="GK177" i="7"/>
  <c r="GL177" i="7"/>
  <c r="GM177" i="7"/>
  <c r="GN177" i="7"/>
  <c r="GO177" i="7"/>
  <c r="GP177" i="7"/>
  <c r="GQ177" i="7"/>
  <c r="GR177" i="7"/>
  <c r="GS177" i="7"/>
  <c r="GT177" i="7"/>
  <c r="GU177" i="7"/>
  <c r="GV177" i="7"/>
  <c r="GW177" i="7"/>
  <c r="GX177" i="7"/>
  <c r="GY177" i="7"/>
  <c r="GZ177" i="7"/>
  <c r="HA177" i="7"/>
  <c r="HB177" i="7"/>
  <c r="HC177" i="7"/>
  <c r="HD177" i="7"/>
  <c r="HE177" i="7"/>
  <c r="HF177" i="7"/>
  <c r="HG177" i="7"/>
  <c r="HH177" i="7"/>
  <c r="HI177" i="7"/>
  <c r="HJ177" i="7"/>
  <c r="HK177" i="7"/>
  <c r="HL177" i="7"/>
  <c r="HM177" i="7"/>
  <c r="HN177" i="7"/>
  <c r="HO177" i="7"/>
  <c r="HP177" i="7"/>
  <c r="HQ177" i="7"/>
  <c r="HR177" i="7"/>
  <c r="HS177" i="7"/>
  <c r="HT177" i="7"/>
  <c r="HU177" i="7"/>
  <c r="HV177" i="7"/>
  <c r="HW177" i="7"/>
  <c r="HX177" i="7"/>
  <c r="HY177" i="7"/>
  <c r="HZ177" i="7"/>
  <c r="IA177" i="7"/>
  <c r="IB177" i="7"/>
  <c r="IC177" i="7"/>
  <c r="ID177" i="7"/>
  <c r="IE177" i="7"/>
  <c r="IF177" i="7"/>
  <c r="IG177" i="7"/>
  <c r="IH177" i="7"/>
  <c r="II177" i="7"/>
  <c r="IJ177" i="7"/>
  <c r="IK177" i="7"/>
  <c r="IL177" i="7"/>
  <c r="IM177" i="7"/>
  <c r="IN177" i="7"/>
  <c r="IO177" i="7"/>
  <c r="IP177" i="7"/>
  <c r="IQ177" i="7"/>
  <c r="IR177" i="7"/>
  <c r="IS177" i="7"/>
  <c r="IT177" i="7"/>
  <c r="IU177" i="7"/>
  <c r="IV177" i="7"/>
  <c r="A176" i="7"/>
  <c r="B176" i="7"/>
  <c r="C176" i="7"/>
  <c r="D176" i="7"/>
  <c r="E176" i="7"/>
  <c r="F176" i="7"/>
  <c r="G176" i="7"/>
  <c r="H176" i="7"/>
  <c r="I176" i="7"/>
  <c r="J176" i="7"/>
  <c r="K176" i="7"/>
  <c r="L176" i="7"/>
  <c r="M176" i="7"/>
  <c r="N176" i="7"/>
  <c r="O176" i="7"/>
  <c r="P176" i="7"/>
  <c r="Q176" i="7"/>
  <c r="R176" i="7"/>
  <c r="S176" i="7"/>
  <c r="T176" i="7"/>
  <c r="U176" i="7"/>
  <c r="V176" i="7"/>
  <c r="W176" i="7"/>
  <c r="X176" i="7"/>
  <c r="Y176" i="7"/>
  <c r="Z176" i="7"/>
  <c r="AA176" i="7"/>
  <c r="AB176" i="7"/>
  <c r="AC176" i="7"/>
  <c r="AD176" i="7"/>
  <c r="AE176" i="7"/>
  <c r="AF176" i="7"/>
  <c r="AG176" i="7"/>
  <c r="AH176" i="7"/>
  <c r="AI176" i="7"/>
  <c r="AJ176" i="7"/>
  <c r="AK176" i="7"/>
  <c r="AL176" i="7"/>
  <c r="AM176" i="7"/>
  <c r="AN176" i="7"/>
  <c r="AO176" i="7"/>
  <c r="AP176" i="7"/>
  <c r="AQ176" i="7"/>
  <c r="AR176" i="7"/>
  <c r="AS176" i="7"/>
  <c r="AT176" i="7"/>
  <c r="AU176" i="7"/>
  <c r="AV176" i="7"/>
  <c r="AW176" i="7"/>
  <c r="AX176" i="7"/>
  <c r="AY176" i="7"/>
  <c r="AZ176" i="7"/>
  <c r="BA176" i="7"/>
  <c r="BB176" i="7"/>
  <c r="BC176" i="7"/>
  <c r="BD176" i="7"/>
  <c r="BE176" i="7"/>
  <c r="BF176" i="7"/>
  <c r="BG176" i="7"/>
  <c r="BH176" i="7"/>
  <c r="BI176" i="7"/>
  <c r="BJ176" i="7"/>
  <c r="BK176" i="7"/>
  <c r="BL176" i="7"/>
  <c r="BM176" i="7"/>
  <c r="BN176" i="7"/>
  <c r="BO176" i="7"/>
  <c r="BP176" i="7"/>
  <c r="BQ176" i="7"/>
  <c r="BR176" i="7"/>
  <c r="BS176" i="7"/>
  <c r="BT176" i="7"/>
  <c r="BU176" i="7"/>
  <c r="BV176" i="7"/>
  <c r="BW176" i="7"/>
  <c r="BX176" i="7"/>
  <c r="BY176" i="7"/>
  <c r="BZ176" i="7"/>
  <c r="CA176" i="7"/>
  <c r="CB176" i="7"/>
  <c r="CC176" i="7"/>
  <c r="CD176" i="7"/>
  <c r="CE176" i="7"/>
  <c r="CF176" i="7"/>
  <c r="CG176" i="7"/>
  <c r="CH176" i="7"/>
  <c r="CI176" i="7"/>
  <c r="CJ176" i="7"/>
  <c r="CK176" i="7"/>
  <c r="CL176" i="7"/>
  <c r="CM176" i="7"/>
  <c r="CN176" i="7"/>
  <c r="CO176" i="7"/>
  <c r="CP176" i="7"/>
  <c r="CQ176" i="7"/>
  <c r="CR176" i="7"/>
  <c r="CS176" i="7"/>
  <c r="CT176" i="7"/>
  <c r="CU176" i="7"/>
  <c r="CV176" i="7"/>
  <c r="CW176" i="7"/>
  <c r="CX176" i="7"/>
  <c r="CY176" i="7"/>
  <c r="CZ176" i="7"/>
  <c r="DA176" i="7"/>
  <c r="DB176" i="7"/>
  <c r="DC176" i="7"/>
  <c r="DD176" i="7"/>
  <c r="DE176" i="7"/>
  <c r="DF176" i="7"/>
  <c r="DG176" i="7"/>
  <c r="DH176" i="7"/>
  <c r="DI176" i="7"/>
  <c r="DJ176" i="7"/>
  <c r="DK176" i="7"/>
  <c r="DL176" i="7"/>
  <c r="DM176" i="7"/>
  <c r="DN176" i="7"/>
  <c r="DO176" i="7"/>
  <c r="DP176" i="7"/>
  <c r="DQ176" i="7"/>
  <c r="DR176" i="7"/>
  <c r="DS176" i="7"/>
  <c r="DT176" i="7"/>
  <c r="DU176" i="7"/>
  <c r="DV176" i="7"/>
  <c r="DW176" i="7"/>
  <c r="DX176" i="7"/>
  <c r="DY176" i="7"/>
  <c r="DZ176" i="7"/>
  <c r="EA176" i="7"/>
  <c r="EB176" i="7"/>
  <c r="EC176" i="7"/>
  <c r="ED176" i="7"/>
  <c r="EE176" i="7"/>
  <c r="EF176" i="7"/>
  <c r="EG176" i="7"/>
  <c r="EH176" i="7"/>
  <c r="EI176" i="7"/>
  <c r="EJ176" i="7"/>
  <c r="EK176" i="7"/>
  <c r="EL176" i="7"/>
  <c r="EM176" i="7"/>
  <c r="EN176" i="7"/>
  <c r="EO176" i="7"/>
  <c r="EP176" i="7"/>
  <c r="EQ176" i="7"/>
  <c r="ER176" i="7"/>
  <c r="ES176" i="7"/>
  <c r="ET176" i="7"/>
  <c r="EU176" i="7"/>
  <c r="EV176" i="7"/>
  <c r="EW176" i="7"/>
  <c r="EX176" i="7"/>
  <c r="EY176" i="7"/>
  <c r="EZ176" i="7"/>
  <c r="FA176" i="7"/>
  <c r="FB176" i="7"/>
  <c r="FC176" i="7"/>
  <c r="FD176" i="7"/>
  <c r="FE176" i="7"/>
  <c r="FF176" i="7"/>
  <c r="FG176" i="7"/>
  <c r="FH176" i="7"/>
  <c r="FI176" i="7"/>
  <c r="FJ176" i="7"/>
  <c r="FK176" i="7"/>
  <c r="FL176" i="7"/>
  <c r="FM176" i="7"/>
  <c r="FN176" i="7"/>
  <c r="FO176" i="7"/>
  <c r="FP176" i="7"/>
  <c r="FQ176" i="7"/>
  <c r="FR176" i="7"/>
  <c r="FS176" i="7"/>
  <c r="FT176" i="7"/>
  <c r="FU176" i="7"/>
  <c r="FV176" i="7"/>
  <c r="FW176" i="7"/>
  <c r="FX176" i="7"/>
  <c r="FY176" i="7"/>
  <c r="FZ176" i="7"/>
  <c r="GA176" i="7"/>
  <c r="GB176" i="7"/>
  <c r="GC176" i="7"/>
  <c r="GD176" i="7"/>
  <c r="GE176" i="7"/>
  <c r="GF176" i="7"/>
  <c r="GG176" i="7"/>
  <c r="GH176" i="7"/>
  <c r="GI176" i="7"/>
  <c r="GJ176" i="7"/>
  <c r="GK176" i="7"/>
  <c r="GL176" i="7"/>
  <c r="GM176" i="7"/>
  <c r="GN176" i="7"/>
  <c r="GO176" i="7"/>
  <c r="GP176" i="7"/>
  <c r="GQ176" i="7"/>
  <c r="GR176" i="7"/>
  <c r="GS176" i="7"/>
  <c r="GT176" i="7"/>
  <c r="GU176" i="7"/>
  <c r="GV176" i="7"/>
  <c r="GW176" i="7"/>
  <c r="GX176" i="7"/>
  <c r="GY176" i="7"/>
  <c r="GZ176" i="7"/>
  <c r="HA176" i="7"/>
  <c r="HB176" i="7"/>
  <c r="HC176" i="7"/>
  <c r="HD176" i="7"/>
  <c r="HE176" i="7"/>
  <c r="HF176" i="7"/>
  <c r="HG176" i="7"/>
  <c r="HH176" i="7"/>
  <c r="HI176" i="7"/>
  <c r="HJ176" i="7"/>
  <c r="HK176" i="7"/>
  <c r="HL176" i="7"/>
  <c r="HM176" i="7"/>
  <c r="HN176" i="7"/>
  <c r="HO176" i="7"/>
  <c r="HP176" i="7"/>
  <c r="HQ176" i="7"/>
  <c r="HR176" i="7"/>
  <c r="HS176" i="7"/>
  <c r="HT176" i="7"/>
  <c r="HU176" i="7"/>
  <c r="HV176" i="7"/>
  <c r="HW176" i="7"/>
  <c r="HX176" i="7"/>
  <c r="HY176" i="7"/>
  <c r="HZ176" i="7"/>
  <c r="IA176" i="7"/>
  <c r="IB176" i="7"/>
  <c r="IC176" i="7"/>
  <c r="ID176" i="7"/>
  <c r="IE176" i="7"/>
  <c r="IF176" i="7"/>
  <c r="IG176" i="7"/>
  <c r="IH176" i="7"/>
  <c r="II176" i="7"/>
  <c r="IJ176" i="7"/>
  <c r="IK176" i="7"/>
  <c r="IL176" i="7"/>
  <c r="IM176" i="7"/>
  <c r="IN176" i="7"/>
  <c r="IO176" i="7"/>
  <c r="IP176" i="7"/>
  <c r="IQ176" i="7"/>
  <c r="IR176" i="7"/>
  <c r="IS176" i="7"/>
  <c r="IT176" i="7"/>
  <c r="IU176" i="7"/>
  <c r="IV176" i="7"/>
  <c r="A175" i="7"/>
  <c r="B175" i="7"/>
  <c r="C175" i="7"/>
  <c r="D175" i="7"/>
  <c r="E175" i="7"/>
  <c r="F175" i="7"/>
  <c r="G175" i="7"/>
  <c r="H175" i="7"/>
  <c r="I175" i="7"/>
  <c r="J175" i="7"/>
  <c r="K175" i="7"/>
  <c r="L175" i="7"/>
  <c r="M175" i="7"/>
  <c r="N175" i="7"/>
  <c r="O175" i="7"/>
  <c r="P175" i="7"/>
  <c r="Q175" i="7"/>
  <c r="R175" i="7"/>
  <c r="S175" i="7"/>
  <c r="T175" i="7"/>
  <c r="U175" i="7"/>
  <c r="V175" i="7"/>
  <c r="W175" i="7"/>
  <c r="X175" i="7"/>
  <c r="Y175" i="7"/>
  <c r="Z175" i="7"/>
  <c r="AA175" i="7"/>
  <c r="AB175" i="7"/>
  <c r="AC175" i="7"/>
  <c r="AD175" i="7"/>
  <c r="AE175" i="7"/>
  <c r="AF175" i="7"/>
  <c r="AG175" i="7"/>
  <c r="AH175" i="7"/>
  <c r="AI175" i="7"/>
  <c r="AJ175" i="7"/>
  <c r="AK175" i="7"/>
  <c r="AL175" i="7"/>
  <c r="AM175" i="7"/>
  <c r="AN175" i="7"/>
  <c r="AO175" i="7"/>
  <c r="AP175" i="7"/>
  <c r="AQ175" i="7"/>
  <c r="AR175" i="7"/>
  <c r="AS175" i="7"/>
  <c r="AT175" i="7"/>
  <c r="AU175" i="7"/>
  <c r="AV175" i="7"/>
  <c r="AW175" i="7"/>
  <c r="AX175" i="7"/>
  <c r="AY175" i="7"/>
  <c r="AZ175" i="7"/>
  <c r="BA175" i="7"/>
  <c r="BB175" i="7"/>
  <c r="BC175" i="7"/>
  <c r="BD175" i="7"/>
  <c r="BE175" i="7"/>
  <c r="BF175" i="7"/>
  <c r="BG175" i="7"/>
  <c r="BH175" i="7"/>
  <c r="BI175" i="7"/>
  <c r="BJ175" i="7"/>
  <c r="BK175" i="7"/>
  <c r="BL175" i="7"/>
  <c r="BM175" i="7"/>
  <c r="BN175" i="7"/>
  <c r="BO175" i="7"/>
  <c r="BP175" i="7"/>
  <c r="BQ175" i="7"/>
  <c r="BR175" i="7"/>
  <c r="BS175" i="7"/>
  <c r="BT175" i="7"/>
  <c r="BU175" i="7"/>
  <c r="BV175" i="7"/>
  <c r="BW175" i="7"/>
  <c r="BX175" i="7"/>
  <c r="BY175" i="7"/>
  <c r="BZ175" i="7"/>
  <c r="CA175" i="7"/>
  <c r="CB175" i="7"/>
  <c r="CC175" i="7"/>
  <c r="CD175" i="7"/>
  <c r="CE175" i="7"/>
  <c r="CF175" i="7"/>
  <c r="CG175" i="7"/>
  <c r="CH175" i="7"/>
  <c r="CI175" i="7"/>
  <c r="CJ175" i="7"/>
  <c r="CK175" i="7"/>
  <c r="CL175" i="7"/>
  <c r="CM175" i="7"/>
  <c r="CN175" i="7"/>
  <c r="CO175" i="7"/>
  <c r="CP175" i="7"/>
  <c r="CQ175" i="7"/>
  <c r="CR175" i="7"/>
  <c r="CS175" i="7"/>
  <c r="CT175" i="7"/>
  <c r="CU175" i="7"/>
  <c r="CV175" i="7"/>
  <c r="CW175" i="7"/>
  <c r="CX175" i="7"/>
  <c r="CY175" i="7"/>
  <c r="CZ175" i="7"/>
  <c r="DA175" i="7"/>
  <c r="DB175" i="7"/>
  <c r="DC175" i="7"/>
  <c r="DD175" i="7"/>
  <c r="DE175" i="7"/>
  <c r="DF175" i="7"/>
  <c r="DG175" i="7"/>
  <c r="DH175" i="7"/>
  <c r="DI175" i="7"/>
  <c r="DJ175" i="7"/>
  <c r="DK175" i="7"/>
  <c r="DL175" i="7"/>
  <c r="DM175" i="7"/>
  <c r="DN175" i="7"/>
  <c r="DO175" i="7"/>
  <c r="DP175" i="7"/>
  <c r="DQ175" i="7"/>
  <c r="DR175" i="7"/>
  <c r="DS175" i="7"/>
  <c r="DT175" i="7"/>
  <c r="DU175" i="7"/>
  <c r="DV175" i="7"/>
  <c r="DW175" i="7"/>
  <c r="DX175" i="7"/>
  <c r="DY175" i="7"/>
  <c r="DZ175" i="7"/>
  <c r="EA175" i="7"/>
  <c r="EB175" i="7"/>
  <c r="EC175" i="7"/>
  <c r="ED175" i="7"/>
  <c r="EE175" i="7"/>
  <c r="EF175" i="7"/>
  <c r="EG175" i="7"/>
  <c r="EH175" i="7"/>
  <c r="EI175" i="7"/>
  <c r="EJ175" i="7"/>
  <c r="EK175" i="7"/>
  <c r="EL175" i="7"/>
  <c r="EM175" i="7"/>
  <c r="EN175" i="7"/>
  <c r="EO175" i="7"/>
  <c r="EP175" i="7"/>
  <c r="EQ175" i="7"/>
  <c r="ER175" i="7"/>
  <c r="ES175" i="7"/>
  <c r="ET175" i="7"/>
  <c r="EU175" i="7"/>
  <c r="EV175" i="7"/>
  <c r="EW175" i="7"/>
  <c r="EX175" i="7"/>
  <c r="EY175" i="7"/>
  <c r="EZ175" i="7"/>
  <c r="FA175" i="7"/>
  <c r="FB175" i="7"/>
  <c r="FC175" i="7"/>
  <c r="FD175" i="7"/>
  <c r="FE175" i="7"/>
  <c r="FF175" i="7"/>
  <c r="FG175" i="7"/>
  <c r="FH175" i="7"/>
  <c r="FI175" i="7"/>
  <c r="FJ175" i="7"/>
  <c r="FK175" i="7"/>
  <c r="FL175" i="7"/>
  <c r="FM175" i="7"/>
  <c r="FN175" i="7"/>
  <c r="FO175" i="7"/>
  <c r="FP175" i="7"/>
  <c r="FQ175" i="7"/>
  <c r="FR175" i="7"/>
  <c r="FS175" i="7"/>
  <c r="FT175" i="7"/>
  <c r="FU175" i="7"/>
  <c r="FV175" i="7"/>
  <c r="FW175" i="7"/>
  <c r="FX175" i="7"/>
  <c r="FY175" i="7"/>
  <c r="FZ175" i="7"/>
  <c r="GA175" i="7"/>
  <c r="GB175" i="7"/>
  <c r="GC175" i="7"/>
  <c r="GD175" i="7"/>
  <c r="GE175" i="7"/>
  <c r="GF175" i="7"/>
  <c r="GG175" i="7"/>
  <c r="GH175" i="7"/>
  <c r="GI175" i="7"/>
  <c r="GJ175" i="7"/>
  <c r="GK175" i="7"/>
  <c r="GL175" i="7"/>
  <c r="GM175" i="7"/>
  <c r="GN175" i="7"/>
  <c r="GO175" i="7"/>
  <c r="GP175" i="7"/>
  <c r="GQ175" i="7"/>
  <c r="GR175" i="7"/>
  <c r="GS175" i="7"/>
  <c r="GT175" i="7"/>
  <c r="GU175" i="7"/>
  <c r="GV175" i="7"/>
  <c r="GW175" i="7"/>
  <c r="GX175" i="7"/>
  <c r="GY175" i="7"/>
  <c r="GZ175" i="7"/>
  <c r="HA175" i="7"/>
  <c r="HB175" i="7"/>
  <c r="HC175" i="7"/>
  <c r="HD175" i="7"/>
  <c r="HE175" i="7"/>
  <c r="HF175" i="7"/>
  <c r="HG175" i="7"/>
  <c r="HH175" i="7"/>
  <c r="HI175" i="7"/>
  <c r="HJ175" i="7"/>
  <c r="HK175" i="7"/>
  <c r="HL175" i="7"/>
  <c r="HM175" i="7"/>
  <c r="HN175" i="7"/>
  <c r="HO175" i="7"/>
  <c r="HP175" i="7"/>
  <c r="HQ175" i="7"/>
  <c r="HR175" i="7"/>
  <c r="HS175" i="7"/>
  <c r="HT175" i="7"/>
  <c r="HU175" i="7"/>
  <c r="HV175" i="7"/>
  <c r="HW175" i="7"/>
  <c r="HX175" i="7"/>
  <c r="HY175" i="7"/>
  <c r="HZ175" i="7"/>
  <c r="IA175" i="7"/>
  <c r="IB175" i="7"/>
  <c r="IC175" i="7"/>
  <c r="ID175" i="7"/>
  <c r="IE175" i="7"/>
  <c r="IF175" i="7"/>
  <c r="IG175" i="7"/>
  <c r="IH175" i="7"/>
  <c r="II175" i="7"/>
  <c r="IJ175" i="7"/>
  <c r="IK175" i="7"/>
  <c r="IL175" i="7"/>
  <c r="IM175" i="7"/>
  <c r="IN175" i="7"/>
  <c r="IO175" i="7"/>
  <c r="IP175" i="7"/>
  <c r="IQ175" i="7"/>
  <c r="IR175" i="7"/>
  <c r="IS175" i="7"/>
  <c r="IT175" i="7"/>
  <c r="IU175" i="7"/>
  <c r="IV175" i="7"/>
  <c r="A174" i="7"/>
  <c r="B174" i="7"/>
  <c r="C174" i="7"/>
  <c r="D174" i="7"/>
  <c r="E174" i="7"/>
  <c r="F174" i="7"/>
  <c r="G174" i="7"/>
  <c r="H174" i="7"/>
  <c r="I174" i="7"/>
  <c r="J174" i="7"/>
  <c r="K174" i="7"/>
  <c r="L174" i="7"/>
  <c r="M174" i="7"/>
  <c r="N174" i="7"/>
  <c r="O174" i="7"/>
  <c r="P174" i="7"/>
  <c r="Q174" i="7"/>
  <c r="R174" i="7"/>
  <c r="S174" i="7"/>
  <c r="T174" i="7"/>
  <c r="U174" i="7"/>
  <c r="V174" i="7"/>
  <c r="W174" i="7"/>
  <c r="X174" i="7"/>
  <c r="Y174" i="7"/>
  <c r="Z174" i="7"/>
  <c r="AA174" i="7"/>
  <c r="AB174" i="7"/>
  <c r="AC174" i="7"/>
  <c r="AD174" i="7"/>
  <c r="AE174" i="7"/>
  <c r="AF174" i="7"/>
  <c r="AG174" i="7"/>
  <c r="AH174" i="7"/>
  <c r="AI174" i="7"/>
  <c r="AJ174" i="7"/>
  <c r="AK174" i="7"/>
  <c r="AL174" i="7"/>
  <c r="AM174" i="7"/>
  <c r="AN174" i="7"/>
  <c r="AO174" i="7"/>
  <c r="AP174" i="7"/>
  <c r="AQ174" i="7"/>
  <c r="AR174" i="7"/>
  <c r="AS174" i="7"/>
  <c r="AT174" i="7"/>
  <c r="AU174" i="7"/>
  <c r="AV174" i="7"/>
  <c r="AW174" i="7"/>
  <c r="AX174" i="7"/>
  <c r="AY174" i="7"/>
  <c r="AZ174" i="7"/>
  <c r="BA174" i="7"/>
  <c r="BB174" i="7"/>
  <c r="BC174" i="7"/>
  <c r="BD174" i="7"/>
  <c r="BE174" i="7"/>
  <c r="BF174" i="7"/>
  <c r="BG174" i="7"/>
  <c r="BH174" i="7"/>
  <c r="BI174" i="7"/>
  <c r="BJ174" i="7"/>
  <c r="BK174" i="7"/>
  <c r="BL174" i="7"/>
  <c r="BM174" i="7"/>
  <c r="BN174" i="7"/>
  <c r="BO174" i="7"/>
  <c r="BP174" i="7"/>
  <c r="BQ174" i="7"/>
  <c r="BR174" i="7"/>
  <c r="BS174" i="7"/>
  <c r="BT174" i="7"/>
  <c r="BU174" i="7"/>
  <c r="BV174" i="7"/>
  <c r="BW174" i="7"/>
  <c r="BX174" i="7"/>
  <c r="BY174" i="7"/>
  <c r="BZ174" i="7"/>
  <c r="CA174" i="7"/>
  <c r="CB174" i="7"/>
  <c r="CC174" i="7"/>
  <c r="CD174" i="7"/>
  <c r="CE174" i="7"/>
  <c r="CF174" i="7"/>
  <c r="CG174" i="7"/>
  <c r="CH174" i="7"/>
  <c r="CI174" i="7"/>
  <c r="CJ174" i="7"/>
  <c r="CK174" i="7"/>
  <c r="CL174" i="7"/>
  <c r="CM174" i="7"/>
  <c r="CN174" i="7"/>
  <c r="CO174" i="7"/>
  <c r="CP174" i="7"/>
  <c r="CQ174" i="7"/>
  <c r="CR174" i="7"/>
  <c r="CS174" i="7"/>
  <c r="CT174" i="7"/>
  <c r="CU174" i="7"/>
  <c r="CV174" i="7"/>
  <c r="CW174" i="7"/>
  <c r="CX174" i="7"/>
  <c r="CY174" i="7"/>
  <c r="CZ174" i="7"/>
  <c r="DA174" i="7"/>
  <c r="DB174" i="7"/>
  <c r="DC174" i="7"/>
  <c r="DD174" i="7"/>
  <c r="DE174" i="7"/>
  <c r="DF174" i="7"/>
  <c r="DG174" i="7"/>
  <c r="DH174" i="7"/>
  <c r="DI174" i="7"/>
  <c r="DJ174" i="7"/>
  <c r="DK174" i="7"/>
  <c r="DL174" i="7"/>
  <c r="DM174" i="7"/>
  <c r="DN174" i="7"/>
  <c r="DO174" i="7"/>
  <c r="DP174" i="7"/>
  <c r="DQ174" i="7"/>
  <c r="DR174" i="7"/>
  <c r="DS174" i="7"/>
  <c r="DT174" i="7"/>
  <c r="DU174" i="7"/>
  <c r="DV174" i="7"/>
  <c r="DW174" i="7"/>
  <c r="DX174" i="7"/>
  <c r="DY174" i="7"/>
  <c r="DZ174" i="7"/>
  <c r="EA174" i="7"/>
  <c r="EB174" i="7"/>
  <c r="EC174" i="7"/>
  <c r="ED174" i="7"/>
  <c r="EE174" i="7"/>
  <c r="EF174" i="7"/>
  <c r="EG174" i="7"/>
  <c r="EH174" i="7"/>
  <c r="EI174" i="7"/>
  <c r="EJ174" i="7"/>
  <c r="EK174" i="7"/>
  <c r="EL174" i="7"/>
  <c r="EM174" i="7"/>
  <c r="EN174" i="7"/>
  <c r="EO174" i="7"/>
  <c r="EP174" i="7"/>
  <c r="EQ174" i="7"/>
  <c r="ER174" i="7"/>
  <c r="ES174" i="7"/>
  <c r="ET174" i="7"/>
  <c r="EU174" i="7"/>
  <c r="EV174" i="7"/>
  <c r="EW174" i="7"/>
  <c r="EX174" i="7"/>
  <c r="EY174" i="7"/>
  <c r="EZ174" i="7"/>
  <c r="FA174" i="7"/>
  <c r="FB174" i="7"/>
  <c r="FC174" i="7"/>
  <c r="FD174" i="7"/>
  <c r="FE174" i="7"/>
  <c r="FF174" i="7"/>
  <c r="FG174" i="7"/>
  <c r="FH174" i="7"/>
  <c r="FI174" i="7"/>
  <c r="FJ174" i="7"/>
  <c r="FK174" i="7"/>
  <c r="FL174" i="7"/>
  <c r="FM174" i="7"/>
  <c r="FN174" i="7"/>
  <c r="FO174" i="7"/>
  <c r="FP174" i="7"/>
  <c r="FQ174" i="7"/>
  <c r="FR174" i="7"/>
  <c r="FS174" i="7"/>
  <c r="FT174" i="7"/>
  <c r="FU174" i="7"/>
  <c r="FV174" i="7"/>
  <c r="FW174" i="7"/>
  <c r="FX174" i="7"/>
  <c r="FY174" i="7"/>
  <c r="FZ174" i="7"/>
  <c r="GA174" i="7"/>
  <c r="GB174" i="7"/>
  <c r="GC174" i="7"/>
  <c r="GD174" i="7"/>
  <c r="GE174" i="7"/>
  <c r="GF174" i="7"/>
  <c r="GG174" i="7"/>
  <c r="GH174" i="7"/>
  <c r="GI174" i="7"/>
  <c r="GJ174" i="7"/>
  <c r="GK174" i="7"/>
  <c r="GL174" i="7"/>
  <c r="GM174" i="7"/>
  <c r="GN174" i="7"/>
  <c r="GO174" i="7"/>
  <c r="GP174" i="7"/>
  <c r="GQ174" i="7"/>
  <c r="GR174" i="7"/>
  <c r="GS174" i="7"/>
  <c r="GT174" i="7"/>
  <c r="GU174" i="7"/>
  <c r="GV174" i="7"/>
  <c r="GW174" i="7"/>
  <c r="GX174" i="7"/>
  <c r="GY174" i="7"/>
  <c r="GZ174" i="7"/>
  <c r="HA174" i="7"/>
  <c r="HB174" i="7"/>
  <c r="HC174" i="7"/>
  <c r="HD174" i="7"/>
  <c r="HE174" i="7"/>
  <c r="HF174" i="7"/>
  <c r="HG174" i="7"/>
  <c r="HH174" i="7"/>
  <c r="HI174" i="7"/>
  <c r="HJ174" i="7"/>
  <c r="HK174" i="7"/>
  <c r="HL174" i="7"/>
  <c r="HM174" i="7"/>
  <c r="HN174" i="7"/>
  <c r="HO174" i="7"/>
  <c r="HP174" i="7"/>
  <c r="HQ174" i="7"/>
  <c r="HR174" i="7"/>
  <c r="HS174" i="7"/>
  <c r="HT174" i="7"/>
  <c r="HU174" i="7"/>
  <c r="HV174" i="7"/>
  <c r="HW174" i="7"/>
  <c r="HX174" i="7"/>
  <c r="HY174" i="7"/>
  <c r="HZ174" i="7"/>
  <c r="IA174" i="7"/>
  <c r="IB174" i="7"/>
  <c r="IC174" i="7"/>
  <c r="ID174" i="7"/>
  <c r="IE174" i="7"/>
  <c r="IF174" i="7"/>
  <c r="IG174" i="7"/>
  <c r="IH174" i="7"/>
  <c r="II174" i="7"/>
  <c r="IJ174" i="7"/>
  <c r="IK174" i="7"/>
  <c r="IL174" i="7"/>
  <c r="IM174" i="7"/>
  <c r="IN174" i="7"/>
  <c r="IO174" i="7"/>
  <c r="IP174" i="7"/>
  <c r="IQ174" i="7"/>
  <c r="IR174" i="7"/>
  <c r="IS174" i="7"/>
  <c r="IT174" i="7"/>
  <c r="IU174" i="7"/>
  <c r="IV174" i="7"/>
  <c r="A173" i="7"/>
  <c r="B173" i="7"/>
  <c r="C173" i="7"/>
  <c r="D173" i="7"/>
  <c r="E173" i="7"/>
  <c r="F173" i="7"/>
  <c r="G173" i="7"/>
  <c r="H173" i="7"/>
  <c r="I173" i="7"/>
  <c r="J173" i="7"/>
  <c r="K173" i="7"/>
  <c r="L173" i="7"/>
  <c r="M173" i="7"/>
  <c r="N173" i="7"/>
  <c r="O173" i="7"/>
  <c r="P173" i="7"/>
  <c r="Q173" i="7"/>
  <c r="R173" i="7"/>
  <c r="S173" i="7"/>
  <c r="T173" i="7"/>
  <c r="U173" i="7"/>
  <c r="V173" i="7"/>
  <c r="W173" i="7"/>
  <c r="X173" i="7"/>
  <c r="Y173" i="7"/>
  <c r="Z173" i="7"/>
  <c r="AA173" i="7"/>
  <c r="AB173" i="7"/>
  <c r="AC173" i="7"/>
  <c r="AD173" i="7"/>
  <c r="AE173" i="7"/>
  <c r="AF173" i="7"/>
  <c r="AG173" i="7"/>
  <c r="AH173" i="7"/>
  <c r="AI173" i="7"/>
  <c r="AJ173" i="7"/>
  <c r="AK173" i="7"/>
  <c r="AL173" i="7"/>
  <c r="AM173" i="7"/>
  <c r="AN173" i="7"/>
  <c r="AO173" i="7"/>
  <c r="AP173" i="7"/>
  <c r="AQ173" i="7"/>
  <c r="AR173" i="7"/>
  <c r="AS173" i="7"/>
  <c r="AT173" i="7"/>
  <c r="AU173" i="7"/>
  <c r="AV173" i="7"/>
  <c r="AW173" i="7"/>
  <c r="AX173" i="7"/>
  <c r="AY173" i="7"/>
  <c r="AZ173" i="7"/>
  <c r="BA173" i="7"/>
  <c r="BB173" i="7"/>
  <c r="BC173" i="7"/>
  <c r="BD173" i="7"/>
  <c r="BE173" i="7"/>
  <c r="BF173" i="7"/>
  <c r="BG173" i="7"/>
  <c r="BH173" i="7"/>
  <c r="BI173" i="7"/>
  <c r="BJ173" i="7"/>
  <c r="BK173" i="7"/>
  <c r="BL173" i="7"/>
  <c r="BM173" i="7"/>
  <c r="BN173" i="7"/>
  <c r="BO173" i="7"/>
  <c r="BP173" i="7"/>
  <c r="BQ173" i="7"/>
  <c r="BR173" i="7"/>
  <c r="BS173" i="7"/>
  <c r="BT173" i="7"/>
  <c r="BU173" i="7"/>
  <c r="BV173" i="7"/>
  <c r="BW173" i="7"/>
  <c r="BX173" i="7"/>
  <c r="BY173" i="7"/>
  <c r="BZ173" i="7"/>
  <c r="CA173" i="7"/>
  <c r="CB173" i="7"/>
  <c r="CC173" i="7"/>
  <c r="CD173" i="7"/>
  <c r="CE173" i="7"/>
  <c r="CF173" i="7"/>
  <c r="CG173" i="7"/>
  <c r="CH173" i="7"/>
  <c r="CI173" i="7"/>
  <c r="CJ173" i="7"/>
  <c r="CK173" i="7"/>
  <c r="CL173" i="7"/>
  <c r="CM173" i="7"/>
  <c r="CN173" i="7"/>
  <c r="CO173" i="7"/>
  <c r="CP173" i="7"/>
  <c r="CQ173" i="7"/>
  <c r="CR173" i="7"/>
  <c r="CS173" i="7"/>
  <c r="CT173" i="7"/>
  <c r="CU173" i="7"/>
  <c r="CV173" i="7"/>
  <c r="CW173" i="7"/>
  <c r="CX173" i="7"/>
  <c r="CY173" i="7"/>
  <c r="CZ173" i="7"/>
  <c r="DA173" i="7"/>
  <c r="DB173" i="7"/>
  <c r="DC173" i="7"/>
  <c r="DD173" i="7"/>
  <c r="DE173" i="7"/>
  <c r="DF173" i="7"/>
  <c r="DG173" i="7"/>
  <c r="DH173" i="7"/>
  <c r="DI173" i="7"/>
  <c r="DJ173" i="7"/>
  <c r="DK173" i="7"/>
  <c r="DL173" i="7"/>
  <c r="DM173" i="7"/>
  <c r="DN173" i="7"/>
  <c r="DO173" i="7"/>
  <c r="DP173" i="7"/>
  <c r="DQ173" i="7"/>
  <c r="DR173" i="7"/>
  <c r="DS173" i="7"/>
  <c r="DT173" i="7"/>
  <c r="DU173" i="7"/>
  <c r="DV173" i="7"/>
  <c r="DW173" i="7"/>
  <c r="DX173" i="7"/>
  <c r="DY173" i="7"/>
  <c r="DZ173" i="7"/>
  <c r="EA173" i="7"/>
  <c r="EB173" i="7"/>
  <c r="EC173" i="7"/>
  <c r="ED173" i="7"/>
  <c r="EE173" i="7"/>
  <c r="EF173" i="7"/>
  <c r="EG173" i="7"/>
  <c r="EH173" i="7"/>
  <c r="EI173" i="7"/>
  <c r="EJ173" i="7"/>
  <c r="EK173" i="7"/>
  <c r="EL173" i="7"/>
  <c r="EM173" i="7"/>
  <c r="EN173" i="7"/>
  <c r="EO173" i="7"/>
  <c r="EP173" i="7"/>
  <c r="EQ173" i="7"/>
  <c r="ER173" i="7"/>
  <c r="ES173" i="7"/>
  <c r="ET173" i="7"/>
  <c r="EU173" i="7"/>
  <c r="EV173" i="7"/>
  <c r="EW173" i="7"/>
  <c r="EX173" i="7"/>
  <c r="EY173" i="7"/>
  <c r="EZ173" i="7"/>
  <c r="FA173" i="7"/>
  <c r="FB173" i="7"/>
  <c r="FC173" i="7"/>
  <c r="FD173" i="7"/>
  <c r="FE173" i="7"/>
  <c r="FF173" i="7"/>
  <c r="FG173" i="7"/>
  <c r="FH173" i="7"/>
  <c r="FI173" i="7"/>
  <c r="FJ173" i="7"/>
  <c r="FK173" i="7"/>
  <c r="FL173" i="7"/>
  <c r="FM173" i="7"/>
  <c r="FN173" i="7"/>
  <c r="FO173" i="7"/>
  <c r="FP173" i="7"/>
  <c r="FQ173" i="7"/>
  <c r="FR173" i="7"/>
  <c r="FS173" i="7"/>
  <c r="FT173" i="7"/>
  <c r="FU173" i="7"/>
  <c r="FV173" i="7"/>
  <c r="FW173" i="7"/>
  <c r="FX173" i="7"/>
  <c r="FY173" i="7"/>
  <c r="FZ173" i="7"/>
  <c r="GA173" i="7"/>
  <c r="GB173" i="7"/>
  <c r="GC173" i="7"/>
  <c r="GD173" i="7"/>
  <c r="GE173" i="7"/>
  <c r="GF173" i="7"/>
  <c r="GG173" i="7"/>
  <c r="GH173" i="7"/>
  <c r="GI173" i="7"/>
  <c r="GJ173" i="7"/>
  <c r="GK173" i="7"/>
  <c r="GL173" i="7"/>
  <c r="GM173" i="7"/>
  <c r="GN173" i="7"/>
  <c r="GO173" i="7"/>
  <c r="GP173" i="7"/>
  <c r="GQ173" i="7"/>
  <c r="GR173" i="7"/>
  <c r="GS173" i="7"/>
  <c r="GT173" i="7"/>
  <c r="GU173" i="7"/>
  <c r="GV173" i="7"/>
  <c r="GW173" i="7"/>
  <c r="GX173" i="7"/>
  <c r="GY173" i="7"/>
  <c r="GZ173" i="7"/>
  <c r="HA173" i="7"/>
  <c r="HB173" i="7"/>
  <c r="HC173" i="7"/>
  <c r="HD173" i="7"/>
  <c r="HE173" i="7"/>
  <c r="HF173" i="7"/>
  <c r="HG173" i="7"/>
  <c r="HH173" i="7"/>
  <c r="HI173" i="7"/>
  <c r="HJ173" i="7"/>
  <c r="HK173" i="7"/>
  <c r="HL173" i="7"/>
  <c r="HM173" i="7"/>
  <c r="HN173" i="7"/>
  <c r="HO173" i="7"/>
  <c r="HP173" i="7"/>
  <c r="HQ173" i="7"/>
  <c r="HR173" i="7"/>
  <c r="HS173" i="7"/>
  <c r="HT173" i="7"/>
  <c r="HU173" i="7"/>
  <c r="HV173" i="7"/>
  <c r="HW173" i="7"/>
  <c r="HX173" i="7"/>
  <c r="HY173" i="7"/>
  <c r="HZ173" i="7"/>
  <c r="IA173" i="7"/>
  <c r="IB173" i="7"/>
  <c r="IC173" i="7"/>
  <c r="ID173" i="7"/>
  <c r="IE173" i="7"/>
  <c r="IF173" i="7"/>
  <c r="IG173" i="7"/>
  <c r="IH173" i="7"/>
  <c r="II173" i="7"/>
  <c r="IJ173" i="7"/>
  <c r="IK173" i="7"/>
  <c r="IL173" i="7"/>
  <c r="IM173" i="7"/>
  <c r="IN173" i="7"/>
  <c r="IO173" i="7"/>
  <c r="IP173" i="7"/>
  <c r="IQ173" i="7"/>
  <c r="IR173" i="7"/>
  <c r="IS173" i="7"/>
  <c r="IT173" i="7"/>
  <c r="IU173" i="7"/>
  <c r="IV173" i="7"/>
  <c r="A172" i="7"/>
  <c r="B172" i="7"/>
  <c r="C172" i="7"/>
  <c r="D172" i="7"/>
  <c r="E172" i="7"/>
  <c r="F172" i="7"/>
  <c r="G172" i="7"/>
  <c r="H172" i="7"/>
  <c r="I172" i="7"/>
  <c r="J172" i="7"/>
  <c r="K172" i="7"/>
  <c r="L172" i="7"/>
  <c r="M172" i="7"/>
  <c r="N172" i="7"/>
  <c r="O172" i="7"/>
  <c r="P172" i="7"/>
  <c r="Q172" i="7"/>
  <c r="R172" i="7"/>
  <c r="S172" i="7"/>
  <c r="T172" i="7"/>
  <c r="U172" i="7"/>
  <c r="V172" i="7"/>
  <c r="W172" i="7"/>
  <c r="X172" i="7"/>
  <c r="Y172" i="7"/>
  <c r="Z172" i="7"/>
  <c r="AA172" i="7"/>
  <c r="AB172" i="7"/>
  <c r="AC172" i="7"/>
  <c r="AD172" i="7"/>
  <c r="AE172" i="7"/>
  <c r="AF172" i="7"/>
  <c r="AG172" i="7"/>
  <c r="AH172" i="7"/>
  <c r="AI172" i="7"/>
  <c r="AJ172" i="7"/>
  <c r="AK172" i="7"/>
  <c r="AL172" i="7"/>
  <c r="AM172" i="7"/>
  <c r="AN172" i="7"/>
  <c r="AO172" i="7"/>
  <c r="AP172" i="7"/>
  <c r="AQ172" i="7"/>
  <c r="AR172" i="7"/>
  <c r="AS172" i="7"/>
  <c r="AT172" i="7"/>
  <c r="AU172" i="7"/>
  <c r="AV172" i="7"/>
  <c r="AW172" i="7"/>
  <c r="AX172" i="7"/>
  <c r="AY172" i="7"/>
  <c r="AZ172" i="7"/>
  <c r="BA172" i="7"/>
  <c r="BB172" i="7"/>
  <c r="BC172" i="7"/>
  <c r="BD172" i="7"/>
  <c r="BE172" i="7"/>
  <c r="BF172" i="7"/>
  <c r="BG172" i="7"/>
  <c r="BH172" i="7"/>
  <c r="BI172" i="7"/>
  <c r="BJ172" i="7"/>
  <c r="BK172" i="7"/>
  <c r="BL172" i="7"/>
  <c r="BM172" i="7"/>
  <c r="BN172" i="7"/>
  <c r="BO172" i="7"/>
  <c r="BP172" i="7"/>
  <c r="BQ172" i="7"/>
  <c r="BR172" i="7"/>
  <c r="BS172" i="7"/>
  <c r="BT172" i="7"/>
  <c r="BU172" i="7"/>
  <c r="BV172" i="7"/>
  <c r="BW172" i="7"/>
  <c r="BX172" i="7"/>
  <c r="BY172" i="7"/>
  <c r="BZ172" i="7"/>
  <c r="CA172" i="7"/>
  <c r="CB172" i="7"/>
  <c r="CC172" i="7"/>
  <c r="CD172" i="7"/>
  <c r="CE172" i="7"/>
  <c r="CF172" i="7"/>
  <c r="CG172" i="7"/>
  <c r="CH172" i="7"/>
  <c r="CI172" i="7"/>
  <c r="CJ172" i="7"/>
  <c r="CK172" i="7"/>
  <c r="CL172" i="7"/>
  <c r="CM172" i="7"/>
  <c r="CN172" i="7"/>
  <c r="CO172" i="7"/>
  <c r="CP172" i="7"/>
  <c r="CQ172" i="7"/>
  <c r="CR172" i="7"/>
  <c r="CS172" i="7"/>
  <c r="CT172" i="7"/>
  <c r="CU172" i="7"/>
  <c r="CV172" i="7"/>
  <c r="CW172" i="7"/>
  <c r="CX172" i="7"/>
  <c r="CY172" i="7"/>
  <c r="CZ172" i="7"/>
  <c r="DA172" i="7"/>
  <c r="DB172" i="7"/>
  <c r="DC172" i="7"/>
  <c r="DD172" i="7"/>
  <c r="DE172" i="7"/>
  <c r="DF172" i="7"/>
  <c r="DG172" i="7"/>
  <c r="DH172" i="7"/>
  <c r="DI172" i="7"/>
  <c r="DJ172" i="7"/>
  <c r="DK172" i="7"/>
  <c r="DL172" i="7"/>
  <c r="DM172" i="7"/>
  <c r="DN172" i="7"/>
  <c r="DO172" i="7"/>
  <c r="DP172" i="7"/>
  <c r="DQ172" i="7"/>
  <c r="DR172" i="7"/>
  <c r="DS172" i="7"/>
  <c r="DT172" i="7"/>
  <c r="DU172" i="7"/>
  <c r="DV172" i="7"/>
  <c r="DW172" i="7"/>
  <c r="DX172" i="7"/>
  <c r="DY172" i="7"/>
  <c r="DZ172" i="7"/>
  <c r="EA172" i="7"/>
  <c r="EB172" i="7"/>
  <c r="EC172" i="7"/>
  <c r="ED172" i="7"/>
  <c r="EE172" i="7"/>
  <c r="EF172" i="7"/>
  <c r="EG172" i="7"/>
  <c r="EH172" i="7"/>
  <c r="EI172" i="7"/>
  <c r="EJ172" i="7"/>
  <c r="EK172" i="7"/>
  <c r="EL172" i="7"/>
  <c r="EM172" i="7"/>
  <c r="EN172" i="7"/>
  <c r="EO172" i="7"/>
  <c r="EP172" i="7"/>
  <c r="EQ172" i="7"/>
  <c r="ER172" i="7"/>
  <c r="ES172" i="7"/>
  <c r="ET172" i="7"/>
  <c r="EU172" i="7"/>
  <c r="EV172" i="7"/>
  <c r="EW172" i="7"/>
  <c r="EX172" i="7"/>
  <c r="EY172" i="7"/>
  <c r="EZ172" i="7"/>
  <c r="FA172" i="7"/>
  <c r="FB172" i="7"/>
  <c r="FC172" i="7"/>
  <c r="FD172" i="7"/>
  <c r="FE172" i="7"/>
  <c r="FF172" i="7"/>
  <c r="FG172" i="7"/>
  <c r="FH172" i="7"/>
  <c r="FI172" i="7"/>
  <c r="FJ172" i="7"/>
  <c r="FK172" i="7"/>
  <c r="FL172" i="7"/>
  <c r="FM172" i="7"/>
  <c r="FN172" i="7"/>
  <c r="FO172" i="7"/>
  <c r="FP172" i="7"/>
  <c r="FQ172" i="7"/>
  <c r="FR172" i="7"/>
  <c r="FS172" i="7"/>
  <c r="FT172" i="7"/>
  <c r="FU172" i="7"/>
  <c r="FV172" i="7"/>
  <c r="FW172" i="7"/>
  <c r="FX172" i="7"/>
  <c r="FY172" i="7"/>
  <c r="FZ172" i="7"/>
  <c r="GA172" i="7"/>
  <c r="GB172" i="7"/>
  <c r="GC172" i="7"/>
  <c r="GD172" i="7"/>
  <c r="GE172" i="7"/>
  <c r="GF172" i="7"/>
  <c r="GG172" i="7"/>
  <c r="GH172" i="7"/>
  <c r="GI172" i="7"/>
  <c r="GJ172" i="7"/>
  <c r="GK172" i="7"/>
  <c r="GL172" i="7"/>
  <c r="GM172" i="7"/>
  <c r="GN172" i="7"/>
  <c r="GO172" i="7"/>
  <c r="GP172" i="7"/>
  <c r="GQ172" i="7"/>
  <c r="GR172" i="7"/>
  <c r="GS172" i="7"/>
  <c r="GT172" i="7"/>
  <c r="GU172" i="7"/>
  <c r="GV172" i="7"/>
  <c r="GW172" i="7"/>
  <c r="GX172" i="7"/>
  <c r="GY172" i="7"/>
  <c r="GZ172" i="7"/>
  <c r="HA172" i="7"/>
  <c r="HB172" i="7"/>
  <c r="HC172" i="7"/>
  <c r="HD172" i="7"/>
  <c r="HE172" i="7"/>
  <c r="HF172" i="7"/>
  <c r="HG172" i="7"/>
  <c r="HH172" i="7"/>
  <c r="HI172" i="7"/>
  <c r="HJ172" i="7"/>
  <c r="HK172" i="7"/>
  <c r="HL172" i="7"/>
  <c r="HM172" i="7"/>
  <c r="HN172" i="7"/>
  <c r="HO172" i="7"/>
  <c r="HP172" i="7"/>
  <c r="HQ172" i="7"/>
  <c r="HR172" i="7"/>
  <c r="HS172" i="7"/>
  <c r="HT172" i="7"/>
  <c r="HU172" i="7"/>
  <c r="HV172" i="7"/>
  <c r="HW172" i="7"/>
  <c r="HX172" i="7"/>
  <c r="HY172" i="7"/>
  <c r="HZ172" i="7"/>
  <c r="IA172" i="7"/>
  <c r="IB172" i="7"/>
  <c r="IC172" i="7"/>
  <c r="ID172" i="7"/>
  <c r="IE172" i="7"/>
  <c r="IF172" i="7"/>
  <c r="IG172" i="7"/>
  <c r="IH172" i="7"/>
  <c r="II172" i="7"/>
  <c r="IJ172" i="7"/>
  <c r="IK172" i="7"/>
  <c r="IL172" i="7"/>
  <c r="IM172" i="7"/>
  <c r="IN172" i="7"/>
  <c r="IO172" i="7"/>
  <c r="IP172" i="7"/>
  <c r="IQ172" i="7"/>
  <c r="IR172" i="7"/>
  <c r="IS172" i="7"/>
  <c r="IT172" i="7"/>
  <c r="IU172" i="7"/>
  <c r="IV172" i="7"/>
  <c r="A171" i="7"/>
  <c r="B171" i="7"/>
  <c r="C171" i="7"/>
  <c r="D171" i="7"/>
  <c r="E171" i="7"/>
  <c r="F171" i="7"/>
  <c r="G171" i="7"/>
  <c r="H171" i="7"/>
  <c r="I171" i="7"/>
  <c r="J171" i="7"/>
  <c r="K171" i="7"/>
  <c r="L171" i="7"/>
  <c r="M171" i="7"/>
  <c r="N171" i="7"/>
  <c r="O171" i="7"/>
  <c r="P171" i="7"/>
  <c r="Q171" i="7"/>
  <c r="R171" i="7"/>
  <c r="S171" i="7"/>
  <c r="T171" i="7"/>
  <c r="U171" i="7"/>
  <c r="V171" i="7"/>
  <c r="W171" i="7"/>
  <c r="X171" i="7"/>
  <c r="Y171" i="7"/>
  <c r="Z171" i="7"/>
  <c r="AA171" i="7"/>
  <c r="AB171" i="7"/>
  <c r="AC171" i="7"/>
  <c r="AD171" i="7"/>
  <c r="AE171" i="7"/>
  <c r="AF171" i="7"/>
  <c r="AG171" i="7"/>
  <c r="AH171" i="7"/>
  <c r="AI171" i="7"/>
  <c r="AJ171" i="7"/>
  <c r="AK171" i="7"/>
  <c r="AL171" i="7"/>
  <c r="AM171" i="7"/>
  <c r="AN171" i="7"/>
  <c r="AO171" i="7"/>
  <c r="AP171" i="7"/>
  <c r="AQ171" i="7"/>
  <c r="AR171" i="7"/>
  <c r="AS171" i="7"/>
  <c r="AT171" i="7"/>
  <c r="AU171" i="7"/>
  <c r="AV171" i="7"/>
  <c r="AW171" i="7"/>
  <c r="AX171" i="7"/>
  <c r="AY171" i="7"/>
  <c r="AZ171" i="7"/>
  <c r="BA171" i="7"/>
  <c r="BB171" i="7"/>
  <c r="BC171" i="7"/>
  <c r="BD171" i="7"/>
  <c r="BE171" i="7"/>
  <c r="BF171" i="7"/>
  <c r="BG171" i="7"/>
  <c r="BH171" i="7"/>
  <c r="BI171" i="7"/>
  <c r="BJ171" i="7"/>
  <c r="BK171" i="7"/>
  <c r="BL171" i="7"/>
  <c r="BM171" i="7"/>
  <c r="BN171" i="7"/>
  <c r="BO171" i="7"/>
  <c r="BP171" i="7"/>
  <c r="BQ171" i="7"/>
  <c r="BR171" i="7"/>
  <c r="BS171" i="7"/>
  <c r="BT171" i="7"/>
  <c r="BU171" i="7"/>
  <c r="BV171" i="7"/>
  <c r="BW171" i="7"/>
  <c r="BX171" i="7"/>
  <c r="BY171" i="7"/>
  <c r="BZ171" i="7"/>
  <c r="CA171" i="7"/>
  <c r="CB171" i="7"/>
  <c r="CC171" i="7"/>
  <c r="CD171" i="7"/>
  <c r="CE171" i="7"/>
  <c r="CF171" i="7"/>
  <c r="CG171" i="7"/>
  <c r="CH171" i="7"/>
  <c r="CI171" i="7"/>
  <c r="CJ171" i="7"/>
  <c r="CK171" i="7"/>
  <c r="CL171" i="7"/>
  <c r="CM171" i="7"/>
  <c r="CN171" i="7"/>
  <c r="CO171" i="7"/>
  <c r="CP171" i="7"/>
  <c r="CQ171" i="7"/>
  <c r="CR171" i="7"/>
  <c r="CS171" i="7"/>
  <c r="CT171" i="7"/>
  <c r="CU171" i="7"/>
  <c r="CV171" i="7"/>
  <c r="CW171" i="7"/>
  <c r="CX171" i="7"/>
  <c r="CY171" i="7"/>
  <c r="CZ171" i="7"/>
  <c r="DA171" i="7"/>
  <c r="DB171" i="7"/>
  <c r="DC171" i="7"/>
  <c r="DD171" i="7"/>
  <c r="DE171" i="7"/>
  <c r="DF171" i="7"/>
  <c r="DG171" i="7"/>
  <c r="DH171" i="7"/>
  <c r="DI171" i="7"/>
  <c r="DJ171" i="7"/>
  <c r="DK171" i="7"/>
  <c r="DL171" i="7"/>
  <c r="DM171" i="7"/>
  <c r="DN171" i="7"/>
  <c r="DO171" i="7"/>
  <c r="DP171" i="7"/>
  <c r="DQ171" i="7"/>
  <c r="DR171" i="7"/>
  <c r="DS171" i="7"/>
  <c r="DT171" i="7"/>
  <c r="DU171" i="7"/>
  <c r="DV171" i="7"/>
  <c r="DW171" i="7"/>
  <c r="DX171" i="7"/>
  <c r="DY171" i="7"/>
  <c r="DZ171" i="7"/>
  <c r="EA171" i="7"/>
  <c r="EB171" i="7"/>
  <c r="EC171" i="7"/>
  <c r="ED171" i="7"/>
  <c r="EE171" i="7"/>
  <c r="EF171" i="7"/>
  <c r="EG171" i="7"/>
  <c r="EH171" i="7"/>
  <c r="EI171" i="7"/>
  <c r="EJ171" i="7"/>
  <c r="EK171" i="7"/>
  <c r="EL171" i="7"/>
  <c r="EM171" i="7"/>
  <c r="EN171" i="7"/>
  <c r="EO171" i="7"/>
  <c r="EP171" i="7"/>
  <c r="EQ171" i="7"/>
  <c r="ER171" i="7"/>
  <c r="ES171" i="7"/>
  <c r="ET171" i="7"/>
  <c r="EU171" i="7"/>
  <c r="EV171" i="7"/>
  <c r="EW171" i="7"/>
  <c r="EX171" i="7"/>
  <c r="EY171" i="7"/>
  <c r="EZ171" i="7"/>
  <c r="FA171" i="7"/>
  <c r="FB171" i="7"/>
  <c r="FC171" i="7"/>
  <c r="FD171" i="7"/>
  <c r="FE171" i="7"/>
  <c r="FF171" i="7"/>
  <c r="FG171" i="7"/>
  <c r="FH171" i="7"/>
  <c r="FI171" i="7"/>
  <c r="FJ171" i="7"/>
  <c r="FK171" i="7"/>
  <c r="FL171" i="7"/>
  <c r="FM171" i="7"/>
  <c r="FN171" i="7"/>
  <c r="FO171" i="7"/>
  <c r="FP171" i="7"/>
  <c r="FQ171" i="7"/>
  <c r="FR171" i="7"/>
  <c r="FS171" i="7"/>
  <c r="FT171" i="7"/>
  <c r="FU171" i="7"/>
  <c r="FV171" i="7"/>
  <c r="FW171" i="7"/>
  <c r="FX171" i="7"/>
  <c r="FY171" i="7"/>
  <c r="FZ171" i="7"/>
  <c r="GA171" i="7"/>
  <c r="GB171" i="7"/>
  <c r="GC171" i="7"/>
  <c r="GD171" i="7"/>
  <c r="GE171" i="7"/>
  <c r="GF171" i="7"/>
  <c r="GG171" i="7"/>
  <c r="GH171" i="7"/>
  <c r="GI171" i="7"/>
  <c r="GJ171" i="7"/>
  <c r="GK171" i="7"/>
  <c r="GL171" i="7"/>
  <c r="GM171" i="7"/>
  <c r="GN171" i="7"/>
  <c r="GO171" i="7"/>
  <c r="GP171" i="7"/>
  <c r="GQ171" i="7"/>
  <c r="GR171" i="7"/>
  <c r="GS171" i="7"/>
  <c r="GT171" i="7"/>
  <c r="GU171" i="7"/>
  <c r="GV171" i="7"/>
  <c r="GW171" i="7"/>
  <c r="GX171" i="7"/>
  <c r="GY171" i="7"/>
  <c r="GZ171" i="7"/>
  <c r="HA171" i="7"/>
  <c r="HB171" i="7"/>
  <c r="HC171" i="7"/>
  <c r="HD171" i="7"/>
  <c r="HE171" i="7"/>
  <c r="HF171" i="7"/>
  <c r="HG171" i="7"/>
  <c r="HH171" i="7"/>
  <c r="HI171" i="7"/>
  <c r="HJ171" i="7"/>
  <c r="HK171" i="7"/>
  <c r="HL171" i="7"/>
  <c r="HM171" i="7"/>
  <c r="HN171" i="7"/>
  <c r="HO171" i="7"/>
  <c r="HP171" i="7"/>
  <c r="HQ171" i="7"/>
  <c r="HR171" i="7"/>
  <c r="HS171" i="7"/>
  <c r="HT171" i="7"/>
  <c r="HU171" i="7"/>
  <c r="HV171" i="7"/>
  <c r="HW171" i="7"/>
  <c r="HX171" i="7"/>
  <c r="HY171" i="7"/>
  <c r="HZ171" i="7"/>
  <c r="IA171" i="7"/>
  <c r="IB171" i="7"/>
  <c r="IC171" i="7"/>
  <c r="ID171" i="7"/>
  <c r="IE171" i="7"/>
  <c r="IF171" i="7"/>
  <c r="IG171" i="7"/>
  <c r="IH171" i="7"/>
  <c r="II171" i="7"/>
  <c r="IJ171" i="7"/>
  <c r="IK171" i="7"/>
  <c r="IL171" i="7"/>
  <c r="IM171" i="7"/>
  <c r="IN171" i="7"/>
  <c r="IO171" i="7"/>
  <c r="IP171" i="7"/>
  <c r="IQ171" i="7"/>
  <c r="IR171" i="7"/>
  <c r="IS171" i="7"/>
  <c r="IT171" i="7"/>
  <c r="IU171" i="7"/>
  <c r="IV171" i="7"/>
  <c r="A170" i="7"/>
  <c r="B170" i="7"/>
  <c r="C170" i="7"/>
  <c r="D170" i="7"/>
  <c r="E170" i="7"/>
  <c r="F170" i="7"/>
  <c r="G170" i="7"/>
  <c r="H170" i="7"/>
  <c r="I170" i="7"/>
  <c r="J170" i="7"/>
  <c r="K170" i="7"/>
  <c r="L170" i="7"/>
  <c r="M170" i="7"/>
  <c r="N170" i="7"/>
  <c r="O170" i="7"/>
  <c r="P170" i="7"/>
  <c r="Q170" i="7"/>
  <c r="R170" i="7"/>
  <c r="S170" i="7"/>
  <c r="T170" i="7"/>
  <c r="U170" i="7"/>
  <c r="V170" i="7"/>
  <c r="W170" i="7"/>
  <c r="X170" i="7"/>
  <c r="Y170" i="7"/>
  <c r="Z170" i="7"/>
  <c r="AA170" i="7"/>
  <c r="AB170" i="7"/>
  <c r="AC170" i="7"/>
  <c r="AD170" i="7"/>
  <c r="AE170" i="7"/>
  <c r="AF170" i="7"/>
  <c r="AG170" i="7"/>
  <c r="AH170" i="7"/>
  <c r="AI170" i="7"/>
  <c r="AJ170" i="7"/>
  <c r="AK170" i="7"/>
  <c r="AL170" i="7"/>
  <c r="AM170" i="7"/>
  <c r="AN170" i="7"/>
  <c r="AO170" i="7"/>
  <c r="AP170" i="7"/>
  <c r="AQ170" i="7"/>
  <c r="AR170" i="7"/>
  <c r="AS170" i="7"/>
  <c r="AT170" i="7"/>
  <c r="AU170" i="7"/>
  <c r="AV170" i="7"/>
  <c r="AW170" i="7"/>
  <c r="AX170" i="7"/>
  <c r="AY170" i="7"/>
  <c r="AZ170" i="7"/>
  <c r="BA170" i="7"/>
  <c r="BB170" i="7"/>
  <c r="BC170" i="7"/>
  <c r="BD170" i="7"/>
  <c r="BE170" i="7"/>
  <c r="BF170" i="7"/>
  <c r="BG170" i="7"/>
  <c r="BH170" i="7"/>
  <c r="BI170" i="7"/>
  <c r="BJ170" i="7"/>
  <c r="BK170" i="7"/>
  <c r="BL170" i="7"/>
  <c r="BM170" i="7"/>
  <c r="BN170" i="7"/>
  <c r="BO170" i="7"/>
  <c r="BP170" i="7"/>
  <c r="BQ170" i="7"/>
  <c r="BR170" i="7"/>
  <c r="BS170" i="7"/>
  <c r="BT170" i="7"/>
  <c r="BU170" i="7"/>
  <c r="BV170" i="7"/>
  <c r="BW170" i="7"/>
  <c r="BX170" i="7"/>
  <c r="BY170" i="7"/>
  <c r="BZ170" i="7"/>
  <c r="CA170" i="7"/>
  <c r="CB170" i="7"/>
  <c r="CC170" i="7"/>
  <c r="CD170" i="7"/>
  <c r="CE170" i="7"/>
  <c r="CF170" i="7"/>
  <c r="CG170" i="7"/>
  <c r="CH170" i="7"/>
  <c r="CI170" i="7"/>
  <c r="CJ170" i="7"/>
  <c r="CK170" i="7"/>
  <c r="CL170" i="7"/>
  <c r="CM170" i="7"/>
  <c r="CN170" i="7"/>
  <c r="CO170" i="7"/>
  <c r="CP170" i="7"/>
  <c r="CQ170" i="7"/>
  <c r="CR170" i="7"/>
  <c r="CS170" i="7"/>
  <c r="CT170" i="7"/>
  <c r="CU170" i="7"/>
  <c r="CV170" i="7"/>
  <c r="CW170" i="7"/>
  <c r="CX170" i="7"/>
  <c r="CY170" i="7"/>
  <c r="CZ170" i="7"/>
  <c r="DA170" i="7"/>
  <c r="DB170" i="7"/>
  <c r="DC170" i="7"/>
  <c r="DD170" i="7"/>
  <c r="DE170" i="7"/>
  <c r="DF170" i="7"/>
  <c r="DG170" i="7"/>
  <c r="DH170" i="7"/>
  <c r="DI170" i="7"/>
  <c r="DJ170" i="7"/>
  <c r="DK170" i="7"/>
  <c r="DL170" i="7"/>
  <c r="DM170" i="7"/>
  <c r="DN170" i="7"/>
  <c r="DO170" i="7"/>
  <c r="DP170" i="7"/>
  <c r="DQ170" i="7"/>
  <c r="DR170" i="7"/>
  <c r="DS170" i="7"/>
  <c r="DT170" i="7"/>
  <c r="DU170" i="7"/>
  <c r="DV170" i="7"/>
  <c r="DW170" i="7"/>
  <c r="DX170" i="7"/>
  <c r="DY170" i="7"/>
  <c r="DZ170" i="7"/>
  <c r="EA170" i="7"/>
  <c r="EB170" i="7"/>
  <c r="EC170" i="7"/>
  <c r="ED170" i="7"/>
  <c r="EE170" i="7"/>
  <c r="EF170" i="7"/>
  <c r="EG170" i="7"/>
  <c r="EH170" i="7"/>
  <c r="EI170" i="7"/>
  <c r="EJ170" i="7"/>
  <c r="EK170" i="7"/>
  <c r="EL170" i="7"/>
  <c r="EM170" i="7"/>
  <c r="EN170" i="7"/>
  <c r="EO170" i="7"/>
  <c r="EP170" i="7"/>
  <c r="EQ170" i="7"/>
  <c r="ER170" i="7"/>
  <c r="ES170" i="7"/>
  <c r="ET170" i="7"/>
  <c r="EU170" i="7"/>
  <c r="EV170" i="7"/>
  <c r="EW170" i="7"/>
  <c r="EX170" i="7"/>
  <c r="EY170" i="7"/>
  <c r="EZ170" i="7"/>
  <c r="FA170" i="7"/>
  <c r="FB170" i="7"/>
  <c r="FC170" i="7"/>
  <c r="FD170" i="7"/>
  <c r="FE170" i="7"/>
  <c r="FF170" i="7"/>
  <c r="FG170" i="7"/>
  <c r="FH170" i="7"/>
  <c r="FI170" i="7"/>
  <c r="FJ170" i="7"/>
  <c r="FK170" i="7"/>
  <c r="FL170" i="7"/>
  <c r="FM170" i="7"/>
  <c r="FN170" i="7"/>
  <c r="FO170" i="7"/>
  <c r="FP170" i="7"/>
  <c r="FQ170" i="7"/>
  <c r="FR170" i="7"/>
  <c r="FS170" i="7"/>
  <c r="FT170" i="7"/>
  <c r="FU170" i="7"/>
  <c r="FV170" i="7"/>
  <c r="FW170" i="7"/>
  <c r="FX170" i="7"/>
  <c r="FY170" i="7"/>
  <c r="FZ170" i="7"/>
  <c r="GA170" i="7"/>
  <c r="GB170" i="7"/>
  <c r="GC170" i="7"/>
  <c r="GD170" i="7"/>
  <c r="GE170" i="7"/>
  <c r="GF170" i="7"/>
  <c r="GG170" i="7"/>
  <c r="GH170" i="7"/>
  <c r="GI170" i="7"/>
  <c r="GJ170" i="7"/>
  <c r="GK170" i="7"/>
  <c r="GL170" i="7"/>
  <c r="GM170" i="7"/>
  <c r="GN170" i="7"/>
  <c r="GO170" i="7"/>
  <c r="GP170" i="7"/>
  <c r="GQ170" i="7"/>
  <c r="GR170" i="7"/>
  <c r="GS170" i="7"/>
  <c r="GT170" i="7"/>
  <c r="GU170" i="7"/>
  <c r="GV170" i="7"/>
  <c r="GW170" i="7"/>
  <c r="GX170" i="7"/>
  <c r="GY170" i="7"/>
  <c r="GZ170" i="7"/>
  <c r="HA170" i="7"/>
  <c r="HB170" i="7"/>
  <c r="HC170" i="7"/>
  <c r="HD170" i="7"/>
  <c r="HE170" i="7"/>
  <c r="HF170" i="7"/>
  <c r="HG170" i="7"/>
  <c r="HH170" i="7"/>
  <c r="HI170" i="7"/>
  <c r="HJ170" i="7"/>
  <c r="HK170" i="7"/>
  <c r="HL170" i="7"/>
  <c r="HM170" i="7"/>
  <c r="HN170" i="7"/>
  <c r="HO170" i="7"/>
  <c r="HP170" i="7"/>
  <c r="HQ170" i="7"/>
  <c r="HR170" i="7"/>
  <c r="HS170" i="7"/>
  <c r="HT170" i="7"/>
  <c r="HU170" i="7"/>
  <c r="HV170" i="7"/>
  <c r="HW170" i="7"/>
  <c r="HX170" i="7"/>
  <c r="HY170" i="7"/>
  <c r="HZ170" i="7"/>
  <c r="IA170" i="7"/>
  <c r="IB170" i="7"/>
  <c r="IC170" i="7"/>
  <c r="ID170" i="7"/>
  <c r="IE170" i="7"/>
  <c r="IF170" i="7"/>
  <c r="IG170" i="7"/>
  <c r="IH170" i="7"/>
  <c r="II170" i="7"/>
  <c r="IJ170" i="7"/>
  <c r="IK170" i="7"/>
  <c r="IL170" i="7"/>
  <c r="IM170" i="7"/>
  <c r="IN170" i="7"/>
  <c r="IO170" i="7"/>
  <c r="IP170" i="7"/>
  <c r="IQ170" i="7"/>
  <c r="IR170" i="7"/>
  <c r="IS170" i="7"/>
  <c r="IT170" i="7"/>
  <c r="IU170" i="7"/>
  <c r="IV170" i="7"/>
  <c r="A169" i="7"/>
  <c r="B169" i="7"/>
  <c r="C169" i="7"/>
  <c r="D169" i="7"/>
  <c r="E169" i="7"/>
  <c r="F169" i="7"/>
  <c r="G169" i="7"/>
  <c r="H169" i="7"/>
  <c r="I169" i="7"/>
  <c r="J169" i="7"/>
  <c r="K169" i="7"/>
  <c r="L169" i="7"/>
  <c r="M169" i="7"/>
  <c r="N169" i="7"/>
  <c r="O169" i="7"/>
  <c r="P169" i="7"/>
  <c r="Q169" i="7"/>
  <c r="R169" i="7"/>
  <c r="S169" i="7"/>
  <c r="T169" i="7"/>
  <c r="U169" i="7"/>
  <c r="V169" i="7"/>
  <c r="W169" i="7"/>
  <c r="X169" i="7"/>
  <c r="Y169" i="7"/>
  <c r="Z169" i="7"/>
  <c r="AA169" i="7"/>
  <c r="AB169" i="7"/>
  <c r="AC169" i="7"/>
  <c r="AD169" i="7"/>
  <c r="AE169" i="7"/>
  <c r="AF169" i="7"/>
  <c r="AG169" i="7"/>
  <c r="AH169" i="7"/>
  <c r="AI169" i="7"/>
  <c r="AJ169" i="7"/>
  <c r="AK169" i="7"/>
  <c r="AL169" i="7"/>
  <c r="AM169" i="7"/>
  <c r="AN169" i="7"/>
  <c r="AO169" i="7"/>
  <c r="AP169" i="7"/>
  <c r="AQ169" i="7"/>
  <c r="AR169" i="7"/>
  <c r="AS169" i="7"/>
  <c r="AT169" i="7"/>
  <c r="AU169" i="7"/>
  <c r="AV169" i="7"/>
  <c r="AW169" i="7"/>
  <c r="AX169" i="7"/>
  <c r="AY169" i="7"/>
  <c r="AZ169" i="7"/>
  <c r="BA169" i="7"/>
  <c r="BB169" i="7"/>
  <c r="BC169" i="7"/>
  <c r="BD169" i="7"/>
  <c r="BE169" i="7"/>
  <c r="BF169" i="7"/>
  <c r="BG169" i="7"/>
  <c r="BH169" i="7"/>
  <c r="BI169" i="7"/>
  <c r="BJ169" i="7"/>
  <c r="BK169" i="7"/>
  <c r="BL169" i="7"/>
  <c r="BM169" i="7"/>
  <c r="BN169" i="7"/>
  <c r="BO169" i="7"/>
  <c r="BP169" i="7"/>
  <c r="BQ169" i="7"/>
  <c r="BR169" i="7"/>
  <c r="BS169" i="7"/>
  <c r="BT169" i="7"/>
  <c r="BU169" i="7"/>
  <c r="BV169" i="7"/>
  <c r="BW169" i="7"/>
  <c r="BX169" i="7"/>
  <c r="BY169" i="7"/>
  <c r="BZ169" i="7"/>
  <c r="CA169" i="7"/>
  <c r="CB169" i="7"/>
  <c r="CC169" i="7"/>
  <c r="CD169" i="7"/>
  <c r="CE169" i="7"/>
  <c r="CF169" i="7"/>
  <c r="CG169" i="7"/>
  <c r="CH169" i="7"/>
  <c r="CI169" i="7"/>
  <c r="CJ169" i="7"/>
  <c r="CK169" i="7"/>
  <c r="CL169" i="7"/>
  <c r="CM169" i="7"/>
  <c r="CN169" i="7"/>
  <c r="CO169" i="7"/>
  <c r="CP169" i="7"/>
  <c r="CQ169" i="7"/>
  <c r="CR169" i="7"/>
  <c r="CS169" i="7"/>
  <c r="CT169" i="7"/>
  <c r="CU169" i="7"/>
  <c r="CV169" i="7"/>
  <c r="CW169" i="7"/>
  <c r="CX169" i="7"/>
  <c r="CY169" i="7"/>
  <c r="CZ169" i="7"/>
  <c r="DA169" i="7"/>
  <c r="DB169" i="7"/>
  <c r="DC169" i="7"/>
  <c r="DD169" i="7"/>
  <c r="DE169" i="7"/>
  <c r="DF169" i="7"/>
  <c r="DG169" i="7"/>
  <c r="DH169" i="7"/>
  <c r="DI169" i="7"/>
  <c r="DJ169" i="7"/>
  <c r="DK169" i="7"/>
  <c r="DL169" i="7"/>
  <c r="DM169" i="7"/>
  <c r="DN169" i="7"/>
  <c r="DO169" i="7"/>
  <c r="DP169" i="7"/>
  <c r="DQ169" i="7"/>
  <c r="DR169" i="7"/>
  <c r="DS169" i="7"/>
  <c r="DT169" i="7"/>
  <c r="DU169" i="7"/>
  <c r="DV169" i="7"/>
  <c r="DW169" i="7"/>
  <c r="DX169" i="7"/>
  <c r="DY169" i="7"/>
  <c r="DZ169" i="7"/>
  <c r="EA169" i="7"/>
  <c r="EB169" i="7"/>
  <c r="EC169" i="7"/>
  <c r="ED169" i="7"/>
  <c r="EE169" i="7"/>
  <c r="EF169" i="7"/>
  <c r="EG169" i="7"/>
  <c r="EH169" i="7"/>
  <c r="EI169" i="7"/>
  <c r="EJ169" i="7"/>
  <c r="EK169" i="7"/>
  <c r="EL169" i="7"/>
  <c r="EM169" i="7"/>
  <c r="EN169" i="7"/>
  <c r="EO169" i="7"/>
  <c r="EP169" i="7"/>
  <c r="EQ169" i="7"/>
  <c r="ER169" i="7"/>
  <c r="ES169" i="7"/>
  <c r="ET169" i="7"/>
  <c r="EU169" i="7"/>
  <c r="EV169" i="7"/>
  <c r="EW169" i="7"/>
  <c r="EX169" i="7"/>
  <c r="EY169" i="7"/>
  <c r="EZ169" i="7"/>
  <c r="FA169" i="7"/>
  <c r="FB169" i="7"/>
  <c r="FC169" i="7"/>
  <c r="FD169" i="7"/>
  <c r="FE169" i="7"/>
  <c r="FF169" i="7"/>
  <c r="FG169" i="7"/>
  <c r="FH169" i="7"/>
  <c r="FI169" i="7"/>
  <c r="FJ169" i="7"/>
  <c r="FK169" i="7"/>
  <c r="FL169" i="7"/>
  <c r="FM169" i="7"/>
  <c r="FN169" i="7"/>
  <c r="FO169" i="7"/>
  <c r="FP169" i="7"/>
  <c r="FQ169" i="7"/>
  <c r="FR169" i="7"/>
  <c r="FS169" i="7"/>
  <c r="FT169" i="7"/>
  <c r="FU169" i="7"/>
  <c r="FV169" i="7"/>
  <c r="FW169" i="7"/>
  <c r="FX169" i="7"/>
  <c r="FY169" i="7"/>
  <c r="FZ169" i="7"/>
  <c r="GA169" i="7"/>
  <c r="GB169" i="7"/>
  <c r="GC169" i="7"/>
  <c r="GD169" i="7"/>
  <c r="GE169" i="7"/>
  <c r="GF169" i="7"/>
  <c r="GG169" i="7"/>
  <c r="GH169" i="7"/>
  <c r="GI169" i="7"/>
  <c r="GJ169" i="7"/>
  <c r="GK169" i="7"/>
  <c r="GL169" i="7"/>
  <c r="GM169" i="7"/>
  <c r="GN169" i="7"/>
  <c r="GO169" i="7"/>
  <c r="GP169" i="7"/>
  <c r="GQ169" i="7"/>
  <c r="GR169" i="7"/>
  <c r="GS169" i="7"/>
  <c r="GT169" i="7"/>
  <c r="GU169" i="7"/>
  <c r="GV169" i="7"/>
  <c r="GW169" i="7"/>
  <c r="GX169" i="7"/>
  <c r="GY169" i="7"/>
  <c r="GZ169" i="7"/>
  <c r="HA169" i="7"/>
  <c r="HB169" i="7"/>
  <c r="HC169" i="7"/>
  <c r="HD169" i="7"/>
  <c r="HE169" i="7"/>
  <c r="HF169" i="7"/>
  <c r="HG169" i="7"/>
  <c r="HH169" i="7"/>
  <c r="HI169" i="7"/>
  <c r="HJ169" i="7"/>
  <c r="HK169" i="7"/>
  <c r="HL169" i="7"/>
  <c r="HM169" i="7"/>
  <c r="HN169" i="7"/>
  <c r="HO169" i="7"/>
  <c r="HP169" i="7"/>
  <c r="HQ169" i="7"/>
  <c r="HR169" i="7"/>
  <c r="HS169" i="7"/>
  <c r="HT169" i="7"/>
  <c r="HU169" i="7"/>
  <c r="HV169" i="7"/>
  <c r="HW169" i="7"/>
  <c r="HX169" i="7"/>
  <c r="HY169" i="7"/>
  <c r="HZ169" i="7"/>
  <c r="IA169" i="7"/>
  <c r="IB169" i="7"/>
  <c r="IC169" i="7"/>
  <c r="ID169" i="7"/>
  <c r="IE169" i="7"/>
  <c r="IF169" i="7"/>
  <c r="IG169" i="7"/>
  <c r="IH169" i="7"/>
  <c r="II169" i="7"/>
  <c r="IJ169" i="7"/>
  <c r="IK169" i="7"/>
  <c r="IL169" i="7"/>
  <c r="IM169" i="7"/>
  <c r="IN169" i="7"/>
  <c r="IO169" i="7"/>
  <c r="IP169" i="7"/>
  <c r="IQ169" i="7"/>
  <c r="IR169" i="7"/>
  <c r="IS169" i="7"/>
  <c r="IT169" i="7"/>
  <c r="IU169" i="7"/>
  <c r="IV169" i="7"/>
  <c r="A168" i="7"/>
  <c r="B168" i="7"/>
  <c r="C168" i="7"/>
  <c r="D168" i="7"/>
  <c r="E168" i="7"/>
  <c r="F168" i="7"/>
  <c r="G168" i="7"/>
  <c r="H168" i="7"/>
  <c r="I168" i="7"/>
  <c r="J168" i="7"/>
  <c r="K168" i="7"/>
  <c r="L168" i="7"/>
  <c r="M168" i="7"/>
  <c r="N168" i="7"/>
  <c r="O168" i="7"/>
  <c r="P168" i="7"/>
  <c r="Q168" i="7"/>
  <c r="R168" i="7"/>
  <c r="S168" i="7"/>
  <c r="T168" i="7"/>
  <c r="U168" i="7"/>
  <c r="V168" i="7"/>
  <c r="W168" i="7"/>
  <c r="X168" i="7"/>
  <c r="Y168" i="7"/>
  <c r="Z168" i="7"/>
  <c r="AA168" i="7"/>
  <c r="AB168" i="7"/>
  <c r="AC168" i="7"/>
  <c r="AD168" i="7"/>
  <c r="AE168" i="7"/>
  <c r="AF168" i="7"/>
  <c r="AG168" i="7"/>
  <c r="AH168" i="7"/>
  <c r="AI168" i="7"/>
  <c r="AJ168" i="7"/>
  <c r="AK168" i="7"/>
  <c r="AL168" i="7"/>
  <c r="AM168" i="7"/>
  <c r="AN168" i="7"/>
  <c r="AO168" i="7"/>
  <c r="AP168" i="7"/>
  <c r="AQ168" i="7"/>
  <c r="AR168" i="7"/>
  <c r="AS168" i="7"/>
  <c r="AT168" i="7"/>
  <c r="AU168" i="7"/>
  <c r="AV168" i="7"/>
  <c r="AW168" i="7"/>
  <c r="AX168" i="7"/>
  <c r="AY168" i="7"/>
  <c r="AZ168" i="7"/>
  <c r="BA168" i="7"/>
  <c r="BB168" i="7"/>
  <c r="BC168" i="7"/>
  <c r="BD168" i="7"/>
  <c r="BE168" i="7"/>
  <c r="BF168" i="7"/>
  <c r="BG168" i="7"/>
  <c r="BH168" i="7"/>
  <c r="BI168" i="7"/>
  <c r="BJ168" i="7"/>
  <c r="BK168" i="7"/>
  <c r="BL168" i="7"/>
  <c r="BM168" i="7"/>
  <c r="BN168" i="7"/>
  <c r="BO168" i="7"/>
  <c r="BP168" i="7"/>
  <c r="BQ168" i="7"/>
  <c r="BR168" i="7"/>
  <c r="BS168" i="7"/>
  <c r="BT168" i="7"/>
  <c r="BU168" i="7"/>
  <c r="BV168" i="7"/>
  <c r="BW168" i="7"/>
  <c r="BX168" i="7"/>
  <c r="BY168" i="7"/>
  <c r="BZ168" i="7"/>
  <c r="CA168" i="7"/>
  <c r="CB168" i="7"/>
  <c r="CC168" i="7"/>
  <c r="CD168" i="7"/>
  <c r="CE168" i="7"/>
  <c r="CF168" i="7"/>
  <c r="CG168" i="7"/>
  <c r="CH168" i="7"/>
  <c r="CI168" i="7"/>
  <c r="CJ168" i="7"/>
  <c r="CK168" i="7"/>
  <c r="CL168" i="7"/>
  <c r="CM168" i="7"/>
  <c r="CN168" i="7"/>
  <c r="CO168" i="7"/>
  <c r="CP168" i="7"/>
  <c r="CQ168" i="7"/>
  <c r="CR168" i="7"/>
  <c r="CS168" i="7"/>
  <c r="CT168" i="7"/>
  <c r="CU168" i="7"/>
  <c r="CV168" i="7"/>
  <c r="CW168" i="7"/>
  <c r="CX168" i="7"/>
  <c r="CY168" i="7"/>
  <c r="CZ168" i="7"/>
  <c r="DA168" i="7"/>
  <c r="DB168" i="7"/>
  <c r="DC168" i="7"/>
  <c r="DD168" i="7"/>
  <c r="DE168" i="7"/>
  <c r="DF168" i="7"/>
  <c r="DG168" i="7"/>
  <c r="DH168" i="7"/>
  <c r="DI168" i="7"/>
  <c r="DJ168" i="7"/>
  <c r="DK168" i="7"/>
  <c r="DL168" i="7"/>
  <c r="DM168" i="7"/>
  <c r="DN168" i="7"/>
  <c r="DO168" i="7"/>
  <c r="DP168" i="7"/>
  <c r="DQ168" i="7"/>
  <c r="DR168" i="7"/>
  <c r="DS168" i="7"/>
  <c r="DT168" i="7"/>
  <c r="DU168" i="7"/>
  <c r="DV168" i="7"/>
  <c r="DW168" i="7"/>
  <c r="DX168" i="7"/>
  <c r="DY168" i="7"/>
  <c r="DZ168" i="7"/>
  <c r="EA168" i="7"/>
  <c r="EB168" i="7"/>
  <c r="EC168" i="7"/>
  <c r="ED168" i="7"/>
  <c r="EE168" i="7"/>
  <c r="EF168" i="7"/>
  <c r="EG168" i="7"/>
  <c r="EH168" i="7"/>
  <c r="EI168" i="7"/>
  <c r="EJ168" i="7"/>
  <c r="EK168" i="7"/>
  <c r="EL168" i="7"/>
  <c r="EM168" i="7"/>
  <c r="EN168" i="7"/>
  <c r="EO168" i="7"/>
  <c r="EP168" i="7"/>
  <c r="EQ168" i="7"/>
  <c r="ER168" i="7"/>
  <c r="ES168" i="7"/>
  <c r="ET168" i="7"/>
  <c r="EU168" i="7"/>
  <c r="EV168" i="7"/>
  <c r="EW168" i="7"/>
  <c r="EX168" i="7"/>
  <c r="EY168" i="7"/>
  <c r="EZ168" i="7"/>
  <c r="FA168" i="7"/>
  <c r="FB168" i="7"/>
  <c r="FC168" i="7"/>
  <c r="FD168" i="7"/>
  <c r="FE168" i="7"/>
  <c r="FF168" i="7"/>
  <c r="FG168" i="7"/>
  <c r="FH168" i="7"/>
  <c r="FI168" i="7"/>
  <c r="FJ168" i="7"/>
  <c r="FK168" i="7"/>
  <c r="FL168" i="7"/>
  <c r="FM168" i="7"/>
  <c r="FN168" i="7"/>
  <c r="FO168" i="7"/>
  <c r="FP168" i="7"/>
  <c r="FQ168" i="7"/>
  <c r="FR168" i="7"/>
  <c r="FS168" i="7"/>
  <c r="FT168" i="7"/>
  <c r="FU168" i="7"/>
  <c r="FV168" i="7"/>
  <c r="FW168" i="7"/>
  <c r="FX168" i="7"/>
  <c r="FY168" i="7"/>
  <c r="FZ168" i="7"/>
  <c r="GA168" i="7"/>
  <c r="GB168" i="7"/>
  <c r="GC168" i="7"/>
  <c r="GD168" i="7"/>
  <c r="GE168" i="7"/>
  <c r="GF168" i="7"/>
  <c r="GG168" i="7"/>
  <c r="GH168" i="7"/>
  <c r="GI168" i="7"/>
  <c r="GJ168" i="7"/>
  <c r="GK168" i="7"/>
  <c r="GL168" i="7"/>
  <c r="GM168" i="7"/>
  <c r="GN168" i="7"/>
  <c r="GO168" i="7"/>
  <c r="GP168" i="7"/>
  <c r="GQ168" i="7"/>
  <c r="GR168" i="7"/>
  <c r="GS168" i="7"/>
  <c r="GT168" i="7"/>
  <c r="GU168" i="7"/>
  <c r="GV168" i="7"/>
  <c r="GW168" i="7"/>
  <c r="GX168" i="7"/>
  <c r="GY168" i="7"/>
  <c r="GZ168" i="7"/>
  <c r="HA168" i="7"/>
  <c r="HB168" i="7"/>
  <c r="HC168" i="7"/>
  <c r="HD168" i="7"/>
  <c r="HE168" i="7"/>
  <c r="HF168" i="7"/>
  <c r="HG168" i="7"/>
  <c r="HH168" i="7"/>
  <c r="HI168" i="7"/>
  <c r="HJ168" i="7"/>
  <c r="HK168" i="7"/>
  <c r="HL168" i="7"/>
  <c r="HM168" i="7"/>
  <c r="HN168" i="7"/>
  <c r="HO168" i="7"/>
  <c r="HP168" i="7"/>
  <c r="HQ168" i="7"/>
  <c r="HR168" i="7"/>
  <c r="HS168" i="7"/>
  <c r="HT168" i="7"/>
  <c r="HU168" i="7"/>
  <c r="HV168" i="7"/>
  <c r="HW168" i="7"/>
  <c r="HX168" i="7"/>
  <c r="HY168" i="7"/>
  <c r="HZ168" i="7"/>
  <c r="IA168" i="7"/>
  <c r="IB168" i="7"/>
  <c r="IC168" i="7"/>
  <c r="ID168" i="7"/>
  <c r="IE168" i="7"/>
  <c r="IF168" i="7"/>
  <c r="IG168" i="7"/>
  <c r="IH168" i="7"/>
  <c r="II168" i="7"/>
  <c r="IJ168" i="7"/>
  <c r="IK168" i="7"/>
  <c r="IL168" i="7"/>
  <c r="IM168" i="7"/>
  <c r="IN168" i="7"/>
  <c r="IO168" i="7"/>
  <c r="IP168" i="7"/>
  <c r="IQ168" i="7"/>
  <c r="IR168" i="7"/>
  <c r="IS168" i="7"/>
  <c r="IT168" i="7"/>
  <c r="IU168" i="7"/>
  <c r="IV168" i="7"/>
  <c r="A167" i="7"/>
  <c r="B167" i="7"/>
  <c r="C167" i="7"/>
  <c r="D167" i="7"/>
  <c r="E167" i="7"/>
  <c r="F167" i="7"/>
  <c r="G167" i="7"/>
  <c r="H167" i="7"/>
  <c r="I167" i="7"/>
  <c r="J167" i="7"/>
  <c r="K167" i="7"/>
  <c r="L167" i="7"/>
  <c r="M167" i="7"/>
  <c r="N167" i="7"/>
  <c r="O167" i="7"/>
  <c r="P167" i="7"/>
  <c r="Q167" i="7"/>
  <c r="R167" i="7"/>
  <c r="S167" i="7"/>
  <c r="T167" i="7"/>
  <c r="U167" i="7"/>
  <c r="V167" i="7"/>
  <c r="W167" i="7"/>
  <c r="X167" i="7"/>
  <c r="Y167" i="7"/>
  <c r="Z167" i="7"/>
  <c r="AA167" i="7"/>
  <c r="AB167" i="7"/>
  <c r="AC167" i="7"/>
  <c r="AD167" i="7"/>
  <c r="AE167" i="7"/>
  <c r="AF167" i="7"/>
  <c r="AG167" i="7"/>
  <c r="AH167" i="7"/>
  <c r="AI167" i="7"/>
  <c r="AJ167" i="7"/>
  <c r="AK167" i="7"/>
  <c r="AL167" i="7"/>
  <c r="AM167" i="7"/>
  <c r="AN167" i="7"/>
  <c r="AO167" i="7"/>
  <c r="AP167" i="7"/>
  <c r="AQ167" i="7"/>
  <c r="AR167" i="7"/>
  <c r="AS167" i="7"/>
  <c r="AT167" i="7"/>
  <c r="AU167" i="7"/>
  <c r="AV167" i="7"/>
  <c r="AW167" i="7"/>
  <c r="AX167" i="7"/>
  <c r="AY167" i="7"/>
  <c r="AZ167" i="7"/>
  <c r="BA167" i="7"/>
  <c r="BB167" i="7"/>
  <c r="BC167" i="7"/>
  <c r="BD167" i="7"/>
  <c r="BE167" i="7"/>
  <c r="BF167" i="7"/>
  <c r="BG167" i="7"/>
  <c r="BH167" i="7"/>
  <c r="BI167" i="7"/>
  <c r="BJ167" i="7"/>
  <c r="BK167" i="7"/>
  <c r="BL167" i="7"/>
  <c r="BM167" i="7"/>
  <c r="BN167" i="7"/>
  <c r="BO167" i="7"/>
  <c r="BP167" i="7"/>
  <c r="BQ167" i="7"/>
  <c r="BR167" i="7"/>
  <c r="BS167" i="7"/>
  <c r="BT167" i="7"/>
  <c r="BU167" i="7"/>
  <c r="BV167" i="7"/>
  <c r="BW167" i="7"/>
  <c r="BX167" i="7"/>
  <c r="BY167" i="7"/>
  <c r="BZ167" i="7"/>
  <c r="CA167" i="7"/>
  <c r="CB167" i="7"/>
  <c r="CC167" i="7"/>
  <c r="CD167" i="7"/>
  <c r="CE167" i="7"/>
  <c r="CF167" i="7"/>
  <c r="CG167" i="7"/>
  <c r="CH167" i="7"/>
  <c r="CI167" i="7"/>
  <c r="CJ167" i="7"/>
  <c r="CK167" i="7"/>
  <c r="CL167" i="7"/>
  <c r="CM167" i="7"/>
  <c r="CN167" i="7"/>
  <c r="CO167" i="7"/>
  <c r="CP167" i="7"/>
  <c r="CQ167" i="7"/>
  <c r="CR167" i="7"/>
  <c r="CS167" i="7"/>
  <c r="CT167" i="7"/>
  <c r="CU167" i="7"/>
  <c r="CV167" i="7"/>
  <c r="CW167" i="7"/>
  <c r="CX167" i="7"/>
  <c r="CY167" i="7"/>
  <c r="CZ167" i="7"/>
  <c r="DA167" i="7"/>
  <c r="DB167" i="7"/>
  <c r="DC167" i="7"/>
  <c r="DD167" i="7"/>
  <c r="DE167" i="7"/>
  <c r="DF167" i="7"/>
  <c r="DG167" i="7"/>
  <c r="DH167" i="7"/>
  <c r="DI167" i="7"/>
  <c r="DJ167" i="7"/>
  <c r="DK167" i="7"/>
  <c r="DL167" i="7"/>
  <c r="DM167" i="7"/>
  <c r="DN167" i="7"/>
  <c r="DO167" i="7"/>
  <c r="DP167" i="7"/>
  <c r="DQ167" i="7"/>
  <c r="DR167" i="7"/>
  <c r="DS167" i="7"/>
  <c r="DT167" i="7"/>
  <c r="DU167" i="7"/>
  <c r="DV167" i="7"/>
  <c r="DW167" i="7"/>
  <c r="DX167" i="7"/>
  <c r="DY167" i="7"/>
  <c r="DZ167" i="7"/>
  <c r="EA167" i="7"/>
  <c r="EB167" i="7"/>
  <c r="EC167" i="7"/>
  <c r="ED167" i="7"/>
  <c r="EE167" i="7"/>
  <c r="EF167" i="7"/>
  <c r="EG167" i="7"/>
  <c r="EH167" i="7"/>
  <c r="EI167" i="7"/>
  <c r="EJ167" i="7"/>
  <c r="EK167" i="7"/>
  <c r="EL167" i="7"/>
  <c r="EM167" i="7"/>
  <c r="EN167" i="7"/>
  <c r="EO167" i="7"/>
  <c r="EP167" i="7"/>
  <c r="EQ167" i="7"/>
  <c r="ER167" i="7"/>
  <c r="ES167" i="7"/>
  <c r="ET167" i="7"/>
  <c r="EU167" i="7"/>
  <c r="EV167" i="7"/>
  <c r="EW167" i="7"/>
  <c r="EX167" i="7"/>
  <c r="EY167" i="7"/>
  <c r="EZ167" i="7"/>
  <c r="FA167" i="7"/>
  <c r="FB167" i="7"/>
  <c r="FC167" i="7"/>
  <c r="FD167" i="7"/>
  <c r="FE167" i="7"/>
  <c r="FF167" i="7"/>
  <c r="FG167" i="7"/>
  <c r="FH167" i="7"/>
  <c r="FI167" i="7"/>
  <c r="FJ167" i="7"/>
  <c r="FK167" i="7"/>
  <c r="FL167" i="7"/>
  <c r="FM167" i="7"/>
  <c r="FN167" i="7"/>
  <c r="FO167" i="7"/>
  <c r="FP167" i="7"/>
  <c r="FQ167" i="7"/>
  <c r="FR167" i="7"/>
  <c r="FS167" i="7"/>
  <c r="FT167" i="7"/>
  <c r="FU167" i="7"/>
  <c r="FV167" i="7"/>
  <c r="FW167" i="7"/>
  <c r="FX167" i="7"/>
  <c r="FY167" i="7"/>
  <c r="FZ167" i="7"/>
  <c r="GA167" i="7"/>
  <c r="GB167" i="7"/>
  <c r="GC167" i="7"/>
  <c r="GD167" i="7"/>
  <c r="GE167" i="7"/>
  <c r="GF167" i="7"/>
  <c r="GG167" i="7"/>
  <c r="GH167" i="7"/>
  <c r="GI167" i="7"/>
  <c r="GJ167" i="7"/>
  <c r="GK167" i="7"/>
  <c r="GL167" i="7"/>
  <c r="GM167" i="7"/>
  <c r="GN167" i="7"/>
  <c r="GO167" i="7"/>
  <c r="GP167" i="7"/>
  <c r="GQ167" i="7"/>
  <c r="GR167" i="7"/>
  <c r="GS167" i="7"/>
  <c r="GT167" i="7"/>
  <c r="GU167" i="7"/>
  <c r="GV167" i="7"/>
  <c r="GW167" i="7"/>
  <c r="GX167" i="7"/>
  <c r="GY167" i="7"/>
  <c r="GZ167" i="7"/>
  <c r="HA167" i="7"/>
  <c r="HB167" i="7"/>
  <c r="HC167" i="7"/>
  <c r="HD167" i="7"/>
  <c r="HE167" i="7"/>
  <c r="HF167" i="7"/>
  <c r="HG167" i="7"/>
  <c r="HH167" i="7"/>
  <c r="HI167" i="7"/>
  <c r="HJ167" i="7"/>
  <c r="HK167" i="7"/>
  <c r="HL167" i="7"/>
  <c r="HM167" i="7"/>
  <c r="HN167" i="7"/>
  <c r="HO167" i="7"/>
  <c r="HP167" i="7"/>
  <c r="HQ167" i="7"/>
  <c r="HR167" i="7"/>
  <c r="HS167" i="7"/>
  <c r="HT167" i="7"/>
  <c r="HU167" i="7"/>
  <c r="HV167" i="7"/>
  <c r="HW167" i="7"/>
  <c r="HX167" i="7"/>
  <c r="HY167" i="7"/>
  <c r="HZ167" i="7"/>
  <c r="IA167" i="7"/>
  <c r="IB167" i="7"/>
  <c r="IC167" i="7"/>
  <c r="ID167" i="7"/>
  <c r="IE167" i="7"/>
  <c r="IF167" i="7"/>
  <c r="IG167" i="7"/>
  <c r="IH167" i="7"/>
  <c r="II167" i="7"/>
  <c r="IJ167" i="7"/>
  <c r="IK167" i="7"/>
  <c r="IL167" i="7"/>
  <c r="IM167" i="7"/>
  <c r="IN167" i="7"/>
  <c r="IO167" i="7"/>
  <c r="IP167" i="7"/>
  <c r="IQ167" i="7"/>
  <c r="IR167" i="7"/>
  <c r="IS167" i="7"/>
  <c r="IT167" i="7"/>
  <c r="IU167" i="7"/>
  <c r="IV167" i="7"/>
  <c r="A166" i="7"/>
  <c r="B166" i="7"/>
  <c r="C166" i="7"/>
  <c r="D166" i="7"/>
  <c r="E166" i="7"/>
  <c r="F166" i="7"/>
  <c r="G166" i="7"/>
  <c r="H166" i="7"/>
  <c r="I166" i="7"/>
  <c r="J166" i="7"/>
  <c r="K166" i="7"/>
  <c r="L166" i="7"/>
  <c r="M166" i="7"/>
  <c r="N166" i="7"/>
  <c r="O166" i="7"/>
  <c r="P166" i="7"/>
  <c r="Q166" i="7"/>
  <c r="R166" i="7"/>
  <c r="S166" i="7"/>
  <c r="T166" i="7"/>
  <c r="U166" i="7"/>
  <c r="V166" i="7"/>
  <c r="W166" i="7"/>
  <c r="X166" i="7"/>
  <c r="Y166" i="7"/>
  <c r="Z166" i="7"/>
  <c r="AA166" i="7"/>
  <c r="AB166" i="7"/>
  <c r="AC166" i="7"/>
  <c r="AD166" i="7"/>
  <c r="AE166" i="7"/>
  <c r="AF166" i="7"/>
  <c r="AG166" i="7"/>
  <c r="AH166" i="7"/>
  <c r="AI166" i="7"/>
  <c r="AJ166" i="7"/>
  <c r="AK166" i="7"/>
  <c r="AL166" i="7"/>
  <c r="AM166" i="7"/>
  <c r="AN166" i="7"/>
  <c r="AO166" i="7"/>
  <c r="AP166" i="7"/>
  <c r="AQ166" i="7"/>
  <c r="AR166" i="7"/>
  <c r="AS166" i="7"/>
  <c r="AT166" i="7"/>
  <c r="AU166" i="7"/>
  <c r="AV166" i="7"/>
  <c r="AW166" i="7"/>
  <c r="AX166" i="7"/>
  <c r="AY166" i="7"/>
  <c r="AZ166" i="7"/>
  <c r="BA166" i="7"/>
  <c r="BB166" i="7"/>
  <c r="BC166" i="7"/>
  <c r="BD166" i="7"/>
  <c r="BE166" i="7"/>
  <c r="BF166" i="7"/>
  <c r="BG166" i="7"/>
  <c r="BH166" i="7"/>
  <c r="BI166" i="7"/>
  <c r="BJ166" i="7"/>
  <c r="BK166" i="7"/>
  <c r="BL166" i="7"/>
  <c r="BM166" i="7"/>
  <c r="BN166" i="7"/>
  <c r="BO166" i="7"/>
  <c r="BP166" i="7"/>
  <c r="BQ166" i="7"/>
  <c r="BR166" i="7"/>
  <c r="BS166" i="7"/>
  <c r="BT166" i="7"/>
  <c r="BU166" i="7"/>
  <c r="BV166" i="7"/>
  <c r="BW166" i="7"/>
  <c r="BX166" i="7"/>
  <c r="BY166" i="7"/>
  <c r="BZ166" i="7"/>
  <c r="CA166" i="7"/>
  <c r="CB166" i="7"/>
  <c r="CC166" i="7"/>
  <c r="CD166" i="7"/>
  <c r="CE166" i="7"/>
  <c r="CF166" i="7"/>
  <c r="CG166" i="7"/>
  <c r="CH166" i="7"/>
  <c r="CI166" i="7"/>
  <c r="CJ166" i="7"/>
  <c r="CK166" i="7"/>
  <c r="CL166" i="7"/>
  <c r="CM166" i="7"/>
  <c r="CN166" i="7"/>
  <c r="CO166" i="7"/>
  <c r="CP166" i="7"/>
  <c r="CQ166" i="7"/>
  <c r="CR166" i="7"/>
  <c r="CS166" i="7"/>
  <c r="CT166" i="7"/>
  <c r="CU166" i="7"/>
  <c r="CV166" i="7"/>
  <c r="CW166" i="7"/>
  <c r="CX166" i="7"/>
  <c r="CY166" i="7"/>
  <c r="CZ166" i="7"/>
  <c r="DA166" i="7"/>
  <c r="DB166" i="7"/>
  <c r="DC166" i="7"/>
  <c r="DD166" i="7"/>
  <c r="DE166" i="7"/>
  <c r="DF166" i="7"/>
  <c r="DG166" i="7"/>
  <c r="DH166" i="7"/>
  <c r="DI166" i="7"/>
  <c r="DJ166" i="7"/>
  <c r="DK166" i="7"/>
  <c r="DL166" i="7"/>
  <c r="DM166" i="7"/>
  <c r="DN166" i="7"/>
  <c r="DO166" i="7"/>
  <c r="DP166" i="7"/>
  <c r="DQ166" i="7"/>
  <c r="DR166" i="7"/>
  <c r="DS166" i="7"/>
  <c r="DT166" i="7"/>
  <c r="DU166" i="7"/>
  <c r="DV166" i="7"/>
  <c r="DW166" i="7"/>
  <c r="DX166" i="7"/>
  <c r="DY166" i="7"/>
  <c r="DZ166" i="7"/>
  <c r="EA166" i="7"/>
  <c r="EB166" i="7"/>
  <c r="EC166" i="7"/>
  <c r="ED166" i="7"/>
  <c r="EE166" i="7"/>
  <c r="EF166" i="7"/>
  <c r="EG166" i="7"/>
  <c r="EH166" i="7"/>
  <c r="EI166" i="7"/>
  <c r="EJ166" i="7"/>
  <c r="EK166" i="7"/>
  <c r="EL166" i="7"/>
  <c r="EM166" i="7"/>
  <c r="EN166" i="7"/>
  <c r="EO166" i="7"/>
  <c r="EP166" i="7"/>
  <c r="EQ166" i="7"/>
  <c r="ER166" i="7"/>
  <c r="ES166" i="7"/>
  <c r="ET166" i="7"/>
  <c r="EU166" i="7"/>
  <c r="EV166" i="7"/>
  <c r="EW166" i="7"/>
  <c r="EX166" i="7"/>
  <c r="EY166" i="7"/>
  <c r="EZ166" i="7"/>
  <c r="FA166" i="7"/>
  <c r="FB166" i="7"/>
  <c r="FC166" i="7"/>
  <c r="FD166" i="7"/>
  <c r="FE166" i="7"/>
  <c r="FF166" i="7"/>
  <c r="FG166" i="7"/>
  <c r="FH166" i="7"/>
  <c r="FI166" i="7"/>
  <c r="FJ166" i="7"/>
  <c r="FK166" i="7"/>
  <c r="FL166" i="7"/>
  <c r="FM166" i="7"/>
  <c r="FN166" i="7"/>
  <c r="FO166" i="7"/>
  <c r="FP166" i="7"/>
  <c r="FQ166" i="7"/>
  <c r="FR166" i="7"/>
  <c r="FS166" i="7"/>
  <c r="FT166" i="7"/>
  <c r="FU166" i="7"/>
  <c r="FV166" i="7"/>
  <c r="FW166" i="7"/>
  <c r="FX166" i="7"/>
  <c r="FY166" i="7"/>
  <c r="FZ166" i="7"/>
  <c r="GA166" i="7"/>
  <c r="GB166" i="7"/>
  <c r="GC166" i="7"/>
  <c r="GD166" i="7"/>
  <c r="GE166" i="7"/>
  <c r="GF166" i="7"/>
  <c r="GG166" i="7"/>
  <c r="GH166" i="7"/>
  <c r="GI166" i="7"/>
  <c r="GJ166" i="7"/>
  <c r="GK166" i="7"/>
  <c r="GL166" i="7"/>
  <c r="GM166" i="7"/>
  <c r="GN166" i="7"/>
  <c r="GO166" i="7"/>
  <c r="GP166" i="7"/>
  <c r="GQ166" i="7"/>
  <c r="GR166" i="7"/>
  <c r="GS166" i="7"/>
  <c r="GT166" i="7"/>
  <c r="GU166" i="7"/>
  <c r="GV166" i="7"/>
  <c r="GW166" i="7"/>
  <c r="GX166" i="7"/>
  <c r="GY166" i="7"/>
  <c r="GZ166" i="7"/>
  <c r="HA166" i="7"/>
  <c r="HB166" i="7"/>
  <c r="HC166" i="7"/>
  <c r="HD166" i="7"/>
  <c r="HE166" i="7"/>
  <c r="HF166" i="7"/>
  <c r="HG166" i="7"/>
  <c r="HH166" i="7"/>
  <c r="HI166" i="7"/>
  <c r="HJ166" i="7"/>
  <c r="HK166" i="7"/>
  <c r="HL166" i="7"/>
  <c r="HM166" i="7"/>
  <c r="HN166" i="7"/>
  <c r="HO166" i="7"/>
  <c r="HP166" i="7"/>
  <c r="HQ166" i="7"/>
  <c r="HR166" i="7"/>
  <c r="HS166" i="7"/>
  <c r="HT166" i="7"/>
  <c r="HU166" i="7"/>
  <c r="HV166" i="7"/>
  <c r="HW166" i="7"/>
  <c r="HX166" i="7"/>
  <c r="HY166" i="7"/>
  <c r="HZ166" i="7"/>
  <c r="IA166" i="7"/>
  <c r="IB166" i="7"/>
  <c r="IC166" i="7"/>
  <c r="ID166" i="7"/>
  <c r="IE166" i="7"/>
  <c r="IF166" i="7"/>
  <c r="IG166" i="7"/>
  <c r="IH166" i="7"/>
  <c r="II166" i="7"/>
  <c r="IJ166" i="7"/>
  <c r="IK166" i="7"/>
  <c r="IL166" i="7"/>
  <c r="IM166" i="7"/>
  <c r="IN166" i="7"/>
  <c r="IO166" i="7"/>
  <c r="IP166" i="7"/>
  <c r="IQ166" i="7"/>
  <c r="IR166" i="7"/>
  <c r="IS166" i="7"/>
  <c r="IT166" i="7"/>
  <c r="IU166" i="7"/>
  <c r="IV166" i="7"/>
  <c r="A165" i="7"/>
  <c r="B165" i="7"/>
  <c r="C165" i="7"/>
  <c r="D165" i="7"/>
  <c r="E165" i="7"/>
  <c r="F165" i="7"/>
  <c r="G165" i="7"/>
  <c r="H165" i="7"/>
  <c r="I165" i="7"/>
  <c r="J165" i="7"/>
  <c r="K165" i="7"/>
  <c r="L165" i="7"/>
  <c r="M165" i="7"/>
  <c r="N165" i="7"/>
  <c r="O165" i="7"/>
  <c r="P165" i="7"/>
  <c r="Q165" i="7"/>
  <c r="R165" i="7"/>
  <c r="S165" i="7"/>
  <c r="T165" i="7"/>
  <c r="U165" i="7"/>
  <c r="V165" i="7"/>
  <c r="W165" i="7"/>
  <c r="X165" i="7"/>
  <c r="Y165" i="7"/>
  <c r="Z165" i="7"/>
  <c r="AA165" i="7"/>
  <c r="AB165" i="7"/>
  <c r="AC165" i="7"/>
  <c r="AD165" i="7"/>
  <c r="AE165" i="7"/>
  <c r="AF165" i="7"/>
  <c r="AG165" i="7"/>
  <c r="AH165" i="7"/>
  <c r="AI165" i="7"/>
  <c r="AJ165" i="7"/>
  <c r="AK165" i="7"/>
  <c r="AL165" i="7"/>
  <c r="AM165" i="7"/>
  <c r="AN165" i="7"/>
  <c r="AO165" i="7"/>
  <c r="AP165" i="7"/>
  <c r="AQ165" i="7"/>
  <c r="AR165" i="7"/>
  <c r="AS165" i="7"/>
  <c r="AT165" i="7"/>
  <c r="AU165" i="7"/>
  <c r="AV165" i="7"/>
  <c r="AW165" i="7"/>
  <c r="AX165" i="7"/>
  <c r="AY165" i="7"/>
  <c r="AZ165" i="7"/>
  <c r="BA165" i="7"/>
  <c r="BB165" i="7"/>
  <c r="BC165" i="7"/>
  <c r="BD165" i="7"/>
  <c r="BE165" i="7"/>
  <c r="BF165" i="7"/>
  <c r="BG165" i="7"/>
  <c r="BH165" i="7"/>
  <c r="BI165" i="7"/>
  <c r="BJ165" i="7"/>
  <c r="BK165" i="7"/>
  <c r="BL165" i="7"/>
  <c r="BM165" i="7"/>
  <c r="BN165" i="7"/>
  <c r="BO165" i="7"/>
  <c r="BP165" i="7"/>
  <c r="BQ165" i="7"/>
  <c r="BR165" i="7"/>
  <c r="BS165" i="7"/>
  <c r="BT165" i="7"/>
  <c r="BU165" i="7"/>
  <c r="BV165" i="7"/>
  <c r="BW165" i="7"/>
  <c r="BX165" i="7"/>
  <c r="BY165" i="7"/>
  <c r="BZ165" i="7"/>
  <c r="CA165" i="7"/>
  <c r="CB165" i="7"/>
  <c r="CC165" i="7"/>
  <c r="CD165" i="7"/>
  <c r="CE165" i="7"/>
  <c r="CF165" i="7"/>
  <c r="CG165" i="7"/>
  <c r="CH165" i="7"/>
  <c r="CI165" i="7"/>
  <c r="CJ165" i="7"/>
  <c r="CK165" i="7"/>
  <c r="CL165" i="7"/>
  <c r="CM165" i="7"/>
  <c r="CN165" i="7"/>
  <c r="CO165" i="7"/>
  <c r="CP165" i="7"/>
  <c r="CQ165" i="7"/>
  <c r="CR165" i="7"/>
  <c r="CS165" i="7"/>
  <c r="CT165" i="7"/>
  <c r="CU165" i="7"/>
  <c r="CV165" i="7"/>
  <c r="CW165" i="7"/>
  <c r="CX165" i="7"/>
  <c r="CY165" i="7"/>
  <c r="CZ165" i="7"/>
  <c r="DA165" i="7"/>
  <c r="DB165" i="7"/>
  <c r="DC165" i="7"/>
  <c r="DD165" i="7"/>
  <c r="DE165" i="7"/>
  <c r="DF165" i="7"/>
  <c r="DG165" i="7"/>
  <c r="DH165" i="7"/>
  <c r="DI165" i="7"/>
  <c r="DJ165" i="7"/>
  <c r="DK165" i="7"/>
  <c r="DL165" i="7"/>
  <c r="DM165" i="7"/>
  <c r="DN165" i="7"/>
  <c r="DO165" i="7"/>
  <c r="DP165" i="7"/>
  <c r="DQ165" i="7"/>
  <c r="DR165" i="7"/>
  <c r="DS165" i="7"/>
  <c r="DT165" i="7"/>
  <c r="DU165" i="7"/>
  <c r="DV165" i="7"/>
  <c r="DW165" i="7"/>
  <c r="DX165" i="7"/>
  <c r="DY165" i="7"/>
  <c r="DZ165" i="7"/>
  <c r="EA165" i="7"/>
  <c r="EB165" i="7"/>
  <c r="EC165" i="7"/>
  <c r="ED165" i="7"/>
  <c r="EE165" i="7"/>
  <c r="EF165" i="7"/>
  <c r="EG165" i="7"/>
  <c r="EH165" i="7"/>
  <c r="EI165" i="7"/>
  <c r="EJ165" i="7"/>
  <c r="EK165" i="7"/>
  <c r="EL165" i="7"/>
  <c r="EM165" i="7"/>
  <c r="EN165" i="7"/>
  <c r="EO165" i="7"/>
  <c r="EP165" i="7"/>
  <c r="EQ165" i="7"/>
  <c r="ER165" i="7"/>
  <c r="ES165" i="7"/>
  <c r="ET165" i="7"/>
  <c r="EU165" i="7"/>
  <c r="EV165" i="7"/>
  <c r="EW165" i="7"/>
  <c r="EX165" i="7"/>
  <c r="EY165" i="7"/>
  <c r="EZ165" i="7"/>
  <c r="FA165" i="7"/>
  <c r="FB165" i="7"/>
  <c r="FC165" i="7"/>
  <c r="FD165" i="7"/>
  <c r="FE165" i="7"/>
  <c r="FF165" i="7"/>
  <c r="FG165" i="7"/>
  <c r="FH165" i="7"/>
  <c r="FI165" i="7"/>
  <c r="FJ165" i="7"/>
  <c r="FK165" i="7"/>
  <c r="FL165" i="7"/>
  <c r="FM165" i="7"/>
  <c r="FN165" i="7"/>
  <c r="FO165" i="7"/>
  <c r="FP165" i="7"/>
  <c r="FQ165" i="7"/>
  <c r="FR165" i="7"/>
  <c r="FS165" i="7"/>
  <c r="FT165" i="7"/>
  <c r="FU165" i="7"/>
  <c r="FV165" i="7"/>
  <c r="FW165" i="7"/>
  <c r="FX165" i="7"/>
  <c r="FY165" i="7"/>
  <c r="FZ165" i="7"/>
  <c r="GA165" i="7"/>
  <c r="GB165" i="7"/>
  <c r="GC165" i="7"/>
  <c r="GD165" i="7"/>
  <c r="GE165" i="7"/>
  <c r="GF165" i="7"/>
  <c r="GG165" i="7"/>
  <c r="GH165" i="7"/>
  <c r="GI165" i="7"/>
  <c r="GJ165" i="7"/>
  <c r="GK165" i="7"/>
  <c r="GL165" i="7"/>
  <c r="GM165" i="7"/>
  <c r="GN165" i="7"/>
  <c r="GO165" i="7"/>
  <c r="GP165" i="7"/>
  <c r="GQ165" i="7"/>
  <c r="GR165" i="7"/>
  <c r="GS165" i="7"/>
  <c r="GT165" i="7"/>
  <c r="GU165" i="7"/>
  <c r="GV165" i="7"/>
  <c r="GW165" i="7"/>
  <c r="GX165" i="7"/>
  <c r="GY165" i="7"/>
  <c r="GZ165" i="7"/>
  <c r="HA165" i="7"/>
  <c r="HB165" i="7"/>
  <c r="HC165" i="7"/>
  <c r="HD165" i="7"/>
  <c r="HE165" i="7"/>
  <c r="HF165" i="7"/>
  <c r="HG165" i="7"/>
  <c r="HH165" i="7"/>
  <c r="HI165" i="7"/>
  <c r="HJ165" i="7"/>
  <c r="HK165" i="7"/>
  <c r="HL165" i="7"/>
  <c r="HM165" i="7"/>
  <c r="HN165" i="7"/>
  <c r="HO165" i="7"/>
  <c r="HP165" i="7"/>
  <c r="HQ165" i="7"/>
  <c r="HR165" i="7"/>
  <c r="HS165" i="7"/>
  <c r="HT165" i="7"/>
  <c r="HU165" i="7"/>
  <c r="HV165" i="7"/>
  <c r="HW165" i="7"/>
  <c r="HX165" i="7"/>
  <c r="HY165" i="7"/>
  <c r="HZ165" i="7"/>
  <c r="IA165" i="7"/>
  <c r="IB165" i="7"/>
  <c r="IC165" i="7"/>
  <c r="ID165" i="7"/>
  <c r="IE165" i="7"/>
  <c r="IF165" i="7"/>
  <c r="IG165" i="7"/>
  <c r="IH165" i="7"/>
  <c r="II165" i="7"/>
  <c r="IJ165" i="7"/>
  <c r="IK165" i="7"/>
  <c r="IL165" i="7"/>
  <c r="IM165" i="7"/>
  <c r="IN165" i="7"/>
  <c r="IO165" i="7"/>
  <c r="IP165" i="7"/>
  <c r="IQ165" i="7"/>
  <c r="IR165" i="7"/>
  <c r="IS165" i="7"/>
  <c r="IT165" i="7"/>
  <c r="IU165" i="7"/>
  <c r="IV165" i="7"/>
  <c r="A164" i="7"/>
  <c r="B164" i="7"/>
  <c r="C164" i="7"/>
  <c r="D164" i="7"/>
  <c r="E164" i="7"/>
  <c r="F164" i="7"/>
  <c r="G164" i="7"/>
  <c r="H164" i="7"/>
  <c r="I164" i="7"/>
  <c r="J164" i="7"/>
  <c r="K164" i="7"/>
  <c r="L164" i="7"/>
  <c r="M164" i="7"/>
  <c r="N164" i="7"/>
  <c r="O164" i="7"/>
  <c r="P164" i="7"/>
  <c r="Q164" i="7"/>
  <c r="R164" i="7"/>
  <c r="S164" i="7"/>
  <c r="T164" i="7"/>
  <c r="U164" i="7"/>
  <c r="V164" i="7"/>
  <c r="W164" i="7"/>
  <c r="X164" i="7"/>
  <c r="Y164" i="7"/>
  <c r="Z164" i="7"/>
  <c r="AA164" i="7"/>
  <c r="AB164" i="7"/>
  <c r="AC164" i="7"/>
  <c r="AD164" i="7"/>
  <c r="AE164" i="7"/>
  <c r="AF164" i="7"/>
  <c r="AG164" i="7"/>
  <c r="AH164" i="7"/>
  <c r="AI164" i="7"/>
  <c r="AJ164" i="7"/>
  <c r="AK164" i="7"/>
  <c r="AL164" i="7"/>
  <c r="AM164" i="7"/>
  <c r="AN164" i="7"/>
  <c r="AO164" i="7"/>
  <c r="AP164" i="7"/>
  <c r="AQ164" i="7"/>
  <c r="AR164" i="7"/>
  <c r="AS164" i="7"/>
  <c r="AT164" i="7"/>
  <c r="AU164" i="7"/>
  <c r="AV164" i="7"/>
  <c r="AW164" i="7"/>
  <c r="AX164" i="7"/>
  <c r="AY164" i="7"/>
  <c r="AZ164" i="7"/>
  <c r="BA164" i="7"/>
  <c r="BB164" i="7"/>
  <c r="BC164" i="7"/>
  <c r="BD164" i="7"/>
  <c r="BE164" i="7"/>
  <c r="BF164" i="7"/>
  <c r="BG164" i="7"/>
  <c r="BH164" i="7"/>
  <c r="BI164" i="7"/>
  <c r="BJ164" i="7"/>
  <c r="BK164" i="7"/>
  <c r="BL164" i="7"/>
  <c r="BM164" i="7"/>
  <c r="BN164" i="7"/>
  <c r="BO164" i="7"/>
  <c r="BP164" i="7"/>
  <c r="BQ164" i="7"/>
  <c r="BR164" i="7"/>
  <c r="BS164" i="7"/>
  <c r="BT164" i="7"/>
  <c r="BU164" i="7"/>
  <c r="BV164" i="7"/>
  <c r="BW164" i="7"/>
  <c r="BX164" i="7"/>
  <c r="BY164" i="7"/>
  <c r="BZ164" i="7"/>
  <c r="CA164" i="7"/>
  <c r="CB164" i="7"/>
  <c r="CC164" i="7"/>
  <c r="CD164" i="7"/>
  <c r="CE164" i="7"/>
  <c r="CF164" i="7"/>
  <c r="CG164" i="7"/>
  <c r="CH164" i="7"/>
  <c r="CI164" i="7"/>
  <c r="CJ164" i="7"/>
  <c r="CK164" i="7"/>
  <c r="CL164" i="7"/>
  <c r="CM164" i="7"/>
  <c r="CN164" i="7"/>
  <c r="CO164" i="7"/>
  <c r="CP164" i="7"/>
  <c r="CQ164" i="7"/>
  <c r="CR164" i="7"/>
  <c r="CS164" i="7"/>
  <c r="CT164" i="7"/>
  <c r="CU164" i="7"/>
  <c r="CV164" i="7"/>
  <c r="CW164" i="7"/>
  <c r="CX164" i="7"/>
  <c r="CY164" i="7"/>
  <c r="CZ164" i="7"/>
  <c r="DA164" i="7"/>
  <c r="DB164" i="7"/>
  <c r="DC164" i="7"/>
  <c r="DD164" i="7"/>
  <c r="DE164" i="7"/>
  <c r="DF164" i="7"/>
  <c r="DG164" i="7"/>
  <c r="DH164" i="7"/>
  <c r="DI164" i="7"/>
  <c r="DJ164" i="7"/>
  <c r="DK164" i="7"/>
  <c r="DL164" i="7"/>
  <c r="DM164" i="7"/>
  <c r="DN164" i="7"/>
  <c r="DO164" i="7"/>
  <c r="DP164" i="7"/>
  <c r="DQ164" i="7"/>
  <c r="DR164" i="7"/>
  <c r="DS164" i="7"/>
  <c r="DT164" i="7"/>
  <c r="DU164" i="7"/>
  <c r="DV164" i="7"/>
  <c r="DW164" i="7"/>
  <c r="DX164" i="7"/>
  <c r="DY164" i="7"/>
  <c r="DZ164" i="7"/>
  <c r="EA164" i="7"/>
  <c r="EB164" i="7"/>
  <c r="EC164" i="7"/>
  <c r="ED164" i="7"/>
  <c r="EE164" i="7"/>
  <c r="EF164" i="7"/>
  <c r="EG164" i="7"/>
  <c r="EH164" i="7"/>
  <c r="EI164" i="7"/>
  <c r="EJ164" i="7"/>
  <c r="EK164" i="7"/>
  <c r="EL164" i="7"/>
  <c r="EM164" i="7"/>
  <c r="EN164" i="7"/>
  <c r="EO164" i="7"/>
  <c r="EP164" i="7"/>
  <c r="EQ164" i="7"/>
  <c r="ER164" i="7"/>
  <c r="ES164" i="7"/>
  <c r="ET164" i="7"/>
  <c r="EU164" i="7"/>
  <c r="EV164" i="7"/>
  <c r="EW164" i="7"/>
  <c r="EX164" i="7"/>
  <c r="EY164" i="7"/>
  <c r="EZ164" i="7"/>
  <c r="FA164" i="7"/>
  <c r="FB164" i="7"/>
  <c r="FC164" i="7"/>
  <c r="FD164" i="7"/>
  <c r="FE164" i="7"/>
  <c r="FF164" i="7"/>
  <c r="FG164" i="7"/>
  <c r="FH164" i="7"/>
  <c r="FI164" i="7"/>
  <c r="FJ164" i="7"/>
  <c r="FK164" i="7"/>
  <c r="FL164" i="7"/>
  <c r="FM164" i="7"/>
  <c r="FN164" i="7"/>
  <c r="FO164" i="7"/>
  <c r="FP164" i="7"/>
  <c r="FQ164" i="7"/>
  <c r="FR164" i="7"/>
  <c r="FS164" i="7"/>
  <c r="FT164" i="7"/>
  <c r="FU164" i="7"/>
  <c r="FV164" i="7"/>
  <c r="FW164" i="7"/>
  <c r="FX164" i="7"/>
  <c r="FY164" i="7"/>
  <c r="FZ164" i="7"/>
  <c r="GA164" i="7"/>
  <c r="GB164" i="7"/>
  <c r="GC164" i="7"/>
  <c r="GD164" i="7"/>
  <c r="GE164" i="7"/>
  <c r="GF164" i="7"/>
  <c r="GG164" i="7"/>
  <c r="GH164" i="7"/>
  <c r="GI164" i="7"/>
  <c r="GJ164" i="7"/>
  <c r="GK164" i="7"/>
  <c r="GL164" i="7"/>
  <c r="GM164" i="7"/>
  <c r="GN164" i="7"/>
  <c r="GO164" i="7"/>
  <c r="GP164" i="7"/>
  <c r="GQ164" i="7"/>
  <c r="GR164" i="7"/>
  <c r="GS164" i="7"/>
  <c r="GT164" i="7"/>
  <c r="GU164" i="7"/>
  <c r="GV164" i="7"/>
  <c r="GW164" i="7"/>
  <c r="GX164" i="7"/>
  <c r="GY164" i="7"/>
  <c r="GZ164" i="7"/>
  <c r="HA164" i="7"/>
  <c r="HB164" i="7"/>
  <c r="HC164" i="7"/>
  <c r="HD164" i="7"/>
  <c r="HE164" i="7"/>
  <c r="HF164" i="7"/>
  <c r="HG164" i="7"/>
  <c r="HH164" i="7"/>
  <c r="HI164" i="7"/>
  <c r="HJ164" i="7"/>
  <c r="HK164" i="7"/>
  <c r="HL164" i="7"/>
  <c r="HM164" i="7"/>
  <c r="HN164" i="7"/>
  <c r="HO164" i="7"/>
  <c r="HP164" i="7"/>
  <c r="HQ164" i="7"/>
  <c r="HR164" i="7"/>
  <c r="HS164" i="7"/>
  <c r="HT164" i="7"/>
  <c r="HU164" i="7"/>
  <c r="HV164" i="7"/>
  <c r="HW164" i="7"/>
  <c r="HX164" i="7"/>
  <c r="HY164" i="7"/>
  <c r="HZ164" i="7"/>
  <c r="IA164" i="7"/>
  <c r="IB164" i="7"/>
  <c r="IC164" i="7"/>
  <c r="ID164" i="7"/>
  <c r="IE164" i="7"/>
  <c r="IF164" i="7"/>
  <c r="IG164" i="7"/>
  <c r="IH164" i="7"/>
  <c r="II164" i="7"/>
  <c r="IJ164" i="7"/>
  <c r="IK164" i="7"/>
  <c r="IL164" i="7"/>
  <c r="IM164" i="7"/>
  <c r="IN164" i="7"/>
  <c r="IO164" i="7"/>
  <c r="IP164" i="7"/>
  <c r="IQ164" i="7"/>
  <c r="IR164" i="7"/>
  <c r="IS164" i="7"/>
  <c r="IT164" i="7"/>
  <c r="IU164" i="7"/>
  <c r="IV164" i="7"/>
  <c r="A163" i="7"/>
  <c r="B163" i="7"/>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C163" i="7"/>
  <c r="AD163" i="7"/>
  <c r="AE163" i="7"/>
  <c r="AF163" i="7"/>
  <c r="AG163" i="7"/>
  <c r="AH163" i="7"/>
  <c r="AI163" i="7"/>
  <c r="AJ163" i="7"/>
  <c r="AK163" i="7"/>
  <c r="AL163" i="7"/>
  <c r="AM163" i="7"/>
  <c r="AN163" i="7"/>
  <c r="AO163" i="7"/>
  <c r="AP163" i="7"/>
  <c r="AQ163" i="7"/>
  <c r="AR163" i="7"/>
  <c r="AS163" i="7"/>
  <c r="AT163" i="7"/>
  <c r="AU163" i="7"/>
  <c r="AV163" i="7"/>
  <c r="AW163" i="7"/>
  <c r="AX163" i="7"/>
  <c r="AY163" i="7"/>
  <c r="AZ163" i="7"/>
  <c r="BA163" i="7"/>
  <c r="BB163" i="7"/>
  <c r="BC163" i="7"/>
  <c r="BD163" i="7"/>
  <c r="BE163" i="7"/>
  <c r="BF163" i="7"/>
  <c r="BG163" i="7"/>
  <c r="BH163" i="7"/>
  <c r="BI163" i="7"/>
  <c r="BJ163" i="7"/>
  <c r="BK163" i="7"/>
  <c r="BL163" i="7"/>
  <c r="BM163" i="7"/>
  <c r="BN163" i="7"/>
  <c r="BO163" i="7"/>
  <c r="BP163" i="7"/>
  <c r="BQ163" i="7"/>
  <c r="BR163" i="7"/>
  <c r="BS163" i="7"/>
  <c r="BT163" i="7"/>
  <c r="BU163" i="7"/>
  <c r="BV163" i="7"/>
  <c r="BW163" i="7"/>
  <c r="BX163" i="7"/>
  <c r="BY163" i="7"/>
  <c r="BZ163" i="7"/>
  <c r="CA163" i="7"/>
  <c r="CB163" i="7"/>
  <c r="CC163" i="7"/>
  <c r="CD163" i="7"/>
  <c r="CE163" i="7"/>
  <c r="CF163" i="7"/>
  <c r="CG163" i="7"/>
  <c r="CH163" i="7"/>
  <c r="CI163" i="7"/>
  <c r="CJ163" i="7"/>
  <c r="CK163" i="7"/>
  <c r="CL163" i="7"/>
  <c r="CM163" i="7"/>
  <c r="CN163" i="7"/>
  <c r="CO163" i="7"/>
  <c r="CP163" i="7"/>
  <c r="CQ163" i="7"/>
  <c r="CR163" i="7"/>
  <c r="CS163" i="7"/>
  <c r="CT163" i="7"/>
  <c r="CU163" i="7"/>
  <c r="CV163" i="7"/>
  <c r="CW163" i="7"/>
  <c r="CX163" i="7"/>
  <c r="CY163" i="7"/>
  <c r="CZ163" i="7"/>
  <c r="DA163" i="7"/>
  <c r="DB163" i="7"/>
  <c r="DC163" i="7"/>
  <c r="DD163" i="7"/>
  <c r="DE163" i="7"/>
  <c r="DF163" i="7"/>
  <c r="DG163" i="7"/>
  <c r="DH163" i="7"/>
  <c r="DI163" i="7"/>
  <c r="DJ163" i="7"/>
  <c r="DK163" i="7"/>
  <c r="DL163" i="7"/>
  <c r="DM163" i="7"/>
  <c r="DN163" i="7"/>
  <c r="DO163" i="7"/>
  <c r="DP163" i="7"/>
  <c r="DQ163" i="7"/>
  <c r="DR163" i="7"/>
  <c r="DS163" i="7"/>
  <c r="DT163" i="7"/>
  <c r="DU163" i="7"/>
  <c r="DV163" i="7"/>
  <c r="DW163" i="7"/>
  <c r="DX163" i="7"/>
  <c r="DY163" i="7"/>
  <c r="DZ163" i="7"/>
  <c r="EA163" i="7"/>
  <c r="EB163" i="7"/>
  <c r="EC163" i="7"/>
  <c r="ED163" i="7"/>
  <c r="EE163" i="7"/>
  <c r="EF163" i="7"/>
  <c r="EG163" i="7"/>
  <c r="EH163" i="7"/>
  <c r="EI163" i="7"/>
  <c r="EJ163" i="7"/>
  <c r="EK163" i="7"/>
  <c r="EL163" i="7"/>
  <c r="EM163" i="7"/>
  <c r="EN163" i="7"/>
  <c r="EO163" i="7"/>
  <c r="EP163" i="7"/>
  <c r="EQ163" i="7"/>
  <c r="ER163" i="7"/>
  <c r="ES163" i="7"/>
  <c r="ET163" i="7"/>
  <c r="EU163" i="7"/>
  <c r="EV163" i="7"/>
  <c r="EW163" i="7"/>
  <c r="EX163" i="7"/>
  <c r="EY163" i="7"/>
  <c r="EZ163" i="7"/>
  <c r="FA163" i="7"/>
  <c r="FB163" i="7"/>
  <c r="FC163" i="7"/>
  <c r="FD163" i="7"/>
  <c r="FE163" i="7"/>
  <c r="FF163" i="7"/>
  <c r="FG163" i="7"/>
  <c r="FH163" i="7"/>
  <c r="FI163" i="7"/>
  <c r="FJ163" i="7"/>
  <c r="FK163" i="7"/>
  <c r="FL163" i="7"/>
  <c r="FM163" i="7"/>
  <c r="FN163" i="7"/>
  <c r="FO163" i="7"/>
  <c r="FP163" i="7"/>
  <c r="FQ163" i="7"/>
  <c r="FR163" i="7"/>
  <c r="FS163" i="7"/>
  <c r="FT163" i="7"/>
  <c r="FU163" i="7"/>
  <c r="FV163" i="7"/>
  <c r="FW163" i="7"/>
  <c r="FX163" i="7"/>
  <c r="FY163" i="7"/>
  <c r="FZ163" i="7"/>
  <c r="GA163" i="7"/>
  <c r="GB163" i="7"/>
  <c r="GC163" i="7"/>
  <c r="GD163" i="7"/>
  <c r="GE163" i="7"/>
  <c r="GF163" i="7"/>
  <c r="GG163" i="7"/>
  <c r="GH163" i="7"/>
  <c r="GI163" i="7"/>
  <c r="GJ163" i="7"/>
  <c r="GK163" i="7"/>
  <c r="GL163" i="7"/>
  <c r="GM163" i="7"/>
  <c r="GN163" i="7"/>
  <c r="GO163" i="7"/>
  <c r="GP163" i="7"/>
  <c r="GQ163" i="7"/>
  <c r="GR163" i="7"/>
  <c r="GS163" i="7"/>
  <c r="GT163" i="7"/>
  <c r="GU163" i="7"/>
  <c r="GV163" i="7"/>
  <c r="GW163" i="7"/>
  <c r="GX163" i="7"/>
  <c r="GY163" i="7"/>
  <c r="GZ163" i="7"/>
  <c r="HA163" i="7"/>
  <c r="HB163" i="7"/>
  <c r="HC163" i="7"/>
  <c r="HD163" i="7"/>
  <c r="HE163" i="7"/>
  <c r="HF163" i="7"/>
  <c r="HG163" i="7"/>
  <c r="HH163" i="7"/>
  <c r="HI163" i="7"/>
  <c r="HJ163" i="7"/>
  <c r="HK163" i="7"/>
  <c r="HL163" i="7"/>
  <c r="HM163" i="7"/>
  <c r="HN163" i="7"/>
  <c r="HO163" i="7"/>
  <c r="HP163" i="7"/>
  <c r="HQ163" i="7"/>
  <c r="HR163" i="7"/>
  <c r="HS163" i="7"/>
  <c r="HT163" i="7"/>
  <c r="HU163" i="7"/>
  <c r="HV163" i="7"/>
  <c r="HW163" i="7"/>
  <c r="HX163" i="7"/>
  <c r="HY163" i="7"/>
  <c r="HZ163" i="7"/>
  <c r="IA163" i="7"/>
  <c r="IB163" i="7"/>
  <c r="IC163" i="7"/>
  <c r="ID163" i="7"/>
  <c r="IE163" i="7"/>
  <c r="IF163" i="7"/>
  <c r="IG163" i="7"/>
  <c r="IH163" i="7"/>
  <c r="II163" i="7"/>
  <c r="IJ163" i="7"/>
  <c r="IK163" i="7"/>
  <c r="IL163" i="7"/>
  <c r="IM163" i="7"/>
  <c r="IN163" i="7"/>
  <c r="IO163" i="7"/>
  <c r="IP163" i="7"/>
  <c r="IQ163" i="7"/>
  <c r="IR163" i="7"/>
  <c r="IS163" i="7"/>
  <c r="IT163" i="7"/>
  <c r="IU163" i="7"/>
  <c r="IV163" i="7"/>
  <c r="A162" i="7"/>
  <c r="B162" i="7"/>
  <c r="C162" i="7"/>
  <c r="D162" i="7"/>
  <c r="E162" i="7"/>
  <c r="F162" i="7"/>
  <c r="G162" i="7"/>
  <c r="H162" i="7"/>
  <c r="I162" i="7"/>
  <c r="J162" i="7"/>
  <c r="K162" i="7"/>
  <c r="L162" i="7"/>
  <c r="M162" i="7"/>
  <c r="N162" i="7"/>
  <c r="O162" i="7"/>
  <c r="P162" i="7"/>
  <c r="Q162" i="7"/>
  <c r="R162" i="7"/>
  <c r="S162" i="7"/>
  <c r="T162" i="7"/>
  <c r="U162" i="7"/>
  <c r="V162" i="7"/>
  <c r="W162" i="7"/>
  <c r="X162" i="7"/>
  <c r="Y162" i="7"/>
  <c r="Z162" i="7"/>
  <c r="AA162" i="7"/>
  <c r="AB162" i="7"/>
  <c r="AC162" i="7"/>
  <c r="AD162" i="7"/>
  <c r="AE162" i="7"/>
  <c r="AF162" i="7"/>
  <c r="AG162" i="7"/>
  <c r="AH162" i="7"/>
  <c r="AI162" i="7"/>
  <c r="AJ162" i="7"/>
  <c r="AK162" i="7"/>
  <c r="AL162" i="7"/>
  <c r="AM162" i="7"/>
  <c r="AN162" i="7"/>
  <c r="AO162" i="7"/>
  <c r="AP162" i="7"/>
  <c r="AQ162" i="7"/>
  <c r="AR162" i="7"/>
  <c r="AS162" i="7"/>
  <c r="AT162" i="7"/>
  <c r="AU162" i="7"/>
  <c r="AV162" i="7"/>
  <c r="AW162" i="7"/>
  <c r="AX162" i="7"/>
  <c r="AY162" i="7"/>
  <c r="AZ162" i="7"/>
  <c r="BA162" i="7"/>
  <c r="BB162" i="7"/>
  <c r="BC162" i="7"/>
  <c r="BD162" i="7"/>
  <c r="BE162" i="7"/>
  <c r="BF162" i="7"/>
  <c r="BG162" i="7"/>
  <c r="BH162" i="7"/>
  <c r="BI162" i="7"/>
  <c r="BJ162" i="7"/>
  <c r="BK162" i="7"/>
  <c r="BL162" i="7"/>
  <c r="BM162" i="7"/>
  <c r="BN162" i="7"/>
  <c r="BO162" i="7"/>
  <c r="BP162" i="7"/>
  <c r="BQ162" i="7"/>
  <c r="BR162" i="7"/>
  <c r="BS162" i="7"/>
  <c r="BT162" i="7"/>
  <c r="BU162" i="7"/>
  <c r="BV162" i="7"/>
  <c r="BW162" i="7"/>
  <c r="BX162" i="7"/>
  <c r="BY162" i="7"/>
  <c r="BZ162" i="7"/>
  <c r="CA162" i="7"/>
  <c r="CB162" i="7"/>
  <c r="CC162" i="7"/>
  <c r="CD162" i="7"/>
  <c r="CE162" i="7"/>
  <c r="CF162" i="7"/>
  <c r="CG162" i="7"/>
  <c r="CH162" i="7"/>
  <c r="CI162" i="7"/>
  <c r="CJ162" i="7"/>
  <c r="CK162" i="7"/>
  <c r="CL162" i="7"/>
  <c r="CM162" i="7"/>
  <c r="CN162" i="7"/>
  <c r="CO162" i="7"/>
  <c r="CP162" i="7"/>
  <c r="CQ162" i="7"/>
  <c r="CR162" i="7"/>
  <c r="CS162" i="7"/>
  <c r="CT162" i="7"/>
  <c r="CU162" i="7"/>
  <c r="CV162" i="7"/>
  <c r="CW162" i="7"/>
  <c r="CX162" i="7"/>
  <c r="CY162" i="7"/>
  <c r="CZ162" i="7"/>
  <c r="DA162" i="7"/>
  <c r="DB162" i="7"/>
  <c r="DC162" i="7"/>
  <c r="DD162" i="7"/>
  <c r="DE162" i="7"/>
  <c r="DF162" i="7"/>
  <c r="DG162" i="7"/>
  <c r="DH162" i="7"/>
  <c r="DI162" i="7"/>
  <c r="DJ162" i="7"/>
  <c r="DK162" i="7"/>
  <c r="DL162" i="7"/>
  <c r="DM162" i="7"/>
  <c r="DN162" i="7"/>
  <c r="DO162" i="7"/>
  <c r="DP162" i="7"/>
  <c r="DQ162" i="7"/>
  <c r="DR162" i="7"/>
  <c r="DS162" i="7"/>
  <c r="DT162" i="7"/>
  <c r="DU162" i="7"/>
  <c r="DV162" i="7"/>
  <c r="DW162" i="7"/>
  <c r="DX162" i="7"/>
  <c r="DY162" i="7"/>
  <c r="DZ162" i="7"/>
  <c r="EA162" i="7"/>
  <c r="EB162" i="7"/>
  <c r="EC162" i="7"/>
  <c r="ED162" i="7"/>
  <c r="EE162" i="7"/>
  <c r="EF162" i="7"/>
  <c r="EG162" i="7"/>
  <c r="EH162" i="7"/>
  <c r="EI162" i="7"/>
  <c r="EJ162" i="7"/>
  <c r="EK162" i="7"/>
  <c r="EL162" i="7"/>
  <c r="EM162" i="7"/>
  <c r="EN162" i="7"/>
  <c r="EO162" i="7"/>
  <c r="EP162" i="7"/>
  <c r="EQ162" i="7"/>
  <c r="ER162" i="7"/>
  <c r="ES162" i="7"/>
  <c r="ET162" i="7"/>
  <c r="EU162" i="7"/>
  <c r="EV162" i="7"/>
  <c r="EW162" i="7"/>
  <c r="EX162" i="7"/>
  <c r="EY162" i="7"/>
  <c r="EZ162" i="7"/>
  <c r="FA162" i="7"/>
  <c r="FB162" i="7"/>
  <c r="FC162" i="7"/>
  <c r="FD162" i="7"/>
  <c r="FE162" i="7"/>
  <c r="FF162" i="7"/>
  <c r="FG162" i="7"/>
  <c r="FH162" i="7"/>
  <c r="FI162" i="7"/>
  <c r="FJ162" i="7"/>
  <c r="FK162" i="7"/>
  <c r="FL162" i="7"/>
  <c r="FM162" i="7"/>
  <c r="FN162" i="7"/>
  <c r="FO162" i="7"/>
  <c r="FP162" i="7"/>
  <c r="FQ162" i="7"/>
  <c r="FR162" i="7"/>
  <c r="FS162" i="7"/>
  <c r="FT162" i="7"/>
  <c r="FU162" i="7"/>
  <c r="FV162" i="7"/>
  <c r="FW162" i="7"/>
  <c r="FX162" i="7"/>
  <c r="FY162" i="7"/>
  <c r="FZ162" i="7"/>
  <c r="GA162" i="7"/>
  <c r="GB162" i="7"/>
  <c r="GC162" i="7"/>
  <c r="GD162" i="7"/>
  <c r="GE162" i="7"/>
  <c r="GF162" i="7"/>
  <c r="GG162" i="7"/>
  <c r="GH162" i="7"/>
  <c r="GI162" i="7"/>
  <c r="GJ162" i="7"/>
  <c r="GK162" i="7"/>
  <c r="GL162" i="7"/>
  <c r="GM162" i="7"/>
  <c r="GN162" i="7"/>
  <c r="GO162" i="7"/>
  <c r="GP162" i="7"/>
  <c r="GQ162" i="7"/>
  <c r="GR162" i="7"/>
  <c r="GS162" i="7"/>
  <c r="GT162" i="7"/>
  <c r="GU162" i="7"/>
  <c r="GV162" i="7"/>
  <c r="GW162" i="7"/>
  <c r="GX162" i="7"/>
  <c r="GY162" i="7"/>
  <c r="GZ162" i="7"/>
  <c r="HA162" i="7"/>
  <c r="HB162" i="7"/>
  <c r="HC162" i="7"/>
  <c r="HD162" i="7"/>
  <c r="HE162" i="7"/>
  <c r="HF162" i="7"/>
  <c r="HG162" i="7"/>
  <c r="HH162" i="7"/>
  <c r="HI162" i="7"/>
  <c r="HJ162" i="7"/>
  <c r="HK162" i="7"/>
  <c r="HL162" i="7"/>
  <c r="HM162" i="7"/>
  <c r="HN162" i="7"/>
  <c r="HO162" i="7"/>
  <c r="HP162" i="7"/>
  <c r="HQ162" i="7"/>
  <c r="HR162" i="7"/>
  <c r="HS162" i="7"/>
  <c r="HT162" i="7"/>
  <c r="HU162" i="7"/>
  <c r="HV162" i="7"/>
  <c r="HW162" i="7"/>
  <c r="HX162" i="7"/>
  <c r="HY162" i="7"/>
  <c r="HZ162" i="7"/>
  <c r="IA162" i="7"/>
  <c r="IB162" i="7"/>
  <c r="IC162" i="7"/>
  <c r="ID162" i="7"/>
  <c r="IE162" i="7"/>
  <c r="IF162" i="7"/>
  <c r="IG162" i="7"/>
  <c r="IH162" i="7"/>
  <c r="II162" i="7"/>
  <c r="IJ162" i="7"/>
  <c r="IK162" i="7"/>
  <c r="IL162" i="7"/>
  <c r="IM162" i="7"/>
  <c r="IN162" i="7"/>
  <c r="IO162" i="7"/>
  <c r="IP162" i="7"/>
  <c r="IQ162" i="7"/>
  <c r="IR162" i="7"/>
  <c r="IS162" i="7"/>
  <c r="IT162" i="7"/>
  <c r="IU162" i="7"/>
  <c r="IV162" i="7"/>
  <c r="A161" i="7"/>
  <c r="B161" i="7"/>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C161" i="7"/>
  <c r="AD161" i="7"/>
  <c r="AE161" i="7"/>
  <c r="AF161" i="7"/>
  <c r="AG161" i="7"/>
  <c r="AH161" i="7"/>
  <c r="AI161" i="7"/>
  <c r="AJ161" i="7"/>
  <c r="AK161" i="7"/>
  <c r="AL161" i="7"/>
  <c r="AM161" i="7"/>
  <c r="AN161" i="7"/>
  <c r="AO161" i="7"/>
  <c r="AP161" i="7"/>
  <c r="AQ161" i="7"/>
  <c r="AR161" i="7"/>
  <c r="AS161" i="7"/>
  <c r="AT161" i="7"/>
  <c r="AU161" i="7"/>
  <c r="AV161" i="7"/>
  <c r="AW161" i="7"/>
  <c r="AX161" i="7"/>
  <c r="AY161" i="7"/>
  <c r="AZ161" i="7"/>
  <c r="BA161" i="7"/>
  <c r="BB161" i="7"/>
  <c r="BC161" i="7"/>
  <c r="BD161" i="7"/>
  <c r="BE161" i="7"/>
  <c r="BF161" i="7"/>
  <c r="BG161" i="7"/>
  <c r="BH161" i="7"/>
  <c r="BI161" i="7"/>
  <c r="BJ161" i="7"/>
  <c r="BK161" i="7"/>
  <c r="BL161" i="7"/>
  <c r="BM161" i="7"/>
  <c r="BN161" i="7"/>
  <c r="BO161" i="7"/>
  <c r="BP161" i="7"/>
  <c r="BQ161" i="7"/>
  <c r="BR161" i="7"/>
  <c r="BS161" i="7"/>
  <c r="BT161" i="7"/>
  <c r="BU161" i="7"/>
  <c r="BV161" i="7"/>
  <c r="BW161" i="7"/>
  <c r="BX161" i="7"/>
  <c r="BY161" i="7"/>
  <c r="BZ161" i="7"/>
  <c r="CA161" i="7"/>
  <c r="CB161" i="7"/>
  <c r="CC161" i="7"/>
  <c r="CD161" i="7"/>
  <c r="CE161" i="7"/>
  <c r="CF161" i="7"/>
  <c r="CG161" i="7"/>
  <c r="CH161" i="7"/>
  <c r="CI161" i="7"/>
  <c r="CJ161" i="7"/>
  <c r="CK161" i="7"/>
  <c r="CL161" i="7"/>
  <c r="CM161" i="7"/>
  <c r="CN161" i="7"/>
  <c r="CO161" i="7"/>
  <c r="CP161" i="7"/>
  <c r="CQ161" i="7"/>
  <c r="CR161" i="7"/>
  <c r="CS161" i="7"/>
  <c r="CT161" i="7"/>
  <c r="CU161" i="7"/>
  <c r="CV161" i="7"/>
  <c r="CW161" i="7"/>
  <c r="CX161" i="7"/>
  <c r="CY161" i="7"/>
  <c r="CZ161" i="7"/>
  <c r="DA161" i="7"/>
  <c r="DB161" i="7"/>
  <c r="DC161" i="7"/>
  <c r="DD161" i="7"/>
  <c r="DE161" i="7"/>
  <c r="DF161" i="7"/>
  <c r="DG161" i="7"/>
  <c r="DH161" i="7"/>
  <c r="DI161" i="7"/>
  <c r="DJ161" i="7"/>
  <c r="DK161" i="7"/>
  <c r="DL161" i="7"/>
  <c r="DM161" i="7"/>
  <c r="DN161" i="7"/>
  <c r="DO161" i="7"/>
  <c r="DP161" i="7"/>
  <c r="DQ161" i="7"/>
  <c r="DR161" i="7"/>
  <c r="DS161" i="7"/>
  <c r="DT161" i="7"/>
  <c r="DU161" i="7"/>
  <c r="DV161" i="7"/>
  <c r="DW161" i="7"/>
  <c r="DX161" i="7"/>
  <c r="DY161" i="7"/>
  <c r="DZ161" i="7"/>
  <c r="EA161" i="7"/>
  <c r="EB161" i="7"/>
  <c r="EC161" i="7"/>
  <c r="ED161" i="7"/>
  <c r="EE161" i="7"/>
  <c r="EF161" i="7"/>
  <c r="EG161" i="7"/>
  <c r="EH161" i="7"/>
  <c r="EI161" i="7"/>
  <c r="EJ161" i="7"/>
  <c r="EK161" i="7"/>
  <c r="EL161" i="7"/>
  <c r="EM161" i="7"/>
  <c r="EN161" i="7"/>
  <c r="EO161" i="7"/>
  <c r="EP161" i="7"/>
  <c r="EQ161" i="7"/>
  <c r="ER161" i="7"/>
  <c r="ES161" i="7"/>
  <c r="ET161" i="7"/>
  <c r="EU161" i="7"/>
  <c r="EV161" i="7"/>
  <c r="EW161" i="7"/>
  <c r="EX161" i="7"/>
  <c r="EY161" i="7"/>
  <c r="EZ161" i="7"/>
  <c r="FA161" i="7"/>
  <c r="FB161" i="7"/>
  <c r="FC161" i="7"/>
  <c r="FD161" i="7"/>
  <c r="FE161" i="7"/>
  <c r="FF161" i="7"/>
  <c r="FG161" i="7"/>
  <c r="FH161" i="7"/>
  <c r="FI161" i="7"/>
  <c r="FJ161" i="7"/>
  <c r="FK161" i="7"/>
  <c r="FL161" i="7"/>
  <c r="FM161" i="7"/>
  <c r="FN161" i="7"/>
  <c r="FO161" i="7"/>
  <c r="FP161" i="7"/>
  <c r="FQ161" i="7"/>
  <c r="FR161" i="7"/>
  <c r="FS161" i="7"/>
  <c r="FT161" i="7"/>
  <c r="FU161" i="7"/>
  <c r="FV161" i="7"/>
  <c r="FW161" i="7"/>
  <c r="FX161" i="7"/>
  <c r="FY161" i="7"/>
  <c r="FZ161" i="7"/>
  <c r="GA161" i="7"/>
  <c r="GB161" i="7"/>
  <c r="GC161" i="7"/>
  <c r="GD161" i="7"/>
  <c r="GE161" i="7"/>
  <c r="GF161" i="7"/>
  <c r="GG161" i="7"/>
  <c r="GH161" i="7"/>
  <c r="GI161" i="7"/>
  <c r="GJ161" i="7"/>
  <c r="GK161" i="7"/>
  <c r="GL161" i="7"/>
  <c r="GM161" i="7"/>
  <c r="GN161" i="7"/>
  <c r="GO161" i="7"/>
  <c r="GP161" i="7"/>
  <c r="GQ161" i="7"/>
  <c r="GR161" i="7"/>
  <c r="GS161" i="7"/>
  <c r="GT161" i="7"/>
  <c r="GU161" i="7"/>
  <c r="GV161" i="7"/>
  <c r="GW161" i="7"/>
  <c r="GX161" i="7"/>
  <c r="GY161" i="7"/>
  <c r="GZ161" i="7"/>
  <c r="HA161" i="7"/>
  <c r="HB161" i="7"/>
  <c r="HC161" i="7"/>
  <c r="HD161" i="7"/>
  <c r="HE161" i="7"/>
  <c r="HF161" i="7"/>
  <c r="HG161" i="7"/>
  <c r="HH161" i="7"/>
  <c r="HI161" i="7"/>
  <c r="HJ161" i="7"/>
  <c r="HK161" i="7"/>
  <c r="HL161" i="7"/>
  <c r="HM161" i="7"/>
  <c r="HN161" i="7"/>
  <c r="HO161" i="7"/>
  <c r="HP161" i="7"/>
  <c r="HQ161" i="7"/>
  <c r="HR161" i="7"/>
  <c r="HS161" i="7"/>
  <c r="HT161" i="7"/>
  <c r="HU161" i="7"/>
  <c r="HV161" i="7"/>
  <c r="HW161" i="7"/>
  <c r="HX161" i="7"/>
  <c r="HY161" i="7"/>
  <c r="HZ161" i="7"/>
  <c r="IA161" i="7"/>
  <c r="IB161" i="7"/>
  <c r="IC161" i="7"/>
  <c r="ID161" i="7"/>
  <c r="IE161" i="7"/>
  <c r="IF161" i="7"/>
  <c r="IG161" i="7"/>
  <c r="IH161" i="7"/>
  <c r="II161" i="7"/>
  <c r="IJ161" i="7"/>
  <c r="IK161" i="7"/>
  <c r="IL161" i="7"/>
  <c r="IM161" i="7"/>
  <c r="IN161" i="7"/>
  <c r="IO161" i="7"/>
  <c r="IP161" i="7"/>
  <c r="IQ161" i="7"/>
  <c r="IR161" i="7"/>
  <c r="IS161" i="7"/>
  <c r="IT161" i="7"/>
  <c r="IU161" i="7"/>
  <c r="IV161" i="7"/>
  <c r="A160" i="7"/>
  <c r="B160" i="7"/>
  <c r="C160" i="7"/>
  <c r="D160" i="7"/>
  <c r="E160" i="7"/>
  <c r="F160" i="7"/>
  <c r="G160" i="7"/>
  <c r="H160" i="7"/>
  <c r="I160" i="7"/>
  <c r="J160" i="7"/>
  <c r="K160" i="7"/>
  <c r="L160" i="7"/>
  <c r="M160" i="7"/>
  <c r="N160" i="7"/>
  <c r="O160" i="7"/>
  <c r="P160" i="7"/>
  <c r="Q160" i="7"/>
  <c r="R160" i="7"/>
  <c r="S160" i="7"/>
  <c r="T160" i="7"/>
  <c r="U160" i="7"/>
  <c r="V160" i="7"/>
  <c r="W160" i="7"/>
  <c r="X160" i="7"/>
  <c r="Y160" i="7"/>
  <c r="Z160" i="7"/>
  <c r="AA160" i="7"/>
  <c r="AB160" i="7"/>
  <c r="AC160" i="7"/>
  <c r="AD160" i="7"/>
  <c r="AE160" i="7"/>
  <c r="AF160" i="7"/>
  <c r="AG160" i="7"/>
  <c r="AH160" i="7"/>
  <c r="AI160" i="7"/>
  <c r="AJ160" i="7"/>
  <c r="AK160" i="7"/>
  <c r="AL160" i="7"/>
  <c r="AM160" i="7"/>
  <c r="AN160" i="7"/>
  <c r="AO160" i="7"/>
  <c r="AP160" i="7"/>
  <c r="AQ160" i="7"/>
  <c r="AR160" i="7"/>
  <c r="AS160" i="7"/>
  <c r="AT160" i="7"/>
  <c r="AU160" i="7"/>
  <c r="AV160" i="7"/>
  <c r="AW160" i="7"/>
  <c r="AX160" i="7"/>
  <c r="AY160" i="7"/>
  <c r="AZ160" i="7"/>
  <c r="BA160" i="7"/>
  <c r="BB160" i="7"/>
  <c r="BC160" i="7"/>
  <c r="BD160" i="7"/>
  <c r="BE160" i="7"/>
  <c r="BF160" i="7"/>
  <c r="BG160" i="7"/>
  <c r="BH160" i="7"/>
  <c r="BI160" i="7"/>
  <c r="BJ160" i="7"/>
  <c r="BK160" i="7"/>
  <c r="BL160" i="7"/>
  <c r="BM160" i="7"/>
  <c r="BN160" i="7"/>
  <c r="BO160" i="7"/>
  <c r="BP160" i="7"/>
  <c r="BQ160" i="7"/>
  <c r="BR160" i="7"/>
  <c r="BS160" i="7"/>
  <c r="BT160" i="7"/>
  <c r="BU160" i="7"/>
  <c r="BV160" i="7"/>
  <c r="BW160" i="7"/>
  <c r="BX160" i="7"/>
  <c r="BY160" i="7"/>
  <c r="BZ160" i="7"/>
  <c r="CA160" i="7"/>
  <c r="CB160" i="7"/>
  <c r="CC160" i="7"/>
  <c r="CD160" i="7"/>
  <c r="CE160" i="7"/>
  <c r="CF160" i="7"/>
  <c r="CG160" i="7"/>
  <c r="CH160" i="7"/>
  <c r="CI160" i="7"/>
  <c r="CJ160" i="7"/>
  <c r="CK160" i="7"/>
  <c r="CL160" i="7"/>
  <c r="CM160" i="7"/>
  <c r="CN160" i="7"/>
  <c r="CO160" i="7"/>
  <c r="CP160" i="7"/>
  <c r="CQ160" i="7"/>
  <c r="CR160" i="7"/>
  <c r="CS160" i="7"/>
  <c r="CT160" i="7"/>
  <c r="CU160" i="7"/>
  <c r="CV160" i="7"/>
  <c r="CW160" i="7"/>
  <c r="CX160" i="7"/>
  <c r="CY160" i="7"/>
  <c r="CZ160" i="7"/>
  <c r="DA160" i="7"/>
  <c r="DB160" i="7"/>
  <c r="DC160" i="7"/>
  <c r="DD160" i="7"/>
  <c r="DE160" i="7"/>
  <c r="DF160" i="7"/>
  <c r="DG160" i="7"/>
  <c r="DH160" i="7"/>
  <c r="DI160" i="7"/>
  <c r="DJ160" i="7"/>
  <c r="DK160" i="7"/>
  <c r="DL160" i="7"/>
  <c r="DM160" i="7"/>
  <c r="DN160" i="7"/>
  <c r="DO160" i="7"/>
  <c r="DP160" i="7"/>
  <c r="DQ160" i="7"/>
  <c r="DR160" i="7"/>
  <c r="DS160" i="7"/>
  <c r="DT160" i="7"/>
  <c r="DU160" i="7"/>
  <c r="DV160" i="7"/>
  <c r="DW160" i="7"/>
  <c r="DX160" i="7"/>
  <c r="DY160" i="7"/>
  <c r="DZ160" i="7"/>
  <c r="EA160" i="7"/>
  <c r="EB160" i="7"/>
  <c r="EC160" i="7"/>
  <c r="ED160" i="7"/>
  <c r="EE160" i="7"/>
  <c r="EF160" i="7"/>
  <c r="EG160" i="7"/>
  <c r="EH160" i="7"/>
  <c r="EI160" i="7"/>
  <c r="EJ160" i="7"/>
  <c r="EK160" i="7"/>
  <c r="EL160" i="7"/>
  <c r="EM160" i="7"/>
  <c r="EN160" i="7"/>
  <c r="EO160" i="7"/>
  <c r="EP160" i="7"/>
  <c r="EQ160" i="7"/>
  <c r="ER160" i="7"/>
  <c r="ES160" i="7"/>
  <c r="ET160" i="7"/>
  <c r="EU160" i="7"/>
  <c r="EV160" i="7"/>
  <c r="EW160" i="7"/>
  <c r="EX160" i="7"/>
  <c r="EY160" i="7"/>
  <c r="EZ160" i="7"/>
  <c r="FA160" i="7"/>
  <c r="FB160" i="7"/>
  <c r="FC160" i="7"/>
  <c r="FD160" i="7"/>
  <c r="FE160" i="7"/>
  <c r="FF160" i="7"/>
  <c r="FG160" i="7"/>
  <c r="FH160" i="7"/>
  <c r="FI160" i="7"/>
  <c r="FJ160" i="7"/>
  <c r="FK160" i="7"/>
  <c r="FL160" i="7"/>
  <c r="FM160" i="7"/>
  <c r="FN160" i="7"/>
  <c r="FO160" i="7"/>
  <c r="FP160" i="7"/>
  <c r="FQ160" i="7"/>
  <c r="FR160" i="7"/>
  <c r="FS160" i="7"/>
  <c r="FT160" i="7"/>
  <c r="FU160" i="7"/>
  <c r="FV160" i="7"/>
  <c r="FW160" i="7"/>
  <c r="FX160" i="7"/>
  <c r="FY160" i="7"/>
  <c r="FZ160" i="7"/>
  <c r="GA160" i="7"/>
  <c r="GB160" i="7"/>
  <c r="GC160" i="7"/>
  <c r="GD160" i="7"/>
  <c r="GE160" i="7"/>
  <c r="GF160" i="7"/>
  <c r="GG160" i="7"/>
  <c r="GH160" i="7"/>
  <c r="GI160" i="7"/>
  <c r="GJ160" i="7"/>
  <c r="GK160" i="7"/>
  <c r="GL160" i="7"/>
  <c r="GM160" i="7"/>
  <c r="GN160" i="7"/>
  <c r="GO160" i="7"/>
  <c r="GP160" i="7"/>
  <c r="GQ160" i="7"/>
  <c r="GR160" i="7"/>
  <c r="GS160" i="7"/>
  <c r="GT160" i="7"/>
  <c r="GU160" i="7"/>
  <c r="GV160" i="7"/>
  <c r="GW160" i="7"/>
  <c r="GX160" i="7"/>
  <c r="GY160" i="7"/>
  <c r="GZ160" i="7"/>
  <c r="HA160" i="7"/>
  <c r="HB160" i="7"/>
  <c r="HC160" i="7"/>
  <c r="HD160" i="7"/>
  <c r="HE160" i="7"/>
  <c r="HF160" i="7"/>
  <c r="HG160" i="7"/>
  <c r="HH160" i="7"/>
  <c r="HI160" i="7"/>
  <c r="HJ160" i="7"/>
  <c r="HK160" i="7"/>
  <c r="HL160" i="7"/>
  <c r="HM160" i="7"/>
  <c r="HN160" i="7"/>
  <c r="HO160" i="7"/>
  <c r="HP160" i="7"/>
  <c r="HQ160" i="7"/>
  <c r="HR160" i="7"/>
  <c r="HS160" i="7"/>
  <c r="HT160" i="7"/>
  <c r="HU160" i="7"/>
  <c r="HV160" i="7"/>
  <c r="HW160" i="7"/>
  <c r="HX160" i="7"/>
  <c r="HY160" i="7"/>
  <c r="HZ160" i="7"/>
  <c r="IA160" i="7"/>
  <c r="IB160" i="7"/>
  <c r="IC160" i="7"/>
  <c r="ID160" i="7"/>
  <c r="IE160" i="7"/>
  <c r="IF160" i="7"/>
  <c r="IG160" i="7"/>
  <c r="IH160" i="7"/>
  <c r="II160" i="7"/>
  <c r="IJ160" i="7"/>
  <c r="IK160" i="7"/>
  <c r="IL160" i="7"/>
  <c r="IM160" i="7"/>
  <c r="IN160" i="7"/>
  <c r="IO160" i="7"/>
  <c r="IP160" i="7"/>
  <c r="IQ160" i="7"/>
  <c r="IR160" i="7"/>
  <c r="IS160" i="7"/>
  <c r="IT160" i="7"/>
  <c r="IU160" i="7"/>
  <c r="IV160" i="7"/>
  <c r="A159" i="7"/>
  <c r="B159" i="7"/>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C159" i="7"/>
  <c r="AD159" i="7"/>
  <c r="AE159" i="7"/>
  <c r="AF159" i="7"/>
  <c r="AG159" i="7"/>
  <c r="AH159" i="7"/>
  <c r="AI159" i="7"/>
  <c r="AJ159" i="7"/>
  <c r="AK159" i="7"/>
  <c r="AL159" i="7"/>
  <c r="AM159" i="7"/>
  <c r="AN159" i="7"/>
  <c r="AO159" i="7"/>
  <c r="AP159" i="7"/>
  <c r="AQ159" i="7"/>
  <c r="AR159" i="7"/>
  <c r="AS159" i="7"/>
  <c r="AT159" i="7"/>
  <c r="AU159" i="7"/>
  <c r="AV159" i="7"/>
  <c r="AW159" i="7"/>
  <c r="AX159" i="7"/>
  <c r="AY159" i="7"/>
  <c r="AZ159" i="7"/>
  <c r="BA159" i="7"/>
  <c r="BB159" i="7"/>
  <c r="BC159" i="7"/>
  <c r="BD159" i="7"/>
  <c r="BE159" i="7"/>
  <c r="BF159" i="7"/>
  <c r="BG159" i="7"/>
  <c r="BH159" i="7"/>
  <c r="BI159" i="7"/>
  <c r="BJ159" i="7"/>
  <c r="BK159" i="7"/>
  <c r="BL159" i="7"/>
  <c r="BM159" i="7"/>
  <c r="BN159" i="7"/>
  <c r="BO159" i="7"/>
  <c r="BP159" i="7"/>
  <c r="BQ159" i="7"/>
  <c r="BR159" i="7"/>
  <c r="BS159" i="7"/>
  <c r="BT159" i="7"/>
  <c r="BU159" i="7"/>
  <c r="BV159" i="7"/>
  <c r="BW159" i="7"/>
  <c r="BX159" i="7"/>
  <c r="BY159" i="7"/>
  <c r="BZ159" i="7"/>
  <c r="CA159" i="7"/>
  <c r="CB159" i="7"/>
  <c r="CC159" i="7"/>
  <c r="CD159" i="7"/>
  <c r="CE159" i="7"/>
  <c r="CF159" i="7"/>
  <c r="CG159" i="7"/>
  <c r="CH159" i="7"/>
  <c r="CI159" i="7"/>
  <c r="CJ159" i="7"/>
  <c r="CK159" i="7"/>
  <c r="CL159" i="7"/>
  <c r="CM159" i="7"/>
  <c r="CN159" i="7"/>
  <c r="CO159" i="7"/>
  <c r="CP159" i="7"/>
  <c r="CQ159" i="7"/>
  <c r="CR159" i="7"/>
  <c r="CS159" i="7"/>
  <c r="CT159" i="7"/>
  <c r="CU159" i="7"/>
  <c r="CV159" i="7"/>
  <c r="CW159" i="7"/>
  <c r="CX159" i="7"/>
  <c r="CY159" i="7"/>
  <c r="CZ159" i="7"/>
  <c r="DA159" i="7"/>
  <c r="DB159" i="7"/>
  <c r="DC159" i="7"/>
  <c r="DD159" i="7"/>
  <c r="DE159" i="7"/>
  <c r="DF159" i="7"/>
  <c r="DG159" i="7"/>
  <c r="DH159" i="7"/>
  <c r="DI159" i="7"/>
  <c r="DJ159" i="7"/>
  <c r="DK159" i="7"/>
  <c r="DL159" i="7"/>
  <c r="DM159" i="7"/>
  <c r="DN159" i="7"/>
  <c r="DO159" i="7"/>
  <c r="DP159" i="7"/>
  <c r="DQ159" i="7"/>
  <c r="DR159" i="7"/>
  <c r="DS159" i="7"/>
  <c r="DT159" i="7"/>
  <c r="DU159" i="7"/>
  <c r="DV159" i="7"/>
  <c r="DW159" i="7"/>
  <c r="DX159" i="7"/>
  <c r="DY159" i="7"/>
  <c r="DZ159" i="7"/>
  <c r="EA159" i="7"/>
  <c r="EB159" i="7"/>
  <c r="EC159" i="7"/>
  <c r="ED159" i="7"/>
  <c r="EE159" i="7"/>
  <c r="EF159" i="7"/>
  <c r="EG159" i="7"/>
  <c r="EH159" i="7"/>
  <c r="EI159" i="7"/>
  <c r="EJ159" i="7"/>
  <c r="EK159" i="7"/>
  <c r="EL159" i="7"/>
  <c r="EM159" i="7"/>
  <c r="EN159" i="7"/>
  <c r="EO159" i="7"/>
  <c r="EP159" i="7"/>
  <c r="EQ159" i="7"/>
  <c r="ER159" i="7"/>
  <c r="ES159" i="7"/>
  <c r="ET159" i="7"/>
  <c r="EU159" i="7"/>
  <c r="EV159" i="7"/>
  <c r="EW159" i="7"/>
  <c r="EX159" i="7"/>
  <c r="EY159" i="7"/>
  <c r="EZ159" i="7"/>
  <c r="FA159" i="7"/>
  <c r="FB159" i="7"/>
  <c r="FC159" i="7"/>
  <c r="FD159" i="7"/>
  <c r="FE159" i="7"/>
  <c r="FF159" i="7"/>
  <c r="FG159" i="7"/>
  <c r="FH159" i="7"/>
  <c r="FI159" i="7"/>
  <c r="FJ159" i="7"/>
  <c r="FK159" i="7"/>
  <c r="FL159" i="7"/>
  <c r="FM159" i="7"/>
  <c r="FN159" i="7"/>
  <c r="FO159" i="7"/>
  <c r="FP159" i="7"/>
  <c r="FQ159" i="7"/>
  <c r="FR159" i="7"/>
  <c r="FS159" i="7"/>
  <c r="FT159" i="7"/>
  <c r="FU159" i="7"/>
  <c r="FV159" i="7"/>
  <c r="FW159" i="7"/>
  <c r="FX159" i="7"/>
  <c r="FY159" i="7"/>
  <c r="FZ159" i="7"/>
  <c r="GA159" i="7"/>
  <c r="GB159" i="7"/>
  <c r="GC159" i="7"/>
  <c r="GD159" i="7"/>
  <c r="GE159" i="7"/>
  <c r="GF159" i="7"/>
  <c r="GG159" i="7"/>
  <c r="GH159" i="7"/>
  <c r="GI159" i="7"/>
  <c r="GJ159" i="7"/>
  <c r="GK159" i="7"/>
  <c r="GL159" i="7"/>
  <c r="GM159" i="7"/>
  <c r="GN159" i="7"/>
  <c r="GO159" i="7"/>
  <c r="GP159" i="7"/>
  <c r="GQ159" i="7"/>
  <c r="GR159" i="7"/>
  <c r="GS159" i="7"/>
  <c r="GT159" i="7"/>
  <c r="GU159" i="7"/>
  <c r="GV159" i="7"/>
  <c r="GW159" i="7"/>
  <c r="GX159" i="7"/>
  <c r="GY159" i="7"/>
  <c r="GZ159" i="7"/>
  <c r="HA159" i="7"/>
  <c r="HB159" i="7"/>
  <c r="HC159" i="7"/>
  <c r="HD159" i="7"/>
  <c r="HE159" i="7"/>
  <c r="HF159" i="7"/>
  <c r="HG159" i="7"/>
  <c r="HH159" i="7"/>
  <c r="HI159" i="7"/>
  <c r="HJ159" i="7"/>
  <c r="HK159" i="7"/>
  <c r="HL159" i="7"/>
  <c r="HM159" i="7"/>
  <c r="HN159" i="7"/>
  <c r="HO159" i="7"/>
  <c r="HP159" i="7"/>
  <c r="HQ159" i="7"/>
  <c r="HR159" i="7"/>
  <c r="HS159" i="7"/>
  <c r="HT159" i="7"/>
  <c r="HU159" i="7"/>
  <c r="HV159" i="7"/>
  <c r="HW159" i="7"/>
  <c r="HX159" i="7"/>
  <c r="HY159" i="7"/>
  <c r="HZ159" i="7"/>
  <c r="IA159" i="7"/>
  <c r="IB159" i="7"/>
  <c r="IC159" i="7"/>
  <c r="ID159" i="7"/>
  <c r="IE159" i="7"/>
  <c r="IF159" i="7"/>
  <c r="IG159" i="7"/>
  <c r="IH159" i="7"/>
  <c r="II159" i="7"/>
  <c r="IJ159" i="7"/>
  <c r="IK159" i="7"/>
  <c r="IL159" i="7"/>
  <c r="IM159" i="7"/>
  <c r="IN159" i="7"/>
  <c r="IO159" i="7"/>
  <c r="IP159" i="7"/>
  <c r="IQ159" i="7"/>
  <c r="IR159" i="7"/>
  <c r="IS159" i="7"/>
  <c r="IT159" i="7"/>
  <c r="IU159" i="7"/>
  <c r="IV159" i="7"/>
  <c r="A158" i="7"/>
  <c r="B158" i="7"/>
  <c r="C158" i="7"/>
  <c r="D158" i="7"/>
  <c r="E158" i="7"/>
  <c r="F158" i="7"/>
  <c r="G158" i="7"/>
  <c r="H158" i="7"/>
  <c r="I158" i="7"/>
  <c r="J158" i="7"/>
  <c r="K158" i="7"/>
  <c r="L158" i="7"/>
  <c r="M158" i="7"/>
  <c r="N158" i="7"/>
  <c r="O158" i="7"/>
  <c r="P158" i="7"/>
  <c r="Q158" i="7"/>
  <c r="R158" i="7"/>
  <c r="S158" i="7"/>
  <c r="T158" i="7"/>
  <c r="U158" i="7"/>
  <c r="V158" i="7"/>
  <c r="W158" i="7"/>
  <c r="X158" i="7"/>
  <c r="Y158" i="7"/>
  <c r="Z158" i="7"/>
  <c r="AA158" i="7"/>
  <c r="AB158" i="7"/>
  <c r="AC158" i="7"/>
  <c r="AD158" i="7"/>
  <c r="AE158" i="7"/>
  <c r="AF158" i="7"/>
  <c r="AG158" i="7"/>
  <c r="AH158" i="7"/>
  <c r="AI158" i="7"/>
  <c r="AJ158" i="7"/>
  <c r="AK158" i="7"/>
  <c r="AL158" i="7"/>
  <c r="AM158" i="7"/>
  <c r="AN158" i="7"/>
  <c r="AO158" i="7"/>
  <c r="AP158" i="7"/>
  <c r="AQ158" i="7"/>
  <c r="AR158" i="7"/>
  <c r="AS158" i="7"/>
  <c r="AT158" i="7"/>
  <c r="AU158" i="7"/>
  <c r="AV158" i="7"/>
  <c r="AW158" i="7"/>
  <c r="AX158" i="7"/>
  <c r="AY158" i="7"/>
  <c r="AZ158" i="7"/>
  <c r="BA158" i="7"/>
  <c r="BB158" i="7"/>
  <c r="BC158" i="7"/>
  <c r="BD158" i="7"/>
  <c r="BE158" i="7"/>
  <c r="BF158" i="7"/>
  <c r="BG158" i="7"/>
  <c r="BH158" i="7"/>
  <c r="BI158" i="7"/>
  <c r="BJ158" i="7"/>
  <c r="BK158" i="7"/>
  <c r="BL158" i="7"/>
  <c r="BM158" i="7"/>
  <c r="BN158" i="7"/>
  <c r="BO158" i="7"/>
  <c r="BP158" i="7"/>
  <c r="BQ158" i="7"/>
  <c r="BR158" i="7"/>
  <c r="BS158" i="7"/>
  <c r="BT158" i="7"/>
  <c r="BU158" i="7"/>
  <c r="BV158" i="7"/>
  <c r="BW158" i="7"/>
  <c r="BX158" i="7"/>
  <c r="BY158" i="7"/>
  <c r="BZ158" i="7"/>
  <c r="CA158" i="7"/>
  <c r="CB158" i="7"/>
  <c r="CC158" i="7"/>
  <c r="CD158" i="7"/>
  <c r="CE158" i="7"/>
  <c r="CF158" i="7"/>
  <c r="CG158" i="7"/>
  <c r="CH158" i="7"/>
  <c r="CI158" i="7"/>
  <c r="CJ158" i="7"/>
  <c r="CK158" i="7"/>
  <c r="CL158" i="7"/>
  <c r="CM158" i="7"/>
  <c r="CN158" i="7"/>
  <c r="CO158" i="7"/>
  <c r="CP158" i="7"/>
  <c r="CQ158" i="7"/>
  <c r="CR158" i="7"/>
  <c r="CS158" i="7"/>
  <c r="CT158" i="7"/>
  <c r="CU158" i="7"/>
  <c r="CV158" i="7"/>
  <c r="CW158" i="7"/>
  <c r="CX158" i="7"/>
  <c r="CY158" i="7"/>
  <c r="CZ158" i="7"/>
  <c r="DA158" i="7"/>
  <c r="DB158" i="7"/>
  <c r="DC158" i="7"/>
  <c r="DD158" i="7"/>
  <c r="DE158" i="7"/>
  <c r="DF158" i="7"/>
  <c r="DG158" i="7"/>
  <c r="DH158" i="7"/>
  <c r="DI158" i="7"/>
  <c r="DJ158" i="7"/>
  <c r="DK158" i="7"/>
  <c r="DL158" i="7"/>
  <c r="DM158" i="7"/>
  <c r="DN158" i="7"/>
  <c r="DO158" i="7"/>
  <c r="DP158" i="7"/>
  <c r="DQ158" i="7"/>
  <c r="DR158" i="7"/>
  <c r="DS158" i="7"/>
  <c r="DT158" i="7"/>
  <c r="DU158" i="7"/>
  <c r="DV158" i="7"/>
  <c r="DW158" i="7"/>
  <c r="DX158" i="7"/>
  <c r="DY158" i="7"/>
  <c r="DZ158" i="7"/>
  <c r="EA158" i="7"/>
  <c r="EB158" i="7"/>
  <c r="EC158" i="7"/>
  <c r="ED158" i="7"/>
  <c r="EE158" i="7"/>
  <c r="EF158" i="7"/>
  <c r="EG158" i="7"/>
  <c r="EH158" i="7"/>
  <c r="EI158" i="7"/>
  <c r="EJ158" i="7"/>
  <c r="EK158" i="7"/>
  <c r="EL158" i="7"/>
  <c r="EM158" i="7"/>
  <c r="EN158" i="7"/>
  <c r="EO158" i="7"/>
  <c r="EP158" i="7"/>
  <c r="EQ158" i="7"/>
  <c r="ER158" i="7"/>
  <c r="ES158" i="7"/>
  <c r="ET158" i="7"/>
  <c r="EU158" i="7"/>
  <c r="EV158" i="7"/>
  <c r="EW158" i="7"/>
  <c r="EX158" i="7"/>
  <c r="EY158" i="7"/>
  <c r="EZ158" i="7"/>
  <c r="FA158" i="7"/>
  <c r="FB158" i="7"/>
  <c r="FC158" i="7"/>
  <c r="FD158" i="7"/>
  <c r="FE158" i="7"/>
  <c r="FF158" i="7"/>
  <c r="FG158" i="7"/>
  <c r="FH158" i="7"/>
  <c r="FI158" i="7"/>
  <c r="FJ158" i="7"/>
  <c r="FK158" i="7"/>
  <c r="FL158" i="7"/>
  <c r="FM158" i="7"/>
  <c r="FN158" i="7"/>
  <c r="FO158" i="7"/>
  <c r="FP158" i="7"/>
  <c r="FQ158" i="7"/>
  <c r="FR158" i="7"/>
  <c r="FS158" i="7"/>
  <c r="FT158" i="7"/>
  <c r="FU158" i="7"/>
  <c r="FV158" i="7"/>
  <c r="FW158" i="7"/>
  <c r="FX158" i="7"/>
  <c r="FY158" i="7"/>
  <c r="FZ158" i="7"/>
  <c r="GA158" i="7"/>
  <c r="GB158" i="7"/>
  <c r="GC158" i="7"/>
  <c r="GD158" i="7"/>
  <c r="GE158" i="7"/>
  <c r="GF158" i="7"/>
  <c r="GG158" i="7"/>
  <c r="GH158" i="7"/>
  <c r="GI158" i="7"/>
  <c r="GJ158" i="7"/>
  <c r="GK158" i="7"/>
  <c r="GL158" i="7"/>
  <c r="GM158" i="7"/>
  <c r="GN158" i="7"/>
  <c r="GO158" i="7"/>
  <c r="GP158" i="7"/>
  <c r="GQ158" i="7"/>
  <c r="GR158" i="7"/>
  <c r="GS158" i="7"/>
  <c r="GT158" i="7"/>
  <c r="GU158" i="7"/>
  <c r="GV158" i="7"/>
  <c r="GW158" i="7"/>
  <c r="GX158" i="7"/>
  <c r="GY158" i="7"/>
  <c r="GZ158" i="7"/>
  <c r="HA158" i="7"/>
  <c r="HB158" i="7"/>
  <c r="HC158" i="7"/>
  <c r="HD158" i="7"/>
  <c r="HE158" i="7"/>
  <c r="HF158" i="7"/>
  <c r="HG158" i="7"/>
  <c r="HH158" i="7"/>
  <c r="HI158" i="7"/>
  <c r="HJ158" i="7"/>
  <c r="HK158" i="7"/>
  <c r="HL158" i="7"/>
  <c r="HM158" i="7"/>
  <c r="HN158" i="7"/>
  <c r="HO158" i="7"/>
  <c r="HP158" i="7"/>
  <c r="HQ158" i="7"/>
  <c r="HR158" i="7"/>
  <c r="HS158" i="7"/>
  <c r="HT158" i="7"/>
  <c r="HU158" i="7"/>
  <c r="HV158" i="7"/>
  <c r="HW158" i="7"/>
  <c r="HX158" i="7"/>
  <c r="HY158" i="7"/>
  <c r="HZ158" i="7"/>
  <c r="IA158" i="7"/>
  <c r="IB158" i="7"/>
  <c r="IC158" i="7"/>
  <c r="ID158" i="7"/>
  <c r="IE158" i="7"/>
  <c r="IF158" i="7"/>
  <c r="IG158" i="7"/>
  <c r="IH158" i="7"/>
  <c r="II158" i="7"/>
  <c r="IJ158" i="7"/>
  <c r="IK158" i="7"/>
  <c r="IL158" i="7"/>
  <c r="IM158" i="7"/>
  <c r="IN158" i="7"/>
  <c r="IO158" i="7"/>
  <c r="IP158" i="7"/>
  <c r="IQ158" i="7"/>
  <c r="IR158" i="7"/>
  <c r="IS158" i="7"/>
  <c r="IT158" i="7"/>
  <c r="IU158" i="7"/>
  <c r="IV158" i="7"/>
  <c r="A157" i="7"/>
  <c r="B157" i="7"/>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C157" i="7"/>
  <c r="AD157" i="7"/>
  <c r="AE157" i="7"/>
  <c r="AF157" i="7"/>
  <c r="AG157" i="7"/>
  <c r="AH157" i="7"/>
  <c r="AI157" i="7"/>
  <c r="AJ157" i="7"/>
  <c r="AK157" i="7"/>
  <c r="AL157" i="7"/>
  <c r="AM157" i="7"/>
  <c r="AN157" i="7"/>
  <c r="AO157" i="7"/>
  <c r="AP157" i="7"/>
  <c r="AQ157" i="7"/>
  <c r="AR157" i="7"/>
  <c r="AS157" i="7"/>
  <c r="AT157" i="7"/>
  <c r="AU157" i="7"/>
  <c r="AV157" i="7"/>
  <c r="AW157" i="7"/>
  <c r="AX157" i="7"/>
  <c r="AY157" i="7"/>
  <c r="AZ157" i="7"/>
  <c r="BA157" i="7"/>
  <c r="BB157" i="7"/>
  <c r="BC157" i="7"/>
  <c r="BD157" i="7"/>
  <c r="BE157" i="7"/>
  <c r="BF157" i="7"/>
  <c r="BG157" i="7"/>
  <c r="BH157" i="7"/>
  <c r="BI157" i="7"/>
  <c r="BJ157" i="7"/>
  <c r="BK157" i="7"/>
  <c r="BL157" i="7"/>
  <c r="BM157" i="7"/>
  <c r="BN157" i="7"/>
  <c r="BO157" i="7"/>
  <c r="BP157" i="7"/>
  <c r="BQ157" i="7"/>
  <c r="BR157" i="7"/>
  <c r="BS157" i="7"/>
  <c r="BT157" i="7"/>
  <c r="BU157" i="7"/>
  <c r="BV157" i="7"/>
  <c r="BW157" i="7"/>
  <c r="BX157" i="7"/>
  <c r="BY157" i="7"/>
  <c r="BZ157" i="7"/>
  <c r="CA157" i="7"/>
  <c r="CB157" i="7"/>
  <c r="CC157" i="7"/>
  <c r="CD157" i="7"/>
  <c r="CE157" i="7"/>
  <c r="CF157" i="7"/>
  <c r="CG157" i="7"/>
  <c r="CH157" i="7"/>
  <c r="CI157" i="7"/>
  <c r="CJ157" i="7"/>
  <c r="CK157" i="7"/>
  <c r="CL157" i="7"/>
  <c r="CM157" i="7"/>
  <c r="CN157" i="7"/>
  <c r="CO157" i="7"/>
  <c r="CP157" i="7"/>
  <c r="CQ157" i="7"/>
  <c r="CR157" i="7"/>
  <c r="CS157" i="7"/>
  <c r="CT157" i="7"/>
  <c r="CU157" i="7"/>
  <c r="CV157" i="7"/>
  <c r="CW157" i="7"/>
  <c r="CX157" i="7"/>
  <c r="CY157" i="7"/>
  <c r="CZ157" i="7"/>
  <c r="DA157" i="7"/>
  <c r="DB157" i="7"/>
  <c r="DC157" i="7"/>
  <c r="DD157" i="7"/>
  <c r="DE157" i="7"/>
  <c r="DF157" i="7"/>
  <c r="DG157" i="7"/>
  <c r="DH157" i="7"/>
  <c r="DI157" i="7"/>
  <c r="DJ157" i="7"/>
  <c r="DK157" i="7"/>
  <c r="DL157" i="7"/>
  <c r="DM157" i="7"/>
  <c r="DN157" i="7"/>
  <c r="DO157" i="7"/>
  <c r="DP157" i="7"/>
  <c r="DQ157" i="7"/>
  <c r="DR157" i="7"/>
  <c r="DS157" i="7"/>
  <c r="DT157" i="7"/>
  <c r="DU157" i="7"/>
  <c r="DV157" i="7"/>
  <c r="DW157" i="7"/>
  <c r="DX157" i="7"/>
  <c r="DY157" i="7"/>
  <c r="DZ157" i="7"/>
  <c r="EA157" i="7"/>
  <c r="EB157" i="7"/>
  <c r="EC157" i="7"/>
  <c r="ED157" i="7"/>
  <c r="EE157" i="7"/>
  <c r="EF157" i="7"/>
  <c r="EG157" i="7"/>
  <c r="EH157" i="7"/>
  <c r="EI157" i="7"/>
  <c r="EJ157" i="7"/>
  <c r="EK157" i="7"/>
  <c r="EL157" i="7"/>
  <c r="EM157" i="7"/>
  <c r="EN157" i="7"/>
  <c r="EO157" i="7"/>
  <c r="EP157" i="7"/>
  <c r="EQ157" i="7"/>
  <c r="ER157" i="7"/>
  <c r="ES157" i="7"/>
  <c r="ET157" i="7"/>
  <c r="EU157" i="7"/>
  <c r="EV157" i="7"/>
  <c r="EW157" i="7"/>
  <c r="EX157" i="7"/>
  <c r="EY157" i="7"/>
  <c r="EZ157" i="7"/>
  <c r="FA157" i="7"/>
  <c r="FB157" i="7"/>
  <c r="FC157" i="7"/>
  <c r="FD157" i="7"/>
  <c r="FE157" i="7"/>
  <c r="FF157" i="7"/>
  <c r="FG157" i="7"/>
  <c r="FH157" i="7"/>
  <c r="FI157" i="7"/>
  <c r="FJ157" i="7"/>
  <c r="FK157" i="7"/>
  <c r="FL157" i="7"/>
  <c r="FM157" i="7"/>
  <c r="FN157" i="7"/>
  <c r="FO157" i="7"/>
  <c r="FP157" i="7"/>
  <c r="FQ157" i="7"/>
  <c r="FR157" i="7"/>
  <c r="FS157" i="7"/>
  <c r="FT157" i="7"/>
  <c r="FU157" i="7"/>
  <c r="FV157" i="7"/>
  <c r="FW157" i="7"/>
  <c r="FX157" i="7"/>
  <c r="FY157" i="7"/>
  <c r="FZ157" i="7"/>
  <c r="GA157" i="7"/>
  <c r="GB157" i="7"/>
  <c r="GC157" i="7"/>
  <c r="GD157" i="7"/>
  <c r="GE157" i="7"/>
  <c r="GF157" i="7"/>
  <c r="GG157" i="7"/>
  <c r="GH157" i="7"/>
  <c r="GI157" i="7"/>
  <c r="GJ157" i="7"/>
  <c r="GK157" i="7"/>
  <c r="GL157" i="7"/>
  <c r="GM157" i="7"/>
  <c r="GN157" i="7"/>
  <c r="GO157" i="7"/>
  <c r="GP157" i="7"/>
  <c r="GQ157" i="7"/>
  <c r="GR157" i="7"/>
  <c r="GS157" i="7"/>
  <c r="GT157" i="7"/>
  <c r="GU157" i="7"/>
  <c r="GV157" i="7"/>
  <c r="GW157" i="7"/>
  <c r="GX157" i="7"/>
  <c r="GY157" i="7"/>
  <c r="GZ157" i="7"/>
  <c r="HA157" i="7"/>
  <c r="HB157" i="7"/>
  <c r="HC157" i="7"/>
  <c r="HD157" i="7"/>
  <c r="HE157" i="7"/>
  <c r="HF157" i="7"/>
  <c r="HG157" i="7"/>
  <c r="HH157" i="7"/>
  <c r="HI157" i="7"/>
  <c r="HJ157" i="7"/>
  <c r="HK157" i="7"/>
  <c r="HL157" i="7"/>
  <c r="HM157" i="7"/>
  <c r="HN157" i="7"/>
  <c r="HO157" i="7"/>
  <c r="HP157" i="7"/>
  <c r="HQ157" i="7"/>
  <c r="HR157" i="7"/>
  <c r="HS157" i="7"/>
  <c r="HT157" i="7"/>
  <c r="HU157" i="7"/>
  <c r="HV157" i="7"/>
  <c r="HW157" i="7"/>
  <c r="HX157" i="7"/>
  <c r="HY157" i="7"/>
  <c r="HZ157" i="7"/>
  <c r="IA157" i="7"/>
  <c r="IB157" i="7"/>
  <c r="IC157" i="7"/>
  <c r="ID157" i="7"/>
  <c r="IE157" i="7"/>
  <c r="IF157" i="7"/>
  <c r="IG157" i="7"/>
  <c r="IH157" i="7"/>
  <c r="II157" i="7"/>
  <c r="IJ157" i="7"/>
  <c r="IK157" i="7"/>
  <c r="IL157" i="7"/>
  <c r="IM157" i="7"/>
  <c r="IN157" i="7"/>
  <c r="IO157" i="7"/>
  <c r="IP157" i="7"/>
  <c r="IQ157" i="7"/>
  <c r="IR157" i="7"/>
  <c r="IS157" i="7"/>
  <c r="IT157" i="7"/>
  <c r="IU157" i="7"/>
  <c r="IV157" i="7"/>
  <c r="A156" i="7"/>
  <c r="B156" i="7"/>
  <c r="C156" i="7"/>
  <c r="D156" i="7"/>
  <c r="E156" i="7"/>
  <c r="F156" i="7"/>
  <c r="G156" i="7"/>
  <c r="H156" i="7"/>
  <c r="I156" i="7"/>
  <c r="J156" i="7"/>
  <c r="K156" i="7"/>
  <c r="L156" i="7"/>
  <c r="M156" i="7"/>
  <c r="N156" i="7"/>
  <c r="O156" i="7"/>
  <c r="P156" i="7"/>
  <c r="Q156" i="7"/>
  <c r="R156" i="7"/>
  <c r="S156" i="7"/>
  <c r="T156" i="7"/>
  <c r="U156" i="7"/>
  <c r="V156" i="7"/>
  <c r="W156" i="7"/>
  <c r="X156" i="7"/>
  <c r="Y156" i="7"/>
  <c r="Z156" i="7"/>
  <c r="AA156" i="7"/>
  <c r="AB156" i="7"/>
  <c r="AC156" i="7"/>
  <c r="AD156" i="7"/>
  <c r="AE156" i="7"/>
  <c r="AF156" i="7"/>
  <c r="AG156" i="7"/>
  <c r="AH156" i="7"/>
  <c r="AI156" i="7"/>
  <c r="AJ156" i="7"/>
  <c r="AK156" i="7"/>
  <c r="AL156" i="7"/>
  <c r="AM156" i="7"/>
  <c r="AN156" i="7"/>
  <c r="AO156" i="7"/>
  <c r="AP156" i="7"/>
  <c r="AQ156" i="7"/>
  <c r="AR156" i="7"/>
  <c r="AS156" i="7"/>
  <c r="AT156" i="7"/>
  <c r="AU156" i="7"/>
  <c r="AV156" i="7"/>
  <c r="AW156" i="7"/>
  <c r="AX156" i="7"/>
  <c r="AY156" i="7"/>
  <c r="AZ156" i="7"/>
  <c r="BA156" i="7"/>
  <c r="BB156" i="7"/>
  <c r="BC156" i="7"/>
  <c r="BD156" i="7"/>
  <c r="BE156" i="7"/>
  <c r="BF156" i="7"/>
  <c r="BG156" i="7"/>
  <c r="BH156" i="7"/>
  <c r="BI156" i="7"/>
  <c r="BJ156" i="7"/>
  <c r="BK156" i="7"/>
  <c r="BL156" i="7"/>
  <c r="BM156" i="7"/>
  <c r="BN156" i="7"/>
  <c r="BO156" i="7"/>
  <c r="BP156" i="7"/>
  <c r="BQ156" i="7"/>
  <c r="BR156" i="7"/>
  <c r="BS156" i="7"/>
  <c r="BT156" i="7"/>
  <c r="BU156" i="7"/>
  <c r="BV156" i="7"/>
  <c r="BW156" i="7"/>
  <c r="BX156" i="7"/>
  <c r="BY156" i="7"/>
  <c r="BZ156" i="7"/>
  <c r="CA156" i="7"/>
  <c r="CB156" i="7"/>
  <c r="CC156" i="7"/>
  <c r="CD156" i="7"/>
  <c r="CE156" i="7"/>
  <c r="CF156" i="7"/>
  <c r="CG156" i="7"/>
  <c r="CH156" i="7"/>
  <c r="CI156" i="7"/>
  <c r="CJ156" i="7"/>
  <c r="CK156" i="7"/>
  <c r="CL156" i="7"/>
  <c r="CM156" i="7"/>
  <c r="CN156" i="7"/>
  <c r="CO156" i="7"/>
  <c r="CP156" i="7"/>
  <c r="CQ156" i="7"/>
  <c r="CR156" i="7"/>
  <c r="CS156" i="7"/>
  <c r="CT156" i="7"/>
  <c r="CU156" i="7"/>
  <c r="CV156" i="7"/>
  <c r="CW156" i="7"/>
  <c r="CX156" i="7"/>
  <c r="CY156" i="7"/>
  <c r="CZ156" i="7"/>
  <c r="DA156" i="7"/>
  <c r="DB156" i="7"/>
  <c r="DC156" i="7"/>
  <c r="DD156" i="7"/>
  <c r="DE156" i="7"/>
  <c r="DF156" i="7"/>
  <c r="DG156" i="7"/>
  <c r="DH156" i="7"/>
  <c r="DI156" i="7"/>
  <c r="DJ156" i="7"/>
  <c r="DK156" i="7"/>
  <c r="DL156" i="7"/>
  <c r="DM156" i="7"/>
  <c r="DN156" i="7"/>
  <c r="DO156" i="7"/>
  <c r="DP156" i="7"/>
  <c r="DQ156" i="7"/>
  <c r="DR156" i="7"/>
  <c r="DS156" i="7"/>
  <c r="DT156" i="7"/>
  <c r="DU156" i="7"/>
  <c r="DV156" i="7"/>
  <c r="DW156" i="7"/>
  <c r="DX156" i="7"/>
  <c r="DY156" i="7"/>
  <c r="DZ156" i="7"/>
  <c r="EA156" i="7"/>
  <c r="EB156" i="7"/>
  <c r="EC156" i="7"/>
  <c r="ED156" i="7"/>
  <c r="EE156" i="7"/>
  <c r="EF156" i="7"/>
  <c r="EG156" i="7"/>
  <c r="EH156" i="7"/>
  <c r="EI156" i="7"/>
  <c r="EJ156" i="7"/>
  <c r="EK156" i="7"/>
  <c r="EL156" i="7"/>
  <c r="EM156" i="7"/>
  <c r="EN156" i="7"/>
  <c r="EO156" i="7"/>
  <c r="EP156" i="7"/>
  <c r="EQ156" i="7"/>
  <c r="ER156" i="7"/>
  <c r="ES156" i="7"/>
  <c r="ET156" i="7"/>
  <c r="EU156" i="7"/>
  <c r="EV156" i="7"/>
  <c r="EW156" i="7"/>
  <c r="EX156" i="7"/>
  <c r="EY156" i="7"/>
  <c r="EZ156" i="7"/>
  <c r="FA156" i="7"/>
  <c r="FB156" i="7"/>
  <c r="FC156" i="7"/>
  <c r="FD156" i="7"/>
  <c r="FE156" i="7"/>
  <c r="FF156" i="7"/>
  <c r="FG156" i="7"/>
  <c r="FH156" i="7"/>
  <c r="FI156" i="7"/>
  <c r="FJ156" i="7"/>
  <c r="FK156" i="7"/>
  <c r="FL156" i="7"/>
  <c r="FM156" i="7"/>
  <c r="FN156" i="7"/>
  <c r="FO156" i="7"/>
  <c r="FP156" i="7"/>
  <c r="FQ156" i="7"/>
  <c r="FR156" i="7"/>
  <c r="FS156" i="7"/>
  <c r="FT156" i="7"/>
  <c r="FU156" i="7"/>
  <c r="FV156" i="7"/>
  <c r="FW156" i="7"/>
  <c r="FX156" i="7"/>
  <c r="FY156" i="7"/>
  <c r="FZ156" i="7"/>
  <c r="GA156" i="7"/>
  <c r="GB156" i="7"/>
  <c r="GC156" i="7"/>
  <c r="GD156" i="7"/>
  <c r="GE156" i="7"/>
  <c r="GF156" i="7"/>
  <c r="GG156" i="7"/>
  <c r="GH156" i="7"/>
  <c r="GI156" i="7"/>
  <c r="GJ156" i="7"/>
  <c r="GK156" i="7"/>
  <c r="GL156" i="7"/>
  <c r="GM156" i="7"/>
  <c r="GN156" i="7"/>
  <c r="GO156" i="7"/>
  <c r="GP156" i="7"/>
  <c r="GQ156" i="7"/>
  <c r="GR156" i="7"/>
  <c r="GS156" i="7"/>
  <c r="GT156" i="7"/>
  <c r="GU156" i="7"/>
  <c r="GV156" i="7"/>
  <c r="GW156" i="7"/>
  <c r="GX156" i="7"/>
  <c r="GY156" i="7"/>
  <c r="GZ156" i="7"/>
  <c r="HA156" i="7"/>
  <c r="HB156" i="7"/>
  <c r="HC156" i="7"/>
  <c r="HD156" i="7"/>
  <c r="HE156" i="7"/>
  <c r="HF156" i="7"/>
  <c r="HG156" i="7"/>
  <c r="HH156" i="7"/>
  <c r="HI156" i="7"/>
  <c r="HJ156" i="7"/>
  <c r="HK156" i="7"/>
  <c r="HL156" i="7"/>
  <c r="HM156" i="7"/>
  <c r="HN156" i="7"/>
  <c r="HO156" i="7"/>
  <c r="HP156" i="7"/>
  <c r="HQ156" i="7"/>
  <c r="HR156" i="7"/>
  <c r="HS156" i="7"/>
  <c r="HT156" i="7"/>
  <c r="HU156" i="7"/>
  <c r="HV156" i="7"/>
  <c r="HW156" i="7"/>
  <c r="HX156" i="7"/>
  <c r="HY156" i="7"/>
  <c r="HZ156" i="7"/>
  <c r="IA156" i="7"/>
  <c r="IB156" i="7"/>
  <c r="IC156" i="7"/>
  <c r="ID156" i="7"/>
  <c r="IE156" i="7"/>
  <c r="IF156" i="7"/>
  <c r="IG156" i="7"/>
  <c r="IH156" i="7"/>
  <c r="II156" i="7"/>
  <c r="IJ156" i="7"/>
  <c r="IK156" i="7"/>
  <c r="IL156" i="7"/>
  <c r="IM156" i="7"/>
  <c r="IN156" i="7"/>
  <c r="IO156" i="7"/>
  <c r="IP156" i="7"/>
  <c r="IQ156" i="7"/>
  <c r="IR156" i="7"/>
  <c r="IS156" i="7"/>
  <c r="IT156" i="7"/>
  <c r="IU156" i="7"/>
  <c r="IV156" i="7"/>
  <c r="A155" i="7"/>
  <c r="B155" i="7"/>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C155" i="7"/>
  <c r="AD155" i="7"/>
  <c r="AE155" i="7"/>
  <c r="AF155" i="7"/>
  <c r="AG155" i="7"/>
  <c r="AH155" i="7"/>
  <c r="AI155" i="7"/>
  <c r="AJ155" i="7"/>
  <c r="AK155" i="7"/>
  <c r="AL155" i="7"/>
  <c r="AM155" i="7"/>
  <c r="AN155" i="7"/>
  <c r="AO155" i="7"/>
  <c r="AP155" i="7"/>
  <c r="AQ155" i="7"/>
  <c r="AR155" i="7"/>
  <c r="AS155" i="7"/>
  <c r="AT155" i="7"/>
  <c r="AU155" i="7"/>
  <c r="AV155" i="7"/>
  <c r="AW155" i="7"/>
  <c r="AX155" i="7"/>
  <c r="AY155" i="7"/>
  <c r="AZ155" i="7"/>
  <c r="BA155" i="7"/>
  <c r="BB155" i="7"/>
  <c r="BC155" i="7"/>
  <c r="BD155" i="7"/>
  <c r="BE155" i="7"/>
  <c r="BF155" i="7"/>
  <c r="BG155" i="7"/>
  <c r="BH155" i="7"/>
  <c r="BI155" i="7"/>
  <c r="BJ155" i="7"/>
  <c r="BK155" i="7"/>
  <c r="BL155" i="7"/>
  <c r="BM155" i="7"/>
  <c r="BN155" i="7"/>
  <c r="BO155" i="7"/>
  <c r="BP155" i="7"/>
  <c r="BQ155" i="7"/>
  <c r="BR155" i="7"/>
  <c r="BS155" i="7"/>
  <c r="BT155" i="7"/>
  <c r="BU155" i="7"/>
  <c r="BV155" i="7"/>
  <c r="BW155" i="7"/>
  <c r="BX155" i="7"/>
  <c r="BY155" i="7"/>
  <c r="BZ155" i="7"/>
  <c r="CA155" i="7"/>
  <c r="CB155" i="7"/>
  <c r="CC155" i="7"/>
  <c r="CD155" i="7"/>
  <c r="CE155" i="7"/>
  <c r="CF155" i="7"/>
  <c r="CG155" i="7"/>
  <c r="CH155" i="7"/>
  <c r="CI155" i="7"/>
  <c r="CJ155" i="7"/>
  <c r="CK155" i="7"/>
  <c r="CL155" i="7"/>
  <c r="CM155" i="7"/>
  <c r="CN155" i="7"/>
  <c r="CO155" i="7"/>
  <c r="CP155" i="7"/>
  <c r="CQ155" i="7"/>
  <c r="CR155" i="7"/>
  <c r="CS155" i="7"/>
  <c r="CT155" i="7"/>
  <c r="CU155" i="7"/>
  <c r="CV155" i="7"/>
  <c r="CW155" i="7"/>
  <c r="CX155" i="7"/>
  <c r="CY155" i="7"/>
  <c r="CZ155" i="7"/>
  <c r="DA155" i="7"/>
  <c r="DB155" i="7"/>
  <c r="DC155" i="7"/>
  <c r="DD155" i="7"/>
  <c r="DE155" i="7"/>
  <c r="DF155" i="7"/>
  <c r="DG155" i="7"/>
  <c r="DH155" i="7"/>
  <c r="DI155" i="7"/>
  <c r="DJ155" i="7"/>
  <c r="DK155" i="7"/>
  <c r="DL155" i="7"/>
  <c r="DM155" i="7"/>
  <c r="DN155" i="7"/>
  <c r="DO155" i="7"/>
  <c r="DP155" i="7"/>
  <c r="DQ155" i="7"/>
  <c r="DR155" i="7"/>
  <c r="DS155" i="7"/>
  <c r="DT155" i="7"/>
  <c r="DU155" i="7"/>
  <c r="DV155" i="7"/>
  <c r="DW155" i="7"/>
  <c r="DX155" i="7"/>
  <c r="DY155" i="7"/>
  <c r="DZ155" i="7"/>
  <c r="EA155" i="7"/>
  <c r="EB155" i="7"/>
  <c r="EC155" i="7"/>
  <c r="ED155" i="7"/>
  <c r="EE155" i="7"/>
  <c r="EF155" i="7"/>
  <c r="EG155" i="7"/>
  <c r="EH155" i="7"/>
  <c r="EI155" i="7"/>
  <c r="EJ155" i="7"/>
  <c r="EK155" i="7"/>
  <c r="EL155" i="7"/>
  <c r="EM155" i="7"/>
  <c r="EN155" i="7"/>
  <c r="EO155" i="7"/>
  <c r="EP155" i="7"/>
  <c r="EQ155" i="7"/>
  <c r="ER155" i="7"/>
  <c r="ES155" i="7"/>
  <c r="ET155" i="7"/>
  <c r="EU155" i="7"/>
  <c r="EV155" i="7"/>
  <c r="EW155" i="7"/>
  <c r="EX155" i="7"/>
  <c r="EY155" i="7"/>
  <c r="EZ155" i="7"/>
  <c r="FA155" i="7"/>
  <c r="FB155" i="7"/>
  <c r="FC155" i="7"/>
  <c r="FD155" i="7"/>
  <c r="FE155" i="7"/>
  <c r="FF155" i="7"/>
  <c r="FG155" i="7"/>
  <c r="FH155" i="7"/>
  <c r="FI155" i="7"/>
  <c r="FJ155" i="7"/>
  <c r="FK155" i="7"/>
  <c r="FL155" i="7"/>
  <c r="FM155" i="7"/>
  <c r="FN155" i="7"/>
  <c r="FO155" i="7"/>
  <c r="FP155" i="7"/>
  <c r="FQ155" i="7"/>
  <c r="FR155" i="7"/>
  <c r="FS155" i="7"/>
  <c r="FT155" i="7"/>
  <c r="FU155" i="7"/>
  <c r="FV155" i="7"/>
  <c r="FW155" i="7"/>
  <c r="FX155" i="7"/>
  <c r="FY155" i="7"/>
  <c r="FZ155" i="7"/>
  <c r="GA155" i="7"/>
  <c r="GB155" i="7"/>
  <c r="GC155" i="7"/>
  <c r="GD155" i="7"/>
  <c r="GE155" i="7"/>
  <c r="GF155" i="7"/>
  <c r="GG155" i="7"/>
  <c r="GH155" i="7"/>
  <c r="GI155" i="7"/>
  <c r="GJ155" i="7"/>
  <c r="GK155" i="7"/>
  <c r="GL155" i="7"/>
  <c r="GM155" i="7"/>
  <c r="GN155" i="7"/>
  <c r="GO155" i="7"/>
  <c r="GP155" i="7"/>
  <c r="GQ155" i="7"/>
  <c r="GR155" i="7"/>
  <c r="GS155" i="7"/>
  <c r="GT155" i="7"/>
  <c r="GU155" i="7"/>
  <c r="GV155" i="7"/>
  <c r="GW155" i="7"/>
  <c r="GX155" i="7"/>
  <c r="GY155" i="7"/>
  <c r="GZ155" i="7"/>
  <c r="HA155" i="7"/>
  <c r="HB155" i="7"/>
  <c r="HC155" i="7"/>
  <c r="HD155" i="7"/>
  <c r="HE155" i="7"/>
  <c r="HF155" i="7"/>
  <c r="HG155" i="7"/>
  <c r="HH155" i="7"/>
  <c r="HI155" i="7"/>
  <c r="HJ155" i="7"/>
  <c r="HK155" i="7"/>
  <c r="HL155" i="7"/>
  <c r="HM155" i="7"/>
  <c r="HN155" i="7"/>
  <c r="HO155" i="7"/>
  <c r="HP155" i="7"/>
  <c r="HQ155" i="7"/>
  <c r="HR155" i="7"/>
  <c r="HS155" i="7"/>
  <c r="HT155" i="7"/>
  <c r="HU155" i="7"/>
  <c r="HV155" i="7"/>
  <c r="HW155" i="7"/>
  <c r="HX155" i="7"/>
  <c r="HY155" i="7"/>
  <c r="HZ155" i="7"/>
  <c r="IA155" i="7"/>
  <c r="IB155" i="7"/>
  <c r="IC155" i="7"/>
  <c r="ID155" i="7"/>
  <c r="IE155" i="7"/>
  <c r="IF155" i="7"/>
  <c r="IG155" i="7"/>
  <c r="IH155" i="7"/>
  <c r="II155" i="7"/>
  <c r="IJ155" i="7"/>
  <c r="IK155" i="7"/>
  <c r="IL155" i="7"/>
  <c r="IM155" i="7"/>
  <c r="IN155" i="7"/>
  <c r="IO155" i="7"/>
  <c r="IP155" i="7"/>
  <c r="IQ155" i="7"/>
  <c r="IR155" i="7"/>
  <c r="IS155" i="7"/>
  <c r="IT155" i="7"/>
  <c r="IU155" i="7"/>
  <c r="IV155" i="7"/>
  <c r="A154" i="7"/>
  <c r="B154" i="7"/>
  <c r="C154" i="7"/>
  <c r="D154" i="7"/>
  <c r="E154" i="7"/>
  <c r="F154" i="7"/>
  <c r="G154" i="7"/>
  <c r="H154" i="7"/>
  <c r="I154" i="7"/>
  <c r="J154" i="7"/>
  <c r="K154" i="7"/>
  <c r="L154" i="7"/>
  <c r="M154" i="7"/>
  <c r="N154" i="7"/>
  <c r="O154" i="7"/>
  <c r="P154" i="7"/>
  <c r="Q154" i="7"/>
  <c r="R154" i="7"/>
  <c r="S154" i="7"/>
  <c r="T154" i="7"/>
  <c r="U154" i="7"/>
  <c r="V154" i="7"/>
  <c r="W154" i="7"/>
  <c r="X154" i="7"/>
  <c r="Y154" i="7"/>
  <c r="Z154" i="7"/>
  <c r="AA154" i="7"/>
  <c r="AB154" i="7"/>
  <c r="AC154" i="7"/>
  <c r="AD154" i="7"/>
  <c r="AE154" i="7"/>
  <c r="AF154" i="7"/>
  <c r="AG154" i="7"/>
  <c r="AH154" i="7"/>
  <c r="AI154" i="7"/>
  <c r="AJ154" i="7"/>
  <c r="AK154" i="7"/>
  <c r="AL154" i="7"/>
  <c r="AM154" i="7"/>
  <c r="AN154" i="7"/>
  <c r="AO154" i="7"/>
  <c r="AP154" i="7"/>
  <c r="AQ154" i="7"/>
  <c r="AR154" i="7"/>
  <c r="AS154" i="7"/>
  <c r="AT154" i="7"/>
  <c r="AU154" i="7"/>
  <c r="AV154" i="7"/>
  <c r="AW154" i="7"/>
  <c r="AX154" i="7"/>
  <c r="AY154" i="7"/>
  <c r="AZ154" i="7"/>
  <c r="BA154" i="7"/>
  <c r="BB154" i="7"/>
  <c r="BC154" i="7"/>
  <c r="BD154" i="7"/>
  <c r="BE154" i="7"/>
  <c r="BF154" i="7"/>
  <c r="BG154" i="7"/>
  <c r="BH154" i="7"/>
  <c r="BI154" i="7"/>
  <c r="BJ154" i="7"/>
  <c r="BK154" i="7"/>
  <c r="BL154" i="7"/>
  <c r="BM154" i="7"/>
  <c r="BN154" i="7"/>
  <c r="BO154" i="7"/>
  <c r="BP154" i="7"/>
  <c r="BQ154" i="7"/>
  <c r="BR154" i="7"/>
  <c r="BS154" i="7"/>
  <c r="BT154" i="7"/>
  <c r="BU154" i="7"/>
  <c r="BV154" i="7"/>
  <c r="BW154" i="7"/>
  <c r="BX154" i="7"/>
  <c r="BY154" i="7"/>
  <c r="BZ154" i="7"/>
  <c r="CA154" i="7"/>
  <c r="CB154" i="7"/>
  <c r="CC154" i="7"/>
  <c r="CD154" i="7"/>
  <c r="CE154" i="7"/>
  <c r="CF154" i="7"/>
  <c r="CG154" i="7"/>
  <c r="CH154" i="7"/>
  <c r="CI154" i="7"/>
  <c r="CJ154" i="7"/>
  <c r="CK154" i="7"/>
  <c r="CL154" i="7"/>
  <c r="CM154" i="7"/>
  <c r="CN154" i="7"/>
  <c r="CO154" i="7"/>
  <c r="CP154" i="7"/>
  <c r="CQ154" i="7"/>
  <c r="CR154" i="7"/>
  <c r="CS154" i="7"/>
  <c r="CT154" i="7"/>
  <c r="CU154" i="7"/>
  <c r="CV154" i="7"/>
  <c r="CW154" i="7"/>
  <c r="CX154" i="7"/>
  <c r="CY154" i="7"/>
  <c r="CZ154" i="7"/>
  <c r="DA154" i="7"/>
  <c r="DB154" i="7"/>
  <c r="DC154" i="7"/>
  <c r="DD154" i="7"/>
  <c r="DE154" i="7"/>
  <c r="DF154" i="7"/>
  <c r="DG154" i="7"/>
  <c r="DH154" i="7"/>
  <c r="DI154" i="7"/>
  <c r="DJ154" i="7"/>
  <c r="DK154" i="7"/>
  <c r="DL154" i="7"/>
  <c r="DM154" i="7"/>
  <c r="DN154" i="7"/>
  <c r="DO154" i="7"/>
  <c r="DP154" i="7"/>
  <c r="DQ154" i="7"/>
  <c r="DR154" i="7"/>
  <c r="DS154" i="7"/>
  <c r="DT154" i="7"/>
  <c r="DU154" i="7"/>
  <c r="DV154" i="7"/>
  <c r="DW154" i="7"/>
  <c r="DX154" i="7"/>
  <c r="DY154" i="7"/>
  <c r="DZ154" i="7"/>
  <c r="EA154" i="7"/>
  <c r="EB154" i="7"/>
  <c r="EC154" i="7"/>
  <c r="ED154" i="7"/>
  <c r="EE154" i="7"/>
  <c r="EF154" i="7"/>
  <c r="EG154" i="7"/>
  <c r="EH154" i="7"/>
  <c r="EI154" i="7"/>
  <c r="EJ154" i="7"/>
  <c r="EK154" i="7"/>
  <c r="EL154" i="7"/>
  <c r="EM154" i="7"/>
  <c r="EN154" i="7"/>
  <c r="EO154" i="7"/>
  <c r="EP154" i="7"/>
  <c r="EQ154" i="7"/>
  <c r="ER154" i="7"/>
  <c r="ES154" i="7"/>
  <c r="ET154" i="7"/>
  <c r="EU154" i="7"/>
  <c r="EV154" i="7"/>
  <c r="EW154" i="7"/>
  <c r="EX154" i="7"/>
  <c r="EY154" i="7"/>
  <c r="EZ154" i="7"/>
  <c r="FA154" i="7"/>
  <c r="FB154" i="7"/>
  <c r="FC154" i="7"/>
  <c r="FD154" i="7"/>
  <c r="FE154" i="7"/>
  <c r="FF154" i="7"/>
  <c r="FG154" i="7"/>
  <c r="FH154" i="7"/>
  <c r="FI154" i="7"/>
  <c r="FJ154" i="7"/>
  <c r="FK154" i="7"/>
  <c r="FL154" i="7"/>
  <c r="FM154" i="7"/>
  <c r="FN154" i="7"/>
  <c r="FO154" i="7"/>
  <c r="FP154" i="7"/>
  <c r="FQ154" i="7"/>
  <c r="FR154" i="7"/>
  <c r="FS154" i="7"/>
  <c r="FT154" i="7"/>
  <c r="FU154" i="7"/>
  <c r="FV154" i="7"/>
  <c r="FW154" i="7"/>
  <c r="FX154" i="7"/>
  <c r="FY154" i="7"/>
  <c r="FZ154" i="7"/>
  <c r="GA154" i="7"/>
  <c r="GB154" i="7"/>
  <c r="GC154" i="7"/>
  <c r="GD154" i="7"/>
  <c r="GE154" i="7"/>
  <c r="GF154" i="7"/>
  <c r="GG154" i="7"/>
  <c r="GH154" i="7"/>
  <c r="GI154" i="7"/>
  <c r="GJ154" i="7"/>
  <c r="GK154" i="7"/>
  <c r="GL154" i="7"/>
  <c r="GM154" i="7"/>
  <c r="GN154" i="7"/>
  <c r="GO154" i="7"/>
  <c r="GP154" i="7"/>
  <c r="GQ154" i="7"/>
  <c r="GR154" i="7"/>
  <c r="GS154" i="7"/>
  <c r="GT154" i="7"/>
  <c r="GU154" i="7"/>
  <c r="GV154" i="7"/>
  <c r="GW154" i="7"/>
  <c r="GX154" i="7"/>
  <c r="GY154" i="7"/>
  <c r="GZ154" i="7"/>
  <c r="HA154" i="7"/>
  <c r="HB154" i="7"/>
  <c r="HC154" i="7"/>
  <c r="HD154" i="7"/>
  <c r="HE154" i="7"/>
  <c r="HF154" i="7"/>
  <c r="HG154" i="7"/>
  <c r="HH154" i="7"/>
  <c r="HI154" i="7"/>
  <c r="HJ154" i="7"/>
  <c r="HK154" i="7"/>
  <c r="HL154" i="7"/>
  <c r="HM154" i="7"/>
  <c r="HN154" i="7"/>
  <c r="HO154" i="7"/>
  <c r="HP154" i="7"/>
  <c r="HQ154" i="7"/>
  <c r="HR154" i="7"/>
  <c r="HS154" i="7"/>
  <c r="HT154" i="7"/>
  <c r="HU154" i="7"/>
  <c r="HV154" i="7"/>
  <c r="HW154" i="7"/>
  <c r="HX154" i="7"/>
  <c r="HY154" i="7"/>
  <c r="HZ154" i="7"/>
  <c r="IA154" i="7"/>
  <c r="IB154" i="7"/>
  <c r="IC154" i="7"/>
  <c r="ID154" i="7"/>
  <c r="IE154" i="7"/>
  <c r="IF154" i="7"/>
  <c r="IG154" i="7"/>
  <c r="IH154" i="7"/>
  <c r="II154" i="7"/>
  <c r="IJ154" i="7"/>
  <c r="IK154" i="7"/>
  <c r="IL154" i="7"/>
  <c r="IM154" i="7"/>
  <c r="IN154" i="7"/>
  <c r="IO154" i="7"/>
  <c r="IP154" i="7"/>
  <c r="IQ154" i="7"/>
  <c r="IR154" i="7"/>
  <c r="IS154" i="7"/>
  <c r="IT154" i="7"/>
  <c r="IU154" i="7"/>
  <c r="IV154" i="7"/>
  <c r="A153" i="7"/>
  <c r="B153" i="7"/>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C153" i="7"/>
  <c r="AD153" i="7"/>
  <c r="AE153" i="7"/>
  <c r="AF153" i="7"/>
  <c r="AG153" i="7"/>
  <c r="AH153" i="7"/>
  <c r="AI153" i="7"/>
  <c r="AJ153" i="7"/>
  <c r="AK153" i="7"/>
  <c r="AL153" i="7"/>
  <c r="AM153" i="7"/>
  <c r="AN153" i="7"/>
  <c r="AO153" i="7"/>
  <c r="AP153" i="7"/>
  <c r="AQ153" i="7"/>
  <c r="AR153" i="7"/>
  <c r="AS153" i="7"/>
  <c r="AT153" i="7"/>
  <c r="AU153" i="7"/>
  <c r="AV153" i="7"/>
  <c r="AW153" i="7"/>
  <c r="AX153" i="7"/>
  <c r="AY153" i="7"/>
  <c r="AZ153" i="7"/>
  <c r="BA153" i="7"/>
  <c r="BB153" i="7"/>
  <c r="BC153" i="7"/>
  <c r="BD153" i="7"/>
  <c r="BE153" i="7"/>
  <c r="BF153" i="7"/>
  <c r="BG153" i="7"/>
  <c r="BH153" i="7"/>
  <c r="BI153" i="7"/>
  <c r="BJ153" i="7"/>
  <c r="BK153" i="7"/>
  <c r="BL153" i="7"/>
  <c r="BM153" i="7"/>
  <c r="BN153" i="7"/>
  <c r="BO153" i="7"/>
  <c r="BP153" i="7"/>
  <c r="BQ153" i="7"/>
  <c r="BR153" i="7"/>
  <c r="BS153" i="7"/>
  <c r="BT153" i="7"/>
  <c r="BU153" i="7"/>
  <c r="BV153" i="7"/>
  <c r="BW153" i="7"/>
  <c r="BX153" i="7"/>
  <c r="BY153" i="7"/>
  <c r="BZ153" i="7"/>
  <c r="CA153" i="7"/>
  <c r="CB153" i="7"/>
  <c r="CC153" i="7"/>
  <c r="CD153" i="7"/>
  <c r="CE153" i="7"/>
  <c r="CF153" i="7"/>
  <c r="CG153" i="7"/>
  <c r="CH153" i="7"/>
  <c r="CI153" i="7"/>
  <c r="CJ153" i="7"/>
  <c r="CK153" i="7"/>
  <c r="CL153" i="7"/>
  <c r="CM153" i="7"/>
  <c r="CN153" i="7"/>
  <c r="CO153" i="7"/>
  <c r="CP153" i="7"/>
  <c r="CQ153" i="7"/>
  <c r="CR153" i="7"/>
  <c r="CS153" i="7"/>
  <c r="CT153" i="7"/>
  <c r="CU153" i="7"/>
  <c r="CV153" i="7"/>
  <c r="CW153" i="7"/>
  <c r="CX153" i="7"/>
  <c r="CY153" i="7"/>
  <c r="CZ153" i="7"/>
  <c r="DA153" i="7"/>
  <c r="DB153" i="7"/>
  <c r="DC153" i="7"/>
  <c r="DD153" i="7"/>
  <c r="DE153" i="7"/>
  <c r="DF153" i="7"/>
  <c r="DG153" i="7"/>
  <c r="DH153" i="7"/>
  <c r="DI153" i="7"/>
  <c r="DJ153" i="7"/>
  <c r="DK153" i="7"/>
  <c r="DL153" i="7"/>
  <c r="DM153" i="7"/>
  <c r="DN153" i="7"/>
  <c r="DO153" i="7"/>
  <c r="DP153" i="7"/>
  <c r="DQ153" i="7"/>
  <c r="DR153" i="7"/>
  <c r="DS153" i="7"/>
  <c r="DT153" i="7"/>
  <c r="DU153" i="7"/>
  <c r="DV153" i="7"/>
  <c r="DW153" i="7"/>
  <c r="DX153" i="7"/>
  <c r="DY153" i="7"/>
  <c r="DZ153" i="7"/>
  <c r="EA153" i="7"/>
  <c r="EB153" i="7"/>
  <c r="EC153" i="7"/>
  <c r="ED153" i="7"/>
  <c r="EE153" i="7"/>
  <c r="EF153" i="7"/>
  <c r="EG153" i="7"/>
  <c r="EH153" i="7"/>
  <c r="EI153" i="7"/>
  <c r="EJ153" i="7"/>
  <c r="EK153" i="7"/>
  <c r="EL153" i="7"/>
  <c r="EM153" i="7"/>
  <c r="EN153" i="7"/>
  <c r="EO153" i="7"/>
  <c r="EP153" i="7"/>
  <c r="EQ153" i="7"/>
  <c r="ER153" i="7"/>
  <c r="ES153" i="7"/>
  <c r="ET153" i="7"/>
  <c r="EU153" i="7"/>
  <c r="EV153" i="7"/>
  <c r="EW153" i="7"/>
  <c r="EX153" i="7"/>
  <c r="EY153" i="7"/>
  <c r="EZ153" i="7"/>
  <c r="FA153" i="7"/>
  <c r="FB153" i="7"/>
  <c r="FC153" i="7"/>
  <c r="FD153" i="7"/>
  <c r="FE153" i="7"/>
  <c r="FF153" i="7"/>
  <c r="FG153" i="7"/>
  <c r="FH153" i="7"/>
  <c r="FI153" i="7"/>
  <c r="FJ153" i="7"/>
  <c r="FK153" i="7"/>
  <c r="FL153" i="7"/>
  <c r="FM153" i="7"/>
  <c r="FN153" i="7"/>
  <c r="FO153" i="7"/>
  <c r="FP153" i="7"/>
  <c r="FQ153" i="7"/>
  <c r="FR153" i="7"/>
  <c r="FS153" i="7"/>
  <c r="FT153" i="7"/>
  <c r="FU153" i="7"/>
  <c r="FV153" i="7"/>
  <c r="FW153" i="7"/>
  <c r="FX153" i="7"/>
  <c r="FY153" i="7"/>
  <c r="FZ153" i="7"/>
  <c r="GA153" i="7"/>
  <c r="GB153" i="7"/>
  <c r="GC153" i="7"/>
  <c r="GD153" i="7"/>
  <c r="GE153" i="7"/>
  <c r="GF153" i="7"/>
  <c r="GG153" i="7"/>
  <c r="GH153" i="7"/>
  <c r="GI153" i="7"/>
  <c r="GJ153" i="7"/>
  <c r="GK153" i="7"/>
  <c r="GL153" i="7"/>
  <c r="GM153" i="7"/>
  <c r="GN153" i="7"/>
  <c r="GO153" i="7"/>
  <c r="GP153" i="7"/>
  <c r="GQ153" i="7"/>
  <c r="GR153" i="7"/>
  <c r="GS153" i="7"/>
  <c r="GT153" i="7"/>
  <c r="GU153" i="7"/>
  <c r="GV153" i="7"/>
  <c r="GW153" i="7"/>
  <c r="GX153" i="7"/>
  <c r="GY153" i="7"/>
  <c r="GZ153" i="7"/>
  <c r="HA153" i="7"/>
  <c r="HB153" i="7"/>
  <c r="HC153" i="7"/>
  <c r="HD153" i="7"/>
  <c r="HE153" i="7"/>
  <c r="HF153" i="7"/>
  <c r="HG153" i="7"/>
  <c r="HH153" i="7"/>
  <c r="HI153" i="7"/>
  <c r="HJ153" i="7"/>
  <c r="HK153" i="7"/>
  <c r="HL153" i="7"/>
  <c r="HM153" i="7"/>
  <c r="HN153" i="7"/>
  <c r="HO153" i="7"/>
  <c r="HP153" i="7"/>
  <c r="HQ153" i="7"/>
  <c r="HR153" i="7"/>
  <c r="HS153" i="7"/>
  <c r="HT153" i="7"/>
  <c r="HU153" i="7"/>
  <c r="HV153" i="7"/>
  <c r="HW153" i="7"/>
  <c r="HX153" i="7"/>
  <c r="HY153" i="7"/>
  <c r="HZ153" i="7"/>
  <c r="IA153" i="7"/>
  <c r="IB153" i="7"/>
  <c r="IC153" i="7"/>
  <c r="ID153" i="7"/>
  <c r="IE153" i="7"/>
  <c r="IF153" i="7"/>
  <c r="IG153" i="7"/>
  <c r="IH153" i="7"/>
  <c r="II153" i="7"/>
  <c r="IJ153" i="7"/>
  <c r="IK153" i="7"/>
  <c r="IL153" i="7"/>
  <c r="IM153" i="7"/>
  <c r="IN153" i="7"/>
  <c r="IO153" i="7"/>
  <c r="IP153" i="7"/>
  <c r="IQ153" i="7"/>
  <c r="IR153" i="7"/>
  <c r="IS153" i="7"/>
  <c r="IT153" i="7"/>
  <c r="IU153" i="7"/>
  <c r="IV153" i="7"/>
  <c r="A152" i="7"/>
  <c r="B152" i="7"/>
  <c r="C152" i="7"/>
  <c r="D152" i="7"/>
  <c r="E152" i="7"/>
  <c r="F152" i="7"/>
  <c r="G152" i="7"/>
  <c r="H152" i="7"/>
  <c r="I152" i="7"/>
  <c r="J152" i="7"/>
  <c r="K152" i="7"/>
  <c r="L152" i="7"/>
  <c r="M152" i="7"/>
  <c r="N152" i="7"/>
  <c r="O152" i="7"/>
  <c r="P152" i="7"/>
  <c r="Q152" i="7"/>
  <c r="R152" i="7"/>
  <c r="S152" i="7"/>
  <c r="T152" i="7"/>
  <c r="U152" i="7"/>
  <c r="V152" i="7"/>
  <c r="W152" i="7"/>
  <c r="X152" i="7"/>
  <c r="Y152" i="7"/>
  <c r="Z152" i="7"/>
  <c r="AA152" i="7"/>
  <c r="AB152" i="7"/>
  <c r="AC152" i="7"/>
  <c r="AD152" i="7"/>
  <c r="AE152" i="7"/>
  <c r="AF152" i="7"/>
  <c r="AG152" i="7"/>
  <c r="AH152" i="7"/>
  <c r="AI152" i="7"/>
  <c r="AJ152" i="7"/>
  <c r="AK152" i="7"/>
  <c r="AL152" i="7"/>
  <c r="AM152" i="7"/>
  <c r="AN152" i="7"/>
  <c r="AO152" i="7"/>
  <c r="AP152" i="7"/>
  <c r="AQ152" i="7"/>
  <c r="AR152" i="7"/>
  <c r="AS152" i="7"/>
  <c r="AT152" i="7"/>
  <c r="AU152" i="7"/>
  <c r="AV152" i="7"/>
  <c r="AW152" i="7"/>
  <c r="AX152" i="7"/>
  <c r="AY152" i="7"/>
  <c r="AZ152" i="7"/>
  <c r="BA152" i="7"/>
  <c r="BB152" i="7"/>
  <c r="BC152" i="7"/>
  <c r="BD152" i="7"/>
  <c r="BE152" i="7"/>
  <c r="BF152" i="7"/>
  <c r="BG152" i="7"/>
  <c r="BH152" i="7"/>
  <c r="BI152" i="7"/>
  <c r="BJ152" i="7"/>
  <c r="BK152" i="7"/>
  <c r="BL152" i="7"/>
  <c r="BM152" i="7"/>
  <c r="BN152" i="7"/>
  <c r="BO152" i="7"/>
  <c r="BP152" i="7"/>
  <c r="BQ152" i="7"/>
  <c r="BR152" i="7"/>
  <c r="BS152" i="7"/>
  <c r="BT152" i="7"/>
  <c r="BU152" i="7"/>
  <c r="BV152" i="7"/>
  <c r="BW152" i="7"/>
  <c r="BX152" i="7"/>
  <c r="BY152" i="7"/>
  <c r="BZ152" i="7"/>
  <c r="CA152" i="7"/>
  <c r="CB152" i="7"/>
  <c r="CC152" i="7"/>
  <c r="CD152" i="7"/>
  <c r="CE152" i="7"/>
  <c r="CF152" i="7"/>
  <c r="CG152" i="7"/>
  <c r="CH152" i="7"/>
  <c r="CI152" i="7"/>
  <c r="CJ152" i="7"/>
  <c r="CK152" i="7"/>
  <c r="CL152" i="7"/>
  <c r="CM152" i="7"/>
  <c r="CN152" i="7"/>
  <c r="CO152" i="7"/>
  <c r="CP152" i="7"/>
  <c r="CQ152" i="7"/>
  <c r="CR152" i="7"/>
  <c r="CS152" i="7"/>
  <c r="CT152" i="7"/>
  <c r="CU152" i="7"/>
  <c r="CV152" i="7"/>
  <c r="CW152" i="7"/>
  <c r="CX152" i="7"/>
  <c r="CY152" i="7"/>
  <c r="CZ152" i="7"/>
  <c r="DA152" i="7"/>
  <c r="DB152" i="7"/>
  <c r="DC152" i="7"/>
  <c r="DD152" i="7"/>
  <c r="DE152" i="7"/>
  <c r="DF152" i="7"/>
  <c r="DG152" i="7"/>
  <c r="DH152" i="7"/>
  <c r="DI152" i="7"/>
  <c r="DJ152" i="7"/>
  <c r="DK152" i="7"/>
  <c r="DL152" i="7"/>
  <c r="DM152" i="7"/>
  <c r="DN152" i="7"/>
  <c r="DO152" i="7"/>
  <c r="DP152" i="7"/>
  <c r="DQ152" i="7"/>
  <c r="DR152" i="7"/>
  <c r="DS152" i="7"/>
  <c r="DT152" i="7"/>
  <c r="DU152" i="7"/>
  <c r="DV152" i="7"/>
  <c r="DW152" i="7"/>
  <c r="DX152" i="7"/>
  <c r="DY152" i="7"/>
  <c r="DZ152" i="7"/>
  <c r="EA152" i="7"/>
  <c r="EB152" i="7"/>
  <c r="EC152" i="7"/>
  <c r="ED152" i="7"/>
  <c r="EE152" i="7"/>
  <c r="EF152" i="7"/>
  <c r="EG152" i="7"/>
  <c r="EH152" i="7"/>
  <c r="EI152" i="7"/>
  <c r="EJ152" i="7"/>
  <c r="EK152" i="7"/>
  <c r="EL152" i="7"/>
  <c r="EM152" i="7"/>
  <c r="EN152" i="7"/>
  <c r="EO152" i="7"/>
  <c r="EP152" i="7"/>
  <c r="EQ152" i="7"/>
  <c r="ER152" i="7"/>
  <c r="ES152" i="7"/>
  <c r="ET152" i="7"/>
  <c r="EU152" i="7"/>
  <c r="EV152" i="7"/>
  <c r="EW152" i="7"/>
  <c r="EX152" i="7"/>
  <c r="EY152" i="7"/>
  <c r="EZ152" i="7"/>
  <c r="FA152" i="7"/>
  <c r="FB152" i="7"/>
  <c r="FC152" i="7"/>
  <c r="FD152" i="7"/>
  <c r="FE152" i="7"/>
  <c r="FF152" i="7"/>
  <c r="FG152" i="7"/>
  <c r="FH152" i="7"/>
  <c r="FI152" i="7"/>
  <c r="FJ152" i="7"/>
  <c r="FK152" i="7"/>
  <c r="FL152" i="7"/>
  <c r="FM152" i="7"/>
  <c r="FN152" i="7"/>
  <c r="FO152" i="7"/>
  <c r="FP152" i="7"/>
  <c r="FQ152" i="7"/>
  <c r="FR152" i="7"/>
  <c r="FS152" i="7"/>
  <c r="FT152" i="7"/>
  <c r="FU152" i="7"/>
  <c r="FV152" i="7"/>
  <c r="FW152" i="7"/>
  <c r="FX152" i="7"/>
  <c r="FY152" i="7"/>
  <c r="FZ152" i="7"/>
  <c r="GA152" i="7"/>
  <c r="GB152" i="7"/>
  <c r="GC152" i="7"/>
  <c r="GD152" i="7"/>
  <c r="GE152" i="7"/>
  <c r="GF152" i="7"/>
  <c r="GG152" i="7"/>
  <c r="GH152" i="7"/>
  <c r="GI152" i="7"/>
  <c r="GJ152" i="7"/>
  <c r="GK152" i="7"/>
  <c r="GL152" i="7"/>
  <c r="GM152" i="7"/>
  <c r="GN152" i="7"/>
  <c r="GO152" i="7"/>
  <c r="GP152" i="7"/>
  <c r="GQ152" i="7"/>
  <c r="GR152" i="7"/>
  <c r="GS152" i="7"/>
  <c r="GT152" i="7"/>
  <c r="GU152" i="7"/>
  <c r="GV152" i="7"/>
  <c r="GW152" i="7"/>
  <c r="GX152" i="7"/>
  <c r="GY152" i="7"/>
  <c r="GZ152" i="7"/>
  <c r="HA152" i="7"/>
  <c r="HB152" i="7"/>
  <c r="HC152" i="7"/>
  <c r="HD152" i="7"/>
  <c r="HE152" i="7"/>
  <c r="HF152" i="7"/>
  <c r="HG152" i="7"/>
  <c r="HH152" i="7"/>
  <c r="HI152" i="7"/>
  <c r="HJ152" i="7"/>
  <c r="HK152" i="7"/>
  <c r="HL152" i="7"/>
  <c r="HM152" i="7"/>
  <c r="HN152" i="7"/>
  <c r="HO152" i="7"/>
  <c r="HP152" i="7"/>
  <c r="HQ152" i="7"/>
  <c r="HR152" i="7"/>
  <c r="HS152" i="7"/>
  <c r="HT152" i="7"/>
  <c r="HU152" i="7"/>
  <c r="HV152" i="7"/>
  <c r="HW152" i="7"/>
  <c r="HX152" i="7"/>
  <c r="HY152" i="7"/>
  <c r="HZ152" i="7"/>
  <c r="IA152" i="7"/>
  <c r="IB152" i="7"/>
  <c r="IC152" i="7"/>
  <c r="ID152" i="7"/>
  <c r="IE152" i="7"/>
  <c r="IF152" i="7"/>
  <c r="IG152" i="7"/>
  <c r="IH152" i="7"/>
  <c r="II152" i="7"/>
  <c r="IJ152" i="7"/>
  <c r="IK152" i="7"/>
  <c r="IL152" i="7"/>
  <c r="IM152" i="7"/>
  <c r="IN152" i="7"/>
  <c r="IO152" i="7"/>
  <c r="IP152" i="7"/>
  <c r="IQ152" i="7"/>
  <c r="IR152" i="7"/>
  <c r="IS152" i="7"/>
  <c r="IT152" i="7"/>
  <c r="IU152" i="7"/>
  <c r="IV152" i="7"/>
  <c r="A151" i="7"/>
  <c r="B151" i="7"/>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C151" i="7"/>
  <c r="AD151" i="7"/>
  <c r="AE151" i="7"/>
  <c r="AF151" i="7"/>
  <c r="AG151" i="7"/>
  <c r="AH151" i="7"/>
  <c r="AI151" i="7"/>
  <c r="AJ151" i="7"/>
  <c r="AK151" i="7"/>
  <c r="AL151" i="7"/>
  <c r="AM151" i="7"/>
  <c r="AN151" i="7"/>
  <c r="AO151" i="7"/>
  <c r="AP151" i="7"/>
  <c r="AQ151" i="7"/>
  <c r="AR151" i="7"/>
  <c r="AS151" i="7"/>
  <c r="AT151" i="7"/>
  <c r="AU151" i="7"/>
  <c r="AV151" i="7"/>
  <c r="AW151" i="7"/>
  <c r="AX151" i="7"/>
  <c r="AY151" i="7"/>
  <c r="AZ151" i="7"/>
  <c r="BA151" i="7"/>
  <c r="BB151" i="7"/>
  <c r="BC151" i="7"/>
  <c r="BD151" i="7"/>
  <c r="BE151" i="7"/>
  <c r="BF151" i="7"/>
  <c r="BG151" i="7"/>
  <c r="BH151" i="7"/>
  <c r="BI151" i="7"/>
  <c r="BJ151" i="7"/>
  <c r="BK151" i="7"/>
  <c r="BL151" i="7"/>
  <c r="BM151" i="7"/>
  <c r="BN151" i="7"/>
  <c r="BO151" i="7"/>
  <c r="BP151" i="7"/>
  <c r="BQ151" i="7"/>
  <c r="BR151" i="7"/>
  <c r="BS151" i="7"/>
  <c r="BT151" i="7"/>
  <c r="BU151" i="7"/>
  <c r="BV151" i="7"/>
  <c r="BW151" i="7"/>
  <c r="BX151" i="7"/>
  <c r="BY151" i="7"/>
  <c r="BZ151" i="7"/>
  <c r="CA151" i="7"/>
  <c r="CB151" i="7"/>
  <c r="CC151" i="7"/>
  <c r="CD151" i="7"/>
  <c r="CE151" i="7"/>
  <c r="CF151" i="7"/>
  <c r="CG151" i="7"/>
  <c r="CH151" i="7"/>
  <c r="CI151" i="7"/>
  <c r="CJ151" i="7"/>
  <c r="CK151" i="7"/>
  <c r="CL151" i="7"/>
  <c r="CM151" i="7"/>
  <c r="CN151" i="7"/>
  <c r="CO151" i="7"/>
  <c r="CP151" i="7"/>
  <c r="CQ151" i="7"/>
  <c r="CR151" i="7"/>
  <c r="CS151" i="7"/>
  <c r="CT151" i="7"/>
  <c r="CU151" i="7"/>
  <c r="CV151" i="7"/>
  <c r="CW151" i="7"/>
  <c r="CX151" i="7"/>
  <c r="CY151" i="7"/>
  <c r="CZ151" i="7"/>
  <c r="DA151" i="7"/>
  <c r="DB151" i="7"/>
  <c r="DC151" i="7"/>
  <c r="DD151" i="7"/>
  <c r="DE151" i="7"/>
  <c r="DF151" i="7"/>
  <c r="DG151" i="7"/>
  <c r="DH151" i="7"/>
  <c r="DI151" i="7"/>
  <c r="DJ151" i="7"/>
  <c r="DK151" i="7"/>
  <c r="DL151" i="7"/>
  <c r="DM151" i="7"/>
  <c r="DN151" i="7"/>
  <c r="DO151" i="7"/>
  <c r="DP151" i="7"/>
  <c r="DQ151" i="7"/>
  <c r="DR151" i="7"/>
  <c r="DS151" i="7"/>
  <c r="DT151" i="7"/>
  <c r="DU151" i="7"/>
  <c r="DV151" i="7"/>
  <c r="DW151" i="7"/>
  <c r="DX151" i="7"/>
  <c r="DY151" i="7"/>
  <c r="DZ151" i="7"/>
  <c r="EA151" i="7"/>
  <c r="EB151" i="7"/>
  <c r="EC151" i="7"/>
  <c r="ED151" i="7"/>
  <c r="EE151" i="7"/>
  <c r="EF151" i="7"/>
  <c r="EG151" i="7"/>
  <c r="EH151" i="7"/>
  <c r="EI151" i="7"/>
  <c r="EJ151" i="7"/>
  <c r="EK151" i="7"/>
  <c r="EL151" i="7"/>
  <c r="EM151" i="7"/>
  <c r="EN151" i="7"/>
  <c r="EO151" i="7"/>
  <c r="EP151" i="7"/>
  <c r="EQ151" i="7"/>
  <c r="ER151" i="7"/>
  <c r="ES151" i="7"/>
  <c r="ET151" i="7"/>
  <c r="EU151" i="7"/>
  <c r="EV151" i="7"/>
  <c r="EW151" i="7"/>
  <c r="EX151" i="7"/>
  <c r="EY151" i="7"/>
  <c r="EZ151" i="7"/>
  <c r="FA151" i="7"/>
  <c r="FB151" i="7"/>
  <c r="FC151" i="7"/>
  <c r="FD151" i="7"/>
  <c r="FE151" i="7"/>
  <c r="FF151" i="7"/>
  <c r="FG151" i="7"/>
  <c r="FH151" i="7"/>
  <c r="FI151" i="7"/>
  <c r="FJ151" i="7"/>
  <c r="FK151" i="7"/>
  <c r="FL151" i="7"/>
  <c r="FM151" i="7"/>
  <c r="FN151" i="7"/>
  <c r="FO151" i="7"/>
  <c r="FP151" i="7"/>
  <c r="FQ151" i="7"/>
  <c r="FR151" i="7"/>
  <c r="FS151" i="7"/>
  <c r="FT151" i="7"/>
  <c r="FU151" i="7"/>
  <c r="FV151" i="7"/>
  <c r="FW151" i="7"/>
  <c r="FX151" i="7"/>
  <c r="FY151" i="7"/>
  <c r="FZ151" i="7"/>
  <c r="GA151" i="7"/>
  <c r="GB151" i="7"/>
  <c r="GC151" i="7"/>
  <c r="GD151" i="7"/>
  <c r="GE151" i="7"/>
  <c r="GF151" i="7"/>
  <c r="GG151" i="7"/>
  <c r="GH151" i="7"/>
  <c r="GI151" i="7"/>
  <c r="GJ151" i="7"/>
  <c r="GK151" i="7"/>
  <c r="GL151" i="7"/>
  <c r="GM151" i="7"/>
  <c r="GN151" i="7"/>
  <c r="GO151" i="7"/>
  <c r="GP151" i="7"/>
  <c r="GQ151" i="7"/>
  <c r="GR151" i="7"/>
  <c r="GS151" i="7"/>
  <c r="GT151" i="7"/>
  <c r="GU151" i="7"/>
  <c r="GV151" i="7"/>
  <c r="GW151" i="7"/>
  <c r="GX151" i="7"/>
  <c r="GY151" i="7"/>
  <c r="GZ151" i="7"/>
  <c r="HA151" i="7"/>
  <c r="HB151" i="7"/>
  <c r="HC151" i="7"/>
  <c r="HD151" i="7"/>
  <c r="HE151" i="7"/>
  <c r="HF151" i="7"/>
  <c r="HG151" i="7"/>
  <c r="HH151" i="7"/>
  <c r="HI151" i="7"/>
  <c r="HJ151" i="7"/>
  <c r="HK151" i="7"/>
  <c r="HL151" i="7"/>
  <c r="HM151" i="7"/>
  <c r="HN151" i="7"/>
  <c r="HO151" i="7"/>
  <c r="HP151" i="7"/>
  <c r="HQ151" i="7"/>
  <c r="HR151" i="7"/>
  <c r="HS151" i="7"/>
  <c r="HT151" i="7"/>
  <c r="HU151" i="7"/>
  <c r="HV151" i="7"/>
  <c r="HW151" i="7"/>
  <c r="HX151" i="7"/>
  <c r="HY151" i="7"/>
  <c r="HZ151" i="7"/>
  <c r="IA151" i="7"/>
  <c r="IB151" i="7"/>
  <c r="IC151" i="7"/>
  <c r="ID151" i="7"/>
  <c r="IE151" i="7"/>
  <c r="IF151" i="7"/>
  <c r="IG151" i="7"/>
  <c r="IH151" i="7"/>
  <c r="II151" i="7"/>
  <c r="IJ151" i="7"/>
  <c r="IK151" i="7"/>
  <c r="IL151" i="7"/>
  <c r="IM151" i="7"/>
  <c r="IN151" i="7"/>
  <c r="IO151" i="7"/>
  <c r="IP151" i="7"/>
  <c r="IQ151" i="7"/>
  <c r="IR151" i="7"/>
  <c r="IS151" i="7"/>
  <c r="IT151" i="7"/>
  <c r="IU151" i="7"/>
  <c r="IV151" i="7"/>
  <c r="A150" i="7"/>
  <c r="B150" i="7"/>
  <c r="C150" i="7"/>
  <c r="D150" i="7"/>
  <c r="E150" i="7"/>
  <c r="F150" i="7"/>
  <c r="G150" i="7"/>
  <c r="H150" i="7"/>
  <c r="I150" i="7"/>
  <c r="J150" i="7"/>
  <c r="K150" i="7"/>
  <c r="L150" i="7"/>
  <c r="M150" i="7"/>
  <c r="N150" i="7"/>
  <c r="O150" i="7"/>
  <c r="P150" i="7"/>
  <c r="Q150" i="7"/>
  <c r="R150" i="7"/>
  <c r="S150" i="7"/>
  <c r="T150" i="7"/>
  <c r="U150" i="7"/>
  <c r="V150" i="7"/>
  <c r="W150" i="7"/>
  <c r="X150" i="7"/>
  <c r="Y150" i="7"/>
  <c r="Z150" i="7"/>
  <c r="AA150" i="7"/>
  <c r="AB150" i="7"/>
  <c r="AC150" i="7"/>
  <c r="AD150" i="7"/>
  <c r="AE150" i="7"/>
  <c r="AF150" i="7"/>
  <c r="AG150" i="7"/>
  <c r="AH150" i="7"/>
  <c r="AI150" i="7"/>
  <c r="AJ150" i="7"/>
  <c r="AK150" i="7"/>
  <c r="AL150" i="7"/>
  <c r="AM150" i="7"/>
  <c r="AN150" i="7"/>
  <c r="AO150" i="7"/>
  <c r="AP150" i="7"/>
  <c r="AQ150" i="7"/>
  <c r="AR150" i="7"/>
  <c r="AS150" i="7"/>
  <c r="AT150" i="7"/>
  <c r="AU150" i="7"/>
  <c r="AV150" i="7"/>
  <c r="AW150" i="7"/>
  <c r="AX150" i="7"/>
  <c r="AY150" i="7"/>
  <c r="AZ150" i="7"/>
  <c r="BA150" i="7"/>
  <c r="BB150" i="7"/>
  <c r="BC150" i="7"/>
  <c r="BD150" i="7"/>
  <c r="BE150" i="7"/>
  <c r="BF150" i="7"/>
  <c r="BG150" i="7"/>
  <c r="BH150" i="7"/>
  <c r="BI150" i="7"/>
  <c r="BJ150" i="7"/>
  <c r="BK150" i="7"/>
  <c r="BL150" i="7"/>
  <c r="BM150" i="7"/>
  <c r="BN150" i="7"/>
  <c r="BO150" i="7"/>
  <c r="BP150" i="7"/>
  <c r="BQ150" i="7"/>
  <c r="BR150" i="7"/>
  <c r="BS150" i="7"/>
  <c r="BT150" i="7"/>
  <c r="BU150" i="7"/>
  <c r="BV150" i="7"/>
  <c r="BW150" i="7"/>
  <c r="BX150" i="7"/>
  <c r="BY150" i="7"/>
  <c r="BZ150" i="7"/>
  <c r="CA150" i="7"/>
  <c r="CB150" i="7"/>
  <c r="CC150" i="7"/>
  <c r="CD150" i="7"/>
  <c r="CE150" i="7"/>
  <c r="CF150" i="7"/>
  <c r="CG150" i="7"/>
  <c r="CH150" i="7"/>
  <c r="CI150" i="7"/>
  <c r="CJ150" i="7"/>
  <c r="CK150" i="7"/>
  <c r="CL150" i="7"/>
  <c r="CM150" i="7"/>
  <c r="CN150" i="7"/>
  <c r="CO150" i="7"/>
  <c r="CP150" i="7"/>
  <c r="CQ150" i="7"/>
  <c r="CR150" i="7"/>
  <c r="CS150" i="7"/>
  <c r="CT150" i="7"/>
  <c r="CU150" i="7"/>
  <c r="CV150" i="7"/>
  <c r="CW150" i="7"/>
  <c r="CX150" i="7"/>
  <c r="CY150" i="7"/>
  <c r="CZ150" i="7"/>
  <c r="DA150" i="7"/>
  <c r="DB150" i="7"/>
  <c r="DC150" i="7"/>
  <c r="DD150" i="7"/>
  <c r="DE150" i="7"/>
  <c r="DF150" i="7"/>
  <c r="DG150" i="7"/>
  <c r="DH150" i="7"/>
  <c r="DI150" i="7"/>
  <c r="DJ150" i="7"/>
  <c r="DK150" i="7"/>
  <c r="DL150" i="7"/>
  <c r="DM150" i="7"/>
  <c r="DN150" i="7"/>
  <c r="DO150" i="7"/>
  <c r="DP150" i="7"/>
  <c r="DQ150" i="7"/>
  <c r="DR150" i="7"/>
  <c r="DS150" i="7"/>
  <c r="DT150" i="7"/>
  <c r="DU150" i="7"/>
  <c r="DV150" i="7"/>
  <c r="DW150" i="7"/>
  <c r="DX150" i="7"/>
  <c r="DY150" i="7"/>
  <c r="DZ150" i="7"/>
  <c r="EA150" i="7"/>
  <c r="EB150" i="7"/>
  <c r="EC150" i="7"/>
  <c r="ED150" i="7"/>
  <c r="EE150" i="7"/>
  <c r="EF150" i="7"/>
  <c r="EG150" i="7"/>
  <c r="EH150" i="7"/>
  <c r="EI150" i="7"/>
  <c r="EJ150" i="7"/>
  <c r="EK150" i="7"/>
  <c r="EL150" i="7"/>
  <c r="EM150" i="7"/>
  <c r="EN150" i="7"/>
  <c r="EO150" i="7"/>
  <c r="EP150" i="7"/>
  <c r="EQ150" i="7"/>
  <c r="ER150" i="7"/>
  <c r="ES150" i="7"/>
  <c r="ET150" i="7"/>
  <c r="EU150" i="7"/>
  <c r="EV150" i="7"/>
  <c r="EW150" i="7"/>
  <c r="EX150" i="7"/>
  <c r="EY150" i="7"/>
  <c r="EZ150" i="7"/>
  <c r="FA150" i="7"/>
  <c r="FB150" i="7"/>
  <c r="FC150" i="7"/>
  <c r="FD150" i="7"/>
  <c r="FE150" i="7"/>
  <c r="FF150" i="7"/>
  <c r="FG150" i="7"/>
  <c r="FH150" i="7"/>
  <c r="FI150" i="7"/>
  <c r="FJ150" i="7"/>
  <c r="FK150" i="7"/>
  <c r="FL150" i="7"/>
  <c r="FM150" i="7"/>
  <c r="FN150" i="7"/>
  <c r="FO150" i="7"/>
  <c r="FP150" i="7"/>
  <c r="FQ150" i="7"/>
  <c r="FR150" i="7"/>
  <c r="FS150" i="7"/>
  <c r="FT150" i="7"/>
  <c r="FU150" i="7"/>
  <c r="FV150" i="7"/>
  <c r="FW150" i="7"/>
  <c r="FX150" i="7"/>
  <c r="FY150" i="7"/>
  <c r="FZ150" i="7"/>
  <c r="GA150" i="7"/>
  <c r="GB150" i="7"/>
  <c r="GC150" i="7"/>
  <c r="GD150" i="7"/>
  <c r="GE150" i="7"/>
  <c r="GF150" i="7"/>
  <c r="GG150" i="7"/>
  <c r="GH150" i="7"/>
  <c r="GI150" i="7"/>
  <c r="GJ150" i="7"/>
  <c r="GK150" i="7"/>
  <c r="GL150" i="7"/>
  <c r="GM150" i="7"/>
  <c r="GN150" i="7"/>
  <c r="GO150" i="7"/>
  <c r="GP150" i="7"/>
  <c r="GQ150" i="7"/>
  <c r="GR150" i="7"/>
  <c r="GS150" i="7"/>
  <c r="GT150" i="7"/>
  <c r="GU150" i="7"/>
  <c r="GV150" i="7"/>
  <c r="GW150" i="7"/>
  <c r="GX150" i="7"/>
  <c r="GY150" i="7"/>
  <c r="GZ150" i="7"/>
  <c r="HA150" i="7"/>
  <c r="HB150" i="7"/>
  <c r="HC150" i="7"/>
  <c r="HD150" i="7"/>
  <c r="HE150" i="7"/>
  <c r="HF150" i="7"/>
  <c r="HG150" i="7"/>
  <c r="HH150" i="7"/>
  <c r="HI150" i="7"/>
  <c r="HJ150" i="7"/>
  <c r="HK150" i="7"/>
  <c r="HL150" i="7"/>
  <c r="HM150" i="7"/>
  <c r="HN150" i="7"/>
  <c r="HO150" i="7"/>
  <c r="HP150" i="7"/>
  <c r="HQ150" i="7"/>
  <c r="HR150" i="7"/>
  <c r="HS150" i="7"/>
  <c r="HT150" i="7"/>
  <c r="HU150" i="7"/>
  <c r="HV150" i="7"/>
  <c r="HW150" i="7"/>
  <c r="HX150" i="7"/>
  <c r="HY150" i="7"/>
  <c r="HZ150" i="7"/>
  <c r="IA150" i="7"/>
  <c r="IB150" i="7"/>
  <c r="IC150" i="7"/>
  <c r="ID150" i="7"/>
  <c r="IE150" i="7"/>
  <c r="IF150" i="7"/>
  <c r="IG150" i="7"/>
  <c r="IH150" i="7"/>
  <c r="II150" i="7"/>
  <c r="IJ150" i="7"/>
  <c r="IK150" i="7"/>
  <c r="IL150" i="7"/>
  <c r="IM150" i="7"/>
  <c r="IN150" i="7"/>
  <c r="IO150" i="7"/>
  <c r="IP150" i="7"/>
  <c r="IQ150" i="7"/>
  <c r="IR150" i="7"/>
  <c r="IS150" i="7"/>
  <c r="IT150" i="7"/>
  <c r="IU150" i="7"/>
  <c r="IV150" i="7"/>
  <c r="A149" i="7"/>
  <c r="B149" i="7"/>
  <c r="C149" i="7"/>
  <c r="D149" i="7"/>
  <c r="E149" i="7"/>
  <c r="F149" i="7"/>
  <c r="G149" i="7"/>
  <c r="H149" i="7"/>
  <c r="I149" i="7"/>
  <c r="J149" i="7"/>
  <c r="K149" i="7"/>
  <c r="L149" i="7"/>
  <c r="M149" i="7"/>
  <c r="N149" i="7"/>
  <c r="O149" i="7"/>
  <c r="P149" i="7"/>
  <c r="Q149" i="7"/>
  <c r="R149" i="7"/>
  <c r="S149" i="7"/>
  <c r="T149" i="7"/>
  <c r="U149" i="7"/>
  <c r="V149" i="7"/>
  <c r="W149" i="7"/>
  <c r="X149" i="7"/>
  <c r="Y149" i="7"/>
  <c r="Z149" i="7"/>
  <c r="AA149" i="7"/>
  <c r="AB149" i="7"/>
  <c r="AC149" i="7"/>
  <c r="AD149" i="7"/>
  <c r="AE149" i="7"/>
  <c r="AF149" i="7"/>
  <c r="AG149" i="7"/>
  <c r="AH149" i="7"/>
  <c r="AI149" i="7"/>
  <c r="AJ149" i="7"/>
  <c r="AK149" i="7"/>
  <c r="AL149" i="7"/>
  <c r="AM149" i="7"/>
  <c r="AN149" i="7"/>
  <c r="AO149" i="7"/>
  <c r="AP149" i="7"/>
  <c r="AQ149" i="7"/>
  <c r="AR149" i="7"/>
  <c r="AS149" i="7"/>
  <c r="AT149" i="7"/>
  <c r="AU149" i="7"/>
  <c r="AV149" i="7"/>
  <c r="AW149" i="7"/>
  <c r="AX149" i="7"/>
  <c r="AY149" i="7"/>
  <c r="AZ149" i="7"/>
  <c r="BA149" i="7"/>
  <c r="BB149" i="7"/>
  <c r="BC149" i="7"/>
  <c r="BD149" i="7"/>
  <c r="BE149" i="7"/>
  <c r="BF149" i="7"/>
  <c r="BG149" i="7"/>
  <c r="BH149" i="7"/>
  <c r="BI149" i="7"/>
  <c r="BJ149" i="7"/>
  <c r="BK149" i="7"/>
  <c r="BL149" i="7"/>
  <c r="BM149" i="7"/>
  <c r="BN149" i="7"/>
  <c r="BO149" i="7"/>
  <c r="BP149" i="7"/>
  <c r="BQ149" i="7"/>
  <c r="BR149" i="7"/>
  <c r="BS149" i="7"/>
  <c r="BT149" i="7"/>
  <c r="BU149" i="7"/>
  <c r="BV149" i="7"/>
  <c r="BW149" i="7"/>
  <c r="BX149" i="7"/>
  <c r="BY149" i="7"/>
  <c r="BZ149" i="7"/>
  <c r="CA149" i="7"/>
  <c r="CB149" i="7"/>
  <c r="CC149" i="7"/>
  <c r="CD149" i="7"/>
  <c r="CE149" i="7"/>
  <c r="CF149" i="7"/>
  <c r="CG149" i="7"/>
  <c r="CH149" i="7"/>
  <c r="CI149" i="7"/>
  <c r="CJ149" i="7"/>
  <c r="CK149" i="7"/>
  <c r="CL149" i="7"/>
  <c r="CM149" i="7"/>
  <c r="CN149" i="7"/>
  <c r="CO149" i="7"/>
  <c r="CP149" i="7"/>
  <c r="CQ149" i="7"/>
  <c r="CR149" i="7"/>
  <c r="CS149" i="7"/>
  <c r="CT149" i="7"/>
  <c r="CU149" i="7"/>
  <c r="CV149" i="7"/>
  <c r="CW149" i="7"/>
  <c r="CX149" i="7"/>
  <c r="CY149" i="7"/>
  <c r="CZ149" i="7"/>
  <c r="DA149" i="7"/>
  <c r="DB149" i="7"/>
  <c r="DC149" i="7"/>
  <c r="DD149" i="7"/>
  <c r="DE149" i="7"/>
  <c r="DF149" i="7"/>
  <c r="DG149" i="7"/>
  <c r="DH149" i="7"/>
  <c r="DI149" i="7"/>
  <c r="DJ149" i="7"/>
  <c r="DK149" i="7"/>
  <c r="DL149" i="7"/>
  <c r="DM149" i="7"/>
  <c r="DN149" i="7"/>
  <c r="DO149" i="7"/>
  <c r="DP149" i="7"/>
  <c r="DQ149" i="7"/>
  <c r="DR149" i="7"/>
  <c r="DS149" i="7"/>
  <c r="DT149" i="7"/>
  <c r="DU149" i="7"/>
  <c r="DV149" i="7"/>
  <c r="DW149" i="7"/>
  <c r="DX149" i="7"/>
  <c r="DY149" i="7"/>
  <c r="DZ149" i="7"/>
  <c r="EA149" i="7"/>
  <c r="EB149" i="7"/>
  <c r="EC149" i="7"/>
  <c r="ED149" i="7"/>
  <c r="EE149" i="7"/>
  <c r="EF149" i="7"/>
  <c r="EG149" i="7"/>
  <c r="EH149" i="7"/>
  <c r="EI149" i="7"/>
  <c r="EJ149" i="7"/>
  <c r="EK149" i="7"/>
  <c r="EL149" i="7"/>
  <c r="EM149" i="7"/>
  <c r="EN149" i="7"/>
  <c r="EO149" i="7"/>
  <c r="EP149" i="7"/>
  <c r="EQ149" i="7"/>
  <c r="ER149" i="7"/>
  <c r="ES149" i="7"/>
  <c r="ET149" i="7"/>
  <c r="EU149" i="7"/>
  <c r="EV149" i="7"/>
  <c r="EW149" i="7"/>
  <c r="EX149" i="7"/>
  <c r="EY149" i="7"/>
  <c r="EZ149" i="7"/>
  <c r="FA149" i="7"/>
  <c r="FB149" i="7"/>
  <c r="FC149" i="7"/>
  <c r="FD149" i="7"/>
  <c r="FE149" i="7"/>
  <c r="FF149" i="7"/>
  <c r="FG149" i="7"/>
  <c r="FH149" i="7"/>
  <c r="FI149" i="7"/>
  <c r="FJ149" i="7"/>
  <c r="FK149" i="7"/>
  <c r="FL149" i="7"/>
  <c r="FM149" i="7"/>
  <c r="FN149" i="7"/>
  <c r="FO149" i="7"/>
  <c r="FP149" i="7"/>
  <c r="FQ149" i="7"/>
  <c r="FR149" i="7"/>
  <c r="FS149" i="7"/>
  <c r="FT149" i="7"/>
  <c r="FU149" i="7"/>
  <c r="FV149" i="7"/>
  <c r="FW149" i="7"/>
  <c r="FX149" i="7"/>
  <c r="FY149" i="7"/>
  <c r="FZ149" i="7"/>
  <c r="GA149" i="7"/>
  <c r="GB149" i="7"/>
  <c r="GC149" i="7"/>
  <c r="GD149" i="7"/>
  <c r="GE149" i="7"/>
  <c r="GF149" i="7"/>
  <c r="GG149" i="7"/>
  <c r="GH149" i="7"/>
  <c r="GI149" i="7"/>
  <c r="GJ149" i="7"/>
  <c r="GK149" i="7"/>
  <c r="GL149" i="7"/>
  <c r="GM149" i="7"/>
  <c r="GN149" i="7"/>
  <c r="GO149" i="7"/>
  <c r="GP149" i="7"/>
  <c r="GQ149" i="7"/>
  <c r="GR149" i="7"/>
  <c r="GS149" i="7"/>
  <c r="GT149" i="7"/>
  <c r="GU149" i="7"/>
  <c r="GV149" i="7"/>
  <c r="GW149" i="7"/>
  <c r="GX149" i="7"/>
  <c r="GY149" i="7"/>
  <c r="GZ149" i="7"/>
  <c r="HA149" i="7"/>
  <c r="HB149" i="7"/>
  <c r="HC149" i="7"/>
  <c r="HD149" i="7"/>
  <c r="HE149" i="7"/>
  <c r="HF149" i="7"/>
  <c r="HG149" i="7"/>
  <c r="HH149" i="7"/>
  <c r="HI149" i="7"/>
  <c r="HJ149" i="7"/>
  <c r="HK149" i="7"/>
  <c r="HL149" i="7"/>
  <c r="HM149" i="7"/>
  <c r="HN149" i="7"/>
  <c r="HO149" i="7"/>
  <c r="HP149" i="7"/>
  <c r="HQ149" i="7"/>
  <c r="HR149" i="7"/>
  <c r="HS149" i="7"/>
  <c r="HT149" i="7"/>
  <c r="HU149" i="7"/>
  <c r="HV149" i="7"/>
  <c r="HW149" i="7"/>
  <c r="HX149" i="7"/>
  <c r="HY149" i="7"/>
  <c r="HZ149" i="7"/>
  <c r="IA149" i="7"/>
  <c r="IB149" i="7"/>
  <c r="IC149" i="7"/>
  <c r="ID149" i="7"/>
  <c r="IE149" i="7"/>
  <c r="IF149" i="7"/>
  <c r="IG149" i="7"/>
  <c r="IH149" i="7"/>
  <c r="II149" i="7"/>
  <c r="IJ149" i="7"/>
  <c r="IK149" i="7"/>
  <c r="IL149" i="7"/>
  <c r="IM149" i="7"/>
  <c r="IN149" i="7"/>
  <c r="IO149" i="7"/>
  <c r="IP149" i="7"/>
  <c r="IQ149" i="7"/>
  <c r="IR149" i="7"/>
  <c r="IS149" i="7"/>
  <c r="IT149" i="7"/>
  <c r="IU149" i="7"/>
  <c r="IV149" i="7"/>
  <c r="A148" i="7"/>
  <c r="B148" i="7"/>
  <c r="C148" i="7"/>
  <c r="D148" i="7"/>
  <c r="E148" i="7"/>
  <c r="F148" i="7"/>
  <c r="G148" i="7"/>
  <c r="H148" i="7"/>
  <c r="I148" i="7"/>
  <c r="J148" i="7"/>
  <c r="K148" i="7"/>
  <c r="L148" i="7"/>
  <c r="M148" i="7"/>
  <c r="N148" i="7"/>
  <c r="O148" i="7"/>
  <c r="P148" i="7"/>
  <c r="Q148" i="7"/>
  <c r="R148" i="7"/>
  <c r="S148" i="7"/>
  <c r="T148" i="7"/>
  <c r="U148" i="7"/>
  <c r="V148" i="7"/>
  <c r="W148" i="7"/>
  <c r="X148" i="7"/>
  <c r="Y148" i="7"/>
  <c r="Z148" i="7"/>
  <c r="AA148" i="7"/>
  <c r="AB148" i="7"/>
  <c r="AC148" i="7"/>
  <c r="AD148" i="7"/>
  <c r="AE148" i="7"/>
  <c r="AF148" i="7"/>
  <c r="AG148" i="7"/>
  <c r="AH148" i="7"/>
  <c r="AI148" i="7"/>
  <c r="AJ148" i="7"/>
  <c r="AK148" i="7"/>
  <c r="AL148" i="7"/>
  <c r="AM148" i="7"/>
  <c r="AN148" i="7"/>
  <c r="AO148" i="7"/>
  <c r="AP148" i="7"/>
  <c r="AQ148" i="7"/>
  <c r="AR148" i="7"/>
  <c r="AS148" i="7"/>
  <c r="AT148" i="7"/>
  <c r="AU148" i="7"/>
  <c r="AV148" i="7"/>
  <c r="AW148" i="7"/>
  <c r="AX148" i="7"/>
  <c r="AY148" i="7"/>
  <c r="AZ148" i="7"/>
  <c r="BA148" i="7"/>
  <c r="BB148" i="7"/>
  <c r="BC148" i="7"/>
  <c r="BD148" i="7"/>
  <c r="BE148" i="7"/>
  <c r="BF148" i="7"/>
  <c r="BG148" i="7"/>
  <c r="BH148" i="7"/>
  <c r="BI148" i="7"/>
  <c r="BJ148" i="7"/>
  <c r="BK148" i="7"/>
  <c r="BL148" i="7"/>
  <c r="BM148" i="7"/>
  <c r="BN148" i="7"/>
  <c r="BO148" i="7"/>
  <c r="BP148" i="7"/>
  <c r="BQ148" i="7"/>
  <c r="BR148" i="7"/>
  <c r="BS148" i="7"/>
  <c r="BT148" i="7"/>
  <c r="BU148" i="7"/>
  <c r="BV148" i="7"/>
  <c r="BW148" i="7"/>
  <c r="BX148" i="7"/>
  <c r="BY148" i="7"/>
  <c r="BZ148" i="7"/>
  <c r="CA148" i="7"/>
  <c r="CB148" i="7"/>
  <c r="CC148" i="7"/>
  <c r="CD148" i="7"/>
  <c r="CE148" i="7"/>
  <c r="CF148" i="7"/>
  <c r="CG148" i="7"/>
  <c r="CH148" i="7"/>
  <c r="CI148" i="7"/>
  <c r="CJ148" i="7"/>
  <c r="CK148" i="7"/>
  <c r="CL148" i="7"/>
  <c r="CM148" i="7"/>
  <c r="CN148" i="7"/>
  <c r="CO148" i="7"/>
  <c r="CP148" i="7"/>
  <c r="CQ148" i="7"/>
  <c r="CR148" i="7"/>
  <c r="CS148" i="7"/>
  <c r="CT148" i="7"/>
  <c r="CU148" i="7"/>
  <c r="CV148" i="7"/>
  <c r="CW148" i="7"/>
  <c r="CX148" i="7"/>
  <c r="CY148" i="7"/>
  <c r="CZ148" i="7"/>
  <c r="DA148" i="7"/>
  <c r="DB148" i="7"/>
  <c r="DC148" i="7"/>
  <c r="DD148" i="7"/>
  <c r="DE148" i="7"/>
  <c r="DF148" i="7"/>
  <c r="DG148" i="7"/>
  <c r="DH148" i="7"/>
  <c r="DI148" i="7"/>
  <c r="DJ148" i="7"/>
  <c r="DK148" i="7"/>
  <c r="DL148" i="7"/>
  <c r="DM148" i="7"/>
  <c r="DN148" i="7"/>
  <c r="DO148" i="7"/>
  <c r="DP148" i="7"/>
  <c r="DQ148" i="7"/>
  <c r="DR148" i="7"/>
  <c r="DS148" i="7"/>
  <c r="DT148" i="7"/>
  <c r="DU148" i="7"/>
  <c r="DV148" i="7"/>
  <c r="DW148" i="7"/>
  <c r="DX148" i="7"/>
  <c r="DY148" i="7"/>
  <c r="DZ148" i="7"/>
  <c r="EA148" i="7"/>
  <c r="EB148" i="7"/>
  <c r="EC148" i="7"/>
  <c r="ED148" i="7"/>
  <c r="EE148" i="7"/>
  <c r="EF148" i="7"/>
  <c r="EG148" i="7"/>
  <c r="EH148" i="7"/>
  <c r="EI148" i="7"/>
  <c r="EJ148" i="7"/>
  <c r="EK148" i="7"/>
  <c r="EL148" i="7"/>
  <c r="EM148" i="7"/>
  <c r="EN148" i="7"/>
  <c r="EO148" i="7"/>
  <c r="EP148" i="7"/>
  <c r="EQ148" i="7"/>
  <c r="ER148" i="7"/>
  <c r="ES148" i="7"/>
  <c r="ET148" i="7"/>
  <c r="EU148" i="7"/>
  <c r="EV148" i="7"/>
  <c r="EW148" i="7"/>
  <c r="EX148" i="7"/>
  <c r="EY148" i="7"/>
  <c r="EZ148" i="7"/>
  <c r="FA148" i="7"/>
  <c r="FB148" i="7"/>
  <c r="FC148" i="7"/>
  <c r="FD148" i="7"/>
  <c r="FE148" i="7"/>
  <c r="FF148" i="7"/>
  <c r="FG148" i="7"/>
  <c r="FH148" i="7"/>
  <c r="FI148" i="7"/>
  <c r="FJ148" i="7"/>
  <c r="FK148" i="7"/>
  <c r="FL148" i="7"/>
  <c r="FM148" i="7"/>
  <c r="FN148" i="7"/>
  <c r="FO148" i="7"/>
  <c r="FP148" i="7"/>
  <c r="FQ148" i="7"/>
  <c r="FR148" i="7"/>
  <c r="FS148" i="7"/>
  <c r="FT148" i="7"/>
  <c r="FU148" i="7"/>
  <c r="FV148" i="7"/>
  <c r="FW148" i="7"/>
  <c r="FX148" i="7"/>
  <c r="FY148" i="7"/>
  <c r="FZ148" i="7"/>
  <c r="GA148" i="7"/>
  <c r="GB148" i="7"/>
  <c r="GC148" i="7"/>
  <c r="GD148" i="7"/>
  <c r="GE148" i="7"/>
  <c r="GF148" i="7"/>
  <c r="GG148" i="7"/>
  <c r="GH148" i="7"/>
  <c r="GI148" i="7"/>
  <c r="GJ148" i="7"/>
  <c r="GK148" i="7"/>
  <c r="GL148" i="7"/>
  <c r="GM148" i="7"/>
  <c r="GN148" i="7"/>
  <c r="GO148" i="7"/>
  <c r="GP148" i="7"/>
  <c r="GQ148" i="7"/>
  <c r="GR148" i="7"/>
  <c r="GS148" i="7"/>
  <c r="GT148" i="7"/>
  <c r="GU148" i="7"/>
  <c r="GV148" i="7"/>
  <c r="GW148" i="7"/>
  <c r="GX148" i="7"/>
  <c r="GY148" i="7"/>
  <c r="GZ148" i="7"/>
  <c r="HA148" i="7"/>
  <c r="HB148" i="7"/>
  <c r="HC148" i="7"/>
  <c r="HD148" i="7"/>
  <c r="HE148" i="7"/>
  <c r="HF148" i="7"/>
  <c r="HG148" i="7"/>
  <c r="HH148" i="7"/>
  <c r="HI148" i="7"/>
  <c r="HJ148" i="7"/>
  <c r="HK148" i="7"/>
  <c r="HL148" i="7"/>
  <c r="HM148" i="7"/>
  <c r="HN148" i="7"/>
  <c r="HO148" i="7"/>
  <c r="HP148" i="7"/>
  <c r="HQ148" i="7"/>
  <c r="HR148" i="7"/>
  <c r="HS148" i="7"/>
  <c r="HT148" i="7"/>
  <c r="HU148" i="7"/>
  <c r="HV148" i="7"/>
  <c r="HW148" i="7"/>
  <c r="HX148" i="7"/>
  <c r="HY148" i="7"/>
  <c r="HZ148" i="7"/>
  <c r="IA148" i="7"/>
  <c r="IB148" i="7"/>
  <c r="IC148" i="7"/>
  <c r="ID148" i="7"/>
  <c r="IE148" i="7"/>
  <c r="IF148" i="7"/>
  <c r="IG148" i="7"/>
  <c r="IH148" i="7"/>
  <c r="II148" i="7"/>
  <c r="IJ148" i="7"/>
  <c r="IK148" i="7"/>
  <c r="IL148" i="7"/>
  <c r="IM148" i="7"/>
  <c r="IN148" i="7"/>
  <c r="IO148" i="7"/>
  <c r="IP148" i="7"/>
  <c r="IQ148" i="7"/>
  <c r="IR148" i="7"/>
  <c r="IS148" i="7"/>
  <c r="IT148" i="7"/>
  <c r="IU148" i="7"/>
  <c r="IV148" i="7"/>
  <c r="A147" i="7"/>
  <c r="B147" i="7"/>
  <c r="C147" i="7"/>
  <c r="D147" i="7"/>
  <c r="E147" i="7"/>
  <c r="F147" i="7"/>
  <c r="G147" i="7"/>
  <c r="H147" i="7"/>
  <c r="I147" i="7"/>
  <c r="J147" i="7"/>
  <c r="K147" i="7"/>
  <c r="L147" i="7"/>
  <c r="M147" i="7"/>
  <c r="N147" i="7"/>
  <c r="O147" i="7"/>
  <c r="P147" i="7"/>
  <c r="Q147" i="7"/>
  <c r="R147" i="7"/>
  <c r="S147" i="7"/>
  <c r="T147" i="7"/>
  <c r="U147" i="7"/>
  <c r="V147" i="7"/>
  <c r="W147" i="7"/>
  <c r="X147" i="7"/>
  <c r="Y147" i="7"/>
  <c r="Z147" i="7"/>
  <c r="AA147" i="7"/>
  <c r="AB147" i="7"/>
  <c r="AC147" i="7"/>
  <c r="AD147" i="7"/>
  <c r="AE147" i="7"/>
  <c r="AF147" i="7"/>
  <c r="AG147" i="7"/>
  <c r="AH147" i="7"/>
  <c r="AI147" i="7"/>
  <c r="AJ147" i="7"/>
  <c r="AK147" i="7"/>
  <c r="AL147" i="7"/>
  <c r="AM147" i="7"/>
  <c r="AN147" i="7"/>
  <c r="AO147" i="7"/>
  <c r="AP147" i="7"/>
  <c r="AQ147" i="7"/>
  <c r="AR147" i="7"/>
  <c r="AS147" i="7"/>
  <c r="AT147" i="7"/>
  <c r="AU147" i="7"/>
  <c r="AV147" i="7"/>
  <c r="AW147" i="7"/>
  <c r="AX147" i="7"/>
  <c r="AY147" i="7"/>
  <c r="AZ147" i="7"/>
  <c r="BA147" i="7"/>
  <c r="BB147" i="7"/>
  <c r="BC147" i="7"/>
  <c r="BD147" i="7"/>
  <c r="BE147" i="7"/>
  <c r="BF147" i="7"/>
  <c r="BG147" i="7"/>
  <c r="BH147" i="7"/>
  <c r="BI147" i="7"/>
  <c r="BJ147" i="7"/>
  <c r="BK147" i="7"/>
  <c r="BL147" i="7"/>
  <c r="BM147" i="7"/>
  <c r="BN147" i="7"/>
  <c r="BO147" i="7"/>
  <c r="BP147" i="7"/>
  <c r="BQ147" i="7"/>
  <c r="BR147" i="7"/>
  <c r="BS147" i="7"/>
  <c r="BT147" i="7"/>
  <c r="BU147" i="7"/>
  <c r="BV147" i="7"/>
  <c r="BW147" i="7"/>
  <c r="BX147" i="7"/>
  <c r="BY147" i="7"/>
  <c r="BZ147" i="7"/>
  <c r="CA147" i="7"/>
  <c r="CB147" i="7"/>
  <c r="CC147" i="7"/>
  <c r="CD147" i="7"/>
  <c r="CE147" i="7"/>
  <c r="CF147" i="7"/>
  <c r="CG147" i="7"/>
  <c r="CH147" i="7"/>
  <c r="CI147" i="7"/>
  <c r="CJ147" i="7"/>
  <c r="CK147" i="7"/>
  <c r="CL147" i="7"/>
  <c r="CM147" i="7"/>
  <c r="CN147" i="7"/>
  <c r="CO147" i="7"/>
  <c r="CP147" i="7"/>
  <c r="CQ147" i="7"/>
  <c r="CR147" i="7"/>
  <c r="CS147" i="7"/>
  <c r="CT147" i="7"/>
  <c r="CU147" i="7"/>
  <c r="CV147" i="7"/>
  <c r="CW147" i="7"/>
  <c r="CX147" i="7"/>
  <c r="CY147" i="7"/>
  <c r="CZ147" i="7"/>
  <c r="DA147" i="7"/>
  <c r="DB147" i="7"/>
  <c r="DC147" i="7"/>
  <c r="DD147" i="7"/>
  <c r="DE147" i="7"/>
  <c r="DF147" i="7"/>
  <c r="DG147" i="7"/>
  <c r="DH147" i="7"/>
  <c r="DI147" i="7"/>
  <c r="DJ147" i="7"/>
  <c r="DK147" i="7"/>
  <c r="DL147" i="7"/>
  <c r="DM147" i="7"/>
  <c r="DN147" i="7"/>
  <c r="DO147" i="7"/>
  <c r="DP147" i="7"/>
  <c r="DQ147" i="7"/>
  <c r="DR147" i="7"/>
  <c r="DS147" i="7"/>
  <c r="DT147" i="7"/>
  <c r="DU147" i="7"/>
  <c r="DV147" i="7"/>
  <c r="DW147" i="7"/>
  <c r="DX147" i="7"/>
  <c r="DY147" i="7"/>
  <c r="DZ147" i="7"/>
  <c r="EA147" i="7"/>
  <c r="EB147" i="7"/>
  <c r="EC147" i="7"/>
  <c r="ED147" i="7"/>
  <c r="EE147" i="7"/>
  <c r="EF147" i="7"/>
  <c r="EG147" i="7"/>
  <c r="EH147" i="7"/>
  <c r="EI147" i="7"/>
  <c r="EJ147" i="7"/>
  <c r="EK147" i="7"/>
  <c r="EL147" i="7"/>
  <c r="EM147" i="7"/>
  <c r="EN147" i="7"/>
  <c r="EO147" i="7"/>
  <c r="EP147" i="7"/>
  <c r="EQ147" i="7"/>
  <c r="ER147" i="7"/>
  <c r="ES147" i="7"/>
  <c r="ET147" i="7"/>
  <c r="EU147" i="7"/>
  <c r="EV147" i="7"/>
  <c r="EW147" i="7"/>
  <c r="EX147" i="7"/>
  <c r="EY147" i="7"/>
  <c r="EZ147" i="7"/>
  <c r="FA147" i="7"/>
  <c r="FB147" i="7"/>
  <c r="FC147" i="7"/>
  <c r="FD147" i="7"/>
  <c r="FE147" i="7"/>
  <c r="FF147" i="7"/>
  <c r="FG147" i="7"/>
  <c r="FH147" i="7"/>
  <c r="FI147" i="7"/>
  <c r="FJ147" i="7"/>
  <c r="FK147" i="7"/>
  <c r="FL147" i="7"/>
  <c r="FM147" i="7"/>
  <c r="FN147" i="7"/>
  <c r="FO147" i="7"/>
  <c r="FP147" i="7"/>
  <c r="FQ147" i="7"/>
  <c r="FR147" i="7"/>
  <c r="FS147" i="7"/>
  <c r="FT147" i="7"/>
  <c r="FU147" i="7"/>
  <c r="FV147" i="7"/>
  <c r="FW147" i="7"/>
  <c r="FX147" i="7"/>
  <c r="FY147" i="7"/>
  <c r="FZ147" i="7"/>
  <c r="GA147" i="7"/>
  <c r="GB147" i="7"/>
  <c r="GC147" i="7"/>
  <c r="GD147" i="7"/>
  <c r="GE147" i="7"/>
  <c r="GF147" i="7"/>
  <c r="GG147" i="7"/>
  <c r="GH147" i="7"/>
  <c r="GI147" i="7"/>
  <c r="GJ147" i="7"/>
  <c r="GK147" i="7"/>
  <c r="GL147" i="7"/>
  <c r="GM147" i="7"/>
  <c r="GN147" i="7"/>
  <c r="GO147" i="7"/>
  <c r="GP147" i="7"/>
  <c r="GQ147" i="7"/>
  <c r="GR147" i="7"/>
  <c r="GS147" i="7"/>
  <c r="GT147" i="7"/>
  <c r="GU147" i="7"/>
  <c r="GV147" i="7"/>
  <c r="GW147" i="7"/>
  <c r="GX147" i="7"/>
  <c r="GY147" i="7"/>
  <c r="GZ147" i="7"/>
  <c r="HA147" i="7"/>
  <c r="HB147" i="7"/>
  <c r="HC147" i="7"/>
  <c r="HD147" i="7"/>
  <c r="HE147" i="7"/>
  <c r="HF147" i="7"/>
  <c r="HG147" i="7"/>
  <c r="HH147" i="7"/>
  <c r="HI147" i="7"/>
  <c r="HJ147" i="7"/>
  <c r="HK147" i="7"/>
  <c r="HL147" i="7"/>
  <c r="HM147" i="7"/>
  <c r="HN147" i="7"/>
  <c r="HO147" i="7"/>
  <c r="HP147" i="7"/>
  <c r="HQ147" i="7"/>
  <c r="HR147" i="7"/>
  <c r="HS147" i="7"/>
  <c r="HT147" i="7"/>
  <c r="HU147" i="7"/>
  <c r="HV147" i="7"/>
  <c r="HW147" i="7"/>
  <c r="HX147" i="7"/>
  <c r="HY147" i="7"/>
  <c r="HZ147" i="7"/>
  <c r="IA147" i="7"/>
  <c r="IB147" i="7"/>
  <c r="IC147" i="7"/>
  <c r="ID147" i="7"/>
  <c r="IE147" i="7"/>
  <c r="IF147" i="7"/>
  <c r="IG147" i="7"/>
  <c r="IH147" i="7"/>
  <c r="II147" i="7"/>
  <c r="IJ147" i="7"/>
  <c r="IK147" i="7"/>
  <c r="IL147" i="7"/>
  <c r="IM147" i="7"/>
  <c r="IN147" i="7"/>
  <c r="IO147" i="7"/>
  <c r="IP147" i="7"/>
  <c r="IQ147" i="7"/>
  <c r="IR147" i="7"/>
  <c r="IS147" i="7"/>
  <c r="IT147" i="7"/>
  <c r="IU147" i="7"/>
  <c r="IV147" i="7"/>
  <c r="A146" i="7"/>
  <c r="B146" i="7"/>
  <c r="C146" i="7"/>
  <c r="D146" i="7"/>
  <c r="E146" i="7"/>
  <c r="F146" i="7"/>
  <c r="G146" i="7"/>
  <c r="H146" i="7"/>
  <c r="I146" i="7"/>
  <c r="J146" i="7"/>
  <c r="K146" i="7"/>
  <c r="L146" i="7"/>
  <c r="M146" i="7"/>
  <c r="N146" i="7"/>
  <c r="O146" i="7"/>
  <c r="P146" i="7"/>
  <c r="Q146" i="7"/>
  <c r="R146" i="7"/>
  <c r="S146" i="7"/>
  <c r="T146" i="7"/>
  <c r="U146" i="7"/>
  <c r="V146" i="7"/>
  <c r="W146" i="7"/>
  <c r="X146" i="7"/>
  <c r="Y146" i="7"/>
  <c r="Z146" i="7"/>
  <c r="AA146" i="7"/>
  <c r="AB146" i="7"/>
  <c r="AC146" i="7"/>
  <c r="AD146" i="7"/>
  <c r="AE146" i="7"/>
  <c r="AF146" i="7"/>
  <c r="AG146" i="7"/>
  <c r="AH146" i="7"/>
  <c r="AI146" i="7"/>
  <c r="AJ146" i="7"/>
  <c r="AK146" i="7"/>
  <c r="AL146" i="7"/>
  <c r="AM146" i="7"/>
  <c r="AN146" i="7"/>
  <c r="AO146" i="7"/>
  <c r="AP146" i="7"/>
  <c r="AQ146" i="7"/>
  <c r="AR146" i="7"/>
  <c r="AS146" i="7"/>
  <c r="AT146" i="7"/>
  <c r="AU146" i="7"/>
  <c r="AV146" i="7"/>
  <c r="AW146" i="7"/>
  <c r="AX146" i="7"/>
  <c r="AY146" i="7"/>
  <c r="AZ146" i="7"/>
  <c r="BA146" i="7"/>
  <c r="BB146" i="7"/>
  <c r="BC146" i="7"/>
  <c r="BD146" i="7"/>
  <c r="BE146" i="7"/>
  <c r="BF146" i="7"/>
  <c r="BG146" i="7"/>
  <c r="BH146" i="7"/>
  <c r="BI146" i="7"/>
  <c r="BJ146" i="7"/>
  <c r="BK146" i="7"/>
  <c r="BL146" i="7"/>
  <c r="BM146" i="7"/>
  <c r="BN146" i="7"/>
  <c r="BO146" i="7"/>
  <c r="BP146" i="7"/>
  <c r="BQ146" i="7"/>
  <c r="BR146" i="7"/>
  <c r="BS146" i="7"/>
  <c r="BT146" i="7"/>
  <c r="BU146" i="7"/>
  <c r="BV146" i="7"/>
  <c r="BW146" i="7"/>
  <c r="BX146" i="7"/>
  <c r="BY146" i="7"/>
  <c r="BZ146" i="7"/>
  <c r="CA146" i="7"/>
  <c r="CB146" i="7"/>
  <c r="CC146" i="7"/>
  <c r="CD146" i="7"/>
  <c r="CE146" i="7"/>
  <c r="CF146" i="7"/>
  <c r="CG146" i="7"/>
  <c r="CH146" i="7"/>
  <c r="CI146" i="7"/>
  <c r="CJ146" i="7"/>
  <c r="CK146" i="7"/>
  <c r="CL146" i="7"/>
  <c r="CM146" i="7"/>
  <c r="CN146" i="7"/>
  <c r="CO146" i="7"/>
  <c r="CP146" i="7"/>
  <c r="CQ146" i="7"/>
  <c r="CR146" i="7"/>
  <c r="CS146" i="7"/>
  <c r="CT146" i="7"/>
  <c r="CU146" i="7"/>
  <c r="CV146" i="7"/>
  <c r="CW146" i="7"/>
  <c r="CX146" i="7"/>
  <c r="CY146" i="7"/>
  <c r="CZ146" i="7"/>
  <c r="DA146" i="7"/>
  <c r="DB146" i="7"/>
  <c r="DC146" i="7"/>
  <c r="DD146" i="7"/>
  <c r="DE146" i="7"/>
  <c r="DF146" i="7"/>
  <c r="DG146" i="7"/>
  <c r="DH146" i="7"/>
  <c r="DI146" i="7"/>
  <c r="DJ146" i="7"/>
  <c r="DK146" i="7"/>
  <c r="DL146" i="7"/>
  <c r="DM146" i="7"/>
  <c r="DN146" i="7"/>
  <c r="DO146" i="7"/>
  <c r="DP146" i="7"/>
  <c r="DQ146" i="7"/>
  <c r="DR146" i="7"/>
  <c r="DS146" i="7"/>
  <c r="DT146" i="7"/>
  <c r="DU146" i="7"/>
  <c r="DV146" i="7"/>
  <c r="DW146" i="7"/>
  <c r="DX146" i="7"/>
  <c r="DY146" i="7"/>
  <c r="DZ146" i="7"/>
  <c r="EA146" i="7"/>
  <c r="EB146" i="7"/>
  <c r="EC146" i="7"/>
  <c r="ED146" i="7"/>
  <c r="EE146" i="7"/>
  <c r="EF146" i="7"/>
  <c r="EG146" i="7"/>
  <c r="EH146" i="7"/>
  <c r="EI146" i="7"/>
  <c r="EJ146" i="7"/>
  <c r="EK146" i="7"/>
  <c r="EL146" i="7"/>
  <c r="EM146" i="7"/>
  <c r="EN146" i="7"/>
  <c r="EO146" i="7"/>
  <c r="EP146" i="7"/>
  <c r="EQ146" i="7"/>
  <c r="ER146" i="7"/>
  <c r="ES146" i="7"/>
  <c r="ET146" i="7"/>
  <c r="EU146" i="7"/>
  <c r="EV146" i="7"/>
  <c r="EW146" i="7"/>
  <c r="EX146" i="7"/>
  <c r="EY146" i="7"/>
  <c r="EZ146" i="7"/>
  <c r="FA146" i="7"/>
  <c r="FB146" i="7"/>
  <c r="FC146" i="7"/>
  <c r="FD146" i="7"/>
  <c r="FE146" i="7"/>
  <c r="FF146" i="7"/>
  <c r="FG146" i="7"/>
  <c r="FH146" i="7"/>
  <c r="FI146" i="7"/>
  <c r="FJ146" i="7"/>
  <c r="FK146" i="7"/>
  <c r="FL146" i="7"/>
  <c r="FM146" i="7"/>
  <c r="FN146" i="7"/>
  <c r="FO146" i="7"/>
  <c r="FP146" i="7"/>
  <c r="FQ146" i="7"/>
  <c r="FR146" i="7"/>
  <c r="FS146" i="7"/>
  <c r="FT146" i="7"/>
  <c r="FU146" i="7"/>
  <c r="FV146" i="7"/>
  <c r="FW146" i="7"/>
  <c r="FX146" i="7"/>
  <c r="FY146" i="7"/>
  <c r="FZ146" i="7"/>
  <c r="GA146" i="7"/>
  <c r="GB146" i="7"/>
  <c r="GC146" i="7"/>
  <c r="GD146" i="7"/>
  <c r="GE146" i="7"/>
  <c r="GF146" i="7"/>
  <c r="GG146" i="7"/>
  <c r="GH146" i="7"/>
  <c r="GI146" i="7"/>
  <c r="GJ146" i="7"/>
  <c r="GK146" i="7"/>
  <c r="GL146" i="7"/>
  <c r="GM146" i="7"/>
  <c r="GN146" i="7"/>
  <c r="GO146" i="7"/>
  <c r="GP146" i="7"/>
  <c r="GQ146" i="7"/>
  <c r="GR146" i="7"/>
  <c r="GS146" i="7"/>
  <c r="GT146" i="7"/>
  <c r="GU146" i="7"/>
  <c r="GV146" i="7"/>
  <c r="GW146" i="7"/>
  <c r="GX146" i="7"/>
  <c r="GY146" i="7"/>
  <c r="GZ146" i="7"/>
  <c r="HA146" i="7"/>
  <c r="HB146" i="7"/>
  <c r="HC146" i="7"/>
  <c r="HD146" i="7"/>
  <c r="HE146" i="7"/>
  <c r="HF146" i="7"/>
  <c r="HG146" i="7"/>
  <c r="HH146" i="7"/>
  <c r="HI146" i="7"/>
  <c r="HJ146" i="7"/>
  <c r="HK146" i="7"/>
  <c r="HL146" i="7"/>
  <c r="HM146" i="7"/>
  <c r="HN146" i="7"/>
  <c r="HO146" i="7"/>
  <c r="HP146" i="7"/>
  <c r="HQ146" i="7"/>
  <c r="HR146" i="7"/>
  <c r="HS146" i="7"/>
  <c r="HT146" i="7"/>
  <c r="HU146" i="7"/>
  <c r="HV146" i="7"/>
  <c r="HW146" i="7"/>
  <c r="HX146" i="7"/>
  <c r="HY146" i="7"/>
  <c r="HZ146" i="7"/>
  <c r="IA146" i="7"/>
  <c r="IB146" i="7"/>
  <c r="IC146" i="7"/>
  <c r="ID146" i="7"/>
  <c r="IE146" i="7"/>
  <c r="IF146" i="7"/>
  <c r="IG146" i="7"/>
  <c r="IH146" i="7"/>
  <c r="II146" i="7"/>
  <c r="IJ146" i="7"/>
  <c r="IK146" i="7"/>
  <c r="IL146" i="7"/>
  <c r="IM146" i="7"/>
  <c r="IN146" i="7"/>
  <c r="IO146" i="7"/>
  <c r="IP146" i="7"/>
  <c r="IQ146" i="7"/>
  <c r="IR146" i="7"/>
  <c r="IS146" i="7"/>
  <c r="IT146" i="7"/>
  <c r="IU146" i="7"/>
  <c r="IV146" i="7"/>
  <c r="A145" i="7"/>
  <c r="B145" i="7"/>
  <c r="C145" i="7"/>
  <c r="D145" i="7"/>
  <c r="E145" i="7"/>
  <c r="F145" i="7"/>
  <c r="G145" i="7"/>
  <c r="H145" i="7"/>
  <c r="I145" i="7"/>
  <c r="J145" i="7"/>
  <c r="K145" i="7"/>
  <c r="L145" i="7"/>
  <c r="M145" i="7"/>
  <c r="N145" i="7"/>
  <c r="O145" i="7"/>
  <c r="P145" i="7"/>
  <c r="Q145" i="7"/>
  <c r="R145" i="7"/>
  <c r="S145" i="7"/>
  <c r="T145" i="7"/>
  <c r="U145" i="7"/>
  <c r="V145" i="7"/>
  <c r="W145" i="7"/>
  <c r="X145" i="7"/>
  <c r="Y145" i="7"/>
  <c r="Z145" i="7"/>
  <c r="AA145" i="7"/>
  <c r="AB145" i="7"/>
  <c r="AC145" i="7"/>
  <c r="AD145" i="7"/>
  <c r="AE145" i="7"/>
  <c r="AF145" i="7"/>
  <c r="AG145" i="7"/>
  <c r="AH145" i="7"/>
  <c r="AI145" i="7"/>
  <c r="AJ145" i="7"/>
  <c r="AK145" i="7"/>
  <c r="AL145" i="7"/>
  <c r="AM145" i="7"/>
  <c r="AN145" i="7"/>
  <c r="AO145" i="7"/>
  <c r="AP145" i="7"/>
  <c r="AQ145" i="7"/>
  <c r="AR145" i="7"/>
  <c r="AS145" i="7"/>
  <c r="AT145" i="7"/>
  <c r="AU145" i="7"/>
  <c r="AV145" i="7"/>
  <c r="AW145" i="7"/>
  <c r="AX145" i="7"/>
  <c r="AY145" i="7"/>
  <c r="AZ145" i="7"/>
  <c r="BA145" i="7"/>
  <c r="BB145" i="7"/>
  <c r="BC145" i="7"/>
  <c r="BD145" i="7"/>
  <c r="BE145" i="7"/>
  <c r="BF145" i="7"/>
  <c r="BG145" i="7"/>
  <c r="BH145" i="7"/>
  <c r="BI145" i="7"/>
  <c r="BJ145" i="7"/>
  <c r="BK145" i="7"/>
  <c r="BL145" i="7"/>
  <c r="BM145" i="7"/>
  <c r="BN145" i="7"/>
  <c r="BO145" i="7"/>
  <c r="BP145" i="7"/>
  <c r="BQ145" i="7"/>
  <c r="BR145" i="7"/>
  <c r="BS145" i="7"/>
  <c r="BT145" i="7"/>
  <c r="BU145" i="7"/>
  <c r="BV145" i="7"/>
  <c r="BW145" i="7"/>
  <c r="BX145" i="7"/>
  <c r="BY145" i="7"/>
  <c r="BZ145" i="7"/>
  <c r="CA145" i="7"/>
  <c r="CB145" i="7"/>
  <c r="CC145" i="7"/>
  <c r="CD145" i="7"/>
  <c r="CE145" i="7"/>
  <c r="CF145" i="7"/>
  <c r="CG145" i="7"/>
  <c r="CH145" i="7"/>
  <c r="CI145" i="7"/>
  <c r="CJ145" i="7"/>
  <c r="CK145" i="7"/>
  <c r="CL145" i="7"/>
  <c r="CM145" i="7"/>
  <c r="CN145" i="7"/>
  <c r="CO145" i="7"/>
  <c r="CP145" i="7"/>
  <c r="CQ145" i="7"/>
  <c r="CR145" i="7"/>
  <c r="CS145" i="7"/>
  <c r="CT145" i="7"/>
  <c r="CU145" i="7"/>
  <c r="CV145" i="7"/>
  <c r="CW145" i="7"/>
  <c r="CX145" i="7"/>
  <c r="CY145" i="7"/>
  <c r="CZ145" i="7"/>
  <c r="DA145" i="7"/>
  <c r="DB145" i="7"/>
  <c r="DC145" i="7"/>
  <c r="DD145" i="7"/>
  <c r="DE145" i="7"/>
  <c r="DF145" i="7"/>
  <c r="DG145" i="7"/>
  <c r="DH145" i="7"/>
  <c r="DI145" i="7"/>
  <c r="DJ145" i="7"/>
  <c r="DK145" i="7"/>
  <c r="DL145" i="7"/>
  <c r="DM145" i="7"/>
  <c r="DN145" i="7"/>
  <c r="DO145" i="7"/>
  <c r="DP145" i="7"/>
  <c r="DQ145" i="7"/>
  <c r="DR145" i="7"/>
  <c r="DS145" i="7"/>
  <c r="DT145" i="7"/>
  <c r="DU145" i="7"/>
  <c r="DV145" i="7"/>
  <c r="DW145" i="7"/>
  <c r="DX145" i="7"/>
  <c r="DY145" i="7"/>
  <c r="DZ145" i="7"/>
  <c r="EA145" i="7"/>
  <c r="EB145" i="7"/>
  <c r="EC145" i="7"/>
  <c r="ED145" i="7"/>
  <c r="EE145" i="7"/>
  <c r="EF145" i="7"/>
  <c r="EG145" i="7"/>
  <c r="EH145" i="7"/>
  <c r="EI145" i="7"/>
  <c r="EJ145" i="7"/>
  <c r="EK145" i="7"/>
  <c r="EL145" i="7"/>
  <c r="EM145" i="7"/>
  <c r="EN145" i="7"/>
  <c r="EO145" i="7"/>
  <c r="EP145" i="7"/>
  <c r="EQ145" i="7"/>
  <c r="ER145" i="7"/>
  <c r="ES145" i="7"/>
  <c r="ET145" i="7"/>
  <c r="EU145" i="7"/>
  <c r="EV145" i="7"/>
  <c r="EW145" i="7"/>
  <c r="EX145" i="7"/>
  <c r="EY145" i="7"/>
  <c r="EZ145" i="7"/>
  <c r="FA145" i="7"/>
  <c r="FB145" i="7"/>
  <c r="FC145" i="7"/>
  <c r="FD145" i="7"/>
  <c r="FE145" i="7"/>
  <c r="FF145" i="7"/>
  <c r="FG145" i="7"/>
  <c r="FH145" i="7"/>
  <c r="FI145" i="7"/>
  <c r="FJ145" i="7"/>
  <c r="FK145" i="7"/>
  <c r="FL145" i="7"/>
  <c r="FM145" i="7"/>
  <c r="FN145" i="7"/>
  <c r="FO145" i="7"/>
  <c r="FP145" i="7"/>
  <c r="FQ145" i="7"/>
  <c r="FR145" i="7"/>
  <c r="FS145" i="7"/>
  <c r="FT145" i="7"/>
  <c r="FU145" i="7"/>
  <c r="FV145" i="7"/>
  <c r="FW145" i="7"/>
  <c r="FX145" i="7"/>
  <c r="FY145" i="7"/>
  <c r="FZ145" i="7"/>
  <c r="GA145" i="7"/>
  <c r="GB145" i="7"/>
  <c r="GC145" i="7"/>
  <c r="GD145" i="7"/>
  <c r="GE145" i="7"/>
  <c r="GF145" i="7"/>
  <c r="GG145" i="7"/>
  <c r="GH145" i="7"/>
  <c r="GI145" i="7"/>
  <c r="GJ145" i="7"/>
  <c r="GK145" i="7"/>
  <c r="GL145" i="7"/>
  <c r="GM145" i="7"/>
  <c r="GN145" i="7"/>
  <c r="GO145" i="7"/>
  <c r="GP145" i="7"/>
  <c r="GQ145" i="7"/>
  <c r="GR145" i="7"/>
  <c r="GS145" i="7"/>
  <c r="GT145" i="7"/>
  <c r="GU145" i="7"/>
  <c r="GV145" i="7"/>
  <c r="GW145" i="7"/>
  <c r="GX145" i="7"/>
  <c r="GY145" i="7"/>
  <c r="GZ145" i="7"/>
  <c r="HA145" i="7"/>
  <c r="HB145" i="7"/>
  <c r="HC145" i="7"/>
  <c r="HD145" i="7"/>
  <c r="HE145" i="7"/>
  <c r="HF145" i="7"/>
  <c r="HG145" i="7"/>
  <c r="HH145" i="7"/>
  <c r="HI145" i="7"/>
  <c r="HJ145" i="7"/>
  <c r="HK145" i="7"/>
  <c r="HL145" i="7"/>
  <c r="HM145" i="7"/>
  <c r="HN145" i="7"/>
  <c r="HO145" i="7"/>
  <c r="HP145" i="7"/>
  <c r="HQ145" i="7"/>
  <c r="HR145" i="7"/>
  <c r="HS145" i="7"/>
  <c r="HT145" i="7"/>
  <c r="HU145" i="7"/>
  <c r="HV145" i="7"/>
  <c r="HW145" i="7"/>
  <c r="HX145" i="7"/>
  <c r="HY145" i="7"/>
  <c r="HZ145" i="7"/>
  <c r="IA145" i="7"/>
  <c r="IB145" i="7"/>
  <c r="IC145" i="7"/>
  <c r="ID145" i="7"/>
  <c r="IE145" i="7"/>
  <c r="IF145" i="7"/>
  <c r="IG145" i="7"/>
  <c r="IH145" i="7"/>
  <c r="II145" i="7"/>
  <c r="IJ145" i="7"/>
  <c r="IK145" i="7"/>
  <c r="IL145" i="7"/>
  <c r="IM145" i="7"/>
  <c r="IN145" i="7"/>
  <c r="IO145" i="7"/>
  <c r="IP145" i="7"/>
  <c r="IQ145" i="7"/>
  <c r="IR145" i="7"/>
  <c r="IS145" i="7"/>
  <c r="IT145" i="7"/>
  <c r="IU145" i="7"/>
  <c r="IV145" i="7"/>
  <c r="A144" i="7"/>
  <c r="B144" i="7"/>
  <c r="C144" i="7"/>
  <c r="D144" i="7"/>
  <c r="E144" i="7"/>
  <c r="F144" i="7"/>
  <c r="G144" i="7"/>
  <c r="H144" i="7"/>
  <c r="I144" i="7"/>
  <c r="J144" i="7"/>
  <c r="K144" i="7"/>
  <c r="L144" i="7"/>
  <c r="M144" i="7"/>
  <c r="N144" i="7"/>
  <c r="O144" i="7"/>
  <c r="P144" i="7"/>
  <c r="Q144" i="7"/>
  <c r="R144" i="7"/>
  <c r="S144" i="7"/>
  <c r="T144" i="7"/>
  <c r="U144" i="7"/>
  <c r="V144" i="7"/>
  <c r="W144" i="7"/>
  <c r="X144" i="7"/>
  <c r="Y144" i="7"/>
  <c r="Z144" i="7"/>
  <c r="AA144" i="7"/>
  <c r="AB144" i="7"/>
  <c r="AC144" i="7"/>
  <c r="AD144" i="7"/>
  <c r="AE144" i="7"/>
  <c r="AF144" i="7"/>
  <c r="AG144" i="7"/>
  <c r="AH144" i="7"/>
  <c r="AI144" i="7"/>
  <c r="AJ144" i="7"/>
  <c r="AK144" i="7"/>
  <c r="AL144" i="7"/>
  <c r="AM144" i="7"/>
  <c r="AN144" i="7"/>
  <c r="AO144" i="7"/>
  <c r="AP144" i="7"/>
  <c r="AQ144" i="7"/>
  <c r="AR144" i="7"/>
  <c r="AS144" i="7"/>
  <c r="AT144" i="7"/>
  <c r="AU144" i="7"/>
  <c r="AV144" i="7"/>
  <c r="AW144" i="7"/>
  <c r="AX144" i="7"/>
  <c r="AY144" i="7"/>
  <c r="AZ144" i="7"/>
  <c r="BA144" i="7"/>
  <c r="BB144" i="7"/>
  <c r="BC144" i="7"/>
  <c r="BD144" i="7"/>
  <c r="BE144" i="7"/>
  <c r="BF144" i="7"/>
  <c r="BG144" i="7"/>
  <c r="BH144" i="7"/>
  <c r="BI144" i="7"/>
  <c r="BJ144" i="7"/>
  <c r="BK144" i="7"/>
  <c r="BL144" i="7"/>
  <c r="BM144" i="7"/>
  <c r="BN144" i="7"/>
  <c r="BO144" i="7"/>
  <c r="BP144" i="7"/>
  <c r="BQ144" i="7"/>
  <c r="BR144" i="7"/>
  <c r="BS144" i="7"/>
  <c r="BT144" i="7"/>
  <c r="BU144" i="7"/>
  <c r="BV144" i="7"/>
  <c r="BW144" i="7"/>
  <c r="BX144" i="7"/>
  <c r="BY144" i="7"/>
  <c r="BZ144" i="7"/>
  <c r="CA144" i="7"/>
  <c r="CB144" i="7"/>
  <c r="CC144" i="7"/>
  <c r="CD144" i="7"/>
  <c r="CE144" i="7"/>
  <c r="CF144" i="7"/>
  <c r="CG144" i="7"/>
  <c r="CH144" i="7"/>
  <c r="CI144" i="7"/>
  <c r="CJ144" i="7"/>
  <c r="CK144" i="7"/>
  <c r="CL144" i="7"/>
  <c r="CM144" i="7"/>
  <c r="CN144" i="7"/>
  <c r="CO144" i="7"/>
  <c r="CP144" i="7"/>
  <c r="CQ144" i="7"/>
  <c r="CR144" i="7"/>
  <c r="CS144" i="7"/>
  <c r="CT144" i="7"/>
  <c r="CU144" i="7"/>
  <c r="CV144" i="7"/>
  <c r="CW144" i="7"/>
  <c r="CX144" i="7"/>
  <c r="CY144" i="7"/>
  <c r="CZ144" i="7"/>
  <c r="DA144" i="7"/>
  <c r="DB144" i="7"/>
  <c r="DC144" i="7"/>
  <c r="DD144" i="7"/>
  <c r="DE144" i="7"/>
  <c r="DF144" i="7"/>
  <c r="DG144" i="7"/>
  <c r="DH144" i="7"/>
  <c r="DI144" i="7"/>
  <c r="DJ144" i="7"/>
  <c r="DK144" i="7"/>
  <c r="DL144" i="7"/>
  <c r="DM144" i="7"/>
  <c r="DN144" i="7"/>
  <c r="DO144" i="7"/>
  <c r="DP144" i="7"/>
  <c r="DQ144" i="7"/>
  <c r="DR144" i="7"/>
  <c r="DS144" i="7"/>
  <c r="DT144" i="7"/>
  <c r="DU144" i="7"/>
  <c r="DV144" i="7"/>
  <c r="DW144" i="7"/>
  <c r="DX144" i="7"/>
  <c r="DY144" i="7"/>
  <c r="DZ144" i="7"/>
  <c r="EA144" i="7"/>
  <c r="EB144" i="7"/>
  <c r="EC144" i="7"/>
  <c r="ED144" i="7"/>
  <c r="EE144" i="7"/>
  <c r="EF144" i="7"/>
  <c r="EG144" i="7"/>
  <c r="EH144" i="7"/>
  <c r="EI144" i="7"/>
  <c r="EJ144" i="7"/>
  <c r="EK144" i="7"/>
  <c r="EL144" i="7"/>
  <c r="EM144" i="7"/>
  <c r="EN144" i="7"/>
  <c r="EO144" i="7"/>
  <c r="EP144" i="7"/>
  <c r="EQ144" i="7"/>
  <c r="ER144" i="7"/>
  <c r="ES144" i="7"/>
  <c r="ET144" i="7"/>
  <c r="EU144" i="7"/>
  <c r="EV144" i="7"/>
  <c r="EW144" i="7"/>
  <c r="EX144" i="7"/>
  <c r="EY144" i="7"/>
  <c r="EZ144" i="7"/>
  <c r="FA144" i="7"/>
  <c r="FB144" i="7"/>
  <c r="FC144" i="7"/>
  <c r="FD144" i="7"/>
  <c r="FE144" i="7"/>
  <c r="FF144" i="7"/>
  <c r="FG144" i="7"/>
  <c r="FH144" i="7"/>
  <c r="FI144" i="7"/>
  <c r="FJ144" i="7"/>
  <c r="FK144" i="7"/>
  <c r="FL144" i="7"/>
  <c r="FM144" i="7"/>
  <c r="FN144" i="7"/>
  <c r="FO144" i="7"/>
  <c r="FP144" i="7"/>
  <c r="FQ144" i="7"/>
  <c r="FR144" i="7"/>
  <c r="FS144" i="7"/>
  <c r="FT144" i="7"/>
  <c r="FU144" i="7"/>
  <c r="FV144" i="7"/>
  <c r="FW144" i="7"/>
  <c r="FX144" i="7"/>
  <c r="FY144" i="7"/>
  <c r="FZ144" i="7"/>
  <c r="GA144" i="7"/>
  <c r="GB144" i="7"/>
  <c r="GC144" i="7"/>
  <c r="GD144" i="7"/>
  <c r="GE144" i="7"/>
  <c r="GF144" i="7"/>
  <c r="GG144" i="7"/>
  <c r="GH144" i="7"/>
  <c r="GI144" i="7"/>
  <c r="GJ144" i="7"/>
  <c r="GK144" i="7"/>
  <c r="GL144" i="7"/>
  <c r="GM144" i="7"/>
  <c r="GN144" i="7"/>
  <c r="GO144" i="7"/>
  <c r="GP144" i="7"/>
  <c r="GQ144" i="7"/>
  <c r="GR144" i="7"/>
  <c r="GS144" i="7"/>
  <c r="GT144" i="7"/>
  <c r="GU144" i="7"/>
  <c r="GV144" i="7"/>
  <c r="GW144" i="7"/>
  <c r="GX144" i="7"/>
  <c r="GY144" i="7"/>
  <c r="GZ144" i="7"/>
  <c r="HA144" i="7"/>
  <c r="HB144" i="7"/>
  <c r="HC144" i="7"/>
  <c r="HD144" i="7"/>
  <c r="HE144" i="7"/>
  <c r="HF144" i="7"/>
  <c r="HG144" i="7"/>
  <c r="HH144" i="7"/>
  <c r="HI144" i="7"/>
  <c r="HJ144" i="7"/>
  <c r="HK144" i="7"/>
  <c r="HL144" i="7"/>
  <c r="HM144" i="7"/>
  <c r="HN144" i="7"/>
  <c r="HO144" i="7"/>
  <c r="HP144" i="7"/>
  <c r="HQ144" i="7"/>
  <c r="HR144" i="7"/>
  <c r="HS144" i="7"/>
  <c r="HT144" i="7"/>
  <c r="HU144" i="7"/>
  <c r="HV144" i="7"/>
  <c r="HW144" i="7"/>
  <c r="HX144" i="7"/>
  <c r="HY144" i="7"/>
  <c r="HZ144" i="7"/>
  <c r="IA144" i="7"/>
  <c r="IB144" i="7"/>
  <c r="IC144" i="7"/>
  <c r="ID144" i="7"/>
  <c r="IE144" i="7"/>
  <c r="IF144" i="7"/>
  <c r="IG144" i="7"/>
  <c r="IH144" i="7"/>
  <c r="II144" i="7"/>
  <c r="IJ144" i="7"/>
  <c r="IK144" i="7"/>
  <c r="IL144" i="7"/>
  <c r="IM144" i="7"/>
  <c r="IN144" i="7"/>
  <c r="IO144" i="7"/>
  <c r="IP144" i="7"/>
  <c r="IQ144" i="7"/>
  <c r="IR144" i="7"/>
  <c r="IS144" i="7"/>
  <c r="IT144" i="7"/>
  <c r="IU144" i="7"/>
  <c r="IV144" i="7"/>
  <c r="A143" i="7"/>
  <c r="B143" i="7"/>
  <c r="C143" i="7"/>
  <c r="D143" i="7"/>
  <c r="E143" i="7"/>
  <c r="F143" i="7"/>
  <c r="G143" i="7"/>
  <c r="H143" i="7"/>
  <c r="I143" i="7"/>
  <c r="J143" i="7"/>
  <c r="K143" i="7"/>
  <c r="L143" i="7"/>
  <c r="M143" i="7"/>
  <c r="N143" i="7"/>
  <c r="O143" i="7"/>
  <c r="P143" i="7"/>
  <c r="Q143" i="7"/>
  <c r="R143" i="7"/>
  <c r="S143" i="7"/>
  <c r="T143" i="7"/>
  <c r="U143" i="7"/>
  <c r="V143" i="7"/>
  <c r="W143" i="7"/>
  <c r="X143" i="7"/>
  <c r="Y143" i="7"/>
  <c r="Z143" i="7"/>
  <c r="AA143" i="7"/>
  <c r="AB143" i="7"/>
  <c r="AC143" i="7"/>
  <c r="AD143" i="7"/>
  <c r="AE143" i="7"/>
  <c r="AF143" i="7"/>
  <c r="AG143" i="7"/>
  <c r="AH143" i="7"/>
  <c r="AI143" i="7"/>
  <c r="AJ143" i="7"/>
  <c r="AK143" i="7"/>
  <c r="AL143" i="7"/>
  <c r="AM143" i="7"/>
  <c r="AN143" i="7"/>
  <c r="AO143" i="7"/>
  <c r="AP143" i="7"/>
  <c r="AQ143" i="7"/>
  <c r="AR143" i="7"/>
  <c r="AS143" i="7"/>
  <c r="AT143" i="7"/>
  <c r="AU143" i="7"/>
  <c r="AV143" i="7"/>
  <c r="AW143" i="7"/>
  <c r="AX143" i="7"/>
  <c r="AY143" i="7"/>
  <c r="AZ143" i="7"/>
  <c r="BA143" i="7"/>
  <c r="BB143" i="7"/>
  <c r="BC143" i="7"/>
  <c r="BD143" i="7"/>
  <c r="BE143" i="7"/>
  <c r="BF143" i="7"/>
  <c r="BG143" i="7"/>
  <c r="BH143" i="7"/>
  <c r="BI143" i="7"/>
  <c r="BJ143" i="7"/>
  <c r="BK143" i="7"/>
  <c r="BL143" i="7"/>
  <c r="BM143" i="7"/>
  <c r="BN143" i="7"/>
  <c r="BO143" i="7"/>
  <c r="BP143" i="7"/>
  <c r="BQ143" i="7"/>
  <c r="BR143" i="7"/>
  <c r="BS143" i="7"/>
  <c r="BT143" i="7"/>
  <c r="BU143" i="7"/>
  <c r="BV143" i="7"/>
  <c r="BW143" i="7"/>
  <c r="BX143" i="7"/>
  <c r="BY143" i="7"/>
  <c r="BZ143" i="7"/>
  <c r="CA143" i="7"/>
  <c r="CB143" i="7"/>
  <c r="CC143" i="7"/>
  <c r="CD143" i="7"/>
  <c r="CE143" i="7"/>
  <c r="CF143" i="7"/>
  <c r="CG143" i="7"/>
  <c r="CH143" i="7"/>
  <c r="CI143" i="7"/>
  <c r="CJ143" i="7"/>
  <c r="CK143" i="7"/>
  <c r="CL143" i="7"/>
  <c r="CM143" i="7"/>
  <c r="CN143" i="7"/>
  <c r="CO143" i="7"/>
  <c r="CP143" i="7"/>
  <c r="CQ143" i="7"/>
  <c r="CR143" i="7"/>
  <c r="CS143" i="7"/>
  <c r="CT143" i="7"/>
  <c r="CU143" i="7"/>
  <c r="CV143" i="7"/>
  <c r="CW143" i="7"/>
  <c r="CX143" i="7"/>
  <c r="CY143" i="7"/>
  <c r="CZ143" i="7"/>
  <c r="DA143" i="7"/>
  <c r="DB143" i="7"/>
  <c r="DC143" i="7"/>
  <c r="DD143" i="7"/>
  <c r="DE143" i="7"/>
  <c r="DF143" i="7"/>
  <c r="DG143" i="7"/>
  <c r="DH143" i="7"/>
  <c r="DI143" i="7"/>
  <c r="DJ143" i="7"/>
  <c r="DK143" i="7"/>
  <c r="DL143" i="7"/>
  <c r="DM143" i="7"/>
  <c r="DN143" i="7"/>
  <c r="DO143" i="7"/>
  <c r="DP143" i="7"/>
  <c r="DQ143" i="7"/>
  <c r="DR143" i="7"/>
  <c r="DS143" i="7"/>
  <c r="DT143" i="7"/>
  <c r="DU143" i="7"/>
  <c r="DV143" i="7"/>
  <c r="DW143" i="7"/>
  <c r="DX143" i="7"/>
  <c r="DY143" i="7"/>
  <c r="DZ143" i="7"/>
  <c r="EA143" i="7"/>
  <c r="EB143" i="7"/>
  <c r="EC143" i="7"/>
  <c r="ED143" i="7"/>
  <c r="EE143" i="7"/>
  <c r="EF143" i="7"/>
  <c r="EG143" i="7"/>
  <c r="EH143" i="7"/>
  <c r="EI143" i="7"/>
  <c r="EJ143" i="7"/>
  <c r="EK143" i="7"/>
  <c r="EL143" i="7"/>
  <c r="EM143" i="7"/>
  <c r="EN143" i="7"/>
  <c r="EO143" i="7"/>
  <c r="EP143" i="7"/>
  <c r="EQ143" i="7"/>
  <c r="ER143" i="7"/>
  <c r="ES143" i="7"/>
  <c r="ET143" i="7"/>
  <c r="EU143" i="7"/>
  <c r="EV143" i="7"/>
  <c r="EW143" i="7"/>
  <c r="EX143" i="7"/>
  <c r="EY143" i="7"/>
  <c r="EZ143" i="7"/>
  <c r="FA143" i="7"/>
  <c r="FB143" i="7"/>
  <c r="FC143" i="7"/>
  <c r="FD143" i="7"/>
  <c r="FE143" i="7"/>
  <c r="FF143" i="7"/>
  <c r="FG143" i="7"/>
  <c r="FH143" i="7"/>
  <c r="FI143" i="7"/>
  <c r="FJ143" i="7"/>
  <c r="FK143" i="7"/>
  <c r="FL143" i="7"/>
  <c r="FM143" i="7"/>
  <c r="FN143" i="7"/>
  <c r="FO143" i="7"/>
  <c r="FP143" i="7"/>
  <c r="FQ143" i="7"/>
  <c r="FR143" i="7"/>
  <c r="FS143" i="7"/>
  <c r="FT143" i="7"/>
  <c r="FU143" i="7"/>
  <c r="FV143" i="7"/>
  <c r="FW143" i="7"/>
  <c r="FX143" i="7"/>
  <c r="FY143" i="7"/>
  <c r="FZ143" i="7"/>
  <c r="GA143" i="7"/>
  <c r="GB143" i="7"/>
  <c r="GC143" i="7"/>
  <c r="GD143" i="7"/>
  <c r="GE143" i="7"/>
  <c r="GF143" i="7"/>
  <c r="GG143" i="7"/>
  <c r="GH143" i="7"/>
  <c r="GI143" i="7"/>
  <c r="GJ143" i="7"/>
  <c r="GK143" i="7"/>
  <c r="GL143" i="7"/>
  <c r="GM143" i="7"/>
  <c r="GN143" i="7"/>
  <c r="GO143" i="7"/>
  <c r="GP143" i="7"/>
  <c r="GQ143" i="7"/>
  <c r="GR143" i="7"/>
  <c r="GS143" i="7"/>
  <c r="GT143" i="7"/>
  <c r="GU143" i="7"/>
  <c r="GV143" i="7"/>
  <c r="GW143" i="7"/>
  <c r="GX143" i="7"/>
  <c r="GY143" i="7"/>
  <c r="GZ143" i="7"/>
  <c r="HA143" i="7"/>
  <c r="HB143" i="7"/>
  <c r="HC143" i="7"/>
  <c r="HD143" i="7"/>
  <c r="HE143" i="7"/>
  <c r="HF143" i="7"/>
  <c r="HG143" i="7"/>
  <c r="HH143" i="7"/>
  <c r="HI143" i="7"/>
  <c r="HJ143" i="7"/>
  <c r="HK143" i="7"/>
  <c r="HL143" i="7"/>
  <c r="HM143" i="7"/>
  <c r="HN143" i="7"/>
  <c r="HO143" i="7"/>
  <c r="HP143" i="7"/>
  <c r="HQ143" i="7"/>
  <c r="HR143" i="7"/>
  <c r="HS143" i="7"/>
  <c r="HT143" i="7"/>
  <c r="HU143" i="7"/>
  <c r="HV143" i="7"/>
  <c r="HW143" i="7"/>
  <c r="HX143" i="7"/>
  <c r="HY143" i="7"/>
  <c r="HZ143" i="7"/>
  <c r="IA143" i="7"/>
  <c r="IB143" i="7"/>
  <c r="IC143" i="7"/>
  <c r="ID143" i="7"/>
  <c r="IE143" i="7"/>
  <c r="IF143" i="7"/>
  <c r="IG143" i="7"/>
  <c r="IH143" i="7"/>
  <c r="II143" i="7"/>
  <c r="IJ143" i="7"/>
  <c r="IK143" i="7"/>
  <c r="IL143" i="7"/>
  <c r="IM143" i="7"/>
  <c r="IN143" i="7"/>
  <c r="IO143" i="7"/>
  <c r="IP143" i="7"/>
  <c r="IQ143" i="7"/>
  <c r="IR143" i="7"/>
  <c r="IS143" i="7"/>
  <c r="IT143" i="7"/>
  <c r="IU143" i="7"/>
  <c r="IV143" i="7"/>
  <c r="A142" i="7"/>
  <c r="B142" i="7"/>
  <c r="C142" i="7"/>
  <c r="D142" i="7"/>
  <c r="E142" i="7"/>
  <c r="F142" i="7"/>
  <c r="G142" i="7"/>
  <c r="H142" i="7"/>
  <c r="I142" i="7"/>
  <c r="J142" i="7"/>
  <c r="K142" i="7"/>
  <c r="L142" i="7"/>
  <c r="M142" i="7"/>
  <c r="N142" i="7"/>
  <c r="O142" i="7"/>
  <c r="P142" i="7"/>
  <c r="Q142" i="7"/>
  <c r="R142" i="7"/>
  <c r="S142" i="7"/>
  <c r="T142" i="7"/>
  <c r="U142" i="7"/>
  <c r="V142" i="7"/>
  <c r="W142" i="7"/>
  <c r="X142" i="7"/>
  <c r="Y142" i="7"/>
  <c r="Z142" i="7"/>
  <c r="AA142" i="7"/>
  <c r="AB142" i="7"/>
  <c r="AC142" i="7"/>
  <c r="AD142" i="7"/>
  <c r="AE142" i="7"/>
  <c r="AF142" i="7"/>
  <c r="AG142" i="7"/>
  <c r="AH142" i="7"/>
  <c r="AI142" i="7"/>
  <c r="AJ142" i="7"/>
  <c r="AK142" i="7"/>
  <c r="AL142" i="7"/>
  <c r="AM142" i="7"/>
  <c r="AN142" i="7"/>
  <c r="AO142" i="7"/>
  <c r="AP142" i="7"/>
  <c r="AQ142" i="7"/>
  <c r="AR142" i="7"/>
  <c r="AS142" i="7"/>
  <c r="AT142" i="7"/>
  <c r="AU142" i="7"/>
  <c r="AV142" i="7"/>
  <c r="AW142" i="7"/>
  <c r="AX142" i="7"/>
  <c r="AY142" i="7"/>
  <c r="AZ142" i="7"/>
  <c r="BA142" i="7"/>
  <c r="BB142" i="7"/>
  <c r="BC142" i="7"/>
  <c r="BD142" i="7"/>
  <c r="BE142" i="7"/>
  <c r="BF142" i="7"/>
  <c r="BG142" i="7"/>
  <c r="BH142" i="7"/>
  <c r="BI142" i="7"/>
  <c r="BJ142" i="7"/>
  <c r="BK142" i="7"/>
  <c r="BL142" i="7"/>
  <c r="BM142" i="7"/>
  <c r="BN142" i="7"/>
  <c r="BO142" i="7"/>
  <c r="BP142" i="7"/>
  <c r="BQ142" i="7"/>
  <c r="BR142" i="7"/>
  <c r="BS142" i="7"/>
  <c r="BT142" i="7"/>
  <c r="BU142" i="7"/>
  <c r="BV142" i="7"/>
  <c r="BW142" i="7"/>
  <c r="BX142" i="7"/>
  <c r="BY142" i="7"/>
  <c r="BZ142" i="7"/>
  <c r="CA142" i="7"/>
  <c r="CB142" i="7"/>
  <c r="CC142" i="7"/>
  <c r="CD142" i="7"/>
  <c r="CE142" i="7"/>
  <c r="CF142" i="7"/>
  <c r="CG142" i="7"/>
  <c r="CH142" i="7"/>
  <c r="CI142" i="7"/>
  <c r="CJ142" i="7"/>
  <c r="CK142" i="7"/>
  <c r="CL142" i="7"/>
  <c r="CM142" i="7"/>
  <c r="CN142" i="7"/>
  <c r="CO142" i="7"/>
  <c r="CP142" i="7"/>
  <c r="CQ142" i="7"/>
  <c r="CR142" i="7"/>
  <c r="CS142" i="7"/>
  <c r="CT142" i="7"/>
  <c r="CU142" i="7"/>
  <c r="CV142" i="7"/>
  <c r="CW142" i="7"/>
  <c r="CX142" i="7"/>
  <c r="CY142" i="7"/>
  <c r="CZ142" i="7"/>
  <c r="DA142" i="7"/>
  <c r="DB142" i="7"/>
  <c r="DC142" i="7"/>
  <c r="DD142" i="7"/>
  <c r="DE142" i="7"/>
  <c r="DF142" i="7"/>
  <c r="DG142" i="7"/>
  <c r="DH142" i="7"/>
  <c r="DI142" i="7"/>
  <c r="DJ142" i="7"/>
  <c r="DK142" i="7"/>
  <c r="DL142" i="7"/>
  <c r="DM142" i="7"/>
  <c r="DN142" i="7"/>
  <c r="DO142" i="7"/>
  <c r="DP142" i="7"/>
  <c r="DQ142" i="7"/>
  <c r="DR142" i="7"/>
  <c r="DS142" i="7"/>
  <c r="DT142" i="7"/>
  <c r="DU142" i="7"/>
  <c r="DV142" i="7"/>
  <c r="DW142" i="7"/>
  <c r="DX142" i="7"/>
  <c r="DY142" i="7"/>
  <c r="DZ142" i="7"/>
  <c r="EA142" i="7"/>
  <c r="EB142" i="7"/>
  <c r="EC142" i="7"/>
  <c r="ED142" i="7"/>
  <c r="EE142" i="7"/>
  <c r="EF142" i="7"/>
  <c r="EG142" i="7"/>
  <c r="EH142" i="7"/>
  <c r="EI142" i="7"/>
  <c r="EJ142" i="7"/>
  <c r="EK142" i="7"/>
  <c r="EL142" i="7"/>
  <c r="EM142" i="7"/>
  <c r="EN142" i="7"/>
  <c r="EO142" i="7"/>
  <c r="EP142" i="7"/>
  <c r="EQ142" i="7"/>
  <c r="ER142" i="7"/>
  <c r="ES142" i="7"/>
  <c r="ET142" i="7"/>
  <c r="EU142" i="7"/>
  <c r="EV142" i="7"/>
  <c r="EW142" i="7"/>
  <c r="EX142" i="7"/>
  <c r="EY142" i="7"/>
  <c r="EZ142" i="7"/>
  <c r="FA142" i="7"/>
  <c r="FB142" i="7"/>
  <c r="FC142" i="7"/>
  <c r="FD142" i="7"/>
  <c r="FE142" i="7"/>
  <c r="FF142" i="7"/>
  <c r="FG142" i="7"/>
  <c r="FH142" i="7"/>
  <c r="FI142" i="7"/>
  <c r="FJ142" i="7"/>
  <c r="FK142" i="7"/>
  <c r="FL142" i="7"/>
  <c r="FM142" i="7"/>
  <c r="FN142" i="7"/>
  <c r="FO142" i="7"/>
  <c r="FP142" i="7"/>
  <c r="FQ142" i="7"/>
  <c r="FR142" i="7"/>
  <c r="FS142" i="7"/>
  <c r="FT142" i="7"/>
  <c r="FU142" i="7"/>
  <c r="FV142" i="7"/>
  <c r="FW142" i="7"/>
  <c r="FX142" i="7"/>
  <c r="FY142" i="7"/>
  <c r="FZ142" i="7"/>
  <c r="GA142" i="7"/>
  <c r="GB142" i="7"/>
  <c r="GC142" i="7"/>
  <c r="GD142" i="7"/>
  <c r="GE142" i="7"/>
  <c r="GF142" i="7"/>
  <c r="GG142" i="7"/>
  <c r="GH142" i="7"/>
  <c r="GI142" i="7"/>
  <c r="GJ142" i="7"/>
  <c r="GK142" i="7"/>
  <c r="GL142" i="7"/>
  <c r="GM142" i="7"/>
  <c r="GN142" i="7"/>
  <c r="GO142" i="7"/>
  <c r="GP142" i="7"/>
  <c r="GQ142" i="7"/>
  <c r="GR142" i="7"/>
  <c r="GS142" i="7"/>
  <c r="GT142" i="7"/>
  <c r="GU142" i="7"/>
  <c r="GV142" i="7"/>
  <c r="GW142" i="7"/>
  <c r="GX142" i="7"/>
  <c r="GY142" i="7"/>
  <c r="GZ142" i="7"/>
  <c r="HA142" i="7"/>
  <c r="HB142" i="7"/>
  <c r="HC142" i="7"/>
  <c r="HD142" i="7"/>
  <c r="HE142" i="7"/>
  <c r="HF142" i="7"/>
  <c r="HG142" i="7"/>
  <c r="HH142" i="7"/>
  <c r="HI142" i="7"/>
  <c r="HJ142" i="7"/>
  <c r="HK142" i="7"/>
  <c r="HL142" i="7"/>
  <c r="HM142" i="7"/>
  <c r="HN142" i="7"/>
  <c r="HO142" i="7"/>
  <c r="HP142" i="7"/>
  <c r="HQ142" i="7"/>
  <c r="HR142" i="7"/>
  <c r="HS142" i="7"/>
  <c r="HT142" i="7"/>
  <c r="HU142" i="7"/>
  <c r="HV142" i="7"/>
  <c r="HW142" i="7"/>
  <c r="HX142" i="7"/>
  <c r="HY142" i="7"/>
  <c r="HZ142" i="7"/>
  <c r="IA142" i="7"/>
  <c r="IB142" i="7"/>
  <c r="IC142" i="7"/>
  <c r="ID142" i="7"/>
  <c r="IE142" i="7"/>
  <c r="IF142" i="7"/>
  <c r="IG142" i="7"/>
  <c r="IH142" i="7"/>
  <c r="II142" i="7"/>
  <c r="IJ142" i="7"/>
  <c r="IK142" i="7"/>
  <c r="IL142" i="7"/>
  <c r="IM142" i="7"/>
  <c r="IN142" i="7"/>
  <c r="IO142" i="7"/>
  <c r="IP142" i="7"/>
  <c r="IQ142" i="7"/>
  <c r="IR142" i="7"/>
  <c r="IS142" i="7"/>
  <c r="IT142" i="7"/>
  <c r="IU142" i="7"/>
  <c r="IV142" i="7"/>
  <c r="A141" i="7"/>
  <c r="B141" i="7"/>
  <c r="C141" i="7"/>
  <c r="D141" i="7"/>
  <c r="E141" i="7"/>
  <c r="F141" i="7"/>
  <c r="G141" i="7"/>
  <c r="H141" i="7"/>
  <c r="I141" i="7"/>
  <c r="J141" i="7"/>
  <c r="K141" i="7"/>
  <c r="L141" i="7"/>
  <c r="M141" i="7"/>
  <c r="N141" i="7"/>
  <c r="O141" i="7"/>
  <c r="P141" i="7"/>
  <c r="Q141" i="7"/>
  <c r="R141" i="7"/>
  <c r="S141" i="7"/>
  <c r="T141" i="7"/>
  <c r="U141" i="7"/>
  <c r="V141" i="7"/>
  <c r="W141" i="7"/>
  <c r="X141" i="7"/>
  <c r="Y141" i="7"/>
  <c r="Z141" i="7"/>
  <c r="AA141" i="7"/>
  <c r="AB141" i="7"/>
  <c r="AC141" i="7"/>
  <c r="AD141" i="7"/>
  <c r="AE141" i="7"/>
  <c r="AF141" i="7"/>
  <c r="AG141" i="7"/>
  <c r="AH141" i="7"/>
  <c r="AI141" i="7"/>
  <c r="AJ141" i="7"/>
  <c r="AK141" i="7"/>
  <c r="AL141" i="7"/>
  <c r="AM141" i="7"/>
  <c r="AN141" i="7"/>
  <c r="AO141" i="7"/>
  <c r="AP141" i="7"/>
  <c r="AQ141" i="7"/>
  <c r="AR141" i="7"/>
  <c r="AS141" i="7"/>
  <c r="AT141" i="7"/>
  <c r="AU141" i="7"/>
  <c r="AV141" i="7"/>
  <c r="AW141" i="7"/>
  <c r="AX141" i="7"/>
  <c r="AY141" i="7"/>
  <c r="AZ141" i="7"/>
  <c r="BA141" i="7"/>
  <c r="BB141" i="7"/>
  <c r="BC141" i="7"/>
  <c r="BD141" i="7"/>
  <c r="BE141" i="7"/>
  <c r="BF141" i="7"/>
  <c r="BG141" i="7"/>
  <c r="BH141" i="7"/>
  <c r="BI141" i="7"/>
  <c r="BJ141" i="7"/>
  <c r="BK141" i="7"/>
  <c r="BL141" i="7"/>
  <c r="BM141" i="7"/>
  <c r="BN141" i="7"/>
  <c r="BO141" i="7"/>
  <c r="BP141" i="7"/>
  <c r="BQ141" i="7"/>
  <c r="BR141" i="7"/>
  <c r="BS141" i="7"/>
  <c r="BT141" i="7"/>
  <c r="BU141" i="7"/>
  <c r="BV141" i="7"/>
  <c r="BW141" i="7"/>
  <c r="BX141" i="7"/>
  <c r="BY141" i="7"/>
  <c r="BZ141" i="7"/>
  <c r="CA141" i="7"/>
  <c r="CB141" i="7"/>
  <c r="CC141" i="7"/>
  <c r="CD141" i="7"/>
  <c r="CE141" i="7"/>
  <c r="CF141" i="7"/>
  <c r="CG141" i="7"/>
  <c r="CH141" i="7"/>
  <c r="CI141" i="7"/>
  <c r="CJ141" i="7"/>
  <c r="CK141" i="7"/>
  <c r="CL141" i="7"/>
  <c r="CM141" i="7"/>
  <c r="CN141" i="7"/>
  <c r="CO141" i="7"/>
  <c r="CP141" i="7"/>
  <c r="CQ141" i="7"/>
  <c r="CR141" i="7"/>
  <c r="CS141" i="7"/>
  <c r="CT141" i="7"/>
  <c r="CU141" i="7"/>
  <c r="CV141" i="7"/>
  <c r="CW141" i="7"/>
  <c r="CX141" i="7"/>
  <c r="CY141" i="7"/>
  <c r="CZ141" i="7"/>
  <c r="DA141" i="7"/>
  <c r="DB141" i="7"/>
  <c r="DC141" i="7"/>
  <c r="DD141" i="7"/>
  <c r="DE141" i="7"/>
  <c r="DF141" i="7"/>
  <c r="DG141" i="7"/>
  <c r="DH141" i="7"/>
  <c r="DI141" i="7"/>
  <c r="DJ141" i="7"/>
  <c r="DK141" i="7"/>
  <c r="DL141" i="7"/>
  <c r="DM141" i="7"/>
  <c r="DN141" i="7"/>
  <c r="DO141" i="7"/>
  <c r="DP141" i="7"/>
  <c r="DQ141" i="7"/>
  <c r="DR141" i="7"/>
  <c r="DS141" i="7"/>
  <c r="DT141" i="7"/>
  <c r="DU141" i="7"/>
  <c r="DV141" i="7"/>
  <c r="DW141" i="7"/>
  <c r="DX141" i="7"/>
  <c r="DY141" i="7"/>
  <c r="DZ141" i="7"/>
  <c r="EA141" i="7"/>
  <c r="EB141" i="7"/>
  <c r="EC141" i="7"/>
  <c r="ED141" i="7"/>
  <c r="EE141" i="7"/>
  <c r="EF141" i="7"/>
  <c r="EG141" i="7"/>
  <c r="EH141" i="7"/>
  <c r="EI141" i="7"/>
  <c r="EJ141" i="7"/>
  <c r="EK141" i="7"/>
  <c r="EL141" i="7"/>
  <c r="EM141" i="7"/>
  <c r="EN141" i="7"/>
  <c r="EO141" i="7"/>
  <c r="EP141" i="7"/>
  <c r="EQ141" i="7"/>
  <c r="ER141" i="7"/>
  <c r="ES141" i="7"/>
  <c r="ET141" i="7"/>
  <c r="EU141" i="7"/>
  <c r="EV141" i="7"/>
  <c r="EW141" i="7"/>
  <c r="EX141" i="7"/>
  <c r="EY141" i="7"/>
  <c r="EZ141" i="7"/>
  <c r="FA141" i="7"/>
  <c r="FB141" i="7"/>
  <c r="FC141" i="7"/>
  <c r="FD141" i="7"/>
  <c r="FE141" i="7"/>
  <c r="FF141" i="7"/>
  <c r="FG141" i="7"/>
  <c r="FH141" i="7"/>
  <c r="FI141" i="7"/>
  <c r="FJ141" i="7"/>
  <c r="FK141" i="7"/>
  <c r="FL141" i="7"/>
  <c r="FM141" i="7"/>
  <c r="FN141" i="7"/>
  <c r="FO141" i="7"/>
  <c r="FP141" i="7"/>
  <c r="FQ141" i="7"/>
  <c r="FR141" i="7"/>
  <c r="FS141" i="7"/>
  <c r="FT141" i="7"/>
  <c r="FU141" i="7"/>
  <c r="FV141" i="7"/>
  <c r="FW141" i="7"/>
  <c r="FX141" i="7"/>
  <c r="FY141" i="7"/>
  <c r="FZ141" i="7"/>
  <c r="GA141" i="7"/>
  <c r="GB141" i="7"/>
  <c r="GC141" i="7"/>
  <c r="GD141" i="7"/>
  <c r="GE141" i="7"/>
  <c r="GF141" i="7"/>
  <c r="GG141" i="7"/>
  <c r="GH141" i="7"/>
  <c r="GI141" i="7"/>
  <c r="GJ141" i="7"/>
  <c r="GK141" i="7"/>
  <c r="GL141" i="7"/>
  <c r="GM141" i="7"/>
  <c r="GN141" i="7"/>
  <c r="GO141" i="7"/>
  <c r="GP141" i="7"/>
  <c r="GQ141" i="7"/>
  <c r="GR141" i="7"/>
  <c r="GS141" i="7"/>
  <c r="GT141" i="7"/>
  <c r="GU141" i="7"/>
  <c r="GV141" i="7"/>
  <c r="GW141" i="7"/>
  <c r="GX141" i="7"/>
  <c r="GY141" i="7"/>
  <c r="GZ141" i="7"/>
  <c r="HA141" i="7"/>
  <c r="HB141" i="7"/>
  <c r="HC141" i="7"/>
  <c r="HD141" i="7"/>
  <c r="HE141" i="7"/>
  <c r="HF141" i="7"/>
  <c r="HG141" i="7"/>
  <c r="HH141" i="7"/>
  <c r="HI141" i="7"/>
  <c r="HJ141" i="7"/>
  <c r="HK141" i="7"/>
  <c r="HL141" i="7"/>
  <c r="HM141" i="7"/>
  <c r="HN141" i="7"/>
  <c r="HO141" i="7"/>
  <c r="HP141" i="7"/>
  <c r="HQ141" i="7"/>
  <c r="HR141" i="7"/>
  <c r="HS141" i="7"/>
  <c r="HT141" i="7"/>
  <c r="HU141" i="7"/>
  <c r="HV141" i="7"/>
  <c r="HW141" i="7"/>
  <c r="HX141" i="7"/>
  <c r="HY141" i="7"/>
  <c r="HZ141" i="7"/>
  <c r="IA141" i="7"/>
  <c r="IB141" i="7"/>
  <c r="IC141" i="7"/>
  <c r="ID141" i="7"/>
  <c r="IE141" i="7"/>
  <c r="IF141" i="7"/>
  <c r="IG141" i="7"/>
  <c r="IH141" i="7"/>
  <c r="II141" i="7"/>
  <c r="IJ141" i="7"/>
  <c r="IK141" i="7"/>
  <c r="IL141" i="7"/>
  <c r="IM141" i="7"/>
  <c r="IN141" i="7"/>
  <c r="IO141" i="7"/>
  <c r="IP141" i="7"/>
  <c r="IQ141" i="7"/>
  <c r="IR141" i="7"/>
  <c r="IS141" i="7"/>
  <c r="IT141" i="7"/>
  <c r="IU141" i="7"/>
  <c r="IV141" i="7"/>
  <c r="A140" i="7"/>
  <c r="B140" i="7"/>
  <c r="C140" i="7"/>
  <c r="D140" i="7"/>
  <c r="E140" i="7"/>
  <c r="F140" i="7"/>
  <c r="G140" i="7"/>
  <c r="H140" i="7"/>
  <c r="I140" i="7"/>
  <c r="J140" i="7"/>
  <c r="K140" i="7"/>
  <c r="L140" i="7"/>
  <c r="M140" i="7"/>
  <c r="N140" i="7"/>
  <c r="O140" i="7"/>
  <c r="P140" i="7"/>
  <c r="Q140" i="7"/>
  <c r="R140" i="7"/>
  <c r="S140" i="7"/>
  <c r="T140" i="7"/>
  <c r="U140" i="7"/>
  <c r="V140" i="7"/>
  <c r="W140" i="7"/>
  <c r="X140" i="7"/>
  <c r="Y140" i="7"/>
  <c r="Z140" i="7"/>
  <c r="AA140" i="7"/>
  <c r="AB140" i="7"/>
  <c r="AC140" i="7"/>
  <c r="AD140" i="7"/>
  <c r="AE140" i="7"/>
  <c r="AF140" i="7"/>
  <c r="AG140" i="7"/>
  <c r="AH140" i="7"/>
  <c r="AI140" i="7"/>
  <c r="AJ140" i="7"/>
  <c r="AK140" i="7"/>
  <c r="AL140" i="7"/>
  <c r="AM140" i="7"/>
  <c r="AN140" i="7"/>
  <c r="AO140" i="7"/>
  <c r="AP140" i="7"/>
  <c r="AQ140" i="7"/>
  <c r="AR140" i="7"/>
  <c r="AS140" i="7"/>
  <c r="AT140" i="7"/>
  <c r="AU140" i="7"/>
  <c r="AV140" i="7"/>
  <c r="AW140" i="7"/>
  <c r="AX140" i="7"/>
  <c r="AY140" i="7"/>
  <c r="AZ140" i="7"/>
  <c r="BA140" i="7"/>
  <c r="BB140" i="7"/>
  <c r="BC140" i="7"/>
  <c r="BD140" i="7"/>
  <c r="BE140" i="7"/>
  <c r="BF140" i="7"/>
  <c r="BG140" i="7"/>
  <c r="BH140" i="7"/>
  <c r="BI140" i="7"/>
  <c r="BJ140" i="7"/>
  <c r="BK140" i="7"/>
  <c r="BL140" i="7"/>
  <c r="BM140" i="7"/>
  <c r="BN140" i="7"/>
  <c r="BO140" i="7"/>
  <c r="BP140" i="7"/>
  <c r="BQ140" i="7"/>
  <c r="BR140" i="7"/>
  <c r="BS140" i="7"/>
  <c r="BT140" i="7"/>
  <c r="BU140" i="7"/>
  <c r="BV140" i="7"/>
  <c r="BW140" i="7"/>
  <c r="BX140" i="7"/>
  <c r="BY140" i="7"/>
  <c r="BZ140" i="7"/>
  <c r="CA140" i="7"/>
  <c r="CB140" i="7"/>
  <c r="CC140" i="7"/>
  <c r="CD140" i="7"/>
  <c r="CE140" i="7"/>
  <c r="CF140" i="7"/>
  <c r="CG140" i="7"/>
  <c r="CH140" i="7"/>
  <c r="CI140" i="7"/>
  <c r="CJ140" i="7"/>
  <c r="CK140" i="7"/>
  <c r="CL140" i="7"/>
  <c r="CM140" i="7"/>
  <c r="CN140" i="7"/>
  <c r="CO140" i="7"/>
  <c r="CP140" i="7"/>
  <c r="CQ140" i="7"/>
  <c r="CR140" i="7"/>
  <c r="CS140" i="7"/>
  <c r="CT140" i="7"/>
  <c r="CU140" i="7"/>
  <c r="CV140" i="7"/>
  <c r="CW140" i="7"/>
  <c r="CX140" i="7"/>
  <c r="CY140" i="7"/>
  <c r="CZ140" i="7"/>
  <c r="DA140" i="7"/>
  <c r="DB140" i="7"/>
  <c r="DC140" i="7"/>
  <c r="DD140" i="7"/>
  <c r="DE140" i="7"/>
  <c r="DF140" i="7"/>
  <c r="DG140" i="7"/>
  <c r="DH140" i="7"/>
  <c r="DI140" i="7"/>
  <c r="DJ140" i="7"/>
  <c r="DK140" i="7"/>
  <c r="DL140" i="7"/>
  <c r="DM140" i="7"/>
  <c r="DN140" i="7"/>
  <c r="DO140" i="7"/>
  <c r="DP140" i="7"/>
  <c r="DQ140" i="7"/>
  <c r="DR140" i="7"/>
  <c r="DS140" i="7"/>
  <c r="DT140" i="7"/>
  <c r="DU140" i="7"/>
  <c r="DV140" i="7"/>
  <c r="DW140" i="7"/>
  <c r="DX140" i="7"/>
  <c r="DY140" i="7"/>
  <c r="DZ140" i="7"/>
  <c r="EA140" i="7"/>
  <c r="EB140" i="7"/>
  <c r="EC140" i="7"/>
  <c r="ED140" i="7"/>
  <c r="EE140" i="7"/>
  <c r="EF140" i="7"/>
  <c r="EG140" i="7"/>
  <c r="EH140" i="7"/>
  <c r="EI140" i="7"/>
  <c r="EJ140" i="7"/>
  <c r="EK140" i="7"/>
  <c r="EL140" i="7"/>
  <c r="EM140" i="7"/>
  <c r="EN140" i="7"/>
  <c r="EO140" i="7"/>
  <c r="EP140" i="7"/>
  <c r="EQ140" i="7"/>
  <c r="ER140" i="7"/>
  <c r="ES140" i="7"/>
  <c r="ET140" i="7"/>
  <c r="EU140" i="7"/>
  <c r="EV140" i="7"/>
  <c r="EW140" i="7"/>
  <c r="EX140" i="7"/>
  <c r="EY140" i="7"/>
  <c r="EZ140" i="7"/>
  <c r="FA140" i="7"/>
  <c r="FB140" i="7"/>
  <c r="FC140" i="7"/>
  <c r="FD140" i="7"/>
  <c r="FE140" i="7"/>
  <c r="FF140" i="7"/>
  <c r="FG140" i="7"/>
  <c r="FH140" i="7"/>
  <c r="FI140" i="7"/>
  <c r="FJ140" i="7"/>
  <c r="FK140" i="7"/>
  <c r="FL140" i="7"/>
  <c r="FM140" i="7"/>
  <c r="FN140" i="7"/>
  <c r="FO140" i="7"/>
  <c r="FP140" i="7"/>
  <c r="FQ140" i="7"/>
  <c r="FR140" i="7"/>
  <c r="FS140" i="7"/>
  <c r="FT140" i="7"/>
  <c r="FU140" i="7"/>
  <c r="FV140" i="7"/>
  <c r="FW140" i="7"/>
  <c r="FX140" i="7"/>
  <c r="FY140" i="7"/>
  <c r="FZ140" i="7"/>
  <c r="GA140" i="7"/>
  <c r="GB140" i="7"/>
  <c r="GC140" i="7"/>
  <c r="GD140" i="7"/>
  <c r="GE140" i="7"/>
  <c r="GF140" i="7"/>
  <c r="GG140" i="7"/>
  <c r="GH140" i="7"/>
  <c r="GI140" i="7"/>
  <c r="GJ140" i="7"/>
  <c r="GK140" i="7"/>
  <c r="GL140" i="7"/>
  <c r="GM140" i="7"/>
  <c r="GN140" i="7"/>
  <c r="GO140" i="7"/>
  <c r="GP140" i="7"/>
  <c r="GQ140" i="7"/>
  <c r="GR140" i="7"/>
  <c r="GS140" i="7"/>
  <c r="GT140" i="7"/>
  <c r="GU140" i="7"/>
  <c r="GV140" i="7"/>
  <c r="GW140" i="7"/>
  <c r="GX140" i="7"/>
  <c r="GY140" i="7"/>
  <c r="GZ140" i="7"/>
  <c r="HA140" i="7"/>
  <c r="HB140" i="7"/>
  <c r="HC140" i="7"/>
  <c r="HD140" i="7"/>
  <c r="HE140" i="7"/>
  <c r="HF140" i="7"/>
  <c r="HG140" i="7"/>
  <c r="HH140" i="7"/>
  <c r="HI140" i="7"/>
  <c r="HJ140" i="7"/>
  <c r="HK140" i="7"/>
  <c r="HL140" i="7"/>
  <c r="HM140" i="7"/>
  <c r="HN140" i="7"/>
  <c r="HO140" i="7"/>
  <c r="HP140" i="7"/>
  <c r="HQ140" i="7"/>
  <c r="HR140" i="7"/>
  <c r="HS140" i="7"/>
  <c r="HT140" i="7"/>
  <c r="HU140" i="7"/>
  <c r="HV140" i="7"/>
  <c r="HW140" i="7"/>
  <c r="HX140" i="7"/>
  <c r="HY140" i="7"/>
  <c r="HZ140" i="7"/>
  <c r="IA140" i="7"/>
  <c r="IB140" i="7"/>
  <c r="IC140" i="7"/>
  <c r="ID140" i="7"/>
  <c r="IE140" i="7"/>
  <c r="IF140" i="7"/>
  <c r="IG140" i="7"/>
  <c r="IH140" i="7"/>
  <c r="II140" i="7"/>
  <c r="IJ140" i="7"/>
  <c r="IK140" i="7"/>
  <c r="IL140" i="7"/>
  <c r="IM140" i="7"/>
  <c r="IN140" i="7"/>
  <c r="IO140" i="7"/>
  <c r="IP140" i="7"/>
  <c r="IQ140" i="7"/>
  <c r="IR140" i="7"/>
  <c r="IS140" i="7"/>
  <c r="IT140" i="7"/>
  <c r="IU140" i="7"/>
  <c r="IV140" i="7"/>
  <c r="A139" i="7"/>
  <c r="B139" i="7"/>
  <c r="C139" i="7"/>
  <c r="D139" i="7"/>
  <c r="E139" i="7"/>
  <c r="F139" i="7"/>
  <c r="G139" i="7"/>
  <c r="H139" i="7"/>
  <c r="I139" i="7"/>
  <c r="J139" i="7"/>
  <c r="K139" i="7"/>
  <c r="L139" i="7"/>
  <c r="M139" i="7"/>
  <c r="N139" i="7"/>
  <c r="O139" i="7"/>
  <c r="P139" i="7"/>
  <c r="Q139" i="7"/>
  <c r="R139" i="7"/>
  <c r="S139" i="7"/>
  <c r="T139" i="7"/>
  <c r="U139" i="7"/>
  <c r="V139" i="7"/>
  <c r="W139" i="7"/>
  <c r="X139" i="7"/>
  <c r="Y139" i="7"/>
  <c r="Z139" i="7"/>
  <c r="AA139" i="7"/>
  <c r="AB139" i="7"/>
  <c r="AC139" i="7"/>
  <c r="AD139" i="7"/>
  <c r="AE139" i="7"/>
  <c r="AF139" i="7"/>
  <c r="AG139" i="7"/>
  <c r="AH139" i="7"/>
  <c r="AI139" i="7"/>
  <c r="AJ139" i="7"/>
  <c r="AK139" i="7"/>
  <c r="AL139" i="7"/>
  <c r="AM139" i="7"/>
  <c r="AN139" i="7"/>
  <c r="AO139" i="7"/>
  <c r="AP139" i="7"/>
  <c r="AQ139" i="7"/>
  <c r="AR139" i="7"/>
  <c r="AS139" i="7"/>
  <c r="AT139" i="7"/>
  <c r="AU139" i="7"/>
  <c r="AV139" i="7"/>
  <c r="AW139" i="7"/>
  <c r="AX139" i="7"/>
  <c r="AY139" i="7"/>
  <c r="AZ139" i="7"/>
  <c r="BA139" i="7"/>
  <c r="BB139" i="7"/>
  <c r="BC139" i="7"/>
  <c r="BD139" i="7"/>
  <c r="BE139" i="7"/>
  <c r="BF139" i="7"/>
  <c r="BG139" i="7"/>
  <c r="BH139" i="7"/>
  <c r="BI139" i="7"/>
  <c r="BJ139" i="7"/>
  <c r="BK139" i="7"/>
  <c r="BL139" i="7"/>
  <c r="BM139" i="7"/>
  <c r="BN139" i="7"/>
  <c r="BO139" i="7"/>
  <c r="BP139" i="7"/>
  <c r="BQ139" i="7"/>
  <c r="BR139" i="7"/>
  <c r="BS139" i="7"/>
  <c r="BT139" i="7"/>
  <c r="BU139" i="7"/>
  <c r="BV139" i="7"/>
  <c r="BW139" i="7"/>
  <c r="BX139" i="7"/>
  <c r="BY139" i="7"/>
  <c r="BZ139" i="7"/>
  <c r="CA139" i="7"/>
  <c r="CB139" i="7"/>
  <c r="CC139" i="7"/>
  <c r="CD139" i="7"/>
  <c r="CE139" i="7"/>
  <c r="CF139" i="7"/>
  <c r="CG139" i="7"/>
  <c r="CH139" i="7"/>
  <c r="CI139" i="7"/>
  <c r="CJ139" i="7"/>
  <c r="CK139" i="7"/>
  <c r="CL139" i="7"/>
  <c r="CM139" i="7"/>
  <c r="CN139" i="7"/>
  <c r="CO139" i="7"/>
  <c r="CP139" i="7"/>
  <c r="CQ139" i="7"/>
  <c r="CR139" i="7"/>
  <c r="CS139" i="7"/>
  <c r="CT139" i="7"/>
  <c r="CU139" i="7"/>
  <c r="CV139" i="7"/>
  <c r="CW139" i="7"/>
  <c r="CX139" i="7"/>
  <c r="CY139" i="7"/>
  <c r="CZ139" i="7"/>
  <c r="DA139" i="7"/>
  <c r="DB139" i="7"/>
  <c r="DC139" i="7"/>
  <c r="DD139" i="7"/>
  <c r="DE139" i="7"/>
  <c r="DF139" i="7"/>
  <c r="DG139" i="7"/>
  <c r="DH139" i="7"/>
  <c r="DI139" i="7"/>
  <c r="DJ139" i="7"/>
  <c r="DK139" i="7"/>
  <c r="DL139" i="7"/>
  <c r="DM139" i="7"/>
  <c r="DN139" i="7"/>
  <c r="DO139" i="7"/>
  <c r="DP139" i="7"/>
  <c r="DQ139" i="7"/>
  <c r="DR139" i="7"/>
  <c r="DS139" i="7"/>
  <c r="DT139" i="7"/>
  <c r="DU139" i="7"/>
  <c r="DV139" i="7"/>
  <c r="DW139" i="7"/>
  <c r="DX139" i="7"/>
  <c r="DY139" i="7"/>
  <c r="DZ139" i="7"/>
  <c r="EA139" i="7"/>
  <c r="EB139" i="7"/>
  <c r="EC139" i="7"/>
  <c r="ED139" i="7"/>
  <c r="EE139" i="7"/>
  <c r="EF139" i="7"/>
  <c r="EG139" i="7"/>
  <c r="EH139" i="7"/>
  <c r="EI139" i="7"/>
  <c r="EJ139" i="7"/>
  <c r="EK139" i="7"/>
  <c r="EL139" i="7"/>
  <c r="EM139" i="7"/>
  <c r="EN139" i="7"/>
  <c r="EO139" i="7"/>
  <c r="EP139" i="7"/>
  <c r="EQ139" i="7"/>
  <c r="ER139" i="7"/>
  <c r="ES139" i="7"/>
  <c r="ET139" i="7"/>
  <c r="EU139" i="7"/>
  <c r="EV139" i="7"/>
  <c r="EW139" i="7"/>
  <c r="EX139" i="7"/>
  <c r="EY139" i="7"/>
  <c r="EZ139" i="7"/>
  <c r="FA139" i="7"/>
  <c r="FB139" i="7"/>
  <c r="FC139" i="7"/>
  <c r="FD139" i="7"/>
  <c r="FE139" i="7"/>
  <c r="FF139" i="7"/>
  <c r="FG139" i="7"/>
  <c r="FH139" i="7"/>
  <c r="FI139" i="7"/>
  <c r="FJ139" i="7"/>
  <c r="FK139" i="7"/>
  <c r="FL139" i="7"/>
  <c r="FM139" i="7"/>
  <c r="FN139" i="7"/>
  <c r="FO139" i="7"/>
  <c r="FP139" i="7"/>
  <c r="FQ139" i="7"/>
  <c r="FR139" i="7"/>
  <c r="FS139" i="7"/>
  <c r="FT139" i="7"/>
  <c r="FU139" i="7"/>
  <c r="FV139" i="7"/>
  <c r="FW139" i="7"/>
  <c r="FX139" i="7"/>
  <c r="FY139" i="7"/>
  <c r="FZ139" i="7"/>
  <c r="GA139" i="7"/>
  <c r="GB139" i="7"/>
  <c r="GC139" i="7"/>
  <c r="GD139" i="7"/>
  <c r="GE139" i="7"/>
  <c r="GF139" i="7"/>
  <c r="GG139" i="7"/>
  <c r="GH139" i="7"/>
  <c r="GI139" i="7"/>
  <c r="GJ139" i="7"/>
  <c r="GK139" i="7"/>
  <c r="GL139" i="7"/>
  <c r="GM139" i="7"/>
  <c r="GN139" i="7"/>
  <c r="GO139" i="7"/>
  <c r="GP139" i="7"/>
  <c r="GQ139" i="7"/>
  <c r="GR139" i="7"/>
  <c r="GS139" i="7"/>
  <c r="GT139" i="7"/>
  <c r="GU139" i="7"/>
  <c r="GV139" i="7"/>
  <c r="GW139" i="7"/>
  <c r="GX139" i="7"/>
  <c r="GY139" i="7"/>
  <c r="GZ139" i="7"/>
  <c r="HA139" i="7"/>
  <c r="HB139" i="7"/>
  <c r="HC139" i="7"/>
  <c r="HD139" i="7"/>
  <c r="HE139" i="7"/>
  <c r="HF139" i="7"/>
  <c r="HG139" i="7"/>
  <c r="HH139" i="7"/>
  <c r="HI139" i="7"/>
  <c r="HJ139" i="7"/>
  <c r="HK139" i="7"/>
  <c r="HL139" i="7"/>
  <c r="HM139" i="7"/>
  <c r="HN139" i="7"/>
  <c r="HO139" i="7"/>
  <c r="HP139" i="7"/>
  <c r="HQ139" i="7"/>
  <c r="HR139" i="7"/>
  <c r="HS139" i="7"/>
  <c r="HT139" i="7"/>
  <c r="HU139" i="7"/>
  <c r="HV139" i="7"/>
  <c r="HW139" i="7"/>
  <c r="HX139" i="7"/>
  <c r="HY139" i="7"/>
  <c r="HZ139" i="7"/>
  <c r="IA139" i="7"/>
  <c r="IB139" i="7"/>
  <c r="IC139" i="7"/>
  <c r="ID139" i="7"/>
  <c r="IE139" i="7"/>
  <c r="IF139" i="7"/>
  <c r="IG139" i="7"/>
  <c r="IH139" i="7"/>
  <c r="II139" i="7"/>
  <c r="IJ139" i="7"/>
  <c r="IK139" i="7"/>
  <c r="IL139" i="7"/>
  <c r="IM139" i="7"/>
  <c r="IN139" i="7"/>
  <c r="IO139" i="7"/>
  <c r="IP139" i="7"/>
  <c r="IQ139" i="7"/>
  <c r="IR139" i="7"/>
  <c r="IS139" i="7"/>
  <c r="IT139" i="7"/>
  <c r="IU139" i="7"/>
  <c r="IV139" i="7"/>
  <c r="A138" i="7"/>
  <c r="B138" i="7"/>
  <c r="C138" i="7"/>
  <c r="D138" i="7"/>
  <c r="E138" i="7"/>
  <c r="F138" i="7"/>
  <c r="G138" i="7"/>
  <c r="H138" i="7"/>
  <c r="I138" i="7"/>
  <c r="J138" i="7"/>
  <c r="K138" i="7"/>
  <c r="L138" i="7"/>
  <c r="M138" i="7"/>
  <c r="N138" i="7"/>
  <c r="O138" i="7"/>
  <c r="P138" i="7"/>
  <c r="Q138" i="7"/>
  <c r="R138" i="7"/>
  <c r="S138" i="7"/>
  <c r="T138" i="7"/>
  <c r="U138" i="7"/>
  <c r="V138" i="7"/>
  <c r="W138" i="7"/>
  <c r="X138" i="7"/>
  <c r="Y138" i="7"/>
  <c r="Z138" i="7"/>
  <c r="AA138" i="7"/>
  <c r="AB138" i="7"/>
  <c r="AC138" i="7"/>
  <c r="AD138" i="7"/>
  <c r="AE138" i="7"/>
  <c r="AF138" i="7"/>
  <c r="AG138" i="7"/>
  <c r="AH138" i="7"/>
  <c r="AI138" i="7"/>
  <c r="AJ138" i="7"/>
  <c r="AK138" i="7"/>
  <c r="AL138" i="7"/>
  <c r="AM138" i="7"/>
  <c r="AN138" i="7"/>
  <c r="AO138" i="7"/>
  <c r="AP138" i="7"/>
  <c r="AQ138" i="7"/>
  <c r="AR138" i="7"/>
  <c r="AS138" i="7"/>
  <c r="AT138" i="7"/>
  <c r="AU138" i="7"/>
  <c r="AV138" i="7"/>
  <c r="AW138" i="7"/>
  <c r="AX138" i="7"/>
  <c r="AY138" i="7"/>
  <c r="AZ138" i="7"/>
  <c r="BA138" i="7"/>
  <c r="BB138" i="7"/>
  <c r="BC138" i="7"/>
  <c r="BD138" i="7"/>
  <c r="BE138" i="7"/>
  <c r="BF138" i="7"/>
  <c r="BG138" i="7"/>
  <c r="BH138" i="7"/>
  <c r="BI138" i="7"/>
  <c r="BJ138" i="7"/>
  <c r="BK138" i="7"/>
  <c r="BL138" i="7"/>
  <c r="BM138" i="7"/>
  <c r="BN138" i="7"/>
  <c r="BO138" i="7"/>
  <c r="BP138" i="7"/>
  <c r="BQ138" i="7"/>
  <c r="BR138" i="7"/>
  <c r="BS138" i="7"/>
  <c r="BT138" i="7"/>
  <c r="BU138" i="7"/>
  <c r="BV138" i="7"/>
  <c r="BW138" i="7"/>
  <c r="BX138" i="7"/>
  <c r="BY138" i="7"/>
  <c r="BZ138" i="7"/>
  <c r="CA138" i="7"/>
  <c r="CB138" i="7"/>
  <c r="CC138" i="7"/>
  <c r="CD138" i="7"/>
  <c r="CE138" i="7"/>
  <c r="CF138" i="7"/>
  <c r="CG138" i="7"/>
  <c r="CH138" i="7"/>
  <c r="CI138" i="7"/>
  <c r="CJ138" i="7"/>
  <c r="CK138" i="7"/>
  <c r="CL138" i="7"/>
  <c r="CM138" i="7"/>
  <c r="CN138" i="7"/>
  <c r="CO138" i="7"/>
  <c r="CP138" i="7"/>
  <c r="CQ138" i="7"/>
  <c r="CR138" i="7"/>
  <c r="CS138" i="7"/>
  <c r="CT138" i="7"/>
  <c r="CU138" i="7"/>
  <c r="CV138" i="7"/>
  <c r="CW138" i="7"/>
  <c r="CX138" i="7"/>
  <c r="CY138" i="7"/>
  <c r="CZ138" i="7"/>
  <c r="DA138" i="7"/>
  <c r="DB138" i="7"/>
  <c r="DC138" i="7"/>
  <c r="DD138" i="7"/>
  <c r="DE138" i="7"/>
  <c r="DF138" i="7"/>
  <c r="DG138" i="7"/>
  <c r="DH138" i="7"/>
  <c r="DI138" i="7"/>
  <c r="DJ138" i="7"/>
  <c r="DK138" i="7"/>
  <c r="DL138" i="7"/>
  <c r="DM138" i="7"/>
  <c r="DN138" i="7"/>
  <c r="DO138" i="7"/>
  <c r="DP138" i="7"/>
  <c r="DQ138" i="7"/>
  <c r="DR138" i="7"/>
  <c r="DS138" i="7"/>
  <c r="DT138" i="7"/>
  <c r="DU138" i="7"/>
  <c r="DV138" i="7"/>
  <c r="DW138" i="7"/>
  <c r="DX138" i="7"/>
  <c r="DY138" i="7"/>
  <c r="DZ138" i="7"/>
  <c r="EA138" i="7"/>
  <c r="EB138" i="7"/>
  <c r="EC138" i="7"/>
  <c r="ED138" i="7"/>
  <c r="EE138" i="7"/>
  <c r="EF138" i="7"/>
  <c r="EG138" i="7"/>
  <c r="EH138" i="7"/>
  <c r="EI138" i="7"/>
  <c r="EJ138" i="7"/>
  <c r="EK138" i="7"/>
  <c r="EL138" i="7"/>
  <c r="EM138" i="7"/>
  <c r="EN138" i="7"/>
  <c r="EO138" i="7"/>
  <c r="EP138" i="7"/>
  <c r="EQ138" i="7"/>
  <c r="ER138" i="7"/>
  <c r="ES138" i="7"/>
  <c r="ET138" i="7"/>
  <c r="EU138" i="7"/>
  <c r="EV138" i="7"/>
  <c r="EW138" i="7"/>
  <c r="EX138" i="7"/>
  <c r="EY138" i="7"/>
  <c r="EZ138" i="7"/>
  <c r="FA138" i="7"/>
  <c r="FB138" i="7"/>
  <c r="FC138" i="7"/>
  <c r="FD138" i="7"/>
  <c r="FE138" i="7"/>
  <c r="FF138" i="7"/>
  <c r="FG138" i="7"/>
  <c r="FH138" i="7"/>
  <c r="FI138" i="7"/>
  <c r="FJ138" i="7"/>
  <c r="FK138" i="7"/>
  <c r="FL138" i="7"/>
  <c r="FM138" i="7"/>
  <c r="FN138" i="7"/>
  <c r="FO138" i="7"/>
  <c r="FP138" i="7"/>
  <c r="FQ138" i="7"/>
  <c r="FR138" i="7"/>
  <c r="FS138" i="7"/>
  <c r="FT138" i="7"/>
  <c r="FU138" i="7"/>
  <c r="FV138" i="7"/>
  <c r="FW138" i="7"/>
  <c r="FX138" i="7"/>
  <c r="FY138" i="7"/>
  <c r="FZ138" i="7"/>
  <c r="GA138" i="7"/>
  <c r="GB138" i="7"/>
  <c r="GC138" i="7"/>
  <c r="GD138" i="7"/>
  <c r="GE138" i="7"/>
  <c r="GF138" i="7"/>
  <c r="GG138" i="7"/>
  <c r="GH138" i="7"/>
  <c r="GI138" i="7"/>
  <c r="GJ138" i="7"/>
  <c r="GK138" i="7"/>
  <c r="GL138" i="7"/>
  <c r="GM138" i="7"/>
  <c r="GN138" i="7"/>
  <c r="GO138" i="7"/>
  <c r="GP138" i="7"/>
  <c r="GQ138" i="7"/>
  <c r="GR138" i="7"/>
  <c r="GS138" i="7"/>
  <c r="GT138" i="7"/>
  <c r="GU138" i="7"/>
  <c r="GV138" i="7"/>
  <c r="GW138" i="7"/>
  <c r="GX138" i="7"/>
  <c r="GY138" i="7"/>
  <c r="GZ138" i="7"/>
  <c r="HA138" i="7"/>
  <c r="HB138" i="7"/>
  <c r="HC138" i="7"/>
  <c r="HD138" i="7"/>
  <c r="HE138" i="7"/>
  <c r="HF138" i="7"/>
  <c r="HG138" i="7"/>
  <c r="HH138" i="7"/>
  <c r="HI138" i="7"/>
  <c r="HJ138" i="7"/>
  <c r="HK138" i="7"/>
  <c r="HL138" i="7"/>
  <c r="HM138" i="7"/>
  <c r="HN138" i="7"/>
  <c r="HO138" i="7"/>
  <c r="HP138" i="7"/>
  <c r="HQ138" i="7"/>
  <c r="HR138" i="7"/>
  <c r="HS138" i="7"/>
  <c r="HT138" i="7"/>
  <c r="HU138" i="7"/>
  <c r="HV138" i="7"/>
  <c r="HW138" i="7"/>
  <c r="HX138" i="7"/>
  <c r="HY138" i="7"/>
  <c r="HZ138" i="7"/>
  <c r="IA138" i="7"/>
  <c r="IB138" i="7"/>
  <c r="IC138" i="7"/>
  <c r="ID138" i="7"/>
  <c r="IE138" i="7"/>
  <c r="IF138" i="7"/>
  <c r="IG138" i="7"/>
  <c r="IH138" i="7"/>
  <c r="II138" i="7"/>
  <c r="IJ138" i="7"/>
  <c r="IK138" i="7"/>
  <c r="IL138" i="7"/>
  <c r="IM138" i="7"/>
  <c r="IN138" i="7"/>
  <c r="IO138" i="7"/>
  <c r="IP138" i="7"/>
  <c r="IQ138" i="7"/>
  <c r="IR138" i="7"/>
  <c r="IS138" i="7"/>
  <c r="IT138" i="7"/>
  <c r="IU138" i="7"/>
  <c r="IV138" i="7"/>
  <c r="A137" i="7"/>
  <c r="B137" i="7"/>
  <c r="C137" i="7"/>
  <c r="D137" i="7"/>
  <c r="E137" i="7"/>
  <c r="F137" i="7"/>
  <c r="G137" i="7"/>
  <c r="H137" i="7"/>
  <c r="I137" i="7"/>
  <c r="J137" i="7"/>
  <c r="K137" i="7"/>
  <c r="L137" i="7"/>
  <c r="M137" i="7"/>
  <c r="N137" i="7"/>
  <c r="O137" i="7"/>
  <c r="P137" i="7"/>
  <c r="Q137" i="7"/>
  <c r="R137" i="7"/>
  <c r="S137" i="7"/>
  <c r="T137" i="7"/>
  <c r="U137" i="7"/>
  <c r="V137" i="7"/>
  <c r="W137" i="7"/>
  <c r="X137" i="7"/>
  <c r="Y137" i="7"/>
  <c r="Z137" i="7"/>
  <c r="AA137" i="7"/>
  <c r="AB137" i="7"/>
  <c r="AC137" i="7"/>
  <c r="AD137" i="7"/>
  <c r="AE137" i="7"/>
  <c r="AF137" i="7"/>
  <c r="AG137" i="7"/>
  <c r="AH137" i="7"/>
  <c r="AI137" i="7"/>
  <c r="AJ137" i="7"/>
  <c r="AK137" i="7"/>
  <c r="AL137" i="7"/>
  <c r="AM137" i="7"/>
  <c r="AN137" i="7"/>
  <c r="AO137" i="7"/>
  <c r="AP137" i="7"/>
  <c r="AQ137" i="7"/>
  <c r="AR137" i="7"/>
  <c r="AS137" i="7"/>
  <c r="AT137" i="7"/>
  <c r="AU137" i="7"/>
  <c r="AV137" i="7"/>
  <c r="AW137" i="7"/>
  <c r="AX137" i="7"/>
  <c r="AY137" i="7"/>
  <c r="AZ137" i="7"/>
  <c r="BA137" i="7"/>
  <c r="BB137" i="7"/>
  <c r="BC137" i="7"/>
  <c r="BD137" i="7"/>
  <c r="BE137" i="7"/>
  <c r="BF137" i="7"/>
  <c r="BG137" i="7"/>
  <c r="BH137" i="7"/>
  <c r="BI137" i="7"/>
  <c r="BJ137" i="7"/>
  <c r="BK137" i="7"/>
  <c r="BL137" i="7"/>
  <c r="BM137" i="7"/>
  <c r="BN137" i="7"/>
  <c r="BO137" i="7"/>
  <c r="BP137" i="7"/>
  <c r="BQ137" i="7"/>
  <c r="BR137" i="7"/>
  <c r="BS137" i="7"/>
  <c r="BT137" i="7"/>
  <c r="BU137" i="7"/>
  <c r="BV137" i="7"/>
  <c r="BW137" i="7"/>
  <c r="BX137" i="7"/>
  <c r="BY137" i="7"/>
  <c r="BZ137" i="7"/>
  <c r="CA137" i="7"/>
  <c r="CB137" i="7"/>
  <c r="CC137" i="7"/>
  <c r="CD137" i="7"/>
  <c r="CE137" i="7"/>
  <c r="CF137" i="7"/>
  <c r="CG137" i="7"/>
  <c r="CH137" i="7"/>
  <c r="CI137" i="7"/>
  <c r="CJ137" i="7"/>
  <c r="CK137" i="7"/>
  <c r="CL137" i="7"/>
  <c r="CM137" i="7"/>
  <c r="CN137" i="7"/>
  <c r="CO137" i="7"/>
  <c r="CP137" i="7"/>
  <c r="CQ137" i="7"/>
  <c r="CR137" i="7"/>
  <c r="CS137" i="7"/>
  <c r="CT137" i="7"/>
  <c r="CU137" i="7"/>
  <c r="CV137" i="7"/>
  <c r="CW137" i="7"/>
  <c r="CX137" i="7"/>
  <c r="CY137" i="7"/>
  <c r="CZ137" i="7"/>
  <c r="DA137" i="7"/>
  <c r="DB137" i="7"/>
  <c r="DC137" i="7"/>
  <c r="DD137" i="7"/>
  <c r="DE137" i="7"/>
  <c r="DF137" i="7"/>
  <c r="DG137" i="7"/>
  <c r="DH137" i="7"/>
  <c r="DI137" i="7"/>
  <c r="DJ137" i="7"/>
  <c r="DK137" i="7"/>
  <c r="DL137" i="7"/>
  <c r="DM137" i="7"/>
  <c r="DN137" i="7"/>
  <c r="DO137" i="7"/>
  <c r="DP137" i="7"/>
  <c r="DQ137" i="7"/>
  <c r="DR137" i="7"/>
  <c r="DS137" i="7"/>
  <c r="DT137" i="7"/>
  <c r="DU137" i="7"/>
  <c r="DV137" i="7"/>
  <c r="DW137" i="7"/>
  <c r="DX137" i="7"/>
  <c r="DY137" i="7"/>
  <c r="DZ137" i="7"/>
  <c r="EA137" i="7"/>
  <c r="EB137" i="7"/>
  <c r="EC137" i="7"/>
  <c r="ED137" i="7"/>
  <c r="EE137" i="7"/>
  <c r="EF137" i="7"/>
  <c r="EG137" i="7"/>
  <c r="EH137" i="7"/>
  <c r="EI137" i="7"/>
  <c r="EJ137" i="7"/>
  <c r="EK137" i="7"/>
  <c r="EL137" i="7"/>
  <c r="EM137" i="7"/>
  <c r="EN137" i="7"/>
  <c r="EO137" i="7"/>
  <c r="EP137" i="7"/>
  <c r="EQ137" i="7"/>
  <c r="ER137" i="7"/>
  <c r="ES137" i="7"/>
  <c r="ET137" i="7"/>
  <c r="EU137" i="7"/>
  <c r="EV137" i="7"/>
  <c r="EW137" i="7"/>
  <c r="EX137" i="7"/>
  <c r="EY137" i="7"/>
  <c r="EZ137" i="7"/>
  <c r="FA137" i="7"/>
  <c r="FB137" i="7"/>
  <c r="FC137" i="7"/>
  <c r="FD137" i="7"/>
  <c r="FE137" i="7"/>
  <c r="FF137" i="7"/>
  <c r="FG137" i="7"/>
  <c r="FH137" i="7"/>
  <c r="FI137" i="7"/>
  <c r="FJ137" i="7"/>
  <c r="FK137" i="7"/>
  <c r="FL137" i="7"/>
  <c r="FM137" i="7"/>
  <c r="FN137" i="7"/>
  <c r="FO137" i="7"/>
  <c r="FP137" i="7"/>
  <c r="FQ137" i="7"/>
  <c r="FR137" i="7"/>
  <c r="FS137" i="7"/>
  <c r="FT137" i="7"/>
  <c r="FU137" i="7"/>
  <c r="FV137" i="7"/>
  <c r="FW137" i="7"/>
  <c r="FX137" i="7"/>
  <c r="FY137" i="7"/>
  <c r="FZ137" i="7"/>
  <c r="GA137" i="7"/>
  <c r="GB137" i="7"/>
  <c r="GC137" i="7"/>
  <c r="GD137" i="7"/>
  <c r="GE137" i="7"/>
  <c r="GF137" i="7"/>
  <c r="GG137" i="7"/>
  <c r="GH137" i="7"/>
  <c r="GI137" i="7"/>
  <c r="GJ137" i="7"/>
  <c r="GK137" i="7"/>
  <c r="GL137" i="7"/>
  <c r="GM137" i="7"/>
  <c r="GN137" i="7"/>
  <c r="GO137" i="7"/>
  <c r="GP137" i="7"/>
  <c r="GQ137" i="7"/>
  <c r="GR137" i="7"/>
  <c r="GS137" i="7"/>
  <c r="GT137" i="7"/>
  <c r="GU137" i="7"/>
  <c r="GV137" i="7"/>
  <c r="GW137" i="7"/>
  <c r="GX137" i="7"/>
  <c r="GY137" i="7"/>
  <c r="GZ137" i="7"/>
  <c r="HA137" i="7"/>
  <c r="HB137" i="7"/>
  <c r="HC137" i="7"/>
  <c r="HD137" i="7"/>
  <c r="HE137" i="7"/>
  <c r="HF137" i="7"/>
  <c r="HG137" i="7"/>
  <c r="HH137" i="7"/>
  <c r="HI137" i="7"/>
  <c r="HJ137" i="7"/>
  <c r="HK137" i="7"/>
  <c r="HL137" i="7"/>
  <c r="HM137" i="7"/>
  <c r="HN137" i="7"/>
  <c r="HO137" i="7"/>
  <c r="HP137" i="7"/>
  <c r="HQ137" i="7"/>
  <c r="HR137" i="7"/>
  <c r="HS137" i="7"/>
  <c r="HT137" i="7"/>
  <c r="HU137" i="7"/>
  <c r="HV137" i="7"/>
  <c r="HW137" i="7"/>
  <c r="HX137" i="7"/>
  <c r="HY137" i="7"/>
  <c r="HZ137" i="7"/>
  <c r="IA137" i="7"/>
  <c r="IB137" i="7"/>
  <c r="IC137" i="7"/>
  <c r="ID137" i="7"/>
  <c r="IE137" i="7"/>
  <c r="IF137" i="7"/>
  <c r="IG137" i="7"/>
  <c r="IH137" i="7"/>
  <c r="II137" i="7"/>
  <c r="IJ137" i="7"/>
  <c r="IK137" i="7"/>
  <c r="IL137" i="7"/>
  <c r="IM137" i="7"/>
  <c r="IN137" i="7"/>
  <c r="IO137" i="7"/>
  <c r="IP137" i="7"/>
  <c r="IQ137" i="7"/>
  <c r="IR137" i="7"/>
  <c r="IS137" i="7"/>
  <c r="IT137" i="7"/>
  <c r="IU137" i="7"/>
  <c r="IV137" i="7"/>
  <c r="A136" i="7"/>
  <c r="B136" i="7"/>
  <c r="C136" i="7"/>
  <c r="D136" i="7"/>
  <c r="E136" i="7"/>
  <c r="F136" i="7"/>
  <c r="G136" i="7"/>
  <c r="H136" i="7"/>
  <c r="I136" i="7"/>
  <c r="J136" i="7"/>
  <c r="K136" i="7"/>
  <c r="L136" i="7"/>
  <c r="M136" i="7"/>
  <c r="N136" i="7"/>
  <c r="O136" i="7"/>
  <c r="P136" i="7"/>
  <c r="Q136" i="7"/>
  <c r="R136" i="7"/>
  <c r="S136" i="7"/>
  <c r="T136" i="7"/>
  <c r="U136" i="7"/>
  <c r="V136" i="7"/>
  <c r="W136" i="7"/>
  <c r="X136" i="7"/>
  <c r="Y136" i="7"/>
  <c r="Z136" i="7"/>
  <c r="AA136" i="7"/>
  <c r="AB136" i="7"/>
  <c r="AC136" i="7"/>
  <c r="AD136" i="7"/>
  <c r="AE136" i="7"/>
  <c r="AF136" i="7"/>
  <c r="AG136" i="7"/>
  <c r="AH136" i="7"/>
  <c r="AI136" i="7"/>
  <c r="AJ136" i="7"/>
  <c r="AK136" i="7"/>
  <c r="AL136" i="7"/>
  <c r="AM136" i="7"/>
  <c r="AN136" i="7"/>
  <c r="AO136" i="7"/>
  <c r="AP136" i="7"/>
  <c r="AQ136" i="7"/>
  <c r="AR136" i="7"/>
  <c r="AS136" i="7"/>
  <c r="AT136" i="7"/>
  <c r="AU136" i="7"/>
  <c r="AV136" i="7"/>
  <c r="AW136" i="7"/>
  <c r="AX136" i="7"/>
  <c r="AY136" i="7"/>
  <c r="AZ136" i="7"/>
  <c r="BA136" i="7"/>
  <c r="BB136" i="7"/>
  <c r="BC136" i="7"/>
  <c r="BD136" i="7"/>
  <c r="BE136" i="7"/>
  <c r="BF136" i="7"/>
  <c r="BG136" i="7"/>
  <c r="BH136" i="7"/>
  <c r="BI136" i="7"/>
  <c r="BJ136" i="7"/>
  <c r="BK136" i="7"/>
  <c r="BL136" i="7"/>
  <c r="BM136" i="7"/>
  <c r="BN136" i="7"/>
  <c r="BO136" i="7"/>
  <c r="BP136" i="7"/>
  <c r="BQ136" i="7"/>
  <c r="BR136" i="7"/>
  <c r="BS136" i="7"/>
  <c r="BT136" i="7"/>
  <c r="BU136" i="7"/>
  <c r="BV136" i="7"/>
  <c r="BW136" i="7"/>
  <c r="BX136" i="7"/>
  <c r="BY136" i="7"/>
  <c r="BZ136" i="7"/>
  <c r="CA136" i="7"/>
  <c r="CB136" i="7"/>
  <c r="CC136" i="7"/>
  <c r="CD136" i="7"/>
  <c r="CE136" i="7"/>
  <c r="CF136" i="7"/>
  <c r="CG136" i="7"/>
  <c r="CH136" i="7"/>
  <c r="CI136" i="7"/>
  <c r="CJ136" i="7"/>
  <c r="CK136" i="7"/>
  <c r="CL136" i="7"/>
  <c r="CM136" i="7"/>
  <c r="CN136" i="7"/>
  <c r="CO136" i="7"/>
  <c r="CP136" i="7"/>
  <c r="CQ136" i="7"/>
  <c r="CR136" i="7"/>
  <c r="CS136" i="7"/>
  <c r="CT136" i="7"/>
  <c r="CU136" i="7"/>
  <c r="CV136" i="7"/>
  <c r="CW136" i="7"/>
  <c r="CX136" i="7"/>
  <c r="CY136" i="7"/>
  <c r="CZ136" i="7"/>
  <c r="DA136" i="7"/>
  <c r="DB136" i="7"/>
  <c r="DC136" i="7"/>
  <c r="DD136" i="7"/>
  <c r="DE136" i="7"/>
  <c r="DF136" i="7"/>
  <c r="DG136" i="7"/>
  <c r="DH136" i="7"/>
  <c r="DI136" i="7"/>
  <c r="DJ136" i="7"/>
  <c r="DK136" i="7"/>
  <c r="DL136" i="7"/>
  <c r="DM136" i="7"/>
  <c r="DN136" i="7"/>
  <c r="DO136" i="7"/>
  <c r="DP136" i="7"/>
  <c r="DQ136" i="7"/>
  <c r="DR136" i="7"/>
  <c r="DS136" i="7"/>
  <c r="DT136" i="7"/>
  <c r="DU136" i="7"/>
  <c r="DV136" i="7"/>
  <c r="DW136" i="7"/>
  <c r="DX136" i="7"/>
  <c r="DY136" i="7"/>
  <c r="DZ136" i="7"/>
  <c r="EA136" i="7"/>
  <c r="EB136" i="7"/>
  <c r="EC136" i="7"/>
  <c r="ED136" i="7"/>
  <c r="EE136" i="7"/>
  <c r="EF136" i="7"/>
  <c r="EG136" i="7"/>
  <c r="EH136" i="7"/>
  <c r="EI136" i="7"/>
  <c r="EJ136" i="7"/>
  <c r="EK136" i="7"/>
  <c r="EL136" i="7"/>
  <c r="EM136" i="7"/>
  <c r="EN136" i="7"/>
  <c r="EO136" i="7"/>
  <c r="EP136" i="7"/>
  <c r="EQ136" i="7"/>
  <c r="ER136" i="7"/>
  <c r="ES136" i="7"/>
  <c r="ET136" i="7"/>
  <c r="EU136" i="7"/>
  <c r="EV136" i="7"/>
  <c r="EW136" i="7"/>
  <c r="EX136" i="7"/>
  <c r="EY136" i="7"/>
  <c r="EZ136" i="7"/>
  <c r="FA136" i="7"/>
  <c r="FB136" i="7"/>
  <c r="FC136" i="7"/>
  <c r="FD136" i="7"/>
  <c r="FE136" i="7"/>
  <c r="FF136" i="7"/>
  <c r="FG136" i="7"/>
  <c r="FH136" i="7"/>
  <c r="FI136" i="7"/>
  <c r="FJ136" i="7"/>
  <c r="FK136" i="7"/>
  <c r="FL136" i="7"/>
  <c r="FM136" i="7"/>
  <c r="FN136" i="7"/>
  <c r="FO136" i="7"/>
  <c r="FP136" i="7"/>
  <c r="FQ136" i="7"/>
  <c r="FR136" i="7"/>
  <c r="FS136" i="7"/>
  <c r="FT136" i="7"/>
  <c r="FU136" i="7"/>
  <c r="FV136" i="7"/>
  <c r="FW136" i="7"/>
  <c r="FX136" i="7"/>
  <c r="FY136" i="7"/>
  <c r="FZ136" i="7"/>
  <c r="GA136" i="7"/>
  <c r="GB136" i="7"/>
  <c r="GC136" i="7"/>
  <c r="GD136" i="7"/>
  <c r="GE136" i="7"/>
  <c r="GF136" i="7"/>
  <c r="GG136" i="7"/>
  <c r="GH136" i="7"/>
  <c r="GI136" i="7"/>
  <c r="GJ136" i="7"/>
  <c r="GK136" i="7"/>
  <c r="GL136" i="7"/>
  <c r="GM136" i="7"/>
  <c r="GN136" i="7"/>
  <c r="GO136" i="7"/>
  <c r="GP136" i="7"/>
  <c r="GQ136" i="7"/>
  <c r="GR136" i="7"/>
  <c r="GS136" i="7"/>
  <c r="GT136" i="7"/>
  <c r="GU136" i="7"/>
  <c r="GV136" i="7"/>
  <c r="GW136" i="7"/>
  <c r="GX136" i="7"/>
  <c r="GY136" i="7"/>
  <c r="GZ136" i="7"/>
  <c r="HA136" i="7"/>
  <c r="HB136" i="7"/>
  <c r="HC136" i="7"/>
  <c r="HD136" i="7"/>
  <c r="HE136" i="7"/>
  <c r="HF136" i="7"/>
  <c r="HG136" i="7"/>
  <c r="HH136" i="7"/>
  <c r="HI136" i="7"/>
  <c r="HJ136" i="7"/>
  <c r="HK136" i="7"/>
  <c r="HL136" i="7"/>
  <c r="HM136" i="7"/>
  <c r="HN136" i="7"/>
  <c r="HO136" i="7"/>
  <c r="HP136" i="7"/>
  <c r="HQ136" i="7"/>
  <c r="HR136" i="7"/>
  <c r="HS136" i="7"/>
  <c r="HT136" i="7"/>
  <c r="HU136" i="7"/>
  <c r="HV136" i="7"/>
  <c r="HW136" i="7"/>
  <c r="HX136" i="7"/>
  <c r="HY136" i="7"/>
  <c r="HZ136" i="7"/>
  <c r="IA136" i="7"/>
  <c r="IB136" i="7"/>
  <c r="IC136" i="7"/>
  <c r="ID136" i="7"/>
  <c r="IE136" i="7"/>
  <c r="IF136" i="7"/>
  <c r="IG136" i="7"/>
  <c r="IH136" i="7"/>
  <c r="II136" i="7"/>
  <c r="IJ136" i="7"/>
  <c r="IK136" i="7"/>
  <c r="IL136" i="7"/>
  <c r="IM136" i="7"/>
  <c r="IN136" i="7"/>
  <c r="IO136" i="7"/>
  <c r="IP136" i="7"/>
  <c r="IQ136" i="7"/>
  <c r="IR136" i="7"/>
  <c r="IS136" i="7"/>
  <c r="IT136" i="7"/>
  <c r="IU136" i="7"/>
  <c r="IV136" i="7"/>
  <c r="A135" i="7"/>
  <c r="B135" i="7"/>
  <c r="C135" i="7"/>
  <c r="D135" i="7"/>
  <c r="E135" i="7"/>
  <c r="F135" i="7"/>
  <c r="G135" i="7"/>
  <c r="H135" i="7"/>
  <c r="I135" i="7"/>
  <c r="J135" i="7"/>
  <c r="K135" i="7"/>
  <c r="L135" i="7"/>
  <c r="M135" i="7"/>
  <c r="N135" i="7"/>
  <c r="O135" i="7"/>
  <c r="P135" i="7"/>
  <c r="Q135" i="7"/>
  <c r="R135" i="7"/>
  <c r="S135" i="7"/>
  <c r="T135" i="7"/>
  <c r="U135" i="7"/>
  <c r="V135" i="7"/>
  <c r="W135" i="7"/>
  <c r="X135" i="7"/>
  <c r="Y135" i="7"/>
  <c r="Z135" i="7"/>
  <c r="AA135" i="7"/>
  <c r="AB135" i="7"/>
  <c r="AC135" i="7"/>
  <c r="AD135" i="7"/>
  <c r="AE135" i="7"/>
  <c r="AF135" i="7"/>
  <c r="AG135" i="7"/>
  <c r="AH135" i="7"/>
  <c r="AI135" i="7"/>
  <c r="AJ135" i="7"/>
  <c r="AK135" i="7"/>
  <c r="AL135" i="7"/>
  <c r="AM135" i="7"/>
  <c r="AN135" i="7"/>
  <c r="AO135" i="7"/>
  <c r="AP135" i="7"/>
  <c r="AQ135" i="7"/>
  <c r="AR135" i="7"/>
  <c r="AS135" i="7"/>
  <c r="AT135" i="7"/>
  <c r="AU135" i="7"/>
  <c r="AV135" i="7"/>
  <c r="AW135" i="7"/>
  <c r="AX135" i="7"/>
  <c r="AY135" i="7"/>
  <c r="AZ135" i="7"/>
  <c r="BA135" i="7"/>
  <c r="BB135" i="7"/>
  <c r="BC135" i="7"/>
  <c r="BD135" i="7"/>
  <c r="BE135" i="7"/>
  <c r="BF135" i="7"/>
  <c r="BG135" i="7"/>
  <c r="BH135" i="7"/>
  <c r="BI135" i="7"/>
  <c r="BJ135" i="7"/>
  <c r="BK135" i="7"/>
  <c r="BL135" i="7"/>
  <c r="BM135" i="7"/>
  <c r="BN135" i="7"/>
  <c r="BO135" i="7"/>
  <c r="BP135" i="7"/>
  <c r="BQ135" i="7"/>
  <c r="BR135" i="7"/>
  <c r="BS135" i="7"/>
  <c r="BT135" i="7"/>
  <c r="BU135" i="7"/>
  <c r="BV135" i="7"/>
  <c r="BW135" i="7"/>
  <c r="BX135" i="7"/>
  <c r="BY135" i="7"/>
  <c r="BZ135" i="7"/>
  <c r="CA135" i="7"/>
  <c r="CB135" i="7"/>
  <c r="CC135" i="7"/>
  <c r="CD135" i="7"/>
  <c r="CE135" i="7"/>
  <c r="CF135" i="7"/>
  <c r="CG135" i="7"/>
  <c r="CH135" i="7"/>
  <c r="CI135" i="7"/>
  <c r="CJ135" i="7"/>
  <c r="CK135" i="7"/>
  <c r="CL135" i="7"/>
  <c r="CM135" i="7"/>
  <c r="CN135" i="7"/>
  <c r="CO135" i="7"/>
  <c r="CP135" i="7"/>
  <c r="CQ135" i="7"/>
  <c r="CR135" i="7"/>
  <c r="CS135" i="7"/>
  <c r="CT135" i="7"/>
  <c r="CU135" i="7"/>
  <c r="CV135" i="7"/>
  <c r="CW135" i="7"/>
  <c r="CX135" i="7"/>
  <c r="CY135" i="7"/>
  <c r="CZ135" i="7"/>
  <c r="DA135" i="7"/>
  <c r="DB135" i="7"/>
  <c r="DC135" i="7"/>
  <c r="DD135" i="7"/>
  <c r="DE135" i="7"/>
  <c r="DF135" i="7"/>
  <c r="DG135" i="7"/>
  <c r="DH135" i="7"/>
  <c r="DI135" i="7"/>
  <c r="DJ135" i="7"/>
  <c r="DK135" i="7"/>
  <c r="DL135" i="7"/>
  <c r="DM135" i="7"/>
  <c r="DN135" i="7"/>
  <c r="DO135" i="7"/>
  <c r="DP135" i="7"/>
  <c r="DQ135" i="7"/>
  <c r="DR135" i="7"/>
  <c r="DS135" i="7"/>
  <c r="DT135" i="7"/>
  <c r="DU135" i="7"/>
  <c r="DV135" i="7"/>
  <c r="DW135" i="7"/>
  <c r="DX135" i="7"/>
  <c r="DY135" i="7"/>
  <c r="DZ135" i="7"/>
  <c r="EA135" i="7"/>
  <c r="EB135" i="7"/>
  <c r="EC135" i="7"/>
  <c r="ED135" i="7"/>
  <c r="EE135" i="7"/>
  <c r="EF135" i="7"/>
  <c r="EG135" i="7"/>
  <c r="EH135" i="7"/>
  <c r="EI135" i="7"/>
  <c r="EJ135" i="7"/>
  <c r="EK135" i="7"/>
  <c r="EL135" i="7"/>
  <c r="EM135" i="7"/>
  <c r="EN135" i="7"/>
  <c r="EO135" i="7"/>
  <c r="EP135" i="7"/>
  <c r="EQ135" i="7"/>
  <c r="ER135" i="7"/>
  <c r="ES135" i="7"/>
  <c r="ET135" i="7"/>
  <c r="EU135" i="7"/>
  <c r="EV135" i="7"/>
  <c r="EW135" i="7"/>
  <c r="EX135" i="7"/>
  <c r="EY135" i="7"/>
  <c r="EZ135" i="7"/>
  <c r="FA135" i="7"/>
  <c r="FB135" i="7"/>
  <c r="FC135" i="7"/>
  <c r="FD135" i="7"/>
  <c r="FE135" i="7"/>
  <c r="FF135" i="7"/>
  <c r="FG135" i="7"/>
  <c r="FH135" i="7"/>
  <c r="FI135" i="7"/>
  <c r="FJ135" i="7"/>
  <c r="FK135" i="7"/>
  <c r="FL135" i="7"/>
  <c r="FM135" i="7"/>
  <c r="FN135" i="7"/>
  <c r="FO135" i="7"/>
  <c r="FP135" i="7"/>
  <c r="FQ135" i="7"/>
  <c r="FR135" i="7"/>
  <c r="FS135" i="7"/>
  <c r="FT135" i="7"/>
  <c r="FU135" i="7"/>
  <c r="FV135" i="7"/>
  <c r="FW135" i="7"/>
  <c r="FX135" i="7"/>
  <c r="FY135" i="7"/>
  <c r="FZ135" i="7"/>
  <c r="GA135" i="7"/>
  <c r="GB135" i="7"/>
  <c r="GC135" i="7"/>
  <c r="GD135" i="7"/>
  <c r="GE135" i="7"/>
  <c r="GF135" i="7"/>
  <c r="GG135" i="7"/>
  <c r="GH135" i="7"/>
  <c r="GI135" i="7"/>
  <c r="GJ135" i="7"/>
  <c r="GK135" i="7"/>
  <c r="GL135" i="7"/>
  <c r="GM135" i="7"/>
  <c r="GN135" i="7"/>
  <c r="GO135" i="7"/>
  <c r="GP135" i="7"/>
  <c r="GQ135" i="7"/>
  <c r="GR135" i="7"/>
  <c r="GS135" i="7"/>
  <c r="GT135" i="7"/>
  <c r="GU135" i="7"/>
  <c r="GV135" i="7"/>
  <c r="GW135" i="7"/>
  <c r="GX135" i="7"/>
  <c r="GY135" i="7"/>
  <c r="GZ135" i="7"/>
  <c r="HA135" i="7"/>
  <c r="HB135" i="7"/>
  <c r="HC135" i="7"/>
  <c r="HD135" i="7"/>
  <c r="HE135" i="7"/>
  <c r="HF135" i="7"/>
  <c r="HG135" i="7"/>
  <c r="HH135" i="7"/>
  <c r="HI135" i="7"/>
  <c r="HJ135" i="7"/>
  <c r="HK135" i="7"/>
  <c r="HL135" i="7"/>
  <c r="HM135" i="7"/>
  <c r="HN135" i="7"/>
  <c r="HO135" i="7"/>
  <c r="HP135" i="7"/>
  <c r="HQ135" i="7"/>
  <c r="HR135" i="7"/>
  <c r="HS135" i="7"/>
  <c r="HT135" i="7"/>
  <c r="HU135" i="7"/>
  <c r="HV135" i="7"/>
  <c r="HW135" i="7"/>
  <c r="HX135" i="7"/>
  <c r="HY135" i="7"/>
  <c r="HZ135" i="7"/>
  <c r="IA135" i="7"/>
  <c r="IB135" i="7"/>
  <c r="IC135" i="7"/>
  <c r="ID135" i="7"/>
  <c r="IE135" i="7"/>
  <c r="IF135" i="7"/>
  <c r="IG135" i="7"/>
  <c r="IH135" i="7"/>
  <c r="II135" i="7"/>
  <c r="IJ135" i="7"/>
  <c r="IK135" i="7"/>
  <c r="IL135" i="7"/>
  <c r="IM135" i="7"/>
  <c r="IN135" i="7"/>
  <c r="IO135" i="7"/>
  <c r="IP135" i="7"/>
  <c r="IQ135" i="7"/>
  <c r="IR135" i="7"/>
  <c r="IS135" i="7"/>
  <c r="IT135" i="7"/>
  <c r="IU135" i="7"/>
  <c r="IV135" i="7"/>
  <c r="A134" i="7"/>
  <c r="B134" i="7"/>
  <c r="C134" i="7"/>
  <c r="D134" i="7"/>
  <c r="E134" i="7"/>
  <c r="F134" i="7"/>
  <c r="G134" i="7"/>
  <c r="H134" i="7"/>
  <c r="I134" i="7"/>
  <c r="J134" i="7"/>
  <c r="K134" i="7"/>
  <c r="L134" i="7"/>
  <c r="M134" i="7"/>
  <c r="N134" i="7"/>
  <c r="O134" i="7"/>
  <c r="P134" i="7"/>
  <c r="Q134" i="7"/>
  <c r="R134" i="7"/>
  <c r="S134" i="7"/>
  <c r="T134" i="7"/>
  <c r="U134" i="7"/>
  <c r="V134" i="7"/>
  <c r="W134" i="7"/>
  <c r="X134" i="7"/>
  <c r="Y134" i="7"/>
  <c r="Z134" i="7"/>
  <c r="AA134" i="7"/>
  <c r="AB134" i="7"/>
  <c r="AC134" i="7"/>
  <c r="AD134" i="7"/>
  <c r="AE134" i="7"/>
  <c r="AF134" i="7"/>
  <c r="AG134" i="7"/>
  <c r="AH134" i="7"/>
  <c r="AI134" i="7"/>
  <c r="AJ134" i="7"/>
  <c r="AK134" i="7"/>
  <c r="AL134" i="7"/>
  <c r="AM134" i="7"/>
  <c r="AN134" i="7"/>
  <c r="AO134" i="7"/>
  <c r="AP134" i="7"/>
  <c r="AQ134" i="7"/>
  <c r="AR134" i="7"/>
  <c r="AS134" i="7"/>
  <c r="AT134" i="7"/>
  <c r="AU134" i="7"/>
  <c r="AV134" i="7"/>
  <c r="AW134" i="7"/>
  <c r="AX134" i="7"/>
  <c r="AY134" i="7"/>
  <c r="AZ134" i="7"/>
  <c r="BA134" i="7"/>
  <c r="BB134" i="7"/>
  <c r="BC134" i="7"/>
  <c r="BD134" i="7"/>
  <c r="BE134" i="7"/>
  <c r="BF134" i="7"/>
  <c r="BG134" i="7"/>
  <c r="BH134" i="7"/>
  <c r="BI134" i="7"/>
  <c r="BJ134" i="7"/>
  <c r="BK134" i="7"/>
  <c r="BL134" i="7"/>
  <c r="BM134" i="7"/>
  <c r="BN134" i="7"/>
  <c r="BO134" i="7"/>
  <c r="BP134" i="7"/>
  <c r="BQ134" i="7"/>
  <c r="BR134" i="7"/>
  <c r="BS134" i="7"/>
  <c r="BT134" i="7"/>
  <c r="BU134" i="7"/>
  <c r="BV134" i="7"/>
  <c r="BW134" i="7"/>
  <c r="BX134" i="7"/>
  <c r="BY134" i="7"/>
  <c r="BZ134" i="7"/>
  <c r="CA134" i="7"/>
  <c r="CB134" i="7"/>
  <c r="CC134" i="7"/>
  <c r="CD134" i="7"/>
  <c r="CE134" i="7"/>
  <c r="CF134" i="7"/>
  <c r="CG134" i="7"/>
  <c r="CH134" i="7"/>
  <c r="CI134" i="7"/>
  <c r="CJ134" i="7"/>
  <c r="CK134" i="7"/>
  <c r="CL134" i="7"/>
  <c r="CM134" i="7"/>
  <c r="CN134" i="7"/>
  <c r="CO134" i="7"/>
  <c r="CP134" i="7"/>
  <c r="CQ134" i="7"/>
  <c r="CR134" i="7"/>
  <c r="CS134" i="7"/>
  <c r="CT134" i="7"/>
  <c r="CU134" i="7"/>
  <c r="CV134" i="7"/>
  <c r="CW134" i="7"/>
  <c r="CX134" i="7"/>
  <c r="CY134" i="7"/>
  <c r="CZ134" i="7"/>
  <c r="DA134" i="7"/>
  <c r="DB134" i="7"/>
  <c r="DC134" i="7"/>
  <c r="DD134" i="7"/>
  <c r="DE134" i="7"/>
  <c r="DF134" i="7"/>
  <c r="DG134" i="7"/>
  <c r="DH134" i="7"/>
  <c r="DI134" i="7"/>
  <c r="DJ134" i="7"/>
  <c r="DK134" i="7"/>
  <c r="DL134" i="7"/>
  <c r="DM134" i="7"/>
  <c r="DN134" i="7"/>
  <c r="DO134" i="7"/>
  <c r="DP134" i="7"/>
  <c r="DQ134" i="7"/>
  <c r="DR134" i="7"/>
  <c r="DS134" i="7"/>
  <c r="DT134" i="7"/>
  <c r="DU134" i="7"/>
  <c r="DV134" i="7"/>
  <c r="DW134" i="7"/>
  <c r="DX134" i="7"/>
  <c r="DY134" i="7"/>
  <c r="DZ134" i="7"/>
  <c r="EA134" i="7"/>
  <c r="EB134" i="7"/>
  <c r="EC134" i="7"/>
  <c r="ED134" i="7"/>
  <c r="EE134" i="7"/>
  <c r="EF134" i="7"/>
  <c r="EG134" i="7"/>
  <c r="EH134" i="7"/>
  <c r="EI134" i="7"/>
  <c r="EJ134" i="7"/>
  <c r="EK134" i="7"/>
  <c r="EL134" i="7"/>
  <c r="EM134" i="7"/>
  <c r="EN134" i="7"/>
  <c r="EO134" i="7"/>
  <c r="EP134" i="7"/>
  <c r="EQ134" i="7"/>
  <c r="ER134" i="7"/>
  <c r="ES134" i="7"/>
  <c r="ET134" i="7"/>
  <c r="EU134" i="7"/>
  <c r="EV134" i="7"/>
  <c r="EW134" i="7"/>
  <c r="EX134" i="7"/>
  <c r="EY134" i="7"/>
  <c r="EZ134" i="7"/>
  <c r="FA134" i="7"/>
  <c r="FB134" i="7"/>
  <c r="FC134" i="7"/>
  <c r="FD134" i="7"/>
  <c r="FE134" i="7"/>
  <c r="FF134" i="7"/>
  <c r="FG134" i="7"/>
  <c r="FH134" i="7"/>
  <c r="FI134" i="7"/>
  <c r="FJ134" i="7"/>
  <c r="FK134" i="7"/>
  <c r="FL134" i="7"/>
  <c r="FM134" i="7"/>
  <c r="FN134" i="7"/>
  <c r="FO134" i="7"/>
  <c r="FP134" i="7"/>
  <c r="FQ134" i="7"/>
  <c r="FR134" i="7"/>
  <c r="FS134" i="7"/>
  <c r="FT134" i="7"/>
  <c r="FU134" i="7"/>
  <c r="FV134" i="7"/>
  <c r="FW134" i="7"/>
  <c r="FX134" i="7"/>
  <c r="FY134" i="7"/>
  <c r="FZ134" i="7"/>
  <c r="GA134" i="7"/>
  <c r="GB134" i="7"/>
  <c r="GC134" i="7"/>
  <c r="GD134" i="7"/>
  <c r="GE134" i="7"/>
  <c r="GF134" i="7"/>
  <c r="GG134" i="7"/>
  <c r="GH134" i="7"/>
  <c r="GI134" i="7"/>
  <c r="GJ134" i="7"/>
  <c r="GK134" i="7"/>
  <c r="GL134" i="7"/>
  <c r="GM134" i="7"/>
  <c r="GN134" i="7"/>
  <c r="GO134" i="7"/>
  <c r="GP134" i="7"/>
  <c r="GQ134" i="7"/>
  <c r="GR134" i="7"/>
  <c r="GS134" i="7"/>
  <c r="GT134" i="7"/>
  <c r="GU134" i="7"/>
  <c r="GV134" i="7"/>
  <c r="GW134" i="7"/>
  <c r="GX134" i="7"/>
  <c r="GY134" i="7"/>
  <c r="GZ134" i="7"/>
  <c r="HA134" i="7"/>
  <c r="HB134" i="7"/>
  <c r="HC134" i="7"/>
  <c r="HD134" i="7"/>
  <c r="HE134" i="7"/>
  <c r="HF134" i="7"/>
  <c r="HG134" i="7"/>
  <c r="HH134" i="7"/>
  <c r="HI134" i="7"/>
  <c r="HJ134" i="7"/>
  <c r="HK134" i="7"/>
  <c r="HL134" i="7"/>
  <c r="HM134" i="7"/>
  <c r="HN134" i="7"/>
  <c r="HO134" i="7"/>
  <c r="HP134" i="7"/>
  <c r="HQ134" i="7"/>
  <c r="HR134" i="7"/>
  <c r="HS134" i="7"/>
  <c r="HT134" i="7"/>
  <c r="HU134" i="7"/>
  <c r="HV134" i="7"/>
  <c r="HW134" i="7"/>
  <c r="HX134" i="7"/>
  <c r="HY134" i="7"/>
  <c r="HZ134" i="7"/>
  <c r="IA134" i="7"/>
  <c r="IB134" i="7"/>
  <c r="IC134" i="7"/>
  <c r="ID134" i="7"/>
  <c r="IE134" i="7"/>
  <c r="IF134" i="7"/>
  <c r="IG134" i="7"/>
  <c r="IH134" i="7"/>
  <c r="II134" i="7"/>
  <c r="IJ134" i="7"/>
  <c r="IK134" i="7"/>
  <c r="IL134" i="7"/>
  <c r="IM134" i="7"/>
  <c r="IN134" i="7"/>
  <c r="IO134" i="7"/>
  <c r="IP134" i="7"/>
  <c r="IQ134" i="7"/>
  <c r="IR134" i="7"/>
  <c r="IS134" i="7"/>
  <c r="IT134" i="7"/>
  <c r="IU134" i="7"/>
  <c r="IV134" i="7"/>
  <c r="A133" i="7"/>
  <c r="B133" i="7"/>
  <c r="C133" i="7"/>
  <c r="D133" i="7"/>
  <c r="E133" i="7"/>
  <c r="F133" i="7"/>
  <c r="G133" i="7"/>
  <c r="H133" i="7"/>
  <c r="I133" i="7"/>
  <c r="J133" i="7"/>
  <c r="K133" i="7"/>
  <c r="L133" i="7"/>
  <c r="M133" i="7"/>
  <c r="N133" i="7"/>
  <c r="O133" i="7"/>
  <c r="P133" i="7"/>
  <c r="Q133" i="7"/>
  <c r="R133" i="7"/>
  <c r="S133" i="7"/>
  <c r="T133" i="7"/>
  <c r="U133" i="7"/>
  <c r="V133" i="7"/>
  <c r="W133" i="7"/>
  <c r="X133" i="7"/>
  <c r="Y133" i="7"/>
  <c r="Z133" i="7"/>
  <c r="AA133" i="7"/>
  <c r="AB133" i="7"/>
  <c r="AC133" i="7"/>
  <c r="AD133" i="7"/>
  <c r="AE133" i="7"/>
  <c r="AF133" i="7"/>
  <c r="AG133" i="7"/>
  <c r="AH133" i="7"/>
  <c r="AI133" i="7"/>
  <c r="AJ133" i="7"/>
  <c r="AK133" i="7"/>
  <c r="AL133" i="7"/>
  <c r="AM133" i="7"/>
  <c r="AN133" i="7"/>
  <c r="AO133" i="7"/>
  <c r="AP133" i="7"/>
  <c r="AQ133" i="7"/>
  <c r="AR133" i="7"/>
  <c r="AS133" i="7"/>
  <c r="AT133" i="7"/>
  <c r="AU133" i="7"/>
  <c r="AV133" i="7"/>
  <c r="AW133" i="7"/>
  <c r="AX133" i="7"/>
  <c r="AY133" i="7"/>
  <c r="AZ133" i="7"/>
  <c r="BA133" i="7"/>
  <c r="BB133" i="7"/>
  <c r="BC133" i="7"/>
  <c r="BD133" i="7"/>
  <c r="BE133" i="7"/>
  <c r="BF133" i="7"/>
  <c r="BG133" i="7"/>
  <c r="BH133" i="7"/>
  <c r="BI133" i="7"/>
  <c r="BJ133" i="7"/>
  <c r="BK133" i="7"/>
  <c r="BL133" i="7"/>
  <c r="BM133" i="7"/>
  <c r="BN133" i="7"/>
  <c r="BO133" i="7"/>
  <c r="BP133" i="7"/>
  <c r="BQ133" i="7"/>
  <c r="BR133" i="7"/>
  <c r="BS133" i="7"/>
  <c r="BT133" i="7"/>
  <c r="BU133" i="7"/>
  <c r="BV133" i="7"/>
  <c r="BW133" i="7"/>
  <c r="BX133" i="7"/>
  <c r="BY133" i="7"/>
  <c r="BZ133" i="7"/>
  <c r="CA133" i="7"/>
  <c r="CB133" i="7"/>
  <c r="CC133" i="7"/>
  <c r="CD133" i="7"/>
  <c r="CE133" i="7"/>
  <c r="CF133" i="7"/>
  <c r="CG133" i="7"/>
  <c r="CH133" i="7"/>
  <c r="CI133" i="7"/>
  <c r="CJ133" i="7"/>
  <c r="CK133" i="7"/>
  <c r="CL133" i="7"/>
  <c r="CM133" i="7"/>
  <c r="CN133" i="7"/>
  <c r="CO133" i="7"/>
  <c r="CP133" i="7"/>
  <c r="CQ133" i="7"/>
  <c r="CR133" i="7"/>
  <c r="CS133" i="7"/>
  <c r="CT133" i="7"/>
  <c r="CU133" i="7"/>
  <c r="CV133" i="7"/>
  <c r="CW133" i="7"/>
  <c r="CX133" i="7"/>
  <c r="CY133" i="7"/>
  <c r="CZ133" i="7"/>
  <c r="DA133" i="7"/>
  <c r="DB133" i="7"/>
  <c r="DC133" i="7"/>
  <c r="DD133" i="7"/>
  <c r="DE133" i="7"/>
  <c r="DF133" i="7"/>
  <c r="DG133" i="7"/>
  <c r="DH133" i="7"/>
  <c r="DI133" i="7"/>
  <c r="DJ133" i="7"/>
  <c r="DK133" i="7"/>
  <c r="DL133" i="7"/>
  <c r="DM133" i="7"/>
  <c r="DN133" i="7"/>
  <c r="DO133" i="7"/>
  <c r="DP133" i="7"/>
  <c r="DQ133" i="7"/>
  <c r="DR133" i="7"/>
  <c r="DS133" i="7"/>
  <c r="DT133" i="7"/>
  <c r="DU133" i="7"/>
  <c r="DV133" i="7"/>
  <c r="DW133" i="7"/>
  <c r="DX133" i="7"/>
  <c r="DY133" i="7"/>
  <c r="DZ133" i="7"/>
  <c r="EA133" i="7"/>
  <c r="EB133" i="7"/>
  <c r="EC133" i="7"/>
  <c r="ED133" i="7"/>
  <c r="EE133" i="7"/>
  <c r="EF133" i="7"/>
  <c r="EG133" i="7"/>
  <c r="EH133" i="7"/>
  <c r="EI133" i="7"/>
  <c r="EJ133" i="7"/>
  <c r="EK133" i="7"/>
  <c r="EL133" i="7"/>
  <c r="EM133" i="7"/>
  <c r="EN133" i="7"/>
  <c r="EO133" i="7"/>
  <c r="EP133" i="7"/>
  <c r="EQ133" i="7"/>
  <c r="ER133" i="7"/>
  <c r="ES133" i="7"/>
  <c r="ET133" i="7"/>
  <c r="EU133" i="7"/>
  <c r="EV133" i="7"/>
  <c r="EW133" i="7"/>
  <c r="EX133" i="7"/>
  <c r="EY133" i="7"/>
  <c r="EZ133" i="7"/>
  <c r="FA133" i="7"/>
  <c r="FB133" i="7"/>
  <c r="FC133" i="7"/>
  <c r="FD133" i="7"/>
  <c r="FE133" i="7"/>
  <c r="FF133" i="7"/>
  <c r="FG133" i="7"/>
  <c r="FH133" i="7"/>
  <c r="FI133" i="7"/>
  <c r="FJ133" i="7"/>
  <c r="FK133" i="7"/>
  <c r="FL133" i="7"/>
  <c r="FM133" i="7"/>
  <c r="FN133" i="7"/>
  <c r="FO133" i="7"/>
  <c r="FP133" i="7"/>
  <c r="FQ133" i="7"/>
  <c r="FR133" i="7"/>
  <c r="FS133" i="7"/>
  <c r="FT133" i="7"/>
  <c r="FU133" i="7"/>
  <c r="FV133" i="7"/>
  <c r="FW133" i="7"/>
  <c r="FX133" i="7"/>
  <c r="FY133" i="7"/>
  <c r="FZ133" i="7"/>
  <c r="GA133" i="7"/>
  <c r="GB133" i="7"/>
  <c r="GC133" i="7"/>
  <c r="GD133" i="7"/>
  <c r="GE133" i="7"/>
  <c r="GF133" i="7"/>
  <c r="GG133" i="7"/>
  <c r="GH133" i="7"/>
  <c r="GI133" i="7"/>
  <c r="GJ133" i="7"/>
  <c r="GK133" i="7"/>
  <c r="GL133" i="7"/>
  <c r="GM133" i="7"/>
  <c r="GN133" i="7"/>
  <c r="GO133" i="7"/>
  <c r="GP133" i="7"/>
  <c r="GQ133" i="7"/>
  <c r="GR133" i="7"/>
  <c r="GS133" i="7"/>
  <c r="GT133" i="7"/>
  <c r="GU133" i="7"/>
  <c r="GV133" i="7"/>
  <c r="GW133" i="7"/>
  <c r="GX133" i="7"/>
  <c r="GY133" i="7"/>
  <c r="GZ133" i="7"/>
  <c r="HA133" i="7"/>
  <c r="HB133" i="7"/>
  <c r="HC133" i="7"/>
  <c r="HD133" i="7"/>
  <c r="HE133" i="7"/>
  <c r="HF133" i="7"/>
  <c r="HG133" i="7"/>
  <c r="HH133" i="7"/>
  <c r="HI133" i="7"/>
  <c r="HJ133" i="7"/>
  <c r="HK133" i="7"/>
  <c r="HL133" i="7"/>
  <c r="HM133" i="7"/>
  <c r="HN133" i="7"/>
  <c r="HO133" i="7"/>
  <c r="HP133" i="7"/>
  <c r="HQ133" i="7"/>
  <c r="HR133" i="7"/>
  <c r="HS133" i="7"/>
  <c r="HT133" i="7"/>
  <c r="HU133" i="7"/>
  <c r="HV133" i="7"/>
  <c r="HW133" i="7"/>
  <c r="HX133" i="7"/>
  <c r="HY133" i="7"/>
  <c r="HZ133" i="7"/>
  <c r="IA133" i="7"/>
  <c r="IB133" i="7"/>
  <c r="IC133" i="7"/>
  <c r="ID133" i="7"/>
  <c r="IE133" i="7"/>
  <c r="IF133" i="7"/>
  <c r="IG133" i="7"/>
  <c r="IH133" i="7"/>
  <c r="II133" i="7"/>
  <c r="IJ133" i="7"/>
  <c r="IK133" i="7"/>
  <c r="IL133" i="7"/>
  <c r="IM133" i="7"/>
  <c r="IN133" i="7"/>
  <c r="IO133" i="7"/>
  <c r="IP133" i="7"/>
  <c r="IQ133" i="7"/>
  <c r="IR133" i="7"/>
  <c r="IS133" i="7"/>
  <c r="IT133" i="7"/>
  <c r="IU133" i="7"/>
  <c r="IV133" i="7"/>
  <c r="A132" i="7"/>
  <c r="B132" i="7"/>
  <c r="C132" i="7"/>
  <c r="D132" i="7"/>
  <c r="E132" i="7"/>
  <c r="F132" i="7"/>
  <c r="G132" i="7"/>
  <c r="H132" i="7"/>
  <c r="I132" i="7"/>
  <c r="J132" i="7"/>
  <c r="K132" i="7"/>
  <c r="L132" i="7"/>
  <c r="M132" i="7"/>
  <c r="N132" i="7"/>
  <c r="O132" i="7"/>
  <c r="P132" i="7"/>
  <c r="Q132" i="7"/>
  <c r="R132" i="7"/>
  <c r="S132" i="7"/>
  <c r="T132" i="7"/>
  <c r="U132" i="7"/>
  <c r="V132" i="7"/>
  <c r="W132" i="7"/>
  <c r="X132" i="7"/>
  <c r="Y132" i="7"/>
  <c r="Z132" i="7"/>
  <c r="AA132" i="7"/>
  <c r="AB132" i="7"/>
  <c r="AC132" i="7"/>
  <c r="AD132" i="7"/>
  <c r="AE132" i="7"/>
  <c r="AF132" i="7"/>
  <c r="AG132" i="7"/>
  <c r="AH132" i="7"/>
  <c r="AI132" i="7"/>
  <c r="AJ132" i="7"/>
  <c r="AK132" i="7"/>
  <c r="AL132" i="7"/>
  <c r="AM132" i="7"/>
  <c r="AN132" i="7"/>
  <c r="AO132" i="7"/>
  <c r="AP132" i="7"/>
  <c r="AQ132" i="7"/>
  <c r="AR132" i="7"/>
  <c r="AS132" i="7"/>
  <c r="AT132" i="7"/>
  <c r="AU132" i="7"/>
  <c r="AV132" i="7"/>
  <c r="AW132" i="7"/>
  <c r="AX132" i="7"/>
  <c r="AY132" i="7"/>
  <c r="AZ132" i="7"/>
  <c r="BA132" i="7"/>
  <c r="BB132" i="7"/>
  <c r="BC132" i="7"/>
  <c r="BD132" i="7"/>
  <c r="BE132" i="7"/>
  <c r="BF132" i="7"/>
  <c r="BG132" i="7"/>
  <c r="BH132" i="7"/>
  <c r="BI132" i="7"/>
  <c r="BJ132" i="7"/>
  <c r="BK132" i="7"/>
  <c r="BL132" i="7"/>
  <c r="BM132" i="7"/>
  <c r="BN132" i="7"/>
  <c r="BO132" i="7"/>
  <c r="BP132" i="7"/>
  <c r="BQ132" i="7"/>
  <c r="BR132" i="7"/>
  <c r="BS132" i="7"/>
  <c r="BT132" i="7"/>
  <c r="BU132" i="7"/>
  <c r="BV132" i="7"/>
  <c r="BW132" i="7"/>
  <c r="BX132" i="7"/>
  <c r="BY132" i="7"/>
  <c r="BZ132" i="7"/>
  <c r="CA132" i="7"/>
  <c r="CB132" i="7"/>
  <c r="CC132" i="7"/>
  <c r="CD132" i="7"/>
  <c r="CE132" i="7"/>
  <c r="CF132" i="7"/>
  <c r="CG132" i="7"/>
  <c r="CH132" i="7"/>
  <c r="CI132" i="7"/>
  <c r="CJ132" i="7"/>
  <c r="CK132" i="7"/>
  <c r="CL132" i="7"/>
  <c r="CM132" i="7"/>
  <c r="CN132" i="7"/>
  <c r="CO132" i="7"/>
  <c r="CP132" i="7"/>
  <c r="CQ132" i="7"/>
  <c r="CR132" i="7"/>
  <c r="CS132" i="7"/>
  <c r="CT132" i="7"/>
  <c r="CU132" i="7"/>
  <c r="CV132" i="7"/>
  <c r="CW132" i="7"/>
  <c r="CX132" i="7"/>
  <c r="CY132" i="7"/>
  <c r="CZ132" i="7"/>
  <c r="DA132" i="7"/>
  <c r="DB132" i="7"/>
  <c r="DC132" i="7"/>
  <c r="DD132" i="7"/>
  <c r="DE132" i="7"/>
  <c r="DF132" i="7"/>
  <c r="DG132" i="7"/>
  <c r="DH132" i="7"/>
  <c r="DI132" i="7"/>
  <c r="DJ132" i="7"/>
  <c r="DK132" i="7"/>
  <c r="DL132" i="7"/>
  <c r="DM132" i="7"/>
  <c r="DN132" i="7"/>
  <c r="DO132" i="7"/>
  <c r="DP132" i="7"/>
  <c r="DQ132" i="7"/>
  <c r="DR132" i="7"/>
  <c r="DS132" i="7"/>
  <c r="DT132" i="7"/>
  <c r="DU132" i="7"/>
  <c r="DV132" i="7"/>
  <c r="DW132" i="7"/>
  <c r="DX132" i="7"/>
  <c r="DY132" i="7"/>
  <c r="DZ132" i="7"/>
  <c r="EA132" i="7"/>
  <c r="EB132" i="7"/>
  <c r="EC132" i="7"/>
  <c r="ED132" i="7"/>
  <c r="EE132" i="7"/>
  <c r="EF132" i="7"/>
  <c r="EG132" i="7"/>
  <c r="EH132" i="7"/>
  <c r="EI132" i="7"/>
  <c r="EJ132" i="7"/>
  <c r="EK132" i="7"/>
  <c r="EL132" i="7"/>
  <c r="EM132" i="7"/>
  <c r="EN132" i="7"/>
  <c r="EO132" i="7"/>
  <c r="EP132" i="7"/>
  <c r="EQ132" i="7"/>
  <c r="ER132" i="7"/>
  <c r="ES132" i="7"/>
  <c r="ET132" i="7"/>
  <c r="EU132" i="7"/>
  <c r="EV132" i="7"/>
  <c r="EW132" i="7"/>
  <c r="EX132" i="7"/>
  <c r="EY132" i="7"/>
  <c r="EZ132" i="7"/>
  <c r="FA132" i="7"/>
  <c r="FB132" i="7"/>
  <c r="FC132" i="7"/>
  <c r="FD132" i="7"/>
  <c r="FE132" i="7"/>
  <c r="FF132" i="7"/>
  <c r="FG132" i="7"/>
  <c r="FH132" i="7"/>
  <c r="FI132" i="7"/>
  <c r="FJ132" i="7"/>
  <c r="FK132" i="7"/>
  <c r="FL132" i="7"/>
  <c r="FM132" i="7"/>
  <c r="FN132" i="7"/>
  <c r="FO132" i="7"/>
  <c r="FP132" i="7"/>
  <c r="FQ132" i="7"/>
  <c r="FR132" i="7"/>
  <c r="FS132" i="7"/>
  <c r="FT132" i="7"/>
  <c r="FU132" i="7"/>
  <c r="FV132" i="7"/>
  <c r="FW132" i="7"/>
  <c r="FX132" i="7"/>
  <c r="FY132" i="7"/>
  <c r="FZ132" i="7"/>
  <c r="GA132" i="7"/>
  <c r="GB132" i="7"/>
  <c r="GC132" i="7"/>
  <c r="GD132" i="7"/>
  <c r="GE132" i="7"/>
  <c r="GF132" i="7"/>
  <c r="GG132" i="7"/>
  <c r="GH132" i="7"/>
  <c r="GI132" i="7"/>
  <c r="GJ132" i="7"/>
  <c r="GK132" i="7"/>
  <c r="GL132" i="7"/>
  <c r="GM132" i="7"/>
  <c r="GN132" i="7"/>
  <c r="GO132" i="7"/>
  <c r="GP132" i="7"/>
  <c r="GQ132" i="7"/>
  <c r="GR132" i="7"/>
  <c r="GS132" i="7"/>
  <c r="GT132" i="7"/>
  <c r="GU132" i="7"/>
  <c r="GV132" i="7"/>
  <c r="GW132" i="7"/>
  <c r="GX132" i="7"/>
  <c r="GY132" i="7"/>
  <c r="GZ132" i="7"/>
  <c r="HA132" i="7"/>
  <c r="HB132" i="7"/>
  <c r="HC132" i="7"/>
  <c r="HD132" i="7"/>
  <c r="HE132" i="7"/>
  <c r="HF132" i="7"/>
  <c r="HG132" i="7"/>
  <c r="HH132" i="7"/>
  <c r="HI132" i="7"/>
  <c r="HJ132" i="7"/>
  <c r="HK132" i="7"/>
  <c r="HL132" i="7"/>
  <c r="HM132" i="7"/>
  <c r="HN132" i="7"/>
  <c r="HO132" i="7"/>
  <c r="HP132" i="7"/>
  <c r="HQ132" i="7"/>
  <c r="HR132" i="7"/>
  <c r="HS132" i="7"/>
  <c r="HT132" i="7"/>
  <c r="HU132" i="7"/>
  <c r="HV132" i="7"/>
  <c r="HW132" i="7"/>
  <c r="HX132" i="7"/>
  <c r="HY132" i="7"/>
  <c r="HZ132" i="7"/>
  <c r="IA132" i="7"/>
  <c r="IB132" i="7"/>
  <c r="IC132" i="7"/>
  <c r="ID132" i="7"/>
  <c r="IE132" i="7"/>
  <c r="IF132" i="7"/>
  <c r="IG132" i="7"/>
  <c r="IH132" i="7"/>
  <c r="II132" i="7"/>
  <c r="IJ132" i="7"/>
  <c r="IK132" i="7"/>
  <c r="IL132" i="7"/>
  <c r="IM132" i="7"/>
  <c r="IN132" i="7"/>
  <c r="IO132" i="7"/>
  <c r="IP132" i="7"/>
  <c r="IQ132" i="7"/>
  <c r="IR132" i="7"/>
  <c r="IS132" i="7"/>
  <c r="IT132" i="7"/>
  <c r="IU132" i="7"/>
  <c r="IV132" i="7"/>
  <c r="A131" i="7"/>
  <c r="B131" i="7"/>
  <c r="C131" i="7"/>
  <c r="D131" i="7"/>
  <c r="E131" i="7"/>
  <c r="F131" i="7"/>
  <c r="G131" i="7"/>
  <c r="H131" i="7"/>
  <c r="I131" i="7"/>
  <c r="J131" i="7"/>
  <c r="K131" i="7"/>
  <c r="L131" i="7"/>
  <c r="M131" i="7"/>
  <c r="N131" i="7"/>
  <c r="O131" i="7"/>
  <c r="P131" i="7"/>
  <c r="Q131" i="7"/>
  <c r="R131" i="7"/>
  <c r="S131" i="7"/>
  <c r="T131" i="7"/>
  <c r="U131" i="7"/>
  <c r="V131" i="7"/>
  <c r="W131" i="7"/>
  <c r="X131" i="7"/>
  <c r="Y131" i="7"/>
  <c r="Z131" i="7"/>
  <c r="AA131" i="7"/>
  <c r="AB131" i="7"/>
  <c r="AC131" i="7"/>
  <c r="AD131" i="7"/>
  <c r="AE131" i="7"/>
  <c r="AF131" i="7"/>
  <c r="AG131" i="7"/>
  <c r="AH131" i="7"/>
  <c r="AI131" i="7"/>
  <c r="AJ131" i="7"/>
  <c r="AK131" i="7"/>
  <c r="AL131" i="7"/>
  <c r="AM131" i="7"/>
  <c r="AN131" i="7"/>
  <c r="AO131" i="7"/>
  <c r="AP131" i="7"/>
  <c r="AQ131" i="7"/>
  <c r="AR131" i="7"/>
  <c r="AS131" i="7"/>
  <c r="AT131" i="7"/>
  <c r="AU131" i="7"/>
  <c r="AV131" i="7"/>
  <c r="AW131" i="7"/>
  <c r="AX131" i="7"/>
  <c r="AY131" i="7"/>
  <c r="AZ131" i="7"/>
  <c r="BA131" i="7"/>
  <c r="BB131" i="7"/>
  <c r="BC131" i="7"/>
  <c r="BD131" i="7"/>
  <c r="BE131" i="7"/>
  <c r="BF131" i="7"/>
  <c r="BG131" i="7"/>
  <c r="BH131" i="7"/>
  <c r="BI131" i="7"/>
  <c r="BJ131" i="7"/>
  <c r="BK131" i="7"/>
  <c r="BL131" i="7"/>
  <c r="BM131" i="7"/>
  <c r="BN131" i="7"/>
  <c r="BO131" i="7"/>
  <c r="BP131" i="7"/>
  <c r="BQ131" i="7"/>
  <c r="BR131" i="7"/>
  <c r="BS131" i="7"/>
  <c r="BT131" i="7"/>
  <c r="BU131" i="7"/>
  <c r="BV131" i="7"/>
  <c r="BW131" i="7"/>
  <c r="BX131" i="7"/>
  <c r="BY131" i="7"/>
  <c r="BZ131" i="7"/>
  <c r="CA131" i="7"/>
  <c r="CB131" i="7"/>
  <c r="CC131" i="7"/>
  <c r="CD131" i="7"/>
  <c r="CE131" i="7"/>
  <c r="CF131" i="7"/>
  <c r="CG131" i="7"/>
  <c r="CH131" i="7"/>
  <c r="CI131" i="7"/>
  <c r="CJ131" i="7"/>
  <c r="CK131" i="7"/>
  <c r="CL131" i="7"/>
  <c r="CM131" i="7"/>
  <c r="CN131" i="7"/>
  <c r="CO131" i="7"/>
  <c r="CP131" i="7"/>
  <c r="CQ131" i="7"/>
  <c r="CR131" i="7"/>
  <c r="CS131" i="7"/>
  <c r="CT131" i="7"/>
  <c r="CU131" i="7"/>
  <c r="CV131" i="7"/>
  <c r="CW131" i="7"/>
  <c r="CX131" i="7"/>
  <c r="CY131" i="7"/>
  <c r="CZ131" i="7"/>
  <c r="DA131" i="7"/>
  <c r="DB131" i="7"/>
  <c r="DC131" i="7"/>
  <c r="DD131" i="7"/>
  <c r="DE131" i="7"/>
  <c r="DF131" i="7"/>
  <c r="DG131" i="7"/>
  <c r="DH131" i="7"/>
  <c r="DI131" i="7"/>
  <c r="DJ131" i="7"/>
  <c r="DK131" i="7"/>
  <c r="DL131" i="7"/>
  <c r="DM131" i="7"/>
  <c r="DN131" i="7"/>
  <c r="DO131" i="7"/>
  <c r="DP131" i="7"/>
  <c r="DQ131" i="7"/>
  <c r="DR131" i="7"/>
  <c r="DS131" i="7"/>
  <c r="DT131" i="7"/>
  <c r="DU131" i="7"/>
  <c r="DV131" i="7"/>
  <c r="DW131" i="7"/>
  <c r="DX131" i="7"/>
  <c r="DY131" i="7"/>
  <c r="DZ131" i="7"/>
  <c r="EA131" i="7"/>
  <c r="EB131" i="7"/>
  <c r="EC131" i="7"/>
  <c r="ED131" i="7"/>
  <c r="EE131" i="7"/>
  <c r="EF131" i="7"/>
  <c r="EG131" i="7"/>
  <c r="EH131" i="7"/>
  <c r="EI131" i="7"/>
  <c r="EJ131" i="7"/>
  <c r="EK131" i="7"/>
  <c r="EL131" i="7"/>
  <c r="EM131" i="7"/>
  <c r="EN131" i="7"/>
  <c r="EO131" i="7"/>
  <c r="EP131" i="7"/>
  <c r="EQ131" i="7"/>
  <c r="ER131" i="7"/>
  <c r="ES131" i="7"/>
  <c r="ET131" i="7"/>
  <c r="EU131" i="7"/>
  <c r="EV131" i="7"/>
  <c r="EW131" i="7"/>
  <c r="EX131" i="7"/>
  <c r="EY131" i="7"/>
  <c r="EZ131" i="7"/>
  <c r="FA131" i="7"/>
  <c r="FB131" i="7"/>
  <c r="FC131" i="7"/>
  <c r="FD131" i="7"/>
  <c r="FE131" i="7"/>
  <c r="FF131" i="7"/>
  <c r="FG131" i="7"/>
  <c r="FH131" i="7"/>
  <c r="FI131" i="7"/>
  <c r="FJ131" i="7"/>
  <c r="FK131" i="7"/>
  <c r="FL131" i="7"/>
  <c r="FM131" i="7"/>
  <c r="FN131" i="7"/>
  <c r="FO131" i="7"/>
  <c r="FP131" i="7"/>
  <c r="FQ131" i="7"/>
  <c r="FR131" i="7"/>
  <c r="FS131" i="7"/>
  <c r="FT131" i="7"/>
  <c r="FU131" i="7"/>
  <c r="FV131" i="7"/>
  <c r="FW131" i="7"/>
  <c r="FX131" i="7"/>
  <c r="FY131" i="7"/>
  <c r="FZ131" i="7"/>
  <c r="GA131" i="7"/>
  <c r="GB131" i="7"/>
  <c r="GC131" i="7"/>
  <c r="GD131" i="7"/>
  <c r="GE131" i="7"/>
  <c r="GF131" i="7"/>
  <c r="GG131" i="7"/>
  <c r="GH131" i="7"/>
  <c r="GI131" i="7"/>
  <c r="GJ131" i="7"/>
  <c r="GK131" i="7"/>
  <c r="GL131" i="7"/>
  <c r="GM131" i="7"/>
  <c r="GN131" i="7"/>
  <c r="GO131" i="7"/>
  <c r="GP131" i="7"/>
  <c r="GQ131" i="7"/>
  <c r="GR131" i="7"/>
  <c r="GS131" i="7"/>
  <c r="GT131" i="7"/>
  <c r="GU131" i="7"/>
  <c r="GV131" i="7"/>
  <c r="GW131" i="7"/>
  <c r="GX131" i="7"/>
  <c r="GY131" i="7"/>
  <c r="GZ131" i="7"/>
  <c r="HA131" i="7"/>
  <c r="HB131" i="7"/>
  <c r="HC131" i="7"/>
  <c r="HD131" i="7"/>
  <c r="HE131" i="7"/>
  <c r="HF131" i="7"/>
  <c r="HG131" i="7"/>
  <c r="HH131" i="7"/>
  <c r="HI131" i="7"/>
  <c r="HJ131" i="7"/>
  <c r="HK131" i="7"/>
  <c r="HL131" i="7"/>
  <c r="HM131" i="7"/>
  <c r="HN131" i="7"/>
  <c r="HO131" i="7"/>
  <c r="HP131" i="7"/>
  <c r="HQ131" i="7"/>
  <c r="HR131" i="7"/>
  <c r="HS131" i="7"/>
  <c r="HT131" i="7"/>
  <c r="HU131" i="7"/>
  <c r="HV131" i="7"/>
  <c r="HW131" i="7"/>
  <c r="HX131" i="7"/>
  <c r="HY131" i="7"/>
  <c r="HZ131" i="7"/>
  <c r="IA131" i="7"/>
  <c r="IB131" i="7"/>
  <c r="IC131" i="7"/>
  <c r="ID131" i="7"/>
  <c r="IE131" i="7"/>
  <c r="IF131" i="7"/>
  <c r="IG131" i="7"/>
  <c r="IH131" i="7"/>
  <c r="II131" i="7"/>
  <c r="IJ131" i="7"/>
  <c r="IK131" i="7"/>
  <c r="IL131" i="7"/>
  <c r="IM131" i="7"/>
  <c r="IN131" i="7"/>
  <c r="IO131" i="7"/>
  <c r="IP131" i="7"/>
  <c r="IQ131" i="7"/>
  <c r="IR131" i="7"/>
  <c r="IS131" i="7"/>
  <c r="IT131" i="7"/>
  <c r="IU131" i="7"/>
  <c r="IV131" i="7"/>
  <c r="A130" i="7"/>
  <c r="B130" i="7"/>
  <c r="C130" i="7"/>
  <c r="D130" i="7"/>
  <c r="E130" i="7"/>
  <c r="F130" i="7"/>
  <c r="G130" i="7"/>
  <c r="H130" i="7"/>
  <c r="I130" i="7"/>
  <c r="J130" i="7"/>
  <c r="K130" i="7"/>
  <c r="L130" i="7"/>
  <c r="M130" i="7"/>
  <c r="N130" i="7"/>
  <c r="O130" i="7"/>
  <c r="P130" i="7"/>
  <c r="Q130" i="7"/>
  <c r="R130" i="7"/>
  <c r="S130" i="7"/>
  <c r="T130" i="7"/>
  <c r="U130" i="7"/>
  <c r="V130" i="7"/>
  <c r="W130" i="7"/>
  <c r="X130" i="7"/>
  <c r="Y130" i="7"/>
  <c r="Z130" i="7"/>
  <c r="AA130" i="7"/>
  <c r="AB130" i="7"/>
  <c r="AC130" i="7"/>
  <c r="AD130" i="7"/>
  <c r="AE130" i="7"/>
  <c r="AF130" i="7"/>
  <c r="AG130" i="7"/>
  <c r="AH130" i="7"/>
  <c r="AI130" i="7"/>
  <c r="AJ130" i="7"/>
  <c r="AK130" i="7"/>
  <c r="AL130" i="7"/>
  <c r="AM130" i="7"/>
  <c r="AN130" i="7"/>
  <c r="AO130" i="7"/>
  <c r="AP130" i="7"/>
  <c r="AQ130" i="7"/>
  <c r="AR130" i="7"/>
  <c r="AS130" i="7"/>
  <c r="AT130" i="7"/>
  <c r="AU130" i="7"/>
  <c r="AV130" i="7"/>
  <c r="AW130" i="7"/>
  <c r="AX130" i="7"/>
  <c r="AY130" i="7"/>
  <c r="AZ130" i="7"/>
  <c r="BA130" i="7"/>
  <c r="BB130" i="7"/>
  <c r="BC130" i="7"/>
  <c r="BD130" i="7"/>
  <c r="BE130" i="7"/>
  <c r="BF130" i="7"/>
  <c r="BG130" i="7"/>
  <c r="BH130" i="7"/>
  <c r="BI130" i="7"/>
  <c r="BJ130" i="7"/>
  <c r="BK130" i="7"/>
  <c r="BL130" i="7"/>
  <c r="BM130" i="7"/>
  <c r="BN130" i="7"/>
  <c r="BO130" i="7"/>
  <c r="BP130" i="7"/>
  <c r="BQ130" i="7"/>
  <c r="BR130" i="7"/>
  <c r="BS130" i="7"/>
  <c r="BT130" i="7"/>
  <c r="BU130" i="7"/>
  <c r="BV130" i="7"/>
  <c r="BW130" i="7"/>
  <c r="BX130" i="7"/>
  <c r="BY130" i="7"/>
  <c r="BZ130" i="7"/>
  <c r="CA130" i="7"/>
  <c r="CB130" i="7"/>
  <c r="CC130" i="7"/>
  <c r="CD130" i="7"/>
  <c r="CE130" i="7"/>
  <c r="CF130" i="7"/>
  <c r="CG130" i="7"/>
  <c r="CH130" i="7"/>
  <c r="CI130" i="7"/>
  <c r="CJ130" i="7"/>
  <c r="CK130" i="7"/>
  <c r="CL130" i="7"/>
  <c r="CM130" i="7"/>
  <c r="CN130" i="7"/>
  <c r="CO130" i="7"/>
  <c r="CP130" i="7"/>
  <c r="CQ130" i="7"/>
  <c r="CR130" i="7"/>
  <c r="CS130" i="7"/>
  <c r="CT130" i="7"/>
  <c r="CU130" i="7"/>
  <c r="CV130" i="7"/>
  <c r="CW130" i="7"/>
  <c r="CX130" i="7"/>
  <c r="CY130" i="7"/>
  <c r="CZ130" i="7"/>
  <c r="DA130" i="7"/>
  <c r="DB130" i="7"/>
  <c r="DC130" i="7"/>
  <c r="DD130" i="7"/>
  <c r="DE130" i="7"/>
  <c r="DF130" i="7"/>
  <c r="DG130" i="7"/>
  <c r="DH130" i="7"/>
  <c r="DI130" i="7"/>
  <c r="DJ130" i="7"/>
  <c r="DK130" i="7"/>
  <c r="DL130" i="7"/>
  <c r="DM130" i="7"/>
  <c r="DN130" i="7"/>
  <c r="DO130" i="7"/>
  <c r="DP130" i="7"/>
  <c r="DQ130" i="7"/>
  <c r="DR130" i="7"/>
  <c r="DS130" i="7"/>
  <c r="DT130" i="7"/>
  <c r="DU130" i="7"/>
  <c r="DV130" i="7"/>
  <c r="DW130" i="7"/>
  <c r="DX130" i="7"/>
  <c r="DY130" i="7"/>
  <c r="DZ130" i="7"/>
  <c r="EA130" i="7"/>
  <c r="EB130" i="7"/>
  <c r="EC130" i="7"/>
  <c r="ED130" i="7"/>
  <c r="EE130" i="7"/>
  <c r="EF130" i="7"/>
  <c r="EG130" i="7"/>
  <c r="EH130" i="7"/>
  <c r="EI130" i="7"/>
  <c r="EJ130" i="7"/>
  <c r="EK130" i="7"/>
  <c r="EL130" i="7"/>
  <c r="EM130" i="7"/>
  <c r="EN130" i="7"/>
  <c r="EO130" i="7"/>
  <c r="EP130" i="7"/>
  <c r="EQ130" i="7"/>
  <c r="ER130" i="7"/>
  <c r="ES130" i="7"/>
  <c r="ET130" i="7"/>
  <c r="EU130" i="7"/>
  <c r="EV130" i="7"/>
  <c r="EW130" i="7"/>
  <c r="EX130" i="7"/>
  <c r="EY130" i="7"/>
  <c r="EZ130" i="7"/>
  <c r="FA130" i="7"/>
  <c r="FB130" i="7"/>
  <c r="FC130" i="7"/>
  <c r="FD130" i="7"/>
  <c r="FE130" i="7"/>
  <c r="FF130" i="7"/>
  <c r="FG130" i="7"/>
  <c r="FH130" i="7"/>
  <c r="FI130" i="7"/>
  <c r="FJ130" i="7"/>
  <c r="FK130" i="7"/>
  <c r="FL130" i="7"/>
  <c r="FM130" i="7"/>
  <c r="FN130" i="7"/>
  <c r="FO130" i="7"/>
  <c r="FP130" i="7"/>
  <c r="FQ130" i="7"/>
  <c r="FR130" i="7"/>
  <c r="FS130" i="7"/>
  <c r="FT130" i="7"/>
  <c r="FU130" i="7"/>
  <c r="FV130" i="7"/>
  <c r="FW130" i="7"/>
  <c r="FX130" i="7"/>
  <c r="FY130" i="7"/>
  <c r="FZ130" i="7"/>
  <c r="GA130" i="7"/>
  <c r="GB130" i="7"/>
  <c r="GC130" i="7"/>
  <c r="GD130" i="7"/>
  <c r="GE130" i="7"/>
  <c r="GF130" i="7"/>
  <c r="GG130" i="7"/>
  <c r="GH130" i="7"/>
  <c r="GI130" i="7"/>
  <c r="GJ130" i="7"/>
  <c r="GK130" i="7"/>
  <c r="GL130" i="7"/>
  <c r="GM130" i="7"/>
  <c r="GN130" i="7"/>
  <c r="GO130" i="7"/>
  <c r="GP130" i="7"/>
  <c r="GQ130" i="7"/>
  <c r="GR130" i="7"/>
  <c r="GS130" i="7"/>
  <c r="GT130" i="7"/>
  <c r="GU130" i="7"/>
  <c r="GV130" i="7"/>
  <c r="GW130" i="7"/>
  <c r="GX130" i="7"/>
  <c r="GY130" i="7"/>
  <c r="GZ130" i="7"/>
  <c r="HA130" i="7"/>
  <c r="HB130" i="7"/>
  <c r="HC130" i="7"/>
  <c r="HD130" i="7"/>
  <c r="HE130" i="7"/>
  <c r="HF130" i="7"/>
  <c r="HG130" i="7"/>
  <c r="HH130" i="7"/>
  <c r="HI130" i="7"/>
  <c r="HJ130" i="7"/>
  <c r="HK130" i="7"/>
  <c r="HL130" i="7"/>
  <c r="HM130" i="7"/>
  <c r="HN130" i="7"/>
  <c r="HO130" i="7"/>
  <c r="HP130" i="7"/>
  <c r="HQ130" i="7"/>
  <c r="HR130" i="7"/>
  <c r="HS130" i="7"/>
  <c r="HT130" i="7"/>
  <c r="HU130" i="7"/>
  <c r="HV130" i="7"/>
  <c r="HW130" i="7"/>
  <c r="HX130" i="7"/>
  <c r="HY130" i="7"/>
  <c r="HZ130" i="7"/>
  <c r="IA130" i="7"/>
  <c r="IB130" i="7"/>
  <c r="IC130" i="7"/>
  <c r="ID130" i="7"/>
  <c r="IE130" i="7"/>
  <c r="IF130" i="7"/>
  <c r="IG130" i="7"/>
  <c r="IH130" i="7"/>
  <c r="II130" i="7"/>
  <c r="IJ130" i="7"/>
  <c r="IK130" i="7"/>
  <c r="IL130" i="7"/>
  <c r="IM130" i="7"/>
  <c r="IN130" i="7"/>
  <c r="IO130" i="7"/>
  <c r="IP130" i="7"/>
  <c r="IQ130" i="7"/>
  <c r="IR130" i="7"/>
  <c r="IS130" i="7"/>
  <c r="IT130" i="7"/>
  <c r="IU130" i="7"/>
  <c r="IV130" i="7"/>
  <c r="A129" i="7"/>
  <c r="B129" i="7"/>
  <c r="C129" i="7"/>
  <c r="D129" i="7"/>
  <c r="E129" i="7"/>
  <c r="F129" i="7"/>
  <c r="G129" i="7"/>
  <c r="H129" i="7"/>
  <c r="I129" i="7"/>
  <c r="J129" i="7"/>
  <c r="K129" i="7"/>
  <c r="L129" i="7"/>
  <c r="M129" i="7"/>
  <c r="N129" i="7"/>
  <c r="O129" i="7"/>
  <c r="P129" i="7"/>
  <c r="Q129" i="7"/>
  <c r="R129" i="7"/>
  <c r="S129" i="7"/>
  <c r="T129" i="7"/>
  <c r="U129" i="7"/>
  <c r="V129" i="7"/>
  <c r="W129" i="7"/>
  <c r="X129" i="7"/>
  <c r="Y129" i="7"/>
  <c r="Z129" i="7"/>
  <c r="AA129" i="7"/>
  <c r="AB129" i="7"/>
  <c r="AC129" i="7"/>
  <c r="AD129" i="7"/>
  <c r="AE129" i="7"/>
  <c r="AF129" i="7"/>
  <c r="AG129" i="7"/>
  <c r="AH129" i="7"/>
  <c r="AI129" i="7"/>
  <c r="AJ129" i="7"/>
  <c r="AK129" i="7"/>
  <c r="AL129" i="7"/>
  <c r="AM129" i="7"/>
  <c r="AN129" i="7"/>
  <c r="AO129" i="7"/>
  <c r="AP129" i="7"/>
  <c r="AQ129" i="7"/>
  <c r="AR129" i="7"/>
  <c r="AS129" i="7"/>
  <c r="AT129" i="7"/>
  <c r="AU129" i="7"/>
  <c r="AV129" i="7"/>
  <c r="AW129" i="7"/>
  <c r="AX129" i="7"/>
  <c r="AY129" i="7"/>
  <c r="AZ129" i="7"/>
  <c r="BA129" i="7"/>
  <c r="BB129" i="7"/>
  <c r="BC129" i="7"/>
  <c r="BD129" i="7"/>
  <c r="BE129" i="7"/>
  <c r="BF129" i="7"/>
  <c r="BG129" i="7"/>
  <c r="BH129" i="7"/>
  <c r="BI129" i="7"/>
  <c r="BJ129" i="7"/>
  <c r="BK129" i="7"/>
  <c r="BL129" i="7"/>
  <c r="BM129" i="7"/>
  <c r="BN129" i="7"/>
  <c r="BO129" i="7"/>
  <c r="BP129" i="7"/>
  <c r="BQ129" i="7"/>
  <c r="BR129" i="7"/>
  <c r="BS129" i="7"/>
  <c r="BT129" i="7"/>
  <c r="BU129" i="7"/>
  <c r="BV129" i="7"/>
  <c r="BW129" i="7"/>
  <c r="BX129" i="7"/>
  <c r="BY129" i="7"/>
  <c r="BZ129" i="7"/>
  <c r="CA129" i="7"/>
  <c r="CB129" i="7"/>
  <c r="CC129" i="7"/>
  <c r="CD129" i="7"/>
  <c r="CE129" i="7"/>
  <c r="CF129" i="7"/>
  <c r="CG129" i="7"/>
  <c r="CH129" i="7"/>
  <c r="CI129" i="7"/>
  <c r="CJ129" i="7"/>
  <c r="CK129" i="7"/>
  <c r="CL129" i="7"/>
  <c r="CM129" i="7"/>
  <c r="CN129" i="7"/>
  <c r="CO129" i="7"/>
  <c r="CP129" i="7"/>
  <c r="CQ129" i="7"/>
  <c r="CR129" i="7"/>
  <c r="CS129" i="7"/>
  <c r="CT129" i="7"/>
  <c r="CU129" i="7"/>
  <c r="CV129" i="7"/>
  <c r="CW129" i="7"/>
  <c r="CX129" i="7"/>
  <c r="CY129" i="7"/>
  <c r="CZ129" i="7"/>
  <c r="DA129" i="7"/>
  <c r="DB129" i="7"/>
  <c r="DC129" i="7"/>
  <c r="DD129" i="7"/>
  <c r="DE129" i="7"/>
  <c r="DF129" i="7"/>
  <c r="DG129" i="7"/>
  <c r="DH129" i="7"/>
  <c r="DI129" i="7"/>
  <c r="DJ129" i="7"/>
  <c r="DK129" i="7"/>
  <c r="DL129" i="7"/>
  <c r="DM129" i="7"/>
  <c r="DN129" i="7"/>
  <c r="DO129" i="7"/>
  <c r="DP129" i="7"/>
  <c r="DQ129" i="7"/>
  <c r="DR129" i="7"/>
  <c r="DS129" i="7"/>
  <c r="DT129" i="7"/>
  <c r="DU129" i="7"/>
  <c r="DV129" i="7"/>
  <c r="DW129" i="7"/>
  <c r="DX129" i="7"/>
  <c r="DY129" i="7"/>
  <c r="DZ129" i="7"/>
  <c r="EA129" i="7"/>
  <c r="EB129" i="7"/>
  <c r="EC129" i="7"/>
  <c r="ED129" i="7"/>
  <c r="EE129" i="7"/>
  <c r="EF129" i="7"/>
  <c r="EG129" i="7"/>
  <c r="EH129" i="7"/>
  <c r="EI129" i="7"/>
  <c r="EJ129" i="7"/>
  <c r="EK129" i="7"/>
  <c r="EL129" i="7"/>
  <c r="EM129" i="7"/>
  <c r="EN129" i="7"/>
  <c r="EO129" i="7"/>
  <c r="EP129" i="7"/>
  <c r="EQ129" i="7"/>
  <c r="ER129" i="7"/>
  <c r="ES129" i="7"/>
  <c r="ET129" i="7"/>
  <c r="EU129" i="7"/>
  <c r="EV129" i="7"/>
  <c r="EW129" i="7"/>
  <c r="EX129" i="7"/>
  <c r="EY129" i="7"/>
  <c r="EZ129" i="7"/>
  <c r="FA129" i="7"/>
  <c r="FB129" i="7"/>
  <c r="FC129" i="7"/>
  <c r="FD129" i="7"/>
  <c r="FE129" i="7"/>
  <c r="FF129" i="7"/>
  <c r="FG129" i="7"/>
  <c r="FH129" i="7"/>
  <c r="FI129" i="7"/>
  <c r="FJ129" i="7"/>
  <c r="FK129" i="7"/>
  <c r="FL129" i="7"/>
  <c r="FM129" i="7"/>
  <c r="FN129" i="7"/>
  <c r="FO129" i="7"/>
  <c r="FP129" i="7"/>
  <c r="FQ129" i="7"/>
  <c r="FR129" i="7"/>
  <c r="FS129" i="7"/>
  <c r="FT129" i="7"/>
  <c r="FU129" i="7"/>
  <c r="FV129" i="7"/>
  <c r="FW129" i="7"/>
  <c r="FX129" i="7"/>
  <c r="FY129" i="7"/>
  <c r="FZ129" i="7"/>
  <c r="GA129" i="7"/>
  <c r="GB129" i="7"/>
  <c r="GC129" i="7"/>
  <c r="GD129" i="7"/>
  <c r="GE129" i="7"/>
  <c r="GF129" i="7"/>
  <c r="GG129" i="7"/>
  <c r="GH129" i="7"/>
  <c r="GI129" i="7"/>
  <c r="GJ129" i="7"/>
  <c r="GK129" i="7"/>
  <c r="GL129" i="7"/>
  <c r="GM129" i="7"/>
  <c r="GN129" i="7"/>
  <c r="GO129" i="7"/>
  <c r="GP129" i="7"/>
  <c r="GQ129" i="7"/>
  <c r="GR129" i="7"/>
  <c r="GS129" i="7"/>
  <c r="GT129" i="7"/>
  <c r="GU129" i="7"/>
  <c r="GV129" i="7"/>
  <c r="GW129" i="7"/>
  <c r="GX129" i="7"/>
  <c r="GY129" i="7"/>
  <c r="GZ129" i="7"/>
  <c r="HA129" i="7"/>
  <c r="HB129" i="7"/>
  <c r="HC129" i="7"/>
  <c r="HD129" i="7"/>
  <c r="HE129" i="7"/>
  <c r="HF129" i="7"/>
  <c r="HG129" i="7"/>
  <c r="HH129" i="7"/>
  <c r="HI129" i="7"/>
  <c r="HJ129" i="7"/>
  <c r="HK129" i="7"/>
  <c r="HL129" i="7"/>
  <c r="HM129" i="7"/>
  <c r="HN129" i="7"/>
  <c r="HO129" i="7"/>
  <c r="HP129" i="7"/>
  <c r="HQ129" i="7"/>
  <c r="HR129" i="7"/>
  <c r="HS129" i="7"/>
  <c r="HT129" i="7"/>
  <c r="HU129" i="7"/>
  <c r="HV129" i="7"/>
  <c r="HW129" i="7"/>
  <c r="HX129" i="7"/>
  <c r="HY129" i="7"/>
  <c r="HZ129" i="7"/>
  <c r="IA129" i="7"/>
  <c r="IB129" i="7"/>
  <c r="IC129" i="7"/>
  <c r="ID129" i="7"/>
  <c r="IE129" i="7"/>
  <c r="IF129" i="7"/>
  <c r="IG129" i="7"/>
  <c r="IH129" i="7"/>
  <c r="II129" i="7"/>
  <c r="IJ129" i="7"/>
  <c r="IK129" i="7"/>
  <c r="IL129" i="7"/>
  <c r="IM129" i="7"/>
  <c r="IN129" i="7"/>
  <c r="IO129" i="7"/>
  <c r="IP129" i="7"/>
  <c r="IQ129" i="7"/>
  <c r="IR129" i="7"/>
  <c r="IS129" i="7"/>
  <c r="IT129" i="7"/>
  <c r="IU129" i="7"/>
  <c r="IV129" i="7"/>
  <c r="A128" i="7"/>
  <c r="B128" i="7"/>
  <c r="C128" i="7"/>
  <c r="D128" i="7"/>
  <c r="E128" i="7"/>
  <c r="F128" i="7"/>
  <c r="G128" i="7"/>
  <c r="H128" i="7"/>
  <c r="I128" i="7"/>
  <c r="J128" i="7"/>
  <c r="K128" i="7"/>
  <c r="L128" i="7"/>
  <c r="M128" i="7"/>
  <c r="N128" i="7"/>
  <c r="O128" i="7"/>
  <c r="P128" i="7"/>
  <c r="Q128" i="7"/>
  <c r="R128" i="7"/>
  <c r="S128" i="7"/>
  <c r="T128" i="7"/>
  <c r="U128" i="7"/>
  <c r="V128" i="7"/>
  <c r="W128" i="7"/>
  <c r="X128" i="7"/>
  <c r="Y128" i="7"/>
  <c r="Z128" i="7"/>
  <c r="AA128" i="7"/>
  <c r="AB128" i="7"/>
  <c r="AC128" i="7"/>
  <c r="AD128" i="7"/>
  <c r="AE128" i="7"/>
  <c r="AF128" i="7"/>
  <c r="AG128" i="7"/>
  <c r="AH128" i="7"/>
  <c r="AI128" i="7"/>
  <c r="AJ128" i="7"/>
  <c r="AK128" i="7"/>
  <c r="AL128" i="7"/>
  <c r="AM128" i="7"/>
  <c r="AN128" i="7"/>
  <c r="AO128" i="7"/>
  <c r="AP128" i="7"/>
  <c r="AQ128" i="7"/>
  <c r="AR128" i="7"/>
  <c r="AS128" i="7"/>
  <c r="AT128" i="7"/>
  <c r="AU128" i="7"/>
  <c r="AV128" i="7"/>
  <c r="AW128" i="7"/>
  <c r="AX128" i="7"/>
  <c r="AY128" i="7"/>
  <c r="AZ128" i="7"/>
  <c r="BA128" i="7"/>
  <c r="BB128" i="7"/>
  <c r="BC128" i="7"/>
  <c r="BD128" i="7"/>
  <c r="BE128" i="7"/>
  <c r="BF128" i="7"/>
  <c r="BG128" i="7"/>
  <c r="BH128" i="7"/>
  <c r="BI128" i="7"/>
  <c r="BJ128" i="7"/>
  <c r="BK128" i="7"/>
  <c r="BL128" i="7"/>
  <c r="BM128" i="7"/>
  <c r="BN128" i="7"/>
  <c r="BO128" i="7"/>
  <c r="BP128" i="7"/>
  <c r="BQ128" i="7"/>
  <c r="BR128" i="7"/>
  <c r="BS128" i="7"/>
  <c r="BT128" i="7"/>
  <c r="BU128" i="7"/>
  <c r="BV128" i="7"/>
  <c r="BW128" i="7"/>
  <c r="BX128" i="7"/>
  <c r="BY128" i="7"/>
  <c r="BZ128" i="7"/>
  <c r="CA128" i="7"/>
  <c r="CB128" i="7"/>
  <c r="CC128" i="7"/>
  <c r="CD128" i="7"/>
  <c r="CE128" i="7"/>
  <c r="CF128" i="7"/>
  <c r="CG128" i="7"/>
  <c r="CH128" i="7"/>
  <c r="CI128" i="7"/>
  <c r="CJ128" i="7"/>
  <c r="CK128" i="7"/>
  <c r="CL128" i="7"/>
  <c r="CM128" i="7"/>
  <c r="CN128" i="7"/>
  <c r="CO128" i="7"/>
  <c r="CP128" i="7"/>
  <c r="CQ128" i="7"/>
  <c r="CR128" i="7"/>
  <c r="CS128" i="7"/>
  <c r="CT128" i="7"/>
  <c r="CU128" i="7"/>
  <c r="CV128" i="7"/>
  <c r="CW128" i="7"/>
  <c r="CX128" i="7"/>
  <c r="CY128" i="7"/>
  <c r="CZ128" i="7"/>
  <c r="DA128" i="7"/>
  <c r="DB128" i="7"/>
  <c r="DC128" i="7"/>
  <c r="DD128" i="7"/>
  <c r="DE128" i="7"/>
  <c r="DF128" i="7"/>
  <c r="DG128" i="7"/>
  <c r="DH128" i="7"/>
  <c r="DI128" i="7"/>
  <c r="DJ128" i="7"/>
  <c r="DK128" i="7"/>
  <c r="DL128" i="7"/>
  <c r="DM128" i="7"/>
  <c r="DN128" i="7"/>
  <c r="DO128" i="7"/>
  <c r="DP128" i="7"/>
  <c r="DQ128" i="7"/>
  <c r="DR128" i="7"/>
  <c r="DS128" i="7"/>
  <c r="DT128" i="7"/>
  <c r="DU128" i="7"/>
  <c r="DV128" i="7"/>
  <c r="DW128" i="7"/>
  <c r="DX128" i="7"/>
  <c r="DY128" i="7"/>
  <c r="DZ128" i="7"/>
  <c r="EA128" i="7"/>
  <c r="EB128" i="7"/>
  <c r="EC128" i="7"/>
  <c r="ED128" i="7"/>
  <c r="EE128" i="7"/>
  <c r="EF128" i="7"/>
  <c r="EG128" i="7"/>
  <c r="EH128" i="7"/>
  <c r="EI128" i="7"/>
  <c r="EJ128" i="7"/>
  <c r="EK128" i="7"/>
  <c r="EL128" i="7"/>
  <c r="EM128" i="7"/>
  <c r="EN128" i="7"/>
  <c r="EO128" i="7"/>
  <c r="EP128" i="7"/>
  <c r="EQ128" i="7"/>
  <c r="ER128" i="7"/>
  <c r="ES128" i="7"/>
  <c r="ET128" i="7"/>
  <c r="EU128" i="7"/>
  <c r="EV128" i="7"/>
  <c r="EW128" i="7"/>
  <c r="EX128" i="7"/>
  <c r="EY128" i="7"/>
  <c r="EZ128" i="7"/>
  <c r="FA128" i="7"/>
  <c r="FB128" i="7"/>
  <c r="FC128" i="7"/>
  <c r="FD128" i="7"/>
  <c r="FE128" i="7"/>
  <c r="FF128" i="7"/>
  <c r="FG128" i="7"/>
  <c r="FH128" i="7"/>
  <c r="FI128" i="7"/>
  <c r="FJ128" i="7"/>
  <c r="FK128" i="7"/>
  <c r="FL128" i="7"/>
  <c r="FM128" i="7"/>
  <c r="FN128" i="7"/>
  <c r="FO128" i="7"/>
  <c r="FP128" i="7"/>
  <c r="FQ128" i="7"/>
  <c r="FR128" i="7"/>
  <c r="FS128" i="7"/>
  <c r="FT128" i="7"/>
  <c r="FU128" i="7"/>
  <c r="FV128" i="7"/>
  <c r="FW128" i="7"/>
  <c r="FX128" i="7"/>
  <c r="FY128" i="7"/>
  <c r="FZ128" i="7"/>
  <c r="GA128" i="7"/>
  <c r="GB128" i="7"/>
  <c r="GC128" i="7"/>
  <c r="GD128" i="7"/>
  <c r="GE128" i="7"/>
  <c r="GF128" i="7"/>
  <c r="GG128" i="7"/>
  <c r="GH128" i="7"/>
  <c r="GI128" i="7"/>
  <c r="GJ128" i="7"/>
  <c r="GK128" i="7"/>
  <c r="GL128" i="7"/>
  <c r="GM128" i="7"/>
  <c r="GN128" i="7"/>
  <c r="GO128" i="7"/>
  <c r="GP128" i="7"/>
  <c r="GQ128" i="7"/>
  <c r="GR128" i="7"/>
  <c r="GS128" i="7"/>
  <c r="GT128" i="7"/>
  <c r="GU128" i="7"/>
  <c r="GV128" i="7"/>
  <c r="GW128" i="7"/>
  <c r="GX128" i="7"/>
  <c r="GY128" i="7"/>
  <c r="GZ128" i="7"/>
  <c r="HA128" i="7"/>
  <c r="HB128" i="7"/>
  <c r="HC128" i="7"/>
  <c r="HD128" i="7"/>
  <c r="HE128" i="7"/>
  <c r="HF128" i="7"/>
  <c r="HG128" i="7"/>
  <c r="HH128" i="7"/>
  <c r="HI128" i="7"/>
  <c r="HJ128" i="7"/>
  <c r="HK128" i="7"/>
  <c r="HL128" i="7"/>
  <c r="HM128" i="7"/>
  <c r="HN128" i="7"/>
  <c r="HO128" i="7"/>
  <c r="HP128" i="7"/>
  <c r="HQ128" i="7"/>
  <c r="HR128" i="7"/>
  <c r="HS128" i="7"/>
  <c r="HT128" i="7"/>
  <c r="HU128" i="7"/>
  <c r="HV128" i="7"/>
  <c r="HW128" i="7"/>
  <c r="HX128" i="7"/>
  <c r="HY128" i="7"/>
  <c r="HZ128" i="7"/>
  <c r="IA128" i="7"/>
  <c r="IB128" i="7"/>
  <c r="IC128" i="7"/>
  <c r="ID128" i="7"/>
  <c r="IE128" i="7"/>
  <c r="IF128" i="7"/>
  <c r="IG128" i="7"/>
  <c r="IH128" i="7"/>
  <c r="II128" i="7"/>
  <c r="IJ128" i="7"/>
  <c r="IK128" i="7"/>
  <c r="IL128" i="7"/>
  <c r="IM128" i="7"/>
  <c r="IN128" i="7"/>
  <c r="IO128" i="7"/>
  <c r="IP128" i="7"/>
  <c r="IQ128" i="7"/>
  <c r="IR128" i="7"/>
  <c r="IS128" i="7"/>
  <c r="IT128" i="7"/>
  <c r="IU128" i="7"/>
  <c r="IV128" i="7"/>
  <c r="A127" i="7"/>
  <c r="B127" i="7"/>
  <c r="C127" i="7"/>
  <c r="D127" i="7"/>
  <c r="E127" i="7"/>
  <c r="F127" i="7"/>
  <c r="G127" i="7"/>
  <c r="H127" i="7"/>
  <c r="I127" i="7"/>
  <c r="J127" i="7"/>
  <c r="K127" i="7"/>
  <c r="L127" i="7"/>
  <c r="M127" i="7"/>
  <c r="N127" i="7"/>
  <c r="O127" i="7"/>
  <c r="P127" i="7"/>
  <c r="Q127" i="7"/>
  <c r="R127" i="7"/>
  <c r="S127" i="7"/>
  <c r="T127" i="7"/>
  <c r="U127" i="7"/>
  <c r="V127" i="7"/>
  <c r="W127" i="7"/>
  <c r="X127" i="7"/>
  <c r="Y127" i="7"/>
  <c r="Z127" i="7"/>
  <c r="AA127" i="7"/>
  <c r="AB127" i="7"/>
  <c r="AC127" i="7"/>
  <c r="AD127" i="7"/>
  <c r="AE127" i="7"/>
  <c r="AF127" i="7"/>
  <c r="AG127" i="7"/>
  <c r="AH127" i="7"/>
  <c r="AI127" i="7"/>
  <c r="AJ127" i="7"/>
  <c r="AK127" i="7"/>
  <c r="AL127" i="7"/>
  <c r="AM127" i="7"/>
  <c r="AN127" i="7"/>
  <c r="AO127" i="7"/>
  <c r="AP127" i="7"/>
  <c r="AQ127" i="7"/>
  <c r="AR127" i="7"/>
  <c r="AS127" i="7"/>
  <c r="AT127" i="7"/>
  <c r="AU127" i="7"/>
  <c r="AV127" i="7"/>
  <c r="AW127" i="7"/>
  <c r="AX127" i="7"/>
  <c r="AY127" i="7"/>
  <c r="AZ127" i="7"/>
  <c r="BA127" i="7"/>
  <c r="BB127" i="7"/>
  <c r="BC127" i="7"/>
  <c r="BD127" i="7"/>
  <c r="BE127" i="7"/>
  <c r="BF127" i="7"/>
  <c r="BG127" i="7"/>
  <c r="BH127" i="7"/>
  <c r="BI127" i="7"/>
  <c r="BJ127" i="7"/>
  <c r="BK127" i="7"/>
  <c r="BL127" i="7"/>
  <c r="BM127" i="7"/>
  <c r="BN127" i="7"/>
  <c r="BO127" i="7"/>
  <c r="BP127" i="7"/>
  <c r="BQ127" i="7"/>
  <c r="BR127" i="7"/>
  <c r="BS127" i="7"/>
  <c r="BT127" i="7"/>
  <c r="BU127" i="7"/>
  <c r="BV127" i="7"/>
  <c r="BW127" i="7"/>
  <c r="BX127" i="7"/>
  <c r="BY127" i="7"/>
  <c r="BZ127" i="7"/>
  <c r="CA127" i="7"/>
  <c r="CB127" i="7"/>
  <c r="CC127" i="7"/>
  <c r="CD127" i="7"/>
  <c r="CE127" i="7"/>
  <c r="CF127" i="7"/>
  <c r="CG127" i="7"/>
  <c r="CH127" i="7"/>
  <c r="CI127" i="7"/>
  <c r="CJ127" i="7"/>
  <c r="CK127" i="7"/>
  <c r="CL127" i="7"/>
  <c r="CM127" i="7"/>
  <c r="CN127" i="7"/>
  <c r="CO127" i="7"/>
  <c r="CP127" i="7"/>
  <c r="CQ127" i="7"/>
  <c r="CR127" i="7"/>
  <c r="CS127" i="7"/>
  <c r="CT127" i="7"/>
  <c r="CU127" i="7"/>
  <c r="CV127" i="7"/>
  <c r="CW127" i="7"/>
  <c r="CX127" i="7"/>
  <c r="CY127" i="7"/>
  <c r="CZ127" i="7"/>
  <c r="DA127" i="7"/>
  <c r="DB127" i="7"/>
  <c r="DC127" i="7"/>
  <c r="DD127" i="7"/>
  <c r="DE127" i="7"/>
  <c r="DF127" i="7"/>
  <c r="DG127" i="7"/>
  <c r="DH127" i="7"/>
  <c r="DI127" i="7"/>
  <c r="DJ127" i="7"/>
  <c r="DK127" i="7"/>
  <c r="DL127" i="7"/>
  <c r="DM127" i="7"/>
  <c r="DN127" i="7"/>
  <c r="DO127" i="7"/>
  <c r="DP127" i="7"/>
  <c r="DQ127" i="7"/>
  <c r="DR127" i="7"/>
  <c r="DS127" i="7"/>
  <c r="DT127" i="7"/>
  <c r="DU127" i="7"/>
  <c r="DV127" i="7"/>
  <c r="DW127" i="7"/>
  <c r="DX127" i="7"/>
  <c r="DY127" i="7"/>
  <c r="DZ127" i="7"/>
  <c r="EA127" i="7"/>
  <c r="EB127" i="7"/>
  <c r="EC127" i="7"/>
  <c r="ED127" i="7"/>
  <c r="EE127" i="7"/>
  <c r="EF127" i="7"/>
  <c r="EG127" i="7"/>
  <c r="EH127" i="7"/>
  <c r="EI127" i="7"/>
  <c r="EJ127" i="7"/>
  <c r="EK127" i="7"/>
  <c r="EL127" i="7"/>
  <c r="EM127" i="7"/>
  <c r="EN127" i="7"/>
  <c r="EO127" i="7"/>
  <c r="EP127" i="7"/>
  <c r="EQ127" i="7"/>
  <c r="ER127" i="7"/>
  <c r="ES127" i="7"/>
  <c r="ET127" i="7"/>
  <c r="EU127" i="7"/>
  <c r="EV127" i="7"/>
  <c r="EW127" i="7"/>
  <c r="EX127" i="7"/>
  <c r="EY127" i="7"/>
  <c r="EZ127" i="7"/>
  <c r="FA127" i="7"/>
  <c r="FB127" i="7"/>
  <c r="FC127" i="7"/>
  <c r="FD127" i="7"/>
  <c r="FE127" i="7"/>
  <c r="FF127" i="7"/>
  <c r="FG127" i="7"/>
  <c r="FH127" i="7"/>
  <c r="FI127" i="7"/>
  <c r="FJ127" i="7"/>
  <c r="FK127" i="7"/>
  <c r="FL127" i="7"/>
  <c r="FM127" i="7"/>
  <c r="FN127" i="7"/>
  <c r="FO127" i="7"/>
  <c r="FP127" i="7"/>
  <c r="FQ127" i="7"/>
  <c r="FR127" i="7"/>
  <c r="FS127" i="7"/>
  <c r="FT127" i="7"/>
  <c r="FU127" i="7"/>
  <c r="FV127" i="7"/>
  <c r="FW127" i="7"/>
  <c r="FX127" i="7"/>
  <c r="FY127" i="7"/>
  <c r="FZ127" i="7"/>
  <c r="GA127" i="7"/>
  <c r="GB127" i="7"/>
  <c r="GC127" i="7"/>
  <c r="GD127" i="7"/>
  <c r="GE127" i="7"/>
  <c r="GF127" i="7"/>
  <c r="GG127" i="7"/>
  <c r="GH127" i="7"/>
  <c r="GI127" i="7"/>
  <c r="GJ127" i="7"/>
  <c r="GK127" i="7"/>
  <c r="GL127" i="7"/>
  <c r="GM127" i="7"/>
  <c r="GN127" i="7"/>
  <c r="GO127" i="7"/>
  <c r="GP127" i="7"/>
  <c r="GQ127" i="7"/>
  <c r="GR127" i="7"/>
  <c r="GS127" i="7"/>
  <c r="GT127" i="7"/>
  <c r="GU127" i="7"/>
  <c r="GV127" i="7"/>
  <c r="GW127" i="7"/>
  <c r="GX127" i="7"/>
  <c r="GY127" i="7"/>
  <c r="GZ127" i="7"/>
  <c r="HA127" i="7"/>
  <c r="HB127" i="7"/>
  <c r="HC127" i="7"/>
  <c r="HD127" i="7"/>
  <c r="HE127" i="7"/>
  <c r="HF127" i="7"/>
  <c r="HG127" i="7"/>
  <c r="HH127" i="7"/>
  <c r="HI127" i="7"/>
  <c r="HJ127" i="7"/>
  <c r="HK127" i="7"/>
  <c r="HL127" i="7"/>
  <c r="HM127" i="7"/>
  <c r="HN127" i="7"/>
  <c r="HO127" i="7"/>
  <c r="HP127" i="7"/>
  <c r="HQ127" i="7"/>
  <c r="HR127" i="7"/>
  <c r="HS127" i="7"/>
  <c r="HT127" i="7"/>
  <c r="HU127" i="7"/>
  <c r="HV127" i="7"/>
  <c r="HW127" i="7"/>
  <c r="HX127" i="7"/>
  <c r="HY127" i="7"/>
  <c r="HZ127" i="7"/>
  <c r="IA127" i="7"/>
  <c r="IB127" i="7"/>
  <c r="IC127" i="7"/>
  <c r="ID127" i="7"/>
  <c r="IE127" i="7"/>
  <c r="IF127" i="7"/>
  <c r="IG127" i="7"/>
  <c r="IH127" i="7"/>
  <c r="II127" i="7"/>
  <c r="IJ127" i="7"/>
  <c r="IK127" i="7"/>
  <c r="IL127" i="7"/>
  <c r="IM127" i="7"/>
  <c r="IN127" i="7"/>
  <c r="IO127" i="7"/>
  <c r="IP127" i="7"/>
  <c r="IQ127" i="7"/>
  <c r="IR127" i="7"/>
  <c r="IS127" i="7"/>
  <c r="IT127" i="7"/>
  <c r="IU127" i="7"/>
  <c r="IV127" i="7"/>
  <c r="A126" i="7"/>
  <c r="B126" i="7"/>
  <c r="C126" i="7"/>
  <c r="D126" i="7"/>
  <c r="E126" i="7"/>
  <c r="F126" i="7"/>
  <c r="G126" i="7"/>
  <c r="H126" i="7"/>
  <c r="I126" i="7"/>
  <c r="J126" i="7"/>
  <c r="K126" i="7"/>
  <c r="L126" i="7"/>
  <c r="M126" i="7"/>
  <c r="N126" i="7"/>
  <c r="O126" i="7"/>
  <c r="P126" i="7"/>
  <c r="Q126" i="7"/>
  <c r="R126" i="7"/>
  <c r="S126" i="7"/>
  <c r="T126" i="7"/>
  <c r="U126" i="7"/>
  <c r="V126" i="7"/>
  <c r="W126" i="7"/>
  <c r="X126" i="7"/>
  <c r="Y126" i="7"/>
  <c r="Z126" i="7"/>
  <c r="AA126" i="7"/>
  <c r="AB126" i="7"/>
  <c r="AC126" i="7"/>
  <c r="AD126" i="7"/>
  <c r="AE126" i="7"/>
  <c r="AF126" i="7"/>
  <c r="AG126" i="7"/>
  <c r="AH126" i="7"/>
  <c r="AI126" i="7"/>
  <c r="AJ126" i="7"/>
  <c r="AK126" i="7"/>
  <c r="AL126" i="7"/>
  <c r="AM126" i="7"/>
  <c r="AN126" i="7"/>
  <c r="AO126" i="7"/>
  <c r="AP126" i="7"/>
  <c r="AQ126" i="7"/>
  <c r="AR126" i="7"/>
  <c r="AS126" i="7"/>
  <c r="AT126" i="7"/>
  <c r="AU126" i="7"/>
  <c r="AV126" i="7"/>
  <c r="AW126" i="7"/>
  <c r="AX126" i="7"/>
  <c r="AY126" i="7"/>
  <c r="AZ126" i="7"/>
  <c r="BA126" i="7"/>
  <c r="BB126" i="7"/>
  <c r="BC126" i="7"/>
  <c r="BD126" i="7"/>
  <c r="BE126" i="7"/>
  <c r="BF126" i="7"/>
  <c r="BG126" i="7"/>
  <c r="BH126" i="7"/>
  <c r="BI126" i="7"/>
  <c r="BJ126" i="7"/>
  <c r="BK126" i="7"/>
  <c r="BL126" i="7"/>
  <c r="BM126" i="7"/>
  <c r="BN126" i="7"/>
  <c r="BO126" i="7"/>
  <c r="BP126" i="7"/>
  <c r="BQ126" i="7"/>
  <c r="BR126" i="7"/>
  <c r="BS126" i="7"/>
  <c r="BT126" i="7"/>
  <c r="BU126" i="7"/>
  <c r="BV126" i="7"/>
  <c r="BW126" i="7"/>
  <c r="BX126" i="7"/>
  <c r="BY126" i="7"/>
  <c r="BZ126" i="7"/>
  <c r="CA126" i="7"/>
  <c r="CB126" i="7"/>
  <c r="CC126" i="7"/>
  <c r="CD126" i="7"/>
  <c r="CE126" i="7"/>
  <c r="CF126" i="7"/>
  <c r="CG126" i="7"/>
  <c r="CH126" i="7"/>
  <c r="CI126" i="7"/>
  <c r="CJ126" i="7"/>
  <c r="CK126" i="7"/>
  <c r="CL126" i="7"/>
  <c r="CM126" i="7"/>
  <c r="CN126" i="7"/>
  <c r="CO126" i="7"/>
  <c r="CP126" i="7"/>
  <c r="CQ126" i="7"/>
  <c r="CR126" i="7"/>
  <c r="CS126" i="7"/>
  <c r="CT126" i="7"/>
  <c r="CU126" i="7"/>
  <c r="CV126" i="7"/>
  <c r="CW126" i="7"/>
  <c r="CX126" i="7"/>
  <c r="CY126" i="7"/>
  <c r="CZ126" i="7"/>
  <c r="DA126" i="7"/>
  <c r="DB126" i="7"/>
  <c r="DC126" i="7"/>
  <c r="DD126" i="7"/>
  <c r="DE126" i="7"/>
  <c r="DF126" i="7"/>
  <c r="DG126" i="7"/>
  <c r="DH126" i="7"/>
  <c r="DI126" i="7"/>
  <c r="DJ126" i="7"/>
  <c r="DK126" i="7"/>
  <c r="DL126" i="7"/>
  <c r="DM126" i="7"/>
  <c r="DN126" i="7"/>
  <c r="DO126" i="7"/>
  <c r="DP126" i="7"/>
  <c r="DQ126" i="7"/>
  <c r="DR126" i="7"/>
  <c r="DS126" i="7"/>
  <c r="DT126" i="7"/>
  <c r="DU126" i="7"/>
  <c r="DV126" i="7"/>
  <c r="DW126" i="7"/>
  <c r="DX126" i="7"/>
  <c r="DY126" i="7"/>
  <c r="DZ126" i="7"/>
  <c r="EA126" i="7"/>
  <c r="EB126" i="7"/>
  <c r="EC126" i="7"/>
  <c r="ED126" i="7"/>
  <c r="EE126" i="7"/>
  <c r="EF126" i="7"/>
  <c r="EG126" i="7"/>
  <c r="EH126" i="7"/>
  <c r="EI126" i="7"/>
  <c r="EJ126" i="7"/>
  <c r="EK126" i="7"/>
  <c r="EL126" i="7"/>
  <c r="EM126" i="7"/>
  <c r="EN126" i="7"/>
  <c r="EO126" i="7"/>
  <c r="EP126" i="7"/>
  <c r="EQ126" i="7"/>
  <c r="ER126" i="7"/>
  <c r="ES126" i="7"/>
  <c r="ET126" i="7"/>
  <c r="EU126" i="7"/>
  <c r="EV126" i="7"/>
  <c r="EW126" i="7"/>
  <c r="EX126" i="7"/>
  <c r="EY126" i="7"/>
  <c r="EZ126" i="7"/>
  <c r="FA126" i="7"/>
  <c r="FB126" i="7"/>
  <c r="FC126" i="7"/>
  <c r="FD126" i="7"/>
  <c r="FE126" i="7"/>
  <c r="FF126" i="7"/>
  <c r="FG126" i="7"/>
  <c r="FH126" i="7"/>
  <c r="FI126" i="7"/>
  <c r="FJ126" i="7"/>
  <c r="FK126" i="7"/>
  <c r="FL126" i="7"/>
  <c r="FM126" i="7"/>
  <c r="FN126" i="7"/>
  <c r="FO126" i="7"/>
  <c r="FP126" i="7"/>
  <c r="FQ126" i="7"/>
  <c r="FR126" i="7"/>
  <c r="FS126" i="7"/>
  <c r="FT126" i="7"/>
  <c r="FU126" i="7"/>
  <c r="FV126" i="7"/>
  <c r="FW126" i="7"/>
  <c r="FX126" i="7"/>
  <c r="FY126" i="7"/>
  <c r="FZ126" i="7"/>
  <c r="GA126" i="7"/>
  <c r="GB126" i="7"/>
  <c r="GC126" i="7"/>
  <c r="GD126" i="7"/>
  <c r="GE126" i="7"/>
  <c r="GF126" i="7"/>
  <c r="GG126" i="7"/>
  <c r="GH126" i="7"/>
  <c r="GI126" i="7"/>
  <c r="GJ126" i="7"/>
  <c r="GK126" i="7"/>
  <c r="GL126" i="7"/>
  <c r="GM126" i="7"/>
  <c r="GN126" i="7"/>
  <c r="GO126" i="7"/>
  <c r="GP126" i="7"/>
  <c r="GQ126" i="7"/>
  <c r="GR126" i="7"/>
  <c r="GS126" i="7"/>
  <c r="GT126" i="7"/>
  <c r="GU126" i="7"/>
  <c r="GV126" i="7"/>
  <c r="GW126" i="7"/>
  <c r="GX126" i="7"/>
  <c r="GY126" i="7"/>
  <c r="GZ126" i="7"/>
  <c r="HA126" i="7"/>
  <c r="HB126" i="7"/>
  <c r="HC126" i="7"/>
  <c r="HD126" i="7"/>
  <c r="HE126" i="7"/>
  <c r="HF126" i="7"/>
  <c r="HG126" i="7"/>
  <c r="HH126" i="7"/>
  <c r="HI126" i="7"/>
  <c r="HJ126" i="7"/>
  <c r="HK126" i="7"/>
  <c r="HL126" i="7"/>
  <c r="HM126" i="7"/>
  <c r="HN126" i="7"/>
  <c r="HO126" i="7"/>
  <c r="HP126" i="7"/>
  <c r="HQ126" i="7"/>
  <c r="HR126" i="7"/>
  <c r="HS126" i="7"/>
  <c r="HT126" i="7"/>
  <c r="HU126" i="7"/>
  <c r="HV126" i="7"/>
  <c r="HW126" i="7"/>
  <c r="HX126" i="7"/>
  <c r="HY126" i="7"/>
  <c r="HZ126" i="7"/>
  <c r="IA126" i="7"/>
  <c r="IB126" i="7"/>
  <c r="IC126" i="7"/>
  <c r="ID126" i="7"/>
  <c r="IE126" i="7"/>
  <c r="IF126" i="7"/>
  <c r="IG126" i="7"/>
  <c r="IH126" i="7"/>
  <c r="II126" i="7"/>
  <c r="IJ126" i="7"/>
  <c r="IK126" i="7"/>
  <c r="IL126" i="7"/>
  <c r="IM126" i="7"/>
  <c r="IN126" i="7"/>
  <c r="IO126" i="7"/>
  <c r="IP126" i="7"/>
  <c r="IQ126" i="7"/>
  <c r="IR126" i="7"/>
  <c r="IS126" i="7"/>
  <c r="IT126" i="7"/>
  <c r="IU126" i="7"/>
  <c r="IV126" i="7"/>
  <c r="A125" i="7"/>
  <c r="B125" i="7"/>
  <c r="C125" i="7"/>
  <c r="D125" i="7"/>
  <c r="E125" i="7"/>
  <c r="F125" i="7"/>
  <c r="G125" i="7"/>
  <c r="H125" i="7"/>
  <c r="I125" i="7"/>
  <c r="J125" i="7"/>
  <c r="K125" i="7"/>
  <c r="L125" i="7"/>
  <c r="M125" i="7"/>
  <c r="N125" i="7"/>
  <c r="O125" i="7"/>
  <c r="P125" i="7"/>
  <c r="Q125" i="7"/>
  <c r="R125" i="7"/>
  <c r="S125" i="7"/>
  <c r="T125" i="7"/>
  <c r="U125" i="7"/>
  <c r="V125" i="7"/>
  <c r="W125" i="7"/>
  <c r="X125" i="7"/>
  <c r="Y125" i="7"/>
  <c r="Z125" i="7"/>
  <c r="AA125" i="7"/>
  <c r="AB125" i="7"/>
  <c r="AC125" i="7"/>
  <c r="AD125" i="7"/>
  <c r="AE125" i="7"/>
  <c r="AF125" i="7"/>
  <c r="AG125" i="7"/>
  <c r="AH125" i="7"/>
  <c r="AI125" i="7"/>
  <c r="AJ125" i="7"/>
  <c r="AK125" i="7"/>
  <c r="AL125" i="7"/>
  <c r="AM125" i="7"/>
  <c r="AN125" i="7"/>
  <c r="AO125" i="7"/>
  <c r="AP125" i="7"/>
  <c r="AQ125" i="7"/>
  <c r="AR125" i="7"/>
  <c r="AS125" i="7"/>
  <c r="AT125" i="7"/>
  <c r="AU125" i="7"/>
  <c r="AV125" i="7"/>
  <c r="AW125" i="7"/>
  <c r="AX125" i="7"/>
  <c r="AY125" i="7"/>
  <c r="AZ125" i="7"/>
  <c r="BA125" i="7"/>
  <c r="BB125" i="7"/>
  <c r="BC125" i="7"/>
  <c r="BD125" i="7"/>
  <c r="BE125" i="7"/>
  <c r="BF125" i="7"/>
  <c r="BG125" i="7"/>
  <c r="BH125" i="7"/>
  <c r="BI125" i="7"/>
  <c r="BJ125" i="7"/>
  <c r="BK125" i="7"/>
  <c r="BL125" i="7"/>
  <c r="BM125" i="7"/>
  <c r="BN125" i="7"/>
  <c r="BO125" i="7"/>
  <c r="BP125" i="7"/>
  <c r="BQ125" i="7"/>
  <c r="BR125" i="7"/>
  <c r="BS125" i="7"/>
  <c r="BT125" i="7"/>
  <c r="BU125" i="7"/>
  <c r="BV125" i="7"/>
  <c r="BW125" i="7"/>
  <c r="BX125" i="7"/>
  <c r="BY125" i="7"/>
  <c r="BZ125" i="7"/>
  <c r="CA125" i="7"/>
  <c r="CB125" i="7"/>
  <c r="CC125" i="7"/>
  <c r="CD125" i="7"/>
  <c r="CE125" i="7"/>
  <c r="CF125" i="7"/>
  <c r="CG125" i="7"/>
  <c r="CH125" i="7"/>
  <c r="CI125" i="7"/>
  <c r="CJ125" i="7"/>
  <c r="CK125" i="7"/>
  <c r="CL125" i="7"/>
  <c r="CM125" i="7"/>
  <c r="CN125" i="7"/>
  <c r="CO125" i="7"/>
  <c r="CP125" i="7"/>
  <c r="CQ125" i="7"/>
  <c r="CR125" i="7"/>
  <c r="CS125" i="7"/>
  <c r="CT125" i="7"/>
  <c r="CU125" i="7"/>
  <c r="CV125" i="7"/>
  <c r="CW125" i="7"/>
  <c r="CX125" i="7"/>
  <c r="CY125" i="7"/>
  <c r="CZ125" i="7"/>
  <c r="DA125" i="7"/>
  <c r="DB125" i="7"/>
  <c r="DC125" i="7"/>
  <c r="DD125" i="7"/>
  <c r="DE125" i="7"/>
  <c r="DF125" i="7"/>
  <c r="DG125" i="7"/>
  <c r="DH125" i="7"/>
  <c r="DI125" i="7"/>
  <c r="DJ125" i="7"/>
  <c r="DK125" i="7"/>
  <c r="DL125" i="7"/>
  <c r="DM125" i="7"/>
  <c r="DN125" i="7"/>
  <c r="DO125" i="7"/>
  <c r="DP125" i="7"/>
  <c r="DQ125" i="7"/>
  <c r="DR125" i="7"/>
  <c r="DS125" i="7"/>
  <c r="DT125" i="7"/>
  <c r="DU125" i="7"/>
  <c r="DV125" i="7"/>
  <c r="DW125" i="7"/>
  <c r="DX125" i="7"/>
  <c r="DY125" i="7"/>
  <c r="DZ125" i="7"/>
  <c r="EA125" i="7"/>
  <c r="EB125" i="7"/>
  <c r="EC125" i="7"/>
  <c r="ED125" i="7"/>
  <c r="EE125" i="7"/>
  <c r="EF125" i="7"/>
  <c r="EG125" i="7"/>
  <c r="EH125" i="7"/>
  <c r="EI125" i="7"/>
  <c r="EJ125" i="7"/>
  <c r="EK125" i="7"/>
  <c r="EL125" i="7"/>
  <c r="EM125" i="7"/>
  <c r="EN125" i="7"/>
  <c r="EO125" i="7"/>
  <c r="EP125" i="7"/>
  <c r="EQ125" i="7"/>
  <c r="ER125" i="7"/>
  <c r="ES125" i="7"/>
  <c r="ET125" i="7"/>
  <c r="EU125" i="7"/>
  <c r="EV125" i="7"/>
  <c r="EW125" i="7"/>
  <c r="EX125" i="7"/>
  <c r="EY125" i="7"/>
  <c r="EZ125" i="7"/>
  <c r="FA125" i="7"/>
  <c r="FB125" i="7"/>
  <c r="FC125" i="7"/>
  <c r="FD125" i="7"/>
  <c r="FE125" i="7"/>
  <c r="FF125" i="7"/>
  <c r="FG125" i="7"/>
  <c r="FH125" i="7"/>
  <c r="FI125" i="7"/>
  <c r="FJ125" i="7"/>
  <c r="FK125" i="7"/>
  <c r="FL125" i="7"/>
  <c r="FM125" i="7"/>
  <c r="FN125" i="7"/>
  <c r="FO125" i="7"/>
  <c r="FP125" i="7"/>
  <c r="FQ125" i="7"/>
  <c r="FR125" i="7"/>
  <c r="FS125" i="7"/>
  <c r="FT125" i="7"/>
  <c r="FU125" i="7"/>
  <c r="FV125" i="7"/>
  <c r="FW125" i="7"/>
  <c r="FX125" i="7"/>
  <c r="FY125" i="7"/>
  <c r="FZ125" i="7"/>
  <c r="GA125" i="7"/>
  <c r="GB125" i="7"/>
  <c r="GC125" i="7"/>
  <c r="GD125" i="7"/>
  <c r="GE125" i="7"/>
  <c r="GF125" i="7"/>
  <c r="GG125" i="7"/>
  <c r="GH125" i="7"/>
  <c r="GI125" i="7"/>
  <c r="GJ125" i="7"/>
  <c r="GK125" i="7"/>
  <c r="GL125" i="7"/>
  <c r="GM125" i="7"/>
  <c r="GN125" i="7"/>
  <c r="GO125" i="7"/>
  <c r="GP125" i="7"/>
  <c r="GQ125" i="7"/>
  <c r="GR125" i="7"/>
  <c r="GS125" i="7"/>
  <c r="GT125" i="7"/>
  <c r="GU125" i="7"/>
  <c r="GV125" i="7"/>
  <c r="GW125" i="7"/>
  <c r="GX125" i="7"/>
  <c r="GY125" i="7"/>
  <c r="GZ125" i="7"/>
  <c r="HA125" i="7"/>
  <c r="HB125" i="7"/>
  <c r="HC125" i="7"/>
  <c r="HD125" i="7"/>
  <c r="HE125" i="7"/>
  <c r="HF125" i="7"/>
  <c r="HG125" i="7"/>
  <c r="HH125" i="7"/>
  <c r="HI125" i="7"/>
  <c r="HJ125" i="7"/>
  <c r="HK125" i="7"/>
  <c r="HL125" i="7"/>
  <c r="HM125" i="7"/>
  <c r="HN125" i="7"/>
  <c r="HO125" i="7"/>
  <c r="HP125" i="7"/>
  <c r="HQ125" i="7"/>
  <c r="HR125" i="7"/>
  <c r="HS125" i="7"/>
  <c r="HT125" i="7"/>
  <c r="HU125" i="7"/>
  <c r="HV125" i="7"/>
  <c r="HW125" i="7"/>
  <c r="HX125" i="7"/>
  <c r="HY125" i="7"/>
  <c r="HZ125" i="7"/>
  <c r="IA125" i="7"/>
  <c r="IB125" i="7"/>
  <c r="IC125" i="7"/>
  <c r="ID125" i="7"/>
  <c r="IE125" i="7"/>
  <c r="IF125" i="7"/>
  <c r="IG125" i="7"/>
  <c r="IH125" i="7"/>
  <c r="II125" i="7"/>
  <c r="IJ125" i="7"/>
  <c r="IK125" i="7"/>
  <c r="IL125" i="7"/>
  <c r="IM125" i="7"/>
  <c r="IN125" i="7"/>
  <c r="IO125" i="7"/>
  <c r="IP125" i="7"/>
  <c r="IQ125" i="7"/>
  <c r="IR125" i="7"/>
  <c r="IS125" i="7"/>
  <c r="IT125" i="7"/>
  <c r="IU125" i="7"/>
  <c r="IV125" i="7"/>
  <c r="A124" i="7"/>
  <c r="B124" i="7"/>
  <c r="C124"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AD124" i="7"/>
  <c r="AE124" i="7"/>
  <c r="AF124" i="7"/>
  <c r="AG124" i="7"/>
  <c r="AH124" i="7"/>
  <c r="AI124" i="7"/>
  <c r="AJ124" i="7"/>
  <c r="AK124" i="7"/>
  <c r="AL124" i="7"/>
  <c r="AM124" i="7"/>
  <c r="AN124" i="7"/>
  <c r="AO124" i="7"/>
  <c r="AP124" i="7"/>
  <c r="AQ124" i="7"/>
  <c r="AR124" i="7"/>
  <c r="AS124" i="7"/>
  <c r="AT124" i="7"/>
  <c r="AU124" i="7"/>
  <c r="AV124" i="7"/>
  <c r="AW124" i="7"/>
  <c r="AX124" i="7"/>
  <c r="AY124" i="7"/>
  <c r="AZ124" i="7"/>
  <c r="BA124" i="7"/>
  <c r="BB124" i="7"/>
  <c r="BC124" i="7"/>
  <c r="BD124" i="7"/>
  <c r="BE124" i="7"/>
  <c r="BF124" i="7"/>
  <c r="BG124" i="7"/>
  <c r="BH124" i="7"/>
  <c r="BI124" i="7"/>
  <c r="BJ124" i="7"/>
  <c r="BK124" i="7"/>
  <c r="BL124" i="7"/>
  <c r="BM124" i="7"/>
  <c r="BN124" i="7"/>
  <c r="BO124" i="7"/>
  <c r="BP124" i="7"/>
  <c r="BQ124" i="7"/>
  <c r="BR124" i="7"/>
  <c r="BS124" i="7"/>
  <c r="BT124" i="7"/>
  <c r="BU124" i="7"/>
  <c r="BV124" i="7"/>
  <c r="BW124" i="7"/>
  <c r="BX124" i="7"/>
  <c r="BY124" i="7"/>
  <c r="BZ124" i="7"/>
  <c r="CA124" i="7"/>
  <c r="CB124" i="7"/>
  <c r="CC124" i="7"/>
  <c r="CD124" i="7"/>
  <c r="CE124" i="7"/>
  <c r="CF124" i="7"/>
  <c r="CG124" i="7"/>
  <c r="CH124" i="7"/>
  <c r="CI124" i="7"/>
  <c r="CJ124" i="7"/>
  <c r="CK124" i="7"/>
  <c r="CL124" i="7"/>
  <c r="CM124" i="7"/>
  <c r="CN124" i="7"/>
  <c r="CO124" i="7"/>
  <c r="CP124" i="7"/>
  <c r="CQ124" i="7"/>
  <c r="CR124" i="7"/>
  <c r="CS124" i="7"/>
  <c r="CT124" i="7"/>
  <c r="CU124" i="7"/>
  <c r="CV124" i="7"/>
  <c r="CW124" i="7"/>
  <c r="CX124" i="7"/>
  <c r="CY124" i="7"/>
  <c r="CZ124" i="7"/>
  <c r="DA124" i="7"/>
  <c r="DB124" i="7"/>
  <c r="DC124" i="7"/>
  <c r="DD124" i="7"/>
  <c r="DE124" i="7"/>
  <c r="DF124" i="7"/>
  <c r="DG124" i="7"/>
  <c r="DH124" i="7"/>
  <c r="DI124" i="7"/>
  <c r="DJ124" i="7"/>
  <c r="DK124" i="7"/>
  <c r="DL124" i="7"/>
  <c r="DM124" i="7"/>
  <c r="DN124" i="7"/>
  <c r="DO124" i="7"/>
  <c r="DP124" i="7"/>
  <c r="DQ124" i="7"/>
  <c r="DR124" i="7"/>
  <c r="DS124" i="7"/>
  <c r="DT124" i="7"/>
  <c r="DU124" i="7"/>
  <c r="DV124" i="7"/>
  <c r="DW124" i="7"/>
  <c r="DX124" i="7"/>
  <c r="DY124" i="7"/>
  <c r="DZ124" i="7"/>
  <c r="EA124" i="7"/>
  <c r="EB124" i="7"/>
  <c r="EC124" i="7"/>
  <c r="ED124" i="7"/>
  <c r="EE124" i="7"/>
  <c r="EF124" i="7"/>
  <c r="EG124" i="7"/>
  <c r="EH124" i="7"/>
  <c r="EI124" i="7"/>
  <c r="EJ124" i="7"/>
  <c r="EK124" i="7"/>
  <c r="EL124" i="7"/>
  <c r="EM124" i="7"/>
  <c r="EN124" i="7"/>
  <c r="EO124" i="7"/>
  <c r="EP124" i="7"/>
  <c r="EQ124" i="7"/>
  <c r="ER124" i="7"/>
  <c r="ES124" i="7"/>
  <c r="ET124" i="7"/>
  <c r="EU124" i="7"/>
  <c r="EV124" i="7"/>
  <c r="EW124" i="7"/>
  <c r="EX124" i="7"/>
  <c r="EY124" i="7"/>
  <c r="EZ124" i="7"/>
  <c r="FA124" i="7"/>
  <c r="FB124" i="7"/>
  <c r="FC124" i="7"/>
  <c r="FD124" i="7"/>
  <c r="FE124" i="7"/>
  <c r="FF124" i="7"/>
  <c r="FG124" i="7"/>
  <c r="FH124" i="7"/>
  <c r="FI124" i="7"/>
  <c r="FJ124" i="7"/>
  <c r="FK124" i="7"/>
  <c r="FL124" i="7"/>
  <c r="FM124" i="7"/>
  <c r="FN124" i="7"/>
  <c r="FO124" i="7"/>
  <c r="FP124" i="7"/>
  <c r="FQ124" i="7"/>
  <c r="FR124" i="7"/>
  <c r="FS124" i="7"/>
  <c r="FT124" i="7"/>
  <c r="FU124" i="7"/>
  <c r="FV124" i="7"/>
  <c r="FW124" i="7"/>
  <c r="FX124" i="7"/>
  <c r="FY124" i="7"/>
  <c r="FZ124" i="7"/>
  <c r="GA124" i="7"/>
  <c r="GB124" i="7"/>
  <c r="GC124" i="7"/>
  <c r="GD124" i="7"/>
  <c r="GE124" i="7"/>
  <c r="GF124" i="7"/>
  <c r="GG124" i="7"/>
  <c r="GH124" i="7"/>
  <c r="GI124" i="7"/>
  <c r="GJ124" i="7"/>
  <c r="GK124" i="7"/>
  <c r="GL124" i="7"/>
  <c r="GM124" i="7"/>
  <c r="GN124" i="7"/>
  <c r="GO124" i="7"/>
  <c r="GP124" i="7"/>
  <c r="GQ124" i="7"/>
  <c r="GR124" i="7"/>
  <c r="GS124" i="7"/>
  <c r="GT124" i="7"/>
  <c r="GU124" i="7"/>
  <c r="GV124" i="7"/>
  <c r="GW124" i="7"/>
  <c r="GX124" i="7"/>
  <c r="GY124" i="7"/>
  <c r="GZ124" i="7"/>
  <c r="HA124" i="7"/>
  <c r="HB124" i="7"/>
  <c r="HC124" i="7"/>
  <c r="HD124" i="7"/>
  <c r="HE124" i="7"/>
  <c r="HF124" i="7"/>
  <c r="HG124" i="7"/>
  <c r="HH124" i="7"/>
  <c r="HI124" i="7"/>
  <c r="HJ124" i="7"/>
  <c r="HK124" i="7"/>
  <c r="HL124" i="7"/>
  <c r="HM124" i="7"/>
  <c r="HN124" i="7"/>
  <c r="HO124" i="7"/>
  <c r="HP124" i="7"/>
  <c r="HQ124" i="7"/>
  <c r="HR124" i="7"/>
  <c r="HS124" i="7"/>
  <c r="HT124" i="7"/>
  <c r="HU124" i="7"/>
  <c r="HV124" i="7"/>
  <c r="HW124" i="7"/>
  <c r="HX124" i="7"/>
  <c r="HY124" i="7"/>
  <c r="HZ124" i="7"/>
  <c r="IA124" i="7"/>
  <c r="IB124" i="7"/>
  <c r="IC124" i="7"/>
  <c r="ID124" i="7"/>
  <c r="IE124" i="7"/>
  <c r="IF124" i="7"/>
  <c r="IG124" i="7"/>
  <c r="IH124" i="7"/>
  <c r="II124" i="7"/>
  <c r="IJ124" i="7"/>
  <c r="IK124" i="7"/>
  <c r="IL124" i="7"/>
  <c r="IM124" i="7"/>
  <c r="IN124" i="7"/>
  <c r="IO124" i="7"/>
  <c r="IP124" i="7"/>
  <c r="IQ124" i="7"/>
  <c r="IR124" i="7"/>
  <c r="IS124" i="7"/>
  <c r="IT124" i="7"/>
  <c r="IU124" i="7"/>
  <c r="IV124" i="7"/>
  <c r="A123" i="7"/>
  <c r="B123" i="7"/>
  <c r="C123"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AD123" i="7"/>
  <c r="AE123" i="7"/>
  <c r="AF123" i="7"/>
  <c r="AG123" i="7"/>
  <c r="AH123" i="7"/>
  <c r="AI123" i="7"/>
  <c r="AJ123" i="7"/>
  <c r="AK123" i="7"/>
  <c r="AL123" i="7"/>
  <c r="AM123" i="7"/>
  <c r="AN123" i="7"/>
  <c r="AO123" i="7"/>
  <c r="AP123" i="7"/>
  <c r="AQ123" i="7"/>
  <c r="AR123" i="7"/>
  <c r="AS123" i="7"/>
  <c r="AT123" i="7"/>
  <c r="AU123" i="7"/>
  <c r="AV123" i="7"/>
  <c r="AW123" i="7"/>
  <c r="AX123" i="7"/>
  <c r="AY123" i="7"/>
  <c r="AZ123" i="7"/>
  <c r="BA123" i="7"/>
  <c r="BB123" i="7"/>
  <c r="BC123" i="7"/>
  <c r="BD123" i="7"/>
  <c r="BE123" i="7"/>
  <c r="BF123" i="7"/>
  <c r="BG123" i="7"/>
  <c r="BH123" i="7"/>
  <c r="BI123" i="7"/>
  <c r="BJ123" i="7"/>
  <c r="BK123" i="7"/>
  <c r="BL123" i="7"/>
  <c r="BM123" i="7"/>
  <c r="BN123" i="7"/>
  <c r="BO123" i="7"/>
  <c r="BP123" i="7"/>
  <c r="BQ123" i="7"/>
  <c r="BR123" i="7"/>
  <c r="BS123" i="7"/>
  <c r="BT123" i="7"/>
  <c r="BU123" i="7"/>
  <c r="BV123" i="7"/>
  <c r="BW123" i="7"/>
  <c r="BX123" i="7"/>
  <c r="BY123" i="7"/>
  <c r="BZ123" i="7"/>
  <c r="CA123" i="7"/>
  <c r="CB123" i="7"/>
  <c r="CC123" i="7"/>
  <c r="CD123" i="7"/>
  <c r="CE123" i="7"/>
  <c r="CF123" i="7"/>
  <c r="CG123" i="7"/>
  <c r="CH123" i="7"/>
  <c r="CI123" i="7"/>
  <c r="CJ123" i="7"/>
  <c r="CK123" i="7"/>
  <c r="CL123" i="7"/>
  <c r="CM123" i="7"/>
  <c r="CN123" i="7"/>
  <c r="CO123" i="7"/>
  <c r="CP123" i="7"/>
  <c r="CQ123" i="7"/>
  <c r="CR123" i="7"/>
  <c r="CS123" i="7"/>
  <c r="CT123" i="7"/>
  <c r="CU123" i="7"/>
  <c r="CV123" i="7"/>
  <c r="CW123" i="7"/>
  <c r="CX123" i="7"/>
  <c r="CY123" i="7"/>
  <c r="CZ123" i="7"/>
  <c r="DA123" i="7"/>
  <c r="DB123" i="7"/>
  <c r="DC123" i="7"/>
  <c r="DD123" i="7"/>
  <c r="DE123" i="7"/>
  <c r="DF123" i="7"/>
  <c r="DG123" i="7"/>
  <c r="DH123" i="7"/>
  <c r="DI123" i="7"/>
  <c r="DJ123" i="7"/>
  <c r="DK123" i="7"/>
  <c r="DL123" i="7"/>
  <c r="DM123" i="7"/>
  <c r="DN123" i="7"/>
  <c r="DO123" i="7"/>
  <c r="DP123" i="7"/>
  <c r="DQ123" i="7"/>
  <c r="DR123" i="7"/>
  <c r="DS123" i="7"/>
  <c r="DT123" i="7"/>
  <c r="DU123" i="7"/>
  <c r="DV123" i="7"/>
  <c r="DW123" i="7"/>
  <c r="DX123" i="7"/>
  <c r="DY123" i="7"/>
  <c r="DZ123" i="7"/>
  <c r="EA123" i="7"/>
  <c r="EB123" i="7"/>
  <c r="EC123" i="7"/>
  <c r="ED123" i="7"/>
  <c r="EE123" i="7"/>
  <c r="EF123" i="7"/>
  <c r="EG123" i="7"/>
  <c r="EH123" i="7"/>
  <c r="EI123" i="7"/>
  <c r="EJ123" i="7"/>
  <c r="EK123" i="7"/>
  <c r="EL123" i="7"/>
  <c r="EM123" i="7"/>
  <c r="EN123" i="7"/>
  <c r="EO123" i="7"/>
  <c r="EP123" i="7"/>
  <c r="EQ123" i="7"/>
  <c r="ER123" i="7"/>
  <c r="ES123" i="7"/>
  <c r="ET123" i="7"/>
  <c r="EU123" i="7"/>
  <c r="EV123" i="7"/>
  <c r="EW123" i="7"/>
  <c r="EX123" i="7"/>
  <c r="EY123" i="7"/>
  <c r="EZ123" i="7"/>
  <c r="FA123" i="7"/>
  <c r="FB123" i="7"/>
  <c r="FC123" i="7"/>
  <c r="FD123" i="7"/>
  <c r="FE123" i="7"/>
  <c r="FF123" i="7"/>
  <c r="FG123" i="7"/>
  <c r="FH123" i="7"/>
  <c r="FI123" i="7"/>
  <c r="FJ123" i="7"/>
  <c r="FK123" i="7"/>
  <c r="FL123" i="7"/>
  <c r="FM123" i="7"/>
  <c r="FN123" i="7"/>
  <c r="FO123" i="7"/>
  <c r="FP123" i="7"/>
  <c r="FQ123" i="7"/>
  <c r="FR123" i="7"/>
  <c r="FS123" i="7"/>
  <c r="FT123" i="7"/>
  <c r="FU123" i="7"/>
  <c r="FV123" i="7"/>
  <c r="FW123" i="7"/>
  <c r="FX123" i="7"/>
  <c r="FY123" i="7"/>
  <c r="FZ123" i="7"/>
  <c r="GA123" i="7"/>
  <c r="GB123" i="7"/>
  <c r="GC123" i="7"/>
  <c r="GD123" i="7"/>
  <c r="GE123" i="7"/>
  <c r="GF123" i="7"/>
  <c r="GG123" i="7"/>
  <c r="GH123" i="7"/>
  <c r="GI123" i="7"/>
  <c r="GJ123" i="7"/>
  <c r="GK123" i="7"/>
  <c r="GL123" i="7"/>
  <c r="GM123" i="7"/>
  <c r="GN123" i="7"/>
  <c r="GO123" i="7"/>
  <c r="GP123" i="7"/>
  <c r="GQ123" i="7"/>
  <c r="GR123" i="7"/>
  <c r="GS123" i="7"/>
  <c r="GT123" i="7"/>
  <c r="GU123" i="7"/>
  <c r="GV123" i="7"/>
  <c r="GW123" i="7"/>
  <c r="GX123" i="7"/>
  <c r="GY123" i="7"/>
  <c r="GZ123" i="7"/>
  <c r="HA123" i="7"/>
  <c r="HB123" i="7"/>
  <c r="HC123" i="7"/>
  <c r="HD123" i="7"/>
  <c r="HE123" i="7"/>
  <c r="HF123" i="7"/>
  <c r="HG123" i="7"/>
  <c r="HH123" i="7"/>
  <c r="HI123" i="7"/>
  <c r="HJ123" i="7"/>
  <c r="HK123" i="7"/>
  <c r="HL123" i="7"/>
  <c r="HM123" i="7"/>
  <c r="HN123" i="7"/>
  <c r="HO123" i="7"/>
  <c r="HP123" i="7"/>
  <c r="HQ123" i="7"/>
  <c r="HR123" i="7"/>
  <c r="HS123" i="7"/>
  <c r="HT123" i="7"/>
  <c r="HU123" i="7"/>
  <c r="HV123" i="7"/>
  <c r="HW123" i="7"/>
  <c r="HX123" i="7"/>
  <c r="HY123" i="7"/>
  <c r="HZ123" i="7"/>
  <c r="IA123" i="7"/>
  <c r="IB123" i="7"/>
  <c r="IC123" i="7"/>
  <c r="ID123" i="7"/>
  <c r="IE123" i="7"/>
  <c r="IF123" i="7"/>
  <c r="IG123" i="7"/>
  <c r="IH123" i="7"/>
  <c r="II123" i="7"/>
  <c r="IJ123" i="7"/>
  <c r="IK123" i="7"/>
  <c r="IL123" i="7"/>
  <c r="IM123" i="7"/>
  <c r="IN123" i="7"/>
  <c r="IO123" i="7"/>
  <c r="IP123" i="7"/>
  <c r="IQ123" i="7"/>
  <c r="IR123" i="7"/>
  <c r="IS123" i="7"/>
  <c r="IT123" i="7"/>
  <c r="IU123" i="7"/>
  <c r="IV123" i="7"/>
  <c r="A122" i="7"/>
  <c r="B122" i="7"/>
  <c r="C122"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AD122" i="7"/>
  <c r="AE122" i="7"/>
  <c r="AF122" i="7"/>
  <c r="AG122" i="7"/>
  <c r="AH122" i="7"/>
  <c r="AI122" i="7"/>
  <c r="AJ122" i="7"/>
  <c r="AK122" i="7"/>
  <c r="AL122" i="7"/>
  <c r="AM122" i="7"/>
  <c r="AN122" i="7"/>
  <c r="AO122" i="7"/>
  <c r="AP122" i="7"/>
  <c r="AQ122" i="7"/>
  <c r="AR122" i="7"/>
  <c r="AS122" i="7"/>
  <c r="AT122" i="7"/>
  <c r="AU122" i="7"/>
  <c r="AV122" i="7"/>
  <c r="AW122" i="7"/>
  <c r="AX122" i="7"/>
  <c r="AY122" i="7"/>
  <c r="AZ122" i="7"/>
  <c r="BA122" i="7"/>
  <c r="BB122" i="7"/>
  <c r="BC122" i="7"/>
  <c r="BD122" i="7"/>
  <c r="BE122" i="7"/>
  <c r="BF122" i="7"/>
  <c r="BG122" i="7"/>
  <c r="BH122" i="7"/>
  <c r="BI122" i="7"/>
  <c r="BJ122" i="7"/>
  <c r="BK122" i="7"/>
  <c r="BL122" i="7"/>
  <c r="BM122" i="7"/>
  <c r="BN122" i="7"/>
  <c r="BO122" i="7"/>
  <c r="BP122" i="7"/>
  <c r="BQ122" i="7"/>
  <c r="BR122" i="7"/>
  <c r="BS122" i="7"/>
  <c r="BT122" i="7"/>
  <c r="BU122" i="7"/>
  <c r="BV122" i="7"/>
  <c r="BW122" i="7"/>
  <c r="BX122" i="7"/>
  <c r="BY122" i="7"/>
  <c r="BZ122" i="7"/>
  <c r="CA122" i="7"/>
  <c r="CB122" i="7"/>
  <c r="CC122" i="7"/>
  <c r="CD122" i="7"/>
  <c r="CE122" i="7"/>
  <c r="CF122" i="7"/>
  <c r="CG122" i="7"/>
  <c r="CH122" i="7"/>
  <c r="CI122" i="7"/>
  <c r="CJ122" i="7"/>
  <c r="CK122" i="7"/>
  <c r="CL122" i="7"/>
  <c r="CM122" i="7"/>
  <c r="CN122" i="7"/>
  <c r="CO122" i="7"/>
  <c r="CP122" i="7"/>
  <c r="CQ122" i="7"/>
  <c r="CR122" i="7"/>
  <c r="CS122" i="7"/>
  <c r="CT122" i="7"/>
  <c r="CU122" i="7"/>
  <c r="CV122" i="7"/>
  <c r="CW122" i="7"/>
  <c r="CX122" i="7"/>
  <c r="CY122" i="7"/>
  <c r="CZ122" i="7"/>
  <c r="DA122" i="7"/>
  <c r="DB122" i="7"/>
  <c r="DC122" i="7"/>
  <c r="DD122" i="7"/>
  <c r="DE122" i="7"/>
  <c r="DF122" i="7"/>
  <c r="DG122" i="7"/>
  <c r="DH122" i="7"/>
  <c r="DI122" i="7"/>
  <c r="DJ122" i="7"/>
  <c r="DK122" i="7"/>
  <c r="DL122" i="7"/>
  <c r="DM122" i="7"/>
  <c r="DN122" i="7"/>
  <c r="DO122" i="7"/>
  <c r="DP122" i="7"/>
  <c r="DQ122" i="7"/>
  <c r="DR122" i="7"/>
  <c r="DS122" i="7"/>
  <c r="DT122" i="7"/>
  <c r="DU122" i="7"/>
  <c r="DV122" i="7"/>
  <c r="DW122" i="7"/>
  <c r="DX122" i="7"/>
  <c r="DY122" i="7"/>
  <c r="DZ122" i="7"/>
  <c r="EA122" i="7"/>
  <c r="EB122" i="7"/>
  <c r="EC122" i="7"/>
  <c r="ED122" i="7"/>
  <c r="EE122" i="7"/>
  <c r="EF122" i="7"/>
  <c r="EG122" i="7"/>
  <c r="EH122" i="7"/>
  <c r="EI122" i="7"/>
  <c r="EJ122" i="7"/>
  <c r="EK122" i="7"/>
  <c r="EL122" i="7"/>
  <c r="EM122" i="7"/>
  <c r="EN122" i="7"/>
  <c r="EO122" i="7"/>
  <c r="EP122" i="7"/>
  <c r="EQ122" i="7"/>
  <c r="ER122" i="7"/>
  <c r="ES122" i="7"/>
  <c r="ET122" i="7"/>
  <c r="EU122" i="7"/>
  <c r="EV122" i="7"/>
  <c r="EW122" i="7"/>
  <c r="EX122" i="7"/>
  <c r="EY122" i="7"/>
  <c r="EZ122" i="7"/>
  <c r="FA122" i="7"/>
  <c r="FB122" i="7"/>
  <c r="FC122" i="7"/>
  <c r="FD122" i="7"/>
  <c r="FE122" i="7"/>
  <c r="FF122" i="7"/>
  <c r="FG122" i="7"/>
  <c r="FH122" i="7"/>
  <c r="FI122" i="7"/>
  <c r="FJ122" i="7"/>
  <c r="FK122" i="7"/>
  <c r="FL122" i="7"/>
  <c r="FM122" i="7"/>
  <c r="FN122" i="7"/>
  <c r="FO122" i="7"/>
  <c r="FP122" i="7"/>
  <c r="FQ122" i="7"/>
  <c r="FR122" i="7"/>
  <c r="FS122" i="7"/>
  <c r="FT122" i="7"/>
  <c r="FU122" i="7"/>
  <c r="FV122" i="7"/>
  <c r="FW122" i="7"/>
  <c r="FX122" i="7"/>
  <c r="FY122" i="7"/>
  <c r="FZ122" i="7"/>
  <c r="GA122" i="7"/>
  <c r="GB122" i="7"/>
  <c r="GC122" i="7"/>
  <c r="GD122" i="7"/>
  <c r="GE122" i="7"/>
  <c r="GF122" i="7"/>
  <c r="GG122" i="7"/>
  <c r="GH122" i="7"/>
  <c r="GI122" i="7"/>
  <c r="GJ122" i="7"/>
  <c r="GK122" i="7"/>
  <c r="GL122" i="7"/>
  <c r="GM122" i="7"/>
  <c r="GN122" i="7"/>
  <c r="GO122" i="7"/>
  <c r="GP122" i="7"/>
  <c r="GQ122" i="7"/>
  <c r="GR122" i="7"/>
  <c r="GS122" i="7"/>
  <c r="GT122" i="7"/>
  <c r="GU122" i="7"/>
  <c r="GV122" i="7"/>
  <c r="GW122" i="7"/>
  <c r="GX122" i="7"/>
  <c r="GY122" i="7"/>
  <c r="GZ122" i="7"/>
  <c r="HA122" i="7"/>
  <c r="HB122" i="7"/>
  <c r="HC122" i="7"/>
  <c r="HD122" i="7"/>
  <c r="HE122" i="7"/>
  <c r="HF122" i="7"/>
  <c r="HG122" i="7"/>
  <c r="HH122" i="7"/>
  <c r="HI122" i="7"/>
  <c r="HJ122" i="7"/>
  <c r="HK122" i="7"/>
  <c r="HL122" i="7"/>
  <c r="HM122" i="7"/>
  <c r="HN122" i="7"/>
  <c r="HO122" i="7"/>
  <c r="HP122" i="7"/>
  <c r="HQ122" i="7"/>
  <c r="HR122" i="7"/>
  <c r="HS122" i="7"/>
  <c r="HT122" i="7"/>
  <c r="HU122" i="7"/>
  <c r="HV122" i="7"/>
  <c r="HW122" i="7"/>
  <c r="HX122" i="7"/>
  <c r="HY122" i="7"/>
  <c r="HZ122" i="7"/>
  <c r="IA122" i="7"/>
  <c r="IB122" i="7"/>
  <c r="IC122" i="7"/>
  <c r="ID122" i="7"/>
  <c r="IE122" i="7"/>
  <c r="IF122" i="7"/>
  <c r="IG122" i="7"/>
  <c r="IH122" i="7"/>
  <c r="II122" i="7"/>
  <c r="IJ122" i="7"/>
  <c r="IK122" i="7"/>
  <c r="IL122" i="7"/>
  <c r="IM122" i="7"/>
  <c r="IN122" i="7"/>
  <c r="IO122" i="7"/>
  <c r="IP122" i="7"/>
  <c r="IQ122" i="7"/>
  <c r="IR122" i="7"/>
  <c r="IS122" i="7"/>
  <c r="IT122" i="7"/>
  <c r="IU122" i="7"/>
  <c r="IV122" i="7"/>
  <c r="A121" i="7"/>
  <c r="B121" i="7"/>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AD121" i="7"/>
  <c r="AE121" i="7"/>
  <c r="AF121" i="7"/>
  <c r="AG121" i="7"/>
  <c r="AH121" i="7"/>
  <c r="AI121" i="7"/>
  <c r="AJ121" i="7"/>
  <c r="AK121" i="7"/>
  <c r="AL121" i="7"/>
  <c r="AM121" i="7"/>
  <c r="AN121" i="7"/>
  <c r="AO121" i="7"/>
  <c r="AP121" i="7"/>
  <c r="AQ121" i="7"/>
  <c r="AR121" i="7"/>
  <c r="AS121" i="7"/>
  <c r="AT121" i="7"/>
  <c r="AU121" i="7"/>
  <c r="AV121" i="7"/>
  <c r="AW121" i="7"/>
  <c r="AX121" i="7"/>
  <c r="AY121" i="7"/>
  <c r="AZ121" i="7"/>
  <c r="BA121" i="7"/>
  <c r="BB121" i="7"/>
  <c r="BC121" i="7"/>
  <c r="BD121" i="7"/>
  <c r="BE121" i="7"/>
  <c r="BF121" i="7"/>
  <c r="BG121" i="7"/>
  <c r="BH121" i="7"/>
  <c r="BI121" i="7"/>
  <c r="BJ121" i="7"/>
  <c r="BK121" i="7"/>
  <c r="BL121" i="7"/>
  <c r="BM121" i="7"/>
  <c r="BN121" i="7"/>
  <c r="BO121" i="7"/>
  <c r="BP121" i="7"/>
  <c r="BQ121" i="7"/>
  <c r="BR121" i="7"/>
  <c r="BS121" i="7"/>
  <c r="BT121" i="7"/>
  <c r="BU121" i="7"/>
  <c r="BV121" i="7"/>
  <c r="BW121" i="7"/>
  <c r="BX121" i="7"/>
  <c r="BY121" i="7"/>
  <c r="BZ121" i="7"/>
  <c r="CA121" i="7"/>
  <c r="CB121" i="7"/>
  <c r="CC121" i="7"/>
  <c r="CD121" i="7"/>
  <c r="CE121" i="7"/>
  <c r="CF121" i="7"/>
  <c r="CG121" i="7"/>
  <c r="CH121" i="7"/>
  <c r="CI121" i="7"/>
  <c r="CJ121" i="7"/>
  <c r="CK121" i="7"/>
  <c r="CL121" i="7"/>
  <c r="CM121" i="7"/>
  <c r="CN121" i="7"/>
  <c r="CO121" i="7"/>
  <c r="CP121" i="7"/>
  <c r="CQ121" i="7"/>
  <c r="CR121" i="7"/>
  <c r="CS121" i="7"/>
  <c r="CT121" i="7"/>
  <c r="CU121" i="7"/>
  <c r="CV121" i="7"/>
  <c r="CW121" i="7"/>
  <c r="CX121" i="7"/>
  <c r="CY121" i="7"/>
  <c r="CZ121" i="7"/>
  <c r="DA121" i="7"/>
  <c r="DB121" i="7"/>
  <c r="DC121" i="7"/>
  <c r="DD121" i="7"/>
  <c r="DE121" i="7"/>
  <c r="DF121" i="7"/>
  <c r="DG121" i="7"/>
  <c r="DH121" i="7"/>
  <c r="DI121" i="7"/>
  <c r="DJ121" i="7"/>
  <c r="DK121" i="7"/>
  <c r="DL121" i="7"/>
  <c r="DM121" i="7"/>
  <c r="DN121" i="7"/>
  <c r="DO121" i="7"/>
  <c r="DP121" i="7"/>
  <c r="DQ121" i="7"/>
  <c r="DR121" i="7"/>
  <c r="DS121" i="7"/>
  <c r="DT121" i="7"/>
  <c r="DU121" i="7"/>
  <c r="DV121" i="7"/>
  <c r="DW121" i="7"/>
  <c r="DX121" i="7"/>
  <c r="DY121" i="7"/>
  <c r="DZ121" i="7"/>
  <c r="EA121" i="7"/>
  <c r="EB121" i="7"/>
  <c r="EC121" i="7"/>
  <c r="ED121" i="7"/>
  <c r="EE121" i="7"/>
  <c r="EF121" i="7"/>
  <c r="EG121" i="7"/>
  <c r="EH121" i="7"/>
  <c r="EI121" i="7"/>
  <c r="EJ121" i="7"/>
  <c r="EK121" i="7"/>
  <c r="EL121" i="7"/>
  <c r="EM121" i="7"/>
  <c r="EN121" i="7"/>
  <c r="EO121" i="7"/>
  <c r="EP121" i="7"/>
  <c r="EQ121" i="7"/>
  <c r="ER121" i="7"/>
  <c r="ES121" i="7"/>
  <c r="ET121" i="7"/>
  <c r="EU121" i="7"/>
  <c r="EV121" i="7"/>
  <c r="EW121" i="7"/>
  <c r="EX121" i="7"/>
  <c r="EY121" i="7"/>
  <c r="EZ121" i="7"/>
  <c r="FA121" i="7"/>
  <c r="FB121" i="7"/>
  <c r="FC121" i="7"/>
  <c r="FD121" i="7"/>
  <c r="FE121" i="7"/>
  <c r="FF121" i="7"/>
  <c r="FG121" i="7"/>
  <c r="FH121" i="7"/>
  <c r="FI121" i="7"/>
  <c r="FJ121" i="7"/>
  <c r="FK121" i="7"/>
  <c r="FL121" i="7"/>
  <c r="FM121" i="7"/>
  <c r="FN121" i="7"/>
  <c r="FO121" i="7"/>
  <c r="FP121" i="7"/>
  <c r="FQ121" i="7"/>
  <c r="FR121" i="7"/>
  <c r="FS121" i="7"/>
  <c r="FT121" i="7"/>
  <c r="FU121" i="7"/>
  <c r="FV121" i="7"/>
  <c r="FW121" i="7"/>
  <c r="FX121" i="7"/>
  <c r="FY121" i="7"/>
  <c r="FZ121" i="7"/>
  <c r="GA121" i="7"/>
  <c r="GB121" i="7"/>
  <c r="GC121" i="7"/>
  <c r="GD121" i="7"/>
  <c r="GE121" i="7"/>
  <c r="GF121" i="7"/>
  <c r="GG121" i="7"/>
  <c r="GH121" i="7"/>
  <c r="GI121" i="7"/>
  <c r="GJ121" i="7"/>
  <c r="GK121" i="7"/>
  <c r="GL121" i="7"/>
  <c r="GM121" i="7"/>
  <c r="GN121" i="7"/>
  <c r="GO121" i="7"/>
  <c r="GP121" i="7"/>
  <c r="GQ121" i="7"/>
  <c r="GR121" i="7"/>
  <c r="GS121" i="7"/>
  <c r="GT121" i="7"/>
  <c r="GU121" i="7"/>
  <c r="GV121" i="7"/>
  <c r="GW121" i="7"/>
  <c r="GX121" i="7"/>
  <c r="GY121" i="7"/>
  <c r="GZ121" i="7"/>
  <c r="HA121" i="7"/>
  <c r="HB121" i="7"/>
  <c r="HC121" i="7"/>
  <c r="HD121" i="7"/>
  <c r="HE121" i="7"/>
  <c r="HF121" i="7"/>
  <c r="HG121" i="7"/>
  <c r="HH121" i="7"/>
  <c r="HI121" i="7"/>
  <c r="HJ121" i="7"/>
  <c r="HK121" i="7"/>
  <c r="HL121" i="7"/>
  <c r="HM121" i="7"/>
  <c r="HN121" i="7"/>
  <c r="HO121" i="7"/>
  <c r="HP121" i="7"/>
  <c r="HQ121" i="7"/>
  <c r="HR121" i="7"/>
  <c r="HS121" i="7"/>
  <c r="HT121" i="7"/>
  <c r="HU121" i="7"/>
  <c r="HV121" i="7"/>
  <c r="HW121" i="7"/>
  <c r="HX121" i="7"/>
  <c r="HY121" i="7"/>
  <c r="HZ121" i="7"/>
  <c r="IA121" i="7"/>
  <c r="IB121" i="7"/>
  <c r="IC121" i="7"/>
  <c r="ID121" i="7"/>
  <c r="IE121" i="7"/>
  <c r="IF121" i="7"/>
  <c r="IG121" i="7"/>
  <c r="IH121" i="7"/>
  <c r="II121" i="7"/>
  <c r="IJ121" i="7"/>
  <c r="IK121" i="7"/>
  <c r="IL121" i="7"/>
  <c r="IM121" i="7"/>
  <c r="IN121" i="7"/>
  <c r="IO121" i="7"/>
  <c r="IP121" i="7"/>
  <c r="IQ121" i="7"/>
  <c r="IR121" i="7"/>
  <c r="IS121" i="7"/>
  <c r="IT121" i="7"/>
  <c r="IU121" i="7"/>
  <c r="IV121" i="7"/>
  <c r="A120" i="7"/>
  <c r="B120" i="7"/>
  <c r="C120"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AD120" i="7"/>
  <c r="AE120" i="7"/>
  <c r="AF120" i="7"/>
  <c r="AG120" i="7"/>
  <c r="AH120" i="7"/>
  <c r="AI120" i="7"/>
  <c r="AJ120" i="7"/>
  <c r="AK120" i="7"/>
  <c r="AL120" i="7"/>
  <c r="AM120" i="7"/>
  <c r="AN120" i="7"/>
  <c r="AO120" i="7"/>
  <c r="AP120" i="7"/>
  <c r="AQ120" i="7"/>
  <c r="AR120" i="7"/>
  <c r="AS120" i="7"/>
  <c r="AT120" i="7"/>
  <c r="AU120" i="7"/>
  <c r="AV120" i="7"/>
  <c r="AW120" i="7"/>
  <c r="AX120" i="7"/>
  <c r="AY120" i="7"/>
  <c r="AZ120" i="7"/>
  <c r="BA120" i="7"/>
  <c r="BB120" i="7"/>
  <c r="BC120" i="7"/>
  <c r="BD120" i="7"/>
  <c r="BE120" i="7"/>
  <c r="BF120" i="7"/>
  <c r="BG120" i="7"/>
  <c r="BH120" i="7"/>
  <c r="BI120" i="7"/>
  <c r="BJ120" i="7"/>
  <c r="BK120" i="7"/>
  <c r="BL120" i="7"/>
  <c r="BM120" i="7"/>
  <c r="BN120" i="7"/>
  <c r="BO120" i="7"/>
  <c r="BP120" i="7"/>
  <c r="BQ120" i="7"/>
  <c r="BR120" i="7"/>
  <c r="BS120" i="7"/>
  <c r="BT120" i="7"/>
  <c r="BU120" i="7"/>
  <c r="BV120" i="7"/>
  <c r="BW120" i="7"/>
  <c r="BX120" i="7"/>
  <c r="BY120" i="7"/>
  <c r="BZ120" i="7"/>
  <c r="CA120" i="7"/>
  <c r="CB120" i="7"/>
  <c r="CC120" i="7"/>
  <c r="CD120" i="7"/>
  <c r="CE120" i="7"/>
  <c r="CF120" i="7"/>
  <c r="CG120" i="7"/>
  <c r="CH120" i="7"/>
  <c r="CI120" i="7"/>
  <c r="CJ120" i="7"/>
  <c r="CK120" i="7"/>
  <c r="CL120" i="7"/>
  <c r="CM120" i="7"/>
  <c r="CN120" i="7"/>
  <c r="CO120" i="7"/>
  <c r="CP120" i="7"/>
  <c r="CQ120" i="7"/>
  <c r="CR120" i="7"/>
  <c r="CS120" i="7"/>
  <c r="CT120" i="7"/>
  <c r="CU120" i="7"/>
  <c r="CV120" i="7"/>
  <c r="CW120" i="7"/>
  <c r="CX120" i="7"/>
  <c r="CY120" i="7"/>
  <c r="CZ120" i="7"/>
  <c r="DA120" i="7"/>
  <c r="DB120" i="7"/>
  <c r="DC120" i="7"/>
  <c r="DD120" i="7"/>
  <c r="DE120" i="7"/>
  <c r="DF120" i="7"/>
  <c r="DG120" i="7"/>
  <c r="DH120" i="7"/>
  <c r="DI120" i="7"/>
  <c r="DJ120" i="7"/>
  <c r="DK120" i="7"/>
  <c r="DL120" i="7"/>
  <c r="DM120" i="7"/>
  <c r="DN120" i="7"/>
  <c r="DO120" i="7"/>
  <c r="DP120" i="7"/>
  <c r="DQ120" i="7"/>
  <c r="DR120" i="7"/>
  <c r="DS120" i="7"/>
  <c r="DT120" i="7"/>
  <c r="DU120" i="7"/>
  <c r="DV120" i="7"/>
  <c r="DW120" i="7"/>
  <c r="DX120" i="7"/>
  <c r="DY120" i="7"/>
  <c r="DZ120" i="7"/>
  <c r="EA120" i="7"/>
  <c r="EB120" i="7"/>
  <c r="EC120" i="7"/>
  <c r="ED120" i="7"/>
  <c r="EE120" i="7"/>
  <c r="EF120" i="7"/>
  <c r="EG120" i="7"/>
  <c r="EH120" i="7"/>
  <c r="EI120" i="7"/>
  <c r="EJ120" i="7"/>
  <c r="EK120" i="7"/>
  <c r="EL120" i="7"/>
  <c r="EM120" i="7"/>
  <c r="EN120" i="7"/>
  <c r="EO120" i="7"/>
  <c r="EP120" i="7"/>
  <c r="EQ120" i="7"/>
  <c r="ER120" i="7"/>
  <c r="ES120" i="7"/>
  <c r="ET120" i="7"/>
  <c r="EU120" i="7"/>
  <c r="EV120" i="7"/>
  <c r="EW120" i="7"/>
  <c r="EX120" i="7"/>
  <c r="EY120" i="7"/>
  <c r="EZ120" i="7"/>
  <c r="FA120" i="7"/>
  <c r="FB120" i="7"/>
  <c r="FC120" i="7"/>
  <c r="FD120" i="7"/>
  <c r="FE120" i="7"/>
  <c r="FF120" i="7"/>
  <c r="FG120" i="7"/>
  <c r="FH120" i="7"/>
  <c r="FI120" i="7"/>
  <c r="FJ120" i="7"/>
  <c r="FK120" i="7"/>
  <c r="FL120" i="7"/>
  <c r="FM120" i="7"/>
  <c r="FN120" i="7"/>
  <c r="FO120" i="7"/>
  <c r="FP120" i="7"/>
  <c r="FQ120" i="7"/>
  <c r="FR120" i="7"/>
  <c r="FS120" i="7"/>
  <c r="FT120" i="7"/>
  <c r="FU120" i="7"/>
  <c r="FV120" i="7"/>
  <c r="FW120" i="7"/>
  <c r="FX120" i="7"/>
  <c r="FY120" i="7"/>
  <c r="FZ120" i="7"/>
  <c r="GA120" i="7"/>
  <c r="GB120" i="7"/>
  <c r="GC120" i="7"/>
  <c r="GD120" i="7"/>
  <c r="GE120" i="7"/>
  <c r="GF120" i="7"/>
  <c r="GG120" i="7"/>
  <c r="GH120" i="7"/>
  <c r="GI120" i="7"/>
  <c r="GJ120" i="7"/>
  <c r="GK120" i="7"/>
  <c r="GL120" i="7"/>
  <c r="GM120" i="7"/>
  <c r="GN120" i="7"/>
  <c r="GO120" i="7"/>
  <c r="GP120" i="7"/>
  <c r="GQ120" i="7"/>
  <c r="GR120" i="7"/>
  <c r="GS120" i="7"/>
  <c r="GT120" i="7"/>
  <c r="GU120" i="7"/>
  <c r="GV120" i="7"/>
  <c r="GW120" i="7"/>
  <c r="GX120" i="7"/>
  <c r="GY120" i="7"/>
  <c r="GZ120" i="7"/>
  <c r="HA120" i="7"/>
  <c r="HB120" i="7"/>
  <c r="HC120" i="7"/>
  <c r="HD120" i="7"/>
  <c r="HE120" i="7"/>
  <c r="HF120" i="7"/>
  <c r="HG120" i="7"/>
  <c r="HH120" i="7"/>
  <c r="HI120" i="7"/>
  <c r="HJ120" i="7"/>
  <c r="HK120" i="7"/>
  <c r="HL120" i="7"/>
  <c r="HM120" i="7"/>
  <c r="HN120" i="7"/>
  <c r="HO120" i="7"/>
  <c r="HP120" i="7"/>
  <c r="HQ120" i="7"/>
  <c r="HR120" i="7"/>
  <c r="HS120" i="7"/>
  <c r="HT120" i="7"/>
  <c r="HU120" i="7"/>
  <c r="HV120" i="7"/>
  <c r="HW120" i="7"/>
  <c r="HX120" i="7"/>
  <c r="HY120" i="7"/>
  <c r="HZ120" i="7"/>
  <c r="IA120" i="7"/>
  <c r="IB120" i="7"/>
  <c r="IC120" i="7"/>
  <c r="ID120" i="7"/>
  <c r="IE120" i="7"/>
  <c r="IF120" i="7"/>
  <c r="IG120" i="7"/>
  <c r="IH120" i="7"/>
  <c r="II120" i="7"/>
  <c r="IJ120" i="7"/>
  <c r="IK120" i="7"/>
  <c r="IL120" i="7"/>
  <c r="IM120" i="7"/>
  <c r="IN120" i="7"/>
  <c r="IO120" i="7"/>
  <c r="IP120" i="7"/>
  <c r="IQ120" i="7"/>
  <c r="IR120" i="7"/>
  <c r="IS120" i="7"/>
  <c r="IT120" i="7"/>
  <c r="IU120" i="7"/>
  <c r="IV120" i="7"/>
  <c r="A119" i="7"/>
  <c r="B119" i="7"/>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DJ119" i="7"/>
  <c r="DK119" i="7"/>
  <c r="DL119" i="7"/>
  <c r="DM119" i="7"/>
  <c r="DN119" i="7"/>
  <c r="DO119" i="7"/>
  <c r="DP119" i="7"/>
  <c r="DQ119" i="7"/>
  <c r="DR119" i="7"/>
  <c r="DS119" i="7"/>
  <c r="DT119" i="7"/>
  <c r="DU119" i="7"/>
  <c r="DV119" i="7"/>
  <c r="DW119" i="7"/>
  <c r="DX119" i="7"/>
  <c r="DY119" i="7"/>
  <c r="DZ119" i="7"/>
  <c r="EA119" i="7"/>
  <c r="EB119" i="7"/>
  <c r="EC119" i="7"/>
  <c r="ED119" i="7"/>
  <c r="EE119" i="7"/>
  <c r="EF119" i="7"/>
  <c r="EG119" i="7"/>
  <c r="EH119" i="7"/>
  <c r="EI119" i="7"/>
  <c r="EJ119" i="7"/>
  <c r="EK119" i="7"/>
  <c r="EL119" i="7"/>
  <c r="EM119" i="7"/>
  <c r="EN119" i="7"/>
  <c r="EO119" i="7"/>
  <c r="EP119" i="7"/>
  <c r="EQ119" i="7"/>
  <c r="ER119" i="7"/>
  <c r="ES119" i="7"/>
  <c r="ET119" i="7"/>
  <c r="EU119" i="7"/>
  <c r="EV119" i="7"/>
  <c r="EW119" i="7"/>
  <c r="EX119" i="7"/>
  <c r="EY119" i="7"/>
  <c r="EZ119" i="7"/>
  <c r="FA119" i="7"/>
  <c r="FB119" i="7"/>
  <c r="FC119" i="7"/>
  <c r="FD119" i="7"/>
  <c r="FE119" i="7"/>
  <c r="FF119" i="7"/>
  <c r="FG119" i="7"/>
  <c r="FH119" i="7"/>
  <c r="FI119" i="7"/>
  <c r="FJ119" i="7"/>
  <c r="FK119" i="7"/>
  <c r="FL119" i="7"/>
  <c r="FM119" i="7"/>
  <c r="FN119" i="7"/>
  <c r="FO119" i="7"/>
  <c r="FP119" i="7"/>
  <c r="FQ119" i="7"/>
  <c r="FR119" i="7"/>
  <c r="FS119" i="7"/>
  <c r="FT119" i="7"/>
  <c r="FU119" i="7"/>
  <c r="FV119" i="7"/>
  <c r="FW119" i="7"/>
  <c r="FX119" i="7"/>
  <c r="FY119" i="7"/>
  <c r="FZ119" i="7"/>
  <c r="GA119" i="7"/>
  <c r="GB119" i="7"/>
  <c r="GC119" i="7"/>
  <c r="GD119" i="7"/>
  <c r="GE119" i="7"/>
  <c r="GF119" i="7"/>
  <c r="GG119" i="7"/>
  <c r="GH119" i="7"/>
  <c r="GI119" i="7"/>
  <c r="GJ119" i="7"/>
  <c r="GK119" i="7"/>
  <c r="GL119" i="7"/>
  <c r="GM119" i="7"/>
  <c r="GN119" i="7"/>
  <c r="GO119" i="7"/>
  <c r="GP119" i="7"/>
  <c r="GQ119" i="7"/>
  <c r="GR119" i="7"/>
  <c r="GS119" i="7"/>
  <c r="GT119" i="7"/>
  <c r="GU119" i="7"/>
  <c r="GV119" i="7"/>
  <c r="GW119" i="7"/>
  <c r="GX119" i="7"/>
  <c r="GY119" i="7"/>
  <c r="GZ119" i="7"/>
  <c r="HA119" i="7"/>
  <c r="HB119" i="7"/>
  <c r="HC119" i="7"/>
  <c r="HD119" i="7"/>
  <c r="HE119" i="7"/>
  <c r="HF119" i="7"/>
  <c r="HG119" i="7"/>
  <c r="HH119" i="7"/>
  <c r="HI119" i="7"/>
  <c r="HJ119" i="7"/>
  <c r="HK119" i="7"/>
  <c r="HL119" i="7"/>
  <c r="HM119" i="7"/>
  <c r="HN119" i="7"/>
  <c r="HO119" i="7"/>
  <c r="HP119" i="7"/>
  <c r="HQ119" i="7"/>
  <c r="HR119" i="7"/>
  <c r="HS119" i="7"/>
  <c r="HT119" i="7"/>
  <c r="HU119" i="7"/>
  <c r="HV119" i="7"/>
  <c r="HW119" i="7"/>
  <c r="HX119" i="7"/>
  <c r="HY119" i="7"/>
  <c r="HZ119" i="7"/>
  <c r="IA119" i="7"/>
  <c r="IB119" i="7"/>
  <c r="IC119" i="7"/>
  <c r="ID119" i="7"/>
  <c r="IE119" i="7"/>
  <c r="IF119" i="7"/>
  <c r="IG119" i="7"/>
  <c r="IH119" i="7"/>
  <c r="II119" i="7"/>
  <c r="IJ119" i="7"/>
  <c r="IK119" i="7"/>
  <c r="IL119" i="7"/>
  <c r="IM119" i="7"/>
  <c r="IN119" i="7"/>
  <c r="IO119" i="7"/>
  <c r="IP119" i="7"/>
  <c r="IQ119" i="7"/>
  <c r="IR119" i="7"/>
  <c r="IS119" i="7"/>
  <c r="IT119" i="7"/>
  <c r="IU119" i="7"/>
  <c r="IV119" i="7"/>
  <c r="A118" i="7"/>
  <c r="B118" i="7"/>
  <c r="C118"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J118" i="7"/>
  <c r="DK118" i="7"/>
  <c r="DL118" i="7"/>
  <c r="DM118" i="7"/>
  <c r="DN118" i="7"/>
  <c r="DO118" i="7"/>
  <c r="DP118" i="7"/>
  <c r="DQ118" i="7"/>
  <c r="DR118" i="7"/>
  <c r="DS118" i="7"/>
  <c r="DT118" i="7"/>
  <c r="DU118" i="7"/>
  <c r="DV118" i="7"/>
  <c r="DW118" i="7"/>
  <c r="DX118" i="7"/>
  <c r="DY118" i="7"/>
  <c r="DZ118" i="7"/>
  <c r="EA118" i="7"/>
  <c r="EB118" i="7"/>
  <c r="EC118" i="7"/>
  <c r="ED118" i="7"/>
  <c r="EE118" i="7"/>
  <c r="EF118" i="7"/>
  <c r="EG118" i="7"/>
  <c r="EH118" i="7"/>
  <c r="EI118" i="7"/>
  <c r="EJ118" i="7"/>
  <c r="EK118" i="7"/>
  <c r="EL118" i="7"/>
  <c r="EM118" i="7"/>
  <c r="EN118" i="7"/>
  <c r="EO118" i="7"/>
  <c r="EP118" i="7"/>
  <c r="EQ118" i="7"/>
  <c r="ER118" i="7"/>
  <c r="ES118" i="7"/>
  <c r="ET118" i="7"/>
  <c r="EU118" i="7"/>
  <c r="EV118" i="7"/>
  <c r="EW118" i="7"/>
  <c r="EX118" i="7"/>
  <c r="EY118" i="7"/>
  <c r="EZ118" i="7"/>
  <c r="FA118" i="7"/>
  <c r="FB118" i="7"/>
  <c r="FC118" i="7"/>
  <c r="FD118" i="7"/>
  <c r="FE118" i="7"/>
  <c r="FF118" i="7"/>
  <c r="FG118" i="7"/>
  <c r="FH118" i="7"/>
  <c r="FI118" i="7"/>
  <c r="FJ118" i="7"/>
  <c r="FK118" i="7"/>
  <c r="FL118" i="7"/>
  <c r="FM118" i="7"/>
  <c r="FN118" i="7"/>
  <c r="FO118" i="7"/>
  <c r="FP118" i="7"/>
  <c r="FQ118" i="7"/>
  <c r="FR118" i="7"/>
  <c r="FS118" i="7"/>
  <c r="FT118" i="7"/>
  <c r="FU118" i="7"/>
  <c r="FV118" i="7"/>
  <c r="FW118" i="7"/>
  <c r="FX118" i="7"/>
  <c r="FY118" i="7"/>
  <c r="FZ118" i="7"/>
  <c r="GA118" i="7"/>
  <c r="GB118" i="7"/>
  <c r="GC118" i="7"/>
  <c r="GD118" i="7"/>
  <c r="GE118" i="7"/>
  <c r="GF118" i="7"/>
  <c r="GG118" i="7"/>
  <c r="GH118" i="7"/>
  <c r="GI118" i="7"/>
  <c r="GJ118" i="7"/>
  <c r="GK118" i="7"/>
  <c r="GL118" i="7"/>
  <c r="GM118" i="7"/>
  <c r="GN118" i="7"/>
  <c r="GO118" i="7"/>
  <c r="GP118" i="7"/>
  <c r="GQ118" i="7"/>
  <c r="GR118" i="7"/>
  <c r="GS118" i="7"/>
  <c r="GT118" i="7"/>
  <c r="GU118" i="7"/>
  <c r="GV118" i="7"/>
  <c r="GW118" i="7"/>
  <c r="GX118" i="7"/>
  <c r="GY118" i="7"/>
  <c r="GZ118" i="7"/>
  <c r="HA118" i="7"/>
  <c r="HB118" i="7"/>
  <c r="HC118" i="7"/>
  <c r="HD118" i="7"/>
  <c r="HE118" i="7"/>
  <c r="HF118" i="7"/>
  <c r="HG118" i="7"/>
  <c r="HH118" i="7"/>
  <c r="HI118" i="7"/>
  <c r="HJ118" i="7"/>
  <c r="HK118" i="7"/>
  <c r="HL118" i="7"/>
  <c r="HM118" i="7"/>
  <c r="HN118" i="7"/>
  <c r="HO118" i="7"/>
  <c r="HP118" i="7"/>
  <c r="HQ118" i="7"/>
  <c r="HR118" i="7"/>
  <c r="HS118" i="7"/>
  <c r="HT118" i="7"/>
  <c r="HU118" i="7"/>
  <c r="HV118" i="7"/>
  <c r="HW118" i="7"/>
  <c r="HX118" i="7"/>
  <c r="HY118" i="7"/>
  <c r="HZ118" i="7"/>
  <c r="IA118" i="7"/>
  <c r="IB118" i="7"/>
  <c r="IC118" i="7"/>
  <c r="ID118" i="7"/>
  <c r="IE118" i="7"/>
  <c r="IF118" i="7"/>
  <c r="IG118" i="7"/>
  <c r="IH118" i="7"/>
  <c r="II118" i="7"/>
  <c r="IJ118" i="7"/>
  <c r="IK118" i="7"/>
  <c r="IL118" i="7"/>
  <c r="IM118" i="7"/>
  <c r="IN118" i="7"/>
  <c r="IO118" i="7"/>
  <c r="IP118" i="7"/>
  <c r="IQ118" i="7"/>
  <c r="IR118" i="7"/>
  <c r="IS118" i="7"/>
  <c r="IT118" i="7"/>
  <c r="IU118" i="7"/>
  <c r="IV118" i="7"/>
  <c r="A117" i="7"/>
  <c r="B117" i="7"/>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FO117" i="7"/>
  <c r="FP117" i="7"/>
  <c r="FQ117" i="7"/>
  <c r="FR117" i="7"/>
  <c r="FS117" i="7"/>
  <c r="FT117" i="7"/>
  <c r="FU117" i="7"/>
  <c r="FV117" i="7"/>
  <c r="FW117" i="7"/>
  <c r="FX117" i="7"/>
  <c r="FY117" i="7"/>
  <c r="FZ117" i="7"/>
  <c r="GA117" i="7"/>
  <c r="GB117" i="7"/>
  <c r="GC117" i="7"/>
  <c r="GD117" i="7"/>
  <c r="GE117" i="7"/>
  <c r="GF117" i="7"/>
  <c r="GG117" i="7"/>
  <c r="GH117" i="7"/>
  <c r="GI117" i="7"/>
  <c r="GJ117" i="7"/>
  <c r="GK117" i="7"/>
  <c r="GL117" i="7"/>
  <c r="GM117" i="7"/>
  <c r="GN117" i="7"/>
  <c r="GO117" i="7"/>
  <c r="GP117" i="7"/>
  <c r="GQ117" i="7"/>
  <c r="GR117" i="7"/>
  <c r="GS117" i="7"/>
  <c r="GT117" i="7"/>
  <c r="GU117" i="7"/>
  <c r="GV117" i="7"/>
  <c r="GW117" i="7"/>
  <c r="GX117" i="7"/>
  <c r="GY117" i="7"/>
  <c r="GZ117" i="7"/>
  <c r="HA117" i="7"/>
  <c r="HB117" i="7"/>
  <c r="HC117" i="7"/>
  <c r="HD117" i="7"/>
  <c r="HE117" i="7"/>
  <c r="HF117" i="7"/>
  <c r="HG117" i="7"/>
  <c r="HH117" i="7"/>
  <c r="HI117" i="7"/>
  <c r="HJ117" i="7"/>
  <c r="HK117" i="7"/>
  <c r="HL117" i="7"/>
  <c r="HM117" i="7"/>
  <c r="HN117" i="7"/>
  <c r="HO117" i="7"/>
  <c r="HP117" i="7"/>
  <c r="HQ117" i="7"/>
  <c r="HR117" i="7"/>
  <c r="HS117" i="7"/>
  <c r="HT117" i="7"/>
  <c r="HU117" i="7"/>
  <c r="HV117" i="7"/>
  <c r="HW117" i="7"/>
  <c r="HX117" i="7"/>
  <c r="HY117" i="7"/>
  <c r="HZ117" i="7"/>
  <c r="IA117" i="7"/>
  <c r="IB117" i="7"/>
  <c r="IC117" i="7"/>
  <c r="ID117" i="7"/>
  <c r="IE117" i="7"/>
  <c r="IF117" i="7"/>
  <c r="IG117" i="7"/>
  <c r="IH117" i="7"/>
  <c r="II117" i="7"/>
  <c r="IJ117" i="7"/>
  <c r="IK117" i="7"/>
  <c r="IL117" i="7"/>
  <c r="IM117" i="7"/>
  <c r="IN117" i="7"/>
  <c r="IO117" i="7"/>
  <c r="IP117" i="7"/>
  <c r="IQ117" i="7"/>
  <c r="IR117" i="7"/>
  <c r="IS117" i="7"/>
  <c r="IT117" i="7"/>
  <c r="IU117" i="7"/>
  <c r="IV117" i="7"/>
  <c r="A116" i="7"/>
  <c r="B116" i="7"/>
  <c r="C116"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AD116" i="7"/>
  <c r="AE116" i="7"/>
  <c r="AF116" i="7"/>
  <c r="AG116" i="7"/>
  <c r="AH116" i="7"/>
  <c r="AI116" i="7"/>
  <c r="AJ116" i="7"/>
  <c r="AK116" i="7"/>
  <c r="AL116" i="7"/>
  <c r="AM116" i="7"/>
  <c r="AN116" i="7"/>
  <c r="AO116" i="7"/>
  <c r="AP116" i="7"/>
  <c r="AQ116" i="7"/>
  <c r="AR116" i="7"/>
  <c r="AS116" i="7"/>
  <c r="AT116" i="7"/>
  <c r="AU116" i="7"/>
  <c r="AV116" i="7"/>
  <c r="AW116" i="7"/>
  <c r="AX116" i="7"/>
  <c r="AY116" i="7"/>
  <c r="AZ116" i="7"/>
  <c r="BA116" i="7"/>
  <c r="BB116" i="7"/>
  <c r="BC116" i="7"/>
  <c r="BD116" i="7"/>
  <c r="BE116" i="7"/>
  <c r="BF116" i="7"/>
  <c r="BG116" i="7"/>
  <c r="BH116" i="7"/>
  <c r="BI116" i="7"/>
  <c r="BJ116" i="7"/>
  <c r="BK116" i="7"/>
  <c r="BL116" i="7"/>
  <c r="BM116" i="7"/>
  <c r="BN116" i="7"/>
  <c r="BO116" i="7"/>
  <c r="BP116" i="7"/>
  <c r="BQ116" i="7"/>
  <c r="BR116" i="7"/>
  <c r="BS116" i="7"/>
  <c r="BT116" i="7"/>
  <c r="BU116" i="7"/>
  <c r="BV116" i="7"/>
  <c r="BW116" i="7"/>
  <c r="BX116" i="7"/>
  <c r="BY116" i="7"/>
  <c r="BZ116" i="7"/>
  <c r="CA116" i="7"/>
  <c r="CB116" i="7"/>
  <c r="CC116" i="7"/>
  <c r="CD116" i="7"/>
  <c r="CE116" i="7"/>
  <c r="CF116" i="7"/>
  <c r="CG116" i="7"/>
  <c r="CH116" i="7"/>
  <c r="CI116" i="7"/>
  <c r="CJ116" i="7"/>
  <c r="CK116" i="7"/>
  <c r="CL116" i="7"/>
  <c r="CM116" i="7"/>
  <c r="CN116" i="7"/>
  <c r="CO116" i="7"/>
  <c r="CP116" i="7"/>
  <c r="CQ116" i="7"/>
  <c r="CR116" i="7"/>
  <c r="CS116" i="7"/>
  <c r="CT116" i="7"/>
  <c r="CU116" i="7"/>
  <c r="CV116" i="7"/>
  <c r="CW116" i="7"/>
  <c r="CX116" i="7"/>
  <c r="CY116" i="7"/>
  <c r="CZ116" i="7"/>
  <c r="DA116" i="7"/>
  <c r="DB116" i="7"/>
  <c r="DC116" i="7"/>
  <c r="DD116" i="7"/>
  <c r="DE116" i="7"/>
  <c r="DF116" i="7"/>
  <c r="DG116" i="7"/>
  <c r="DH116" i="7"/>
  <c r="DI116" i="7"/>
  <c r="DJ116" i="7"/>
  <c r="DK116" i="7"/>
  <c r="DL116" i="7"/>
  <c r="DM116" i="7"/>
  <c r="DN116" i="7"/>
  <c r="DO116" i="7"/>
  <c r="DP116" i="7"/>
  <c r="DQ116" i="7"/>
  <c r="DR116" i="7"/>
  <c r="DS116" i="7"/>
  <c r="DT116" i="7"/>
  <c r="DU116" i="7"/>
  <c r="DV116" i="7"/>
  <c r="DW116" i="7"/>
  <c r="DX116" i="7"/>
  <c r="DY116" i="7"/>
  <c r="DZ116" i="7"/>
  <c r="EA116" i="7"/>
  <c r="EB116" i="7"/>
  <c r="EC116" i="7"/>
  <c r="ED116" i="7"/>
  <c r="EE116" i="7"/>
  <c r="EF116" i="7"/>
  <c r="EG116" i="7"/>
  <c r="EH116" i="7"/>
  <c r="EI116" i="7"/>
  <c r="EJ116" i="7"/>
  <c r="EK116" i="7"/>
  <c r="EL116" i="7"/>
  <c r="EM116" i="7"/>
  <c r="EN116" i="7"/>
  <c r="EO116" i="7"/>
  <c r="EP116" i="7"/>
  <c r="EQ116" i="7"/>
  <c r="ER116" i="7"/>
  <c r="ES116" i="7"/>
  <c r="ET116" i="7"/>
  <c r="EU116" i="7"/>
  <c r="EV116" i="7"/>
  <c r="EW116" i="7"/>
  <c r="EX116" i="7"/>
  <c r="EY116" i="7"/>
  <c r="EZ116" i="7"/>
  <c r="FA116" i="7"/>
  <c r="FB116" i="7"/>
  <c r="FC116" i="7"/>
  <c r="FD116" i="7"/>
  <c r="FE116" i="7"/>
  <c r="FF116" i="7"/>
  <c r="FG116" i="7"/>
  <c r="FH116" i="7"/>
  <c r="FI116" i="7"/>
  <c r="FJ116" i="7"/>
  <c r="FK116" i="7"/>
  <c r="FL116" i="7"/>
  <c r="FM116" i="7"/>
  <c r="FN116" i="7"/>
  <c r="FO116" i="7"/>
  <c r="FP116" i="7"/>
  <c r="FQ116" i="7"/>
  <c r="FR116" i="7"/>
  <c r="FS116" i="7"/>
  <c r="FT116" i="7"/>
  <c r="FU116" i="7"/>
  <c r="FV116" i="7"/>
  <c r="FW116" i="7"/>
  <c r="FX116" i="7"/>
  <c r="FY116" i="7"/>
  <c r="FZ116" i="7"/>
  <c r="GA116" i="7"/>
  <c r="GB116" i="7"/>
  <c r="GC116" i="7"/>
  <c r="GD116" i="7"/>
  <c r="GE116" i="7"/>
  <c r="GF116" i="7"/>
  <c r="GG116" i="7"/>
  <c r="GH116" i="7"/>
  <c r="GI116" i="7"/>
  <c r="GJ116" i="7"/>
  <c r="GK116" i="7"/>
  <c r="GL116" i="7"/>
  <c r="GM116" i="7"/>
  <c r="GN116" i="7"/>
  <c r="GO116" i="7"/>
  <c r="GP116" i="7"/>
  <c r="GQ116" i="7"/>
  <c r="GR116" i="7"/>
  <c r="GS116" i="7"/>
  <c r="GT116" i="7"/>
  <c r="GU116" i="7"/>
  <c r="GV116" i="7"/>
  <c r="GW116" i="7"/>
  <c r="GX116" i="7"/>
  <c r="GY116" i="7"/>
  <c r="GZ116" i="7"/>
  <c r="HA116" i="7"/>
  <c r="HB116" i="7"/>
  <c r="HC116" i="7"/>
  <c r="HD116" i="7"/>
  <c r="HE116" i="7"/>
  <c r="HF116" i="7"/>
  <c r="HG116" i="7"/>
  <c r="HH116" i="7"/>
  <c r="HI116" i="7"/>
  <c r="HJ116" i="7"/>
  <c r="HK116" i="7"/>
  <c r="HL116" i="7"/>
  <c r="HM116" i="7"/>
  <c r="HN116" i="7"/>
  <c r="HO116" i="7"/>
  <c r="HP116" i="7"/>
  <c r="HQ116" i="7"/>
  <c r="HR116" i="7"/>
  <c r="HS116" i="7"/>
  <c r="HT116" i="7"/>
  <c r="HU116" i="7"/>
  <c r="HV116" i="7"/>
  <c r="HW116" i="7"/>
  <c r="HX116" i="7"/>
  <c r="HY116" i="7"/>
  <c r="HZ116" i="7"/>
  <c r="IA116" i="7"/>
  <c r="IB116" i="7"/>
  <c r="IC116" i="7"/>
  <c r="ID116" i="7"/>
  <c r="IE116" i="7"/>
  <c r="IF116" i="7"/>
  <c r="IG116" i="7"/>
  <c r="IH116" i="7"/>
  <c r="II116" i="7"/>
  <c r="IJ116" i="7"/>
  <c r="IK116" i="7"/>
  <c r="IL116" i="7"/>
  <c r="IM116" i="7"/>
  <c r="IN116" i="7"/>
  <c r="IO116" i="7"/>
  <c r="IP116" i="7"/>
  <c r="IQ116" i="7"/>
  <c r="IR116" i="7"/>
  <c r="IS116" i="7"/>
  <c r="IT116" i="7"/>
  <c r="IU116" i="7"/>
  <c r="IV116" i="7"/>
  <c r="A115" i="7"/>
  <c r="B115" i="7"/>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AD115" i="7"/>
  <c r="AE115" i="7"/>
  <c r="AF115" i="7"/>
  <c r="AG115" i="7"/>
  <c r="AH115" i="7"/>
  <c r="AI115" i="7"/>
  <c r="AJ115" i="7"/>
  <c r="AK115" i="7"/>
  <c r="AL115" i="7"/>
  <c r="AM115" i="7"/>
  <c r="AN115" i="7"/>
  <c r="AO115" i="7"/>
  <c r="AP115" i="7"/>
  <c r="AQ115" i="7"/>
  <c r="AR115" i="7"/>
  <c r="AS115" i="7"/>
  <c r="AT115" i="7"/>
  <c r="AU115" i="7"/>
  <c r="AV115" i="7"/>
  <c r="AW115" i="7"/>
  <c r="AX115" i="7"/>
  <c r="AY115" i="7"/>
  <c r="AZ115" i="7"/>
  <c r="BA115" i="7"/>
  <c r="BB115" i="7"/>
  <c r="BC115" i="7"/>
  <c r="BD115" i="7"/>
  <c r="BE115" i="7"/>
  <c r="BF115" i="7"/>
  <c r="BG115" i="7"/>
  <c r="BH115" i="7"/>
  <c r="BI115" i="7"/>
  <c r="BJ115" i="7"/>
  <c r="BK115" i="7"/>
  <c r="BL115" i="7"/>
  <c r="BM115" i="7"/>
  <c r="BN115" i="7"/>
  <c r="BO115" i="7"/>
  <c r="BP115" i="7"/>
  <c r="BQ115" i="7"/>
  <c r="BR115" i="7"/>
  <c r="BS115" i="7"/>
  <c r="BT115" i="7"/>
  <c r="BU115" i="7"/>
  <c r="BV115" i="7"/>
  <c r="BW115" i="7"/>
  <c r="BX115" i="7"/>
  <c r="BY115" i="7"/>
  <c r="BZ115" i="7"/>
  <c r="CA115" i="7"/>
  <c r="CB115" i="7"/>
  <c r="CC115" i="7"/>
  <c r="CD115" i="7"/>
  <c r="CE115" i="7"/>
  <c r="CF115" i="7"/>
  <c r="CG115" i="7"/>
  <c r="CH115" i="7"/>
  <c r="CI115" i="7"/>
  <c r="CJ115" i="7"/>
  <c r="CK115" i="7"/>
  <c r="CL115" i="7"/>
  <c r="CM115" i="7"/>
  <c r="CN115" i="7"/>
  <c r="CO115" i="7"/>
  <c r="CP115" i="7"/>
  <c r="CQ115" i="7"/>
  <c r="CR115" i="7"/>
  <c r="CS115" i="7"/>
  <c r="CT115" i="7"/>
  <c r="CU115" i="7"/>
  <c r="CV115" i="7"/>
  <c r="CW115" i="7"/>
  <c r="CX115" i="7"/>
  <c r="CY115" i="7"/>
  <c r="CZ115" i="7"/>
  <c r="DA115" i="7"/>
  <c r="DB115" i="7"/>
  <c r="DC115" i="7"/>
  <c r="DD115" i="7"/>
  <c r="DE115" i="7"/>
  <c r="DF115" i="7"/>
  <c r="DG115" i="7"/>
  <c r="DH115" i="7"/>
  <c r="DI115" i="7"/>
  <c r="DJ115" i="7"/>
  <c r="DK115" i="7"/>
  <c r="DL115" i="7"/>
  <c r="DM115" i="7"/>
  <c r="DN115" i="7"/>
  <c r="DO115" i="7"/>
  <c r="DP115" i="7"/>
  <c r="DQ115" i="7"/>
  <c r="DR115" i="7"/>
  <c r="DS115" i="7"/>
  <c r="DT115" i="7"/>
  <c r="DU115" i="7"/>
  <c r="DV115" i="7"/>
  <c r="DW115" i="7"/>
  <c r="DX115" i="7"/>
  <c r="DY115" i="7"/>
  <c r="DZ115" i="7"/>
  <c r="EA115" i="7"/>
  <c r="EB115" i="7"/>
  <c r="EC115" i="7"/>
  <c r="ED115" i="7"/>
  <c r="EE115" i="7"/>
  <c r="EF115" i="7"/>
  <c r="EG115" i="7"/>
  <c r="EH115" i="7"/>
  <c r="EI115" i="7"/>
  <c r="EJ115" i="7"/>
  <c r="EK115" i="7"/>
  <c r="EL115" i="7"/>
  <c r="EM115" i="7"/>
  <c r="EN115" i="7"/>
  <c r="EO115" i="7"/>
  <c r="EP115" i="7"/>
  <c r="EQ115" i="7"/>
  <c r="ER115" i="7"/>
  <c r="ES115" i="7"/>
  <c r="ET115" i="7"/>
  <c r="EU115" i="7"/>
  <c r="EV115" i="7"/>
  <c r="EW115" i="7"/>
  <c r="EX115" i="7"/>
  <c r="EY115" i="7"/>
  <c r="EZ115" i="7"/>
  <c r="FA115" i="7"/>
  <c r="FB115" i="7"/>
  <c r="FC115" i="7"/>
  <c r="FD115" i="7"/>
  <c r="FE115" i="7"/>
  <c r="FF115" i="7"/>
  <c r="FG115" i="7"/>
  <c r="FH115" i="7"/>
  <c r="FI115" i="7"/>
  <c r="FJ115" i="7"/>
  <c r="FK115" i="7"/>
  <c r="FL115" i="7"/>
  <c r="FM115" i="7"/>
  <c r="FN115" i="7"/>
  <c r="FO115" i="7"/>
  <c r="FP115" i="7"/>
  <c r="FQ115" i="7"/>
  <c r="FR115" i="7"/>
  <c r="FS115" i="7"/>
  <c r="FT115" i="7"/>
  <c r="FU115" i="7"/>
  <c r="FV115" i="7"/>
  <c r="FW115" i="7"/>
  <c r="FX115" i="7"/>
  <c r="FY115" i="7"/>
  <c r="FZ115" i="7"/>
  <c r="GA115" i="7"/>
  <c r="GB115" i="7"/>
  <c r="GC115" i="7"/>
  <c r="GD115" i="7"/>
  <c r="GE115" i="7"/>
  <c r="GF115" i="7"/>
  <c r="GG115" i="7"/>
  <c r="GH115" i="7"/>
  <c r="GI115" i="7"/>
  <c r="GJ115" i="7"/>
  <c r="GK115" i="7"/>
  <c r="GL115" i="7"/>
  <c r="GM115" i="7"/>
  <c r="GN115" i="7"/>
  <c r="GO115" i="7"/>
  <c r="GP115" i="7"/>
  <c r="GQ115" i="7"/>
  <c r="GR115" i="7"/>
  <c r="GS115" i="7"/>
  <c r="GT115" i="7"/>
  <c r="GU115" i="7"/>
  <c r="GV115" i="7"/>
  <c r="GW115" i="7"/>
  <c r="GX115" i="7"/>
  <c r="GY115" i="7"/>
  <c r="GZ115" i="7"/>
  <c r="HA115" i="7"/>
  <c r="HB115" i="7"/>
  <c r="HC115" i="7"/>
  <c r="HD115" i="7"/>
  <c r="HE115" i="7"/>
  <c r="HF115" i="7"/>
  <c r="HG115" i="7"/>
  <c r="HH115" i="7"/>
  <c r="HI115" i="7"/>
  <c r="HJ115" i="7"/>
  <c r="HK115" i="7"/>
  <c r="HL115" i="7"/>
  <c r="HM115" i="7"/>
  <c r="HN115" i="7"/>
  <c r="HO115" i="7"/>
  <c r="HP115" i="7"/>
  <c r="HQ115" i="7"/>
  <c r="HR115" i="7"/>
  <c r="HS115" i="7"/>
  <c r="HT115" i="7"/>
  <c r="HU115" i="7"/>
  <c r="HV115" i="7"/>
  <c r="HW115" i="7"/>
  <c r="HX115" i="7"/>
  <c r="HY115" i="7"/>
  <c r="HZ115" i="7"/>
  <c r="IA115" i="7"/>
  <c r="IB115" i="7"/>
  <c r="IC115" i="7"/>
  <c r="ID115" i="7"/>
  <c r="IE115" i="7"/>
  <c r="IF115" i="7"/>
  <c r="IG115" i="7"/>
  <c r="IH115" i="7"/>
  <c r="II115" i="7"/>
  <c r="IJ115" i="7"/>
  <c r="IK115" i="7"/>
  <c r="IL115" i="7"/>
  <c r="IM115" i="7"/>
  <c r="IN115" i="7"/>
  <c r="IO115" i="7"/>
  <c r="IP115" i="7"/>
  <c r="IQ115" i="7"/>
  <c r="IR115" i="7"/>
  <c r="IS115" i="7"/>
  <c r="IT115" i="7"/>
  <c r="IU115" i="7"/>
  <c r="IV115" i="7"/>
  <c r="A114" i="7"/>
  <c r="B114" i="7"/>
  <c r="C114"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AD114" i="7"/>
  <c r="AE114" i="7"/>
  <c r="AF114" i="7"/>
  <c r="AG114" i="7"/>
  <c r="AH114" i="7"/>
  <c r="AI114" i="7"/>
  <c r="AJ114" i="7"/>
  <c r="AK114" i="7"/>
  <c r="AL114" i="7"/>
  <c r="AM114" i="7"/>
  <c r="AN114" i="7"/>
  <c r="AO114" i="7"/>
  <c r="AP114" i="7"/>
  <c r="AQ114" i="7"/>
  <c r="AR114" i="7"/>
  <c r="AS114" i="7"/>
  <c r="AT114" i="7"/>
  <c r="AU114" i="7"/>
  <c r="AV114" i="7"/>
  <c r="AW114" i="7"/>
  <c r="AX114" i="7"/>
  <c r="AY114" i="7"/>
  <c r="AZ114" i="7"/>
  <c r="BA114" i="7"/>
  <c r="BB114" i="7"/>
  <c r="BC114" i="7"/>
  <c r="BD114" i="7"/>
  <c r="BE114" i="7"/>
  <c r="BF114" i="7"/>
  <c r="BG114" i="7"/>
  <c r="BH114" i="7"/>
  <c r="BI114" i="7"/>
  <c r="BJ114" i="7"/>
  <c r="BK114" i="7"/>
  <c r="BL114" i="7"/>
  <c r="BM114" i="7"/>
  <c r="BN114" i="7"/>
  <c r="BO114" i="7"/>
  <c r="BP114" i="7"/>
  <c r="BQ114" i="7"/>
  <c r="BR114" i="7"/>
  <c r="BS114" i="7"/>
  <c r="BT114" i="7"/>
  <c r="BU114" i="7"/>
  <c r="BV114" i="7"/>
  <c r="BW114" i="7"/>
  <c r="BX114" i="7"/>
  <c r="BY114" i="7"/>
  <c r="BZ114" i="7"/>
  <c r="CA114" i="7"/>
  <c r="CB114" i="7"/>
  <c r="CC114" i="7"/>
  <c r="CD114" i="7"/>
  <c r="CE114" i="7"/>
  <c r="CF114" i="7"/>
  <c r="CG114" i="7"/>
  <c r="CH114" i="7"/>
  <c r="CI114" i="7"/>
  <c r="CJ114" i="7"/>
  <c r="CK114" i="7"/>
  <c r="CL114" i="7"/>
  <c r="CM114" i="7"/>
  <c r="CN114" i="7"/>
  <c r="CO114" i="7"/>
  <c r="CP114" i="7"/>
  <c r="CQ114" i="7"/>
  <c r="CR114" i="7"/>
  <c r="CS114" i="7"/>
  <c r="CT114" i="7"/>
  <c r="CU114" i="7"/>
  <c r="CV114" i="7"/>
  <c r="CW114" i="7"/>
  <c r="CX114" i="7"/>
  <c r="CY114" i="7"/>
  <c r="CZ114" i="7"/>
  <c r="DA114" i="7"/>
  <c r="DB114" i="7"/>
  <c r="DC114" i="7"/>
  <c r="DD114" i="7"/>
  <c r="DE114" i="7"/>
  <c r="DF114" i="7"/>
  <c r="DG114" i="7"/>
  <c r="DH114" i="7"/>
  <c r="DI114" i="7"/>
  <c r="DJ114" i="7"/>
  <c r="DK114" i="7"/>
  <c r="DL114" i="7"/>
  <c r="DM114" i="7"/>
  <c r="DN114" i="7"/>
  <c r="DO114" i="7"/>
  <c r="DP114" i="7"/>
  <c r="DQ114" i="7"/>
  <c r="DR114" i="7"/>
  <c r="DS114" i="7"/>
  <c r="DT114" i="7"/>
  <c r="DU114" i="7"/>
  <c r="DV114" i="7"/>
  <c r="DW114" i="7"/>
  <c r="DX114" i="7"/>
  <c r="DY114" i="7"/>
  <c r="DZ114" i="7"/>
  <c r="EA114" i="7"/>
  <c r="EB114" i="7"/>
  <c r="EC114" i="7"/>
  <c r="ED114" i="7"/>
  <c r="EE114" i="7"/>
  <c r="EF114" i="7"/>
  <c r="EG114" i="7"/>
  <c r="EH114" i="7"/>
  <c r="EI114" i="7"/>
  <c r="EJ114" i="7"/>
  <c r="EK114" i="7"/>
  <c r="EL114" i="7"/>
  <c r="EM114" i="7"/>
  <c r="EN114" i="7"/>
  <c r="EO114" i="7"/>
  <c r="EP114" i="7"/>
  <c r="EQ114" i="7"/>
  <c r="ER114" i="7"/>
  <c r="ES114" i="7"/>
  <c r="ET114" i="7"/>
  <c r="EU114" i="7"/>
  <c r="EV114" i="7"/>
  <c r="EW114" i="7"/>
  <c r="EX114" i="7"/>
  <c r="EY114" i="7"/>
  <c r="EZ114" i="7"/>
  <c r="FA114" i="7"/>
  <c r="FB114" i="7"/>
  <c r="FC114" i="7"/>
  <c r="FD114" i="7"/>
  <c r="FE114" i="7"/>
  <c r="FF114" i="7"/>
  <c r="FG114" i="7"/>
  <c r="FH114" i="7"/>
  <c r="FI114" i="7"/>
  <c r="FJ114" i="7"/>
  <c r="FK114" i="7"/>
  <c r="FL114" i="7"/>
  <c r="FM114" i="7"/>
  <c r="FN114" i="7"/>
  <c r="FO114" i="7"/>
  <c r="FP114" i="7"/>
  <c r="FQ114" i="7"/>
  <c r="FR114" i="7"/>
  <c r="FS114" i="7"/>
  <c r="FT114" i="7"/>
  <c r="FU114" i="7"/>
  <c r="FV114" i="7"/>
  <c r="FW114" i="7"/>
  <c r="FX114" i="7"/>
  <c r="FY114" i="7"/>
  <c r="FZ114" i="7"/>
  <c r="GA114" i="7"/>
  <c r="GB114" i="7"/>
  <c r="GC114" i="7"/>
  <c r="GD114" i="7"/>
  <c r="GE114" i="7"/>
  <c r="GF114" i="7"/>
  <c r="GG114" i="7"/>
  <c r="GH114" i="7"/>
  <c r="GI114" i="7"/>
  <c r="GJ114" i="7"/>
  <c r="GK114" i="7"/>
  <c r="GL114" i="7"/>
  <c r="GM114" i="7"/>
  <c r="GN114" i="7"/>
  <c r="GO114" i="7"/>
  <c r="GP114" i="7"/>
  <c r="GQ114" i="7"/>
  <c r="GR114" i="7"/>
  <c r="GS114" i="7"/>
  <c r="GT114" i="7"/>
  <c r="GU114" i="7"/>
  <c r="GV114" i="7"/>
  <c r="GW114" i="7"/>
  <c r="GX114" i="7"/>
  <c r="GY114" i="7"/>
  <c r="GZ114" i="7"/>
  <c r="HA114" i="7"/>
  <c r="HB114" i="7"/>
  <c r="HC114" i="7"/>
  <c r="HD114" i="7"/>
  <c r="HE114" i="7"/>
  <c r="HF114" i="7"/>
  <c r="HG114" i="7"/>
  <c r="HH114" i="7"/>
  <c r="HI114" i="7"/>
  <c r="HJ114" i="7"/>
  <c r="HK114" i="7"/>
  <c r="HL114" i="7"/>
  <c r="HM114" i="7"/>
  <c r="HN114" i="7"/>
  <c r="HO114" i="7"/>
  <c r="HP114" i="7"/>
  <c r="HQ114" i="7"/>
  <c r="HR114" i="7"/>
  <c r="HS114" i="7"/>
  <c r="HT114" i="7"/>
  <c r="HU114" i="7"/>
  <c r="HV114" i="7"/>
  <c r="HW114" i="7"/>
  <c r="HX114" i="7"/>
  <c r="HY114" i="7"/>
  <c r="HZ114" i="7"/>
  <c r="IA114" i="7"/>
  <c r="IB114" i="7"/>
  <c r="IC114" i="7"/>
  <c r="ID114" i="7"/>
  <c r="IE114" i="7"/>
  <c r="IF114" i="7"/>
  <c r="IG114" i="7"/>
  <c r="IH114" i="7"/>
  <c r="II114" i="7"/>
  <c r="IJ114" i="7"/>
  <c r="IK114" i="7"/>
  <c r="IL114" i="7"/>
  <c r="IM114" i="7"/>
  <c r="IN114" i="7"/>
  <c r="IO114" i="7"/>
  <c r="IP114" i="7"/>
  <c r="IQ114" i="7"/>
  <c r="IR114" i="7"/>
  <c r="IS114" i="7"/>
  <c r="IT114" i="7"/>
  <c r="IU114" i="7"/>
  <c r="IV114" i="7"/>
  <c r="A113" i="7"/>
  <c r="B113" i="7"/>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AD113" i="7"/>
  <c r="AE113" i="7"/>
  <c r="AF113" i="7"/>
  <c r="AG113" i="7"/>
  <c r="AH113" i="7"/>
  <c r="AI113" i="7"/>
  <c r="AJ113" i="7"/>
  <c r="AK113" i="7"/>
  <c r="AL113" i="7"/>
  <c r="AM113" i="7"/>
  <c r="AN113" i="7"/>
  <c r="AO113" i="7"/>
  <c r="AP113" i="7"/>
  <c r="AQ113" i="7"/>
  <c r="AR113" i="7"/>
  <c r="AS113" i="7"/>
  <c r="AT113" i="7"/>
  <c r="AU113" i="7"/>
  <c r="AV113" i="7"/>
  <c r="AW113" i="7"/>
  <c r="AX113" i="7"/>
  <c r="AY113" i="7"/>
  <c r="AZ113" i="7"/>
  <c r="BA113" i="7"/>
  <c r="BB113" i="7"/>
  <c r="BC113" i="7"/>
  <c r="BD113" i="7"/>
  <c r="BE113" i="7"/>
  <c r="BF113" i="7"/>
  <c r="BG113" i="7"/>
  <c r="BH113" i="7"/>
  <c r="BI113" i="7"/>
  <c r="BJ113" i="7"/>
  <c r="BK113" i="7"/>
  <c r="BL113" i="7"/>
  <c r="BM113" i="7"/>
  <c r="BN113" i="7"/>
  <c r="BO113" i="7"/>
  <c r="BP113" i="7"/>
  <c r="BQ113" i="7"/>
  <c r="BR113" i="7"/>
  <c r="BS113" i="7"/>
  <c r="BT113" i="7"/>
  <c r="BU113" i="7"/>
  <c r="BV113" i="7"/>
  <c r="BW113" i="7"/>
  <c r="BX113" i="7"/>
  <c r="BY113" i="7"/>
  <c r="BZ113" i="7"/>
  <c r="CA113" i="7"/>
  <c r="CB113" i="7"/>
  <c r="CC113" i="7"/>
  <c r="CD113" i="7"/>
  <c r="CE113" i="7"/>
  <c r="CF113" i="7"/>
  <c r="CG113" i="7"/>
  <c r="CH113" i="7"/>
  <c r="CI113" i="7"/>
  <c r="CJ113" i="7"/>
  <c r="CK113" i="7"/>
  <c r="CL113" i="7"/>
  <c r="CM113" i="7"/>
  <c r="CN113" i="7"/>
  <c r="CO113" i="7"/>
  <c r="CP113" i="7"/>
  <c r="CQ113" i="7"/>
  <c r="CR113" i="7"/>
  <c r="CS113" i="7"/>
  <c r="CT113" i="7"/>
  <c r="CU113" i="7"/>
  <c r="CV113" i="7"/>
  <c r="CW113" i="7"/>
  <c r="CX113" i="7"/>
  <c r="CY113" i="7"/>
  <c r="CZ113" i="7"/>
  <c r="DA113" i="7"/>
  <c r="DB113" i="7"/>
  <c r="DC113" i="7"/>
  <c r="DD113" i="7"/>
  <c r="DE113" i="7"/>
  <c r="DF113" i="7"/>
  <c r="DG113" i="7"/>
  <c r="DH113" i="7"/>
  <c r="DI113" i="7"/>
  <c r="DJ113" i="7"/>
  <c r="DK113" i="7"/>
  <c r="DL113" i="7"/>
  <c r="DM113" i="7"/>
  <c r="DN113" i="7"/>
  <c r="DO113" i="7"/>
  <c r="DP113" i="7"/>
  <c r="DQ113" i="7"/>
  <c r="DR113" i="7"/>
  <c r="DS113" i="7"/>
  <c r="DT113" i="7"/>
  <c r="DU113" i="7"/>
  <c r="DV113" i="7"/>
  <c r="DW113" i="7"/>
  <c r="DX113" i="7"/>
  <c r="DY113" i="7"/>
  <c r="DZ113" i="7"/>
  <c r="EA113" i="7"/>
  <c r="EB113" i="7"/>
  <c r="EC113" i="7"/>
  <c r="ED113" i="7"/>
  <c r="EE113" i="7"/>
  <c r="EF113" i="7"/>
  <c r="EG113" i="7"/>
  <c r="EH113" i="7"/>
  <c r="EI113" i="7"/>
  <c r="EJ113" i="7"/>
  <c r="EK113" i="7"/>
  <c r="EL113" i="7"/>
  <c r="EM113" i="7"/>
  <c r="EN113" i="7"/>
  <c r="EO113" i="7"/>
  <c r="EP113" i="7"/>
  <c r="EQ113" i="7"/>
  <c r="ER113" i="7"/>
  <c r="ES113" i="7"/>
  <c r="ET113" i="7"/>
  <c r="EU113" i="7"/>
  <c r="EV113" i="7"/>
  <c r="EW113" i="7"/>
  <c r="EX113" i="7"/>
  <c r="EY113" i="7"/>
  <c r="EZ113" i="7"/>
  <c r="FA113" i="7"/>
  <c r="FB113" i="7"/>
  <c r="FC113" i="7"/>
  <c r="FD113" i="7"/>
  <c r="FE113" i="7"/>
  <c r="FF113" i="7"/>
  <c r="FG113" i="7"/>
  <c r="FH113" i="7"/>
  <c r="FI113" i="7"/>
  <c r="FJ113" i="7"/>
  <c r="FK113" i="7"/>
  <c r="FL113" i="7"/>
  <c r="FM113" i="7"/>
  <c r="FN113" i="7"/>
  <c r="FO113" i="7"/>
  <c r="FP113" i="7"/>
  <c r="FQ113" i="7"/>
  <c r="FR113" i="7"/>
  <c r="FS113" i="7"/>
  <c r="FT113" i="7"/>
  <c r="FU113" i="7"/>
  <c r="FV113" i="7"/>
  <c r="FW113" i="7"/>
  <c r="FX113" i="7"/>
  <c r="FY113" i="7"/>
  <c r="FZ113" i="7"/>
  <c r="GA113" i="7"/>
  <c r="GB113" i="7"/>
  <c r="GC113" i="7"/>
  <c r="GD113" i="7"/>
  <c r="GE113" i="7"/>
  <c r="GF113" i="7"/>
  <c r="GG113" i="7"/>
  <c r="GH113" i="7"/>
  <c r="GI113" i="7"/>
  <c r="GJ113" i="7"/>
  <c r="GK113" i="7"/>
  <c r="GL113" i="7"/>
  <c r="GM113" i="7"/>
  <c r="GN113" i="7"/>
  <c r="GO113" i="7"/>
  <c r="GP113" i="7"/>
  <c r="GQ113" i="7"/>
  <c r="GR113" i="7"/>
  <c r="GS113" i="7"/>
  <c r="GT113" i="7"/>
  <c r="GU113" i="7"/>
  <c r="GV113" i="7"/>
  <c r="GW113" i="7"/>
  <c r="GX113" i="7"/>
  <c r="GY113" i="7"/>
  <c r="GZ113" i="7"/>
  <c r="HA113" i="7"/>
  <c r="HB113" i="7"/>
  <c r="HC113" i="7"/>
  <c r="HD113" i="7"/>
  <c r="HE113" i="7"/>
  <c r="HF113" i="7"/>
  <c r="HG113" i="7"/>
  <c r="HH113" i="7"/>
  <c r="HI113" i="7"/>
  <c r="HJ113" i="7"/>
  <c r="HK113" i="7"/>
  <c r="HL113" i="7"/>
  <c r="HM113" i="7"/>
  <c r="HN113" i="7"/>
  <c r="HO113" i="7"/>
  <c r="HP113" i="7"/>
  <c r="HQ113" i="7"/>
  <c r="HR113" i="7"/>
  <c r="HS113" i="7"/>
  <c r="HT113" i="7"/>
  <c r="HU113" i="7"/>
  <c r="HV113" i="7"/>
  <c r="HW113" i="7"/>
  <c r="HX113" i="7"/>
  <c r="HY113" i="7"/>
  <c r="HZ113" i="7"/>
  <c r="IA113" i="7"/>
  <c r="IB113" i="7"/>
  <c r="IC113" i="7"/>
  <c r="ID113" i="7"/>
  <c r="IE113" i="7"/>
  <c r="IF113" i="7"/>
  <c r="IG113" i="7"/>
  <c r="IH113" i="7"/>
  <c r="II113" i="7"/>
  <c r="IJ113" i="7"/>
  <c r="IK113" i="7"/>
  <c r="IL113" i="7"/>
  <c r="IM113" i="7"/>
  <c r="IN113" i="7"/>
  <c r="IO113" i="7"/>
  <c r="IP113" i="7"/>
  <c r="IQ113" i="7"/>
  <c r="IR113" i="7"/>
  <c r="IS113" i="7"/>
  <c r="IT113" i="7"/>
  <c r="IU113" i="7"/>
  <c r="IV113" i="7"/>
  <c r="A112" i="7"/>
  <c r="B112" i="7"/>
  <c r="C112"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AD112" i="7"/>
  <c r="AE112" i="7"/>
  <c r="AF112" i="7"/>
  <c r="AG112" i="7"/>
  <c r="AH112" i="7"/>
  <c r="AI112" i="7"/>
  <c r="AJ112" i="7"/>
  <c r="AK112" i="7"/>
  <c r="AL112" i="7"/>
  <c r="AM112" i="7"/>
  <c r="AN112" i="7"/>
  <c r="AO112" i="7"/>
  <c r="AP112" i="7"/>
  <c r="AQ112" i="7"/>
  <c r="AR112" i="7"/>
  <c r="AS112" i="7"/>
  <c r="AT112" i="7"/>
  <c r="AU112" i="7"/>
  <c r="AV112" i="7"/>
  <c r="AW112" i="7"/>
  <c r="AX112" i="7"/>
  <c r="AY112" i="7"/>
  <c r="AZ112" i="7"/>
  <c r="BA112" i="7"/>
  <c r="BB112" i="7"/>
  <c r="BC112" i="7"/>
  <c r="BD112" i="7"/>
  <c r="BE112" i="7"/>
  <c r="BF112" i="7"/>
  <c r="BG112" i="7"/>
  <c r="BH112" i="7"/>
  <c r="BI112" i="7"/>
  <c r="BJ112" i="7"/>
  <c r="BK112" i="7"/>
  <c r="BL112" i="7"/>
  <c r="BM112" i="7"/>
  <c r="BN112" i="7"/>
  <c r="BO112" i="7"/>
  <c r="BP112" i="7"/>
  <c r="BQ112" i="7"/>
  <c r="BR112" i="7"/>
  <c r="BS112" i="7"/>
  <c r="BT112" i="7"/>
  <c r="BU112" i="7"/>
  <c r="BV112" i="7"/>
  <c r="BW112" i="7"/>
  <c r="BX112" i="7"/>
  <c r="BY112" i="7"/>
  <c r="BZ112" i="7"/>
  <c r="CA112" i="7"/>
  <c r="CB112" i="7"/>
  <c r="CC112" i="7"/>
  <c r="CD112" i="7"/>
  <c r="CE112" i="7"/>
  <c r="CF112" i="7"/>
  <c r="CG112" i="7"/>
  <c r="CH112" i="7"/>
  <c r="CI112" i="7"/>
  <c r="CJ112" i="7"/>
  <c r="CK112" i="7"/>
  <c r="CL112" i="7"/>
  <c r="CM112" i="7"/>
  <c r="CN112" i="7"/>
  <c r="CO112" i="7"/>
  <c r="CP112" i="7"/>
  <c r="CQ112" i="7"/>
  <c r="CR112" i="7"/>
  <c r="CS112" i="7"/>
  <c r="CT112" i="7"/>
  <c r="CU112" i="7"/>
  <c r="CV112" i="7"/>
  <c r="CW112" i="7"/>
  <c r="CX112" i="7"/>
  <c r="CY112" i="7"/>
  <c r="CZ112" i="7"/>
  <c r="DA112" i="7"/>
  <c r="DB112" i="7"/>
  <c r="DC112" i="7"/>
  <c r="DD112" i="7"/>
  <c r="DE112" i="7"/>
  <c r="DF112" i="7"/>
  <c r="DG112" i="7"/>
  <c r="DH112" i="7"/>
  <c r="DI112" i="7"/>
  <c r="DJ112" i="7"/>
  <c r="DK112" i="7"/>
  <c r="DL112" i="7"/>
  <c r="DM112" i="7"/>
  <c r="DN112" i="7"/>
  <c r="DO112" i="7"/>
  <c r="DP112" i="7"/>
  <c r="DQ112" i="7"/>
  <c r="DR112" i="7"/>
  <c r="DS112" i="7"/>
  <c r="DT112" i="7"/>
  <c r="DU112" i="7"/>
  <c r="DV112" i="7"/>
  <c r="DW112" i="7"/>
  <c r="DX112" i="7"/>
  <c r="DY112" i="7"/>
  <c r="DZ112" i="7"/>
  <c r="EA112" i="7"/>
  <c r="EB112" i="7"/>
  <c r="EC112" i="7"/>
  <c r="ED112" i="7"/>
  <c r="EE112" i="7"/>
  <c r="EF112" i="7"/>
  <c r="EG112" i="7"/>
  <c r="EH112" i="7"/>
  <c r="EI112" i="7"/>
  <c r="EJ112" i="7"/>
  <c r="EK112" i="7"/>
  <c r="EL112" i="7"/>
  <c r="EM112" i="7"/>
  <c r="EN112" i="7"/>
  <c r="EO112" i="7"/>
  <c r="EP112" i="7"/>
  <c r="EQ112" i="7"/>
  <c r="ER112" i="7"/>
  <c r="ES112" i="7"/>
  <c r="ET112" i="7"/>
  <c r="EU112" i="7"/>
  <c r="EV112" i="7"/>
  <c r="EW112" i="7"/>
  <c r="EX112" i="7"/>
  <c r="EY112" i="7"/>
  <c r="EZ112" i="7"/>
  <c r="FA112" i="7"/>
  <c r="FB112" i="7"/>
  <c r="FC112" i="7"/>
  <c r="FD112" i="7"/>
  <c r="FE112" i="7"/>
  <c r="FF112" i="7"/>
  <c r="FG112" i="7"/>
  <c r="FH112" i="7"/>
  <c r="FI112" i="7"/>
  <c r="FJ112" i="7"/>
  <c r="FK112" i="7"/>
  <c r="FL112" i="7"/>
  <c r="FM112" i="7"/>
  <c r="FN112" i="7"/>
  <c r="FO112" i="7"/>
  <c r="FP112" i="7"/>
  <c r="FQ112" i="7"/>
  <c r="FR112" i="7"/>
  <c r="FS112" i="7"/>
  <c r="FT112" i="7"/>
  <c r="FU112" i="7"/>
  <c r="FV112" i="7"/>
  <c r="FW112" i="7"/>
  <c r="FX112" i="7"/>
  <c r="FY112" i="7"/>
  <c r="FZ112" i="7"/>
  <c r="GA112" i="7"/>
  <c r="GB112" i="7"/>
  <c r="GC112" i="7"/>
  <c r="GD112" i="7"/>
  <c r="GE112" i="7"/>
  <c r="GF112" i="7"/>
  <c r="GG112" i="7"/>
  <c r="GH112" i="7"/>
  <c r="GI112" i="7"/>
  <c r="GJ112" i="7"/>
  <c r="GK112" i="7"/>
  <c r="GL112" i="7"/>
  <c r="GM112" i="7"/>
  <c r="GN112" i="7"/>
  <c r="GO112" i="7"/>
  <c r="GP112" i="7"/>
  <c r="GQ112" i="7"/>
  <c r="GR112" i="7"/>
  <c r="GS112" i="7"/>
  <c r="GT112" i="7"/>
  <c r="GU112" i="7"/>
  <c r="GV112" i="7"/>
  <c r="GW112" i="7"/>
  <c r="GX112" i="7"/>
  <c r="GY112" i="7"/>
  <c r="GZ112" i="7"/>
  <c r="HA112" i="7"/>
  <c r="HB112" i="7"/>
  <c r="HC112" i="7"/>
  <c r="HD112" i="7"/>
  <c r="HE112" i="7"/>
  <c r="HF112" i="7"/>
  <c r="HG112" i="7"/>
  <c r="HH112" i="7"/>
  <c r="HI112" i="7"/>
  <c r="HJ112" i="7"/>
  <c r="HK112" i="7"/>
  <c r="HL112" i="7"/>
  <c r="HM112" i="7"/>
  <c r="HN112" i="7"/>
  <c r="HO112" i="7"/>
  <c r="HP112" i="7"/>
  <c r="HQ112" i="7"/>
  <c r="HR112" i="7"/>
  <c r="HS112" i="7"/>
  <c r="HT112" i="7"/>
  <c r="HU112" i="7"/>
  <c r="HV112" i="7"/>
  <c r="HW112" i="7"/>
  <c r="HX112" i="7"/>
  <c r="HY112" i="7"/>
  <c r="HZ112" i="7"/>
  <c r="IA112" i="7"/>
  <c r="IB112" i="7"/>
  <c r="IC112" i="7"/>
  <c r="ID112" i="7"/>
  <c r="IE112" i="7"/>
  <c r="IF112" i="7"/>
  <c r="IG112" i="7"/>
  <c r="IH112" i="7"/>
  <c r="II112" i="7"/>
  <c r="IJ112" i="7"/>
  <c r="IK112" i="7"/>
  <c r="IL112" i="7"/>
  <c r="IM112" i="7"/>
  <c r="IN112" i="7"/>
  <c r="IO112" i="7"/>
  <c r="IP112" i="7"/>
  <c r="IQ112" i="7"/>
  <c r="IR112" i="7"/>
  <c r="IS112" i="7"/>
  <c r="IT112" i="7"/>
  <c r="IU112" i="7"/>
  <c r="IV112" i="7"/>
  <c r="A111" i="7"/>
  <c r="B111" i="7"/>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FO111" i="7"/>
  <c r="FP111" i="7"/>
  <c r="FQ111" i="7"/>
  <c r="FR111" i="7"/>
  <c r="FS111" i="7"/>
  <c r="FT111" i="7"/>
  <c r="FU111" i="7"/>
  <c r="FV111" i="7"/>
  <c r="FW111" i="7"/>
  <c r="FX111" i="7"/>
  <c r="FY111" i="7"/>
  <c r="FZ111" i="7"/>
  <c r="GA111" i="7"/>
  <c r="GB111" i="7"/>
  <c r="GC111" i="7"/>
  <c r="GD111" i="7"/>
  <c r="GE111" i="7"/>
  <c r="GF111" i="7"/>
  <c r="GG111" i="7"/>
  <c r="GH111" i="7"/>
  <c r="GI111" i="7"/>
  <c r="GJ111" i="7"/>
  <c r="GK111" i="7"/>
  <c r="GL111" i="7"/>
  <c r="GM111" i="7"/>
  <c r="GN111" i="7"/>
  <c r="GO111" i="7"/>
  <c r="GP111" i="7"/>
  <c r="GQ111" i="7"/>
  <c r="GR111" i="7"/>
  <c r="GS111" i="7"/>
  <c r="GT111" i="7"/>
  <c r="GU111" i="7"/>
  <c r="GV111" i="7"/>
  <c r="GW111" i="7"/>
  <c r="GX111" i="7"/>
  <c r="GY111" i="7"/>
  <c r="GZ111" i="7"/>
  <c r="HA111" i="7"/>
  <c r="HB111" i="7"/>
  <c r="HC111" i="7"/>
  <c r="HD111" i="7"/>
  <c r="HE111" i="7"/>
  <c r="HF111" i="7"/>
  <c r="HG111" i="7"/>
  <c r="HH111" i="7"/>
  <c r="HI111" i="7"/>
  <c r="HJ111" i="7"/>
  <c r="HK111" i="7"/>
  <c r="HL111" i="7"/>
  <c r="HM111" i="7"/>
  <c r="HN111" i="7"/>
  <c r="HO111" i="7"/>
  <c r="HP111" i="7"/>
  <c r="HQ111" i="7"/>
  <c r="HR111" i="7"/>
  <c r="HS111" i="7"/>
  <c r="HT111" i="7"/>
  <c r="HU111" i="7"/>
  <c r="HV111" i="7"/>
  <c r="HW111" i="7"/>
  <c r="HX111" i="7"/>
  <c r="HY111" i="7"/>
  <c r="HZ111" i="7"/>
  <c r="IA111" i="7"/>
  <c r="IB111" i="7"/>
  <c r="IC111" i="7"/>
  <c r="ID111" i="7"/>
  <c r="IE111" i="7"/>
  <c r="IF111" i="7"/>
  <c r="IG111" i="7"/>
  <c r="IH111" i="7"/>
  <c r="II111" i="7"/>
  <c r="IJ111" i="7"/>
  <c r="IK111" i="7"/>
  <c r="IL111" i="7"/>
  <c r="IM111" i="7"/>
  <c r="IN111" i="7"/>
  <c r="IO111" i="7"/>
  <c r="IP111" i="7"/>
  <c r="IQ111" i="7"/>
  <c r="IR111" i="7"/>
  <c r="IS111" i="7"/>
  <c r="IT111" i="7"/>
  <c r="IU111" i="7"/>
  <c r="IV111" i="7"/>
  <c r="A110" i="7"/>
  <c r="B110" i="7"/>
  <c r="C110"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AD110" i="7"/>
  <c r="AE110" i="7"/>
  <c r="AF110" i="7"/>
  <c r="AG110" i="7"/>
  <c r="AH110" i="7"/>
  <c r="AI110" i="7"/>
  <c r="AJ110" i="7"/>
  <c r="AK110" i="7"/>
  <c r="AL110" i="7"/>
  <c r="AM110" i="7"/>
  <c r="AN110" i="7"/>
  <c r="AO110" i="7"/>
  <c r="AP110" i="7"/>
  <c r="AQ110" i="7"/>
  <c r="AR110" i="7"/>
  <c r="AS110" i="7"/>
  <c r="AT110" i="7"/>
  <c r="AU110" i="7"/>
  <c r="AV110" i="7"/>
  <c r="AW110" i="7"/>
  <c r="AX110" i="7"/>
  <c r="AY110" i="7"/>
  <c r="AZ110" i="7"/>
  <c r="BA110" i="7"/>
  <c r="BB110" i="7"/>
  <c r="BC110" i="7"/>
  <c r="BD110" i="7"/>
  <c r="BE110" i="7"/>
  <c r="BF110" i="7"/>
  <c r="BG110" i="7"/>
  <c r="BH110" i="7"/>
  <c r="BI110" i="7"/>
  <c r="BJ110" i="7"/>
  <c r="BK110" i="7"/>
  <c r="BL110" i="7"/>
  <c r="BM110" i="7"/>
  <c r="BN110" i="7"/>
  <c r="BO110" i="7"/>
  <c r="BP110" i="7"/>
  <c r="BQ110" i="7"/>
  <c r="BR110" i="7"/>
  <c r="BS110" i="7"/>
  <c r="BT110" i="7"/>
  <c r="BU110" i="7"/>
  <c r="BV110" i="7"/>
  <c r="BW110" i="7"/>
  <c r="BX110" i="7"/>
  <c r="BY110" i="7"/>
  <c r="BZ110" i="7"/>
  <c r="CA110" i="7"/>
  <c r="CB110" i="7"/>
  <c r="CC110" i="7"/>
  <c r="CD110" i="7"/>
  <c r="CE110" i="7"/>
  <c r="CF110" i="7"/>
  <c r="CG110" i="7"/>
  <c r="CH110" i="7"/>
  <c r="CI110" i="7"/>
  <c r="CJ110" i="7"/>
  <c r="CK110" i="7"/>
  <c r="CL110" i="7"/>
  <c r="CM110" i="7"/>
  <c r="CN110" i="7"/>
  <c r="CO110" i="7"/>
  <c r="CP110" i="7"/>
  <c r="CQ110" i="7"/>
  <c r="CR110" i="7"/>
  <c r="CS110" i="7"/>
  <c r="CT110" i="7"/>
  <c r="CU110" i="7"/>
  <c r="CV110" i="7"/>
  <c r="CW110" i="7"/>
  <c r="CX110" i="7"/>
  <c r="CY110" i="7"/>
  <c r="CZ110" i="7"/>
  <c r="DA110" i="7"/>
  <c r="DB110" i="7"/>
  <c r="DC110" i="7"/>
  <c r="DD110" i="7"/>
  <c r="DE110" i="7"/>
  <c r="DF110" i="7"/>
  <c r="DG110" i="7"/>
  <c r="DH110" i="7"/>
  <c r="DI110" i="7"/>
  <c r="DJ110" i="7"/>
  <c r="DK110" i="7"/>
  <c r="DL110" i="7"/>
  <c r="DM110" i="7"/>
  <c r="DN110" i="7"/>
  <c r="DO110" i="7"/>
  <c r="DP110" i="7"/>
  <c r="DQ110" i="7"/>
  <c r="DR110" i="7"/>
  <c r="DS110" i="7"/>
  <c r="DT110" i="7"/>
  <c r="DU110" i="7"/>
  <c r="DV110" i="7"/>
  <c r="DW110" i="7"/>
  <c r="DX110" i="7"/>
  <c r="DY110" i="7"/>
  <c r="DZ110" i="7"/>
  <c r="EA110" i="7"/>
  <c r="EB110" i="7"/>
  <c r="EC110" i="7"/>
  <c r="ED110" i="7"/>
  <c r="EE110" i="7"/>
  <c r="EF110" i="7"/>
  <c r="EG110" i="7"/>
  <c r="EH110" i="7"/>
  <c r="EI110" i="7"/>
  <c r="EJ110" i="7"/>
  <c r="EK110" i="7"/>
  <c r="EL110" i="7"/>
  <c r="EM110" i="7"/>
  <c r="EN110" i="7"/>
  <c r="EO110" i="7"/>
  <c r="EP110" i="7"/>
  <c r="EQ110" i="7"/>
  <c r="ER110" i="7"/>
  <c r="ES110" i="7"/>
  <c r="ET110" i="7"/>
  <c r="EU110" i="7"/>
  <c r="EV110" i="7"/>
  <c r="EW110" i="7"/>
  <c r="EX110" i="7"/>
  <c r="EY110" i="7"/>
  <c r="EZ110" i="7"/>
  <c r="FA110" i="7"/>
  <c r="FB110" i="7"/>
  <c r="FC110" i="7"/>
  <c r="FD110" i="7"/>
  <c r="FE110" i="7"/>
  <c r="FF110" i="7"/>
  <c r="FG110" i="7"/>
  <c r="FH110" i="7"/>
  <c r="FI110" i="7"/>
  <c r="FJ110" i="7"/>
  <c r="FK110" i="7"/>
  <c r="FL110" i="7"/>
  <c r="FM110" i="7"/>
  <c r="FN110" i="7"/>
  <c r="FO110" i="7"/>
  <c r="FP110" i="7"/>
  <c r="FQ110" i="7"/>
  <c r="FR110" i="7"/>
  <c r="FS110" i="7"/>
  <c r="FT110" i="7"/>
  <c r="FU110" i="7"/>
  <c r="FV110" i="7"/>
  <c r="FW110" i="7"/>
  <c r="FX110" i="7"/>
  <c r="FY110" i="7"/>
  <c r="FZ110" i="7"/>
  <c r="GA110" i="7"/>
  <c r="GB110" i="7"/>
  <c r="GC110" i="7"/>
  <c r="GD110" i="7"/>
  <c r="GE110" i="7"/>
  <c r="GF110" i="7"/>
  <c r="GG110" i="7"/>
  <c r="GH110" i="7"/>
  <c r="GI110" i="7"/>
  <c r="GJ110" i="7"/>
  <c r="GK110" i="7"/>
  <c r="GL110" i="7"/>
  <c r="GM110" i="7"/>
  <c r="GN110" i="7"/>
  <c r="GO110" i="7"/>
  <c r="GP110" i="7"/>
  <c r="GQ110" i="7"/>
  <c r="GR110" i="7"/>
  <c r="GS110" i="7"/>
  <c r="GT110" i="7"/>
  <c r="GU110" i="7"/>
  <c r="GV110" i="7"/>
  <c r="GW110" i="7"/>
  <c r="GX110" i="7"/>
  <c r="GY110" i="7"/>
  <c r="GZ110" i="7"/>
  <c r="HA110" i="7"/>
  <c r="HB110" i="7"/>
  <c r="HC110" i="7"/>
  <c r="HD110" i="7"/>
  <c r="HE110" i="7"/>
  <c r="HF110" i="7"/>
  <c r="HG110" i="7"/>
  <c r="HH110" i="7"/>
  <c r="HI110" i="7"/>
  <c r="HJ110" i="7"/>
  <c r="HK110" i="7"/>
  <c r="HL110" i="7"/>
  <c r="HM110" i="7"/>
  <c r="HN110" i="7"/>
  <c r="HO110" i="7"/>
  <c r="HP110" i="7"/>
  <c r="HQ110" i="7"/>
  <c r="HR110" i="7"/>
  <c r="HS110" i="7"/>
  <c r="HT110" i="7"/>
  <c r="HU110" i="7"/>
  <c r="HV110" i="7"/>
  <c r="HW110" i="7"/>
  <c r="HX110" i="7"/>
  <c r="HY110" i="7"/>
  <c r="HZ110" i="7"/>
  <c r="IA110" i="7"/>
  <c r="IB110" i="7"/>
  <c r="IC110" i="7"/>
  <c r="ID110" i="7"/>
  <c r="IE110" i="7"/>
  <c r="IF110" i="7"/>
  <c r="IG110" i="7"/>
  <c r="IH110" i="7"/>
  <c r="II110" i="7"/>
  <c r="IJ110" i="7"/>
  <c r="IK110" i="7"/>
  <c r="IL110" i="7"/>
  <c r="IM110" i="7"/>
  <c r="IN110" i="7"/>
  <c r="IO110" i="7"/>
  <c r="IP110" i="7"/>
  <c r="IQ110" i="7"/>
  <c r="IR110" i="7"/>
  <c r="IS110" i="7"/>
  <c r="IT110" i="7"/>
  <c r="IU110" i="7"/>
  <c r="IV110" i="7"/>
  <c r="A109" i="7"/>
  <c r="B109" i="7"/>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AD109" i="7"/>
  <c r="AE109" i="7"/>
  <c r="AF109" i="7"/>
  <c r="AG109" i="7"/>
  <c r="AH109" i="7"/>
  <c r="AI109" i="7"/>
  <c r="AJ109" i="7"/>
  <c r="AK109" i="7"/>
  <c r="AL109" i="7"/>
  <c r="AM109" i="7"/>
  <c r="AN109" i="7"/>
  <c r="AO109" i="7"/>
  <c r="AP109" i="7"/>
  <c r="AQ109" i="7"/>
  <c r="AR109" i="7"/>
  <c r="AS109" i="7"/>
  <c r="AT109" i="7"/>
  <c r="AU109" i="7"/>
  <c r="AV109" i="7"/>
  <c r="AW109" i="7"/>
  <c r="AX109" i="7"/>
  <c r="AY109" i="7"/>
  <c r="AZ109" i="7"/>
  <c r="BA109" i="7"/>
  <c r="BB109" i="7"/>
  <c r="BC109" i="7"/>
  <c r="BD109" i="7"/>
  <c r="BE109" i="7"/>
  <c r="BF109" i="7"/>
  <c r="BG109" i="7"/>
  <c r="BH109" i="7"/>
  <c r="BI109" i="7"/>
  <c r="BJ109" i="7"/>
  <c r="BK109" i="7"/>
  <c r="BL109" i="7"/>
  <c r="BM109" i="7"/>
  <c r="BN109" i="7"/>
  <c r="BO109" i="7"/>
  <c r="BP109" i="7"/>
  <c r="BQ109" i="7"/>
  <c r="BR109" i="7"/>
  <c r="BS109" i="7"/>
  <c r="BT109" i="7"/>
  <c r="BU109" i="7"/>
  <c r="BV109" i="7"/>
  <c r="BW109" i="7"/>
  <c r="BX109" i="7"/>
  <c r="BY109" i="7"/>
  <c r="BZ109" i="7"/>
  <c r="CA109" i="7"/>
  <c r="CB109" i="7"/>
  <c r="CC109" i="7"/>
  <c r="CD109" i="7"/>
  <c r="CE109" i="7"/>
  <c r="CF109" i="7"/>
  <c r="CG109" i="7"/>
  <c r="CH109" i="7"/>
  <c r="CI109" i="7"/>
  <c r="CJ109" i="7"/>
  <c r="CK109" i="7"/>
  <c r="CL109" i="7"/>
  <c r="CM109" i="7"/>
  <c r="CN109" i="7"/>
  <c r="CO109" i="7"/>
  <c r="CP109" i="7"/>
  <c r="CQ109" i="7"/>
  <c r="CR109" i="7"/>
  <c r="CS109" i="7"/>
  <c r="CT109" i="7"/>
  <c r="CU109" i="7"/>
  <c r="CV109" i="7"/>
  <c r="CW109" i="7"/>
  <c r="CX109" i="7"/>
  <c r="CY109" i="7"/>
  <c r="CZ109" i="7"/>
  <c r="DA109" i="7"/>
  <c r="DB109" i="7"/>
  <c r="DC109" i="7"/>
  <c r="DD109" i="7"/>
  <c r="DE109" i="7"/>
  <c r="DF109" i="7"/>
  <c r="DG109" i="7"/>
  <c r="DH109" i="7"/>
  <c r="DI109" i="7"/>
  <c r="DJ109" i="7"/>
  <c r="DK109" i="7"/>
  <c r="DL109" i="7"/>
  <c r="DM109" i="7"/>
  <c r="DN109" i="7"/>
  <c r="DO109" i="7"/>
  <c r="DP109" i="7"/>
  <c r="DQ109" i="7"/>
  <c r="DR109" i="7"/>
  <c r="DS109" i="7"/>
  <c r="DT109" i="7"/>
  <c r="DU109" i="7"/>
  <c r="DV109" i="7"/>
  <c r="DW109" i="7"/>
  <c r="DX109" i="7"/>
  <c r="DY109" i="7"/>
  <c r="DZ109" i="7"/>
  <c r="EA109" i="7"/>
  <c r="EB109" i="7"/>
  <c r="EC109" i="7"/>
  <c r="ED109" i="7"/>
  <c r="EE109" i="7"/>
  <c r="EF109" i="7"/>
  <c r="EG109" i="7"/>
  <c r="EH109" i="7"/>
  <c r="EI109" i="7"/>
  <c r="EJ109" i="7"/>
  <c r="EK109" i="7"/>
  <c r="EL109" i="7"/>
  <c r="EM109" i="7"/>
  <c r="EN109" i="7"/>
  <c r="EO109" i="7"/>
  <c r="EP109" i="7"/>
  <c r="EQ109" i="7"/>
  <c r="ER109" i="7"/>
  <c r="ES109" i="7"/>
  <c r="ET109" i="7"/>
  <c r="EU109" i="7"/>
  <c r="EV109" i="7"/>
  <c r="EW109" i="7"/>
  <c r="EX109" i="7"/>
  <c r="EY109" i="7"/>
  <c r="EZ109" i="7"/>
  <c r="FA109" i="7"/>
  <c r="FB109" i="7"/>
  <c r="FC109" i="7"/>
  <c r="FD109" i="7"/>
  <c r="FE109" i="7"/>
  <c r="FF109" i="7"/>
  <c r="FG109" i="7"/>
  <c r="FH109" i="7"/>
  <c r="FI109" i="7"/>
  <c r="FJ109" i="7"/>
  <c r="FK109" i="7"/>
  <c r="FL109" i="7"/>
  <c r="FM109" i="7"/>
  <c r="FN109" i="7"/>
  <c r="FO109" i="7"/>
  <c r="FP109" i="7"/>
  <c r="FQ109" i="7"/>
  <c r="FR109" i="7"/>
  <c r="FS109" i="7"/>
  <c r="FT109" i="7"/>
  <c r="FU109" i="7"/>
  <c r="FV109" i="7"/>
  <c r="FW109" i="7"/>
  <c r="FX109" i="7"/>
  <c r="FY109" i="7"/>
  <c r="FZ109" i="7"/>
  <c r="GA109" i="7"/>
  <c r="GB109" i="7"/>
  <c r="GC109" i="7"/>
  <c r="GD109" i="7"/>
  <c r="GE109" i="7"/>
  <c r="GF109" i="7"/>
  <c r="GG109" i="7"/>
  <c r="GH109" i="7"/>
  <c r="GI109" i="7"/>
  <c r="GJ109" i="7"/>
  <c r="GK109" i="7"/>
  <c r="GL109" i="7"/>
  <c r="GM109" i="7"/>
  <c r="GN109" i="7"/>
  <c r="GO109" i="7"/>
  <c r="GP109" i="7"/>
  <c r="GQ109" i="7"/>
  <c r="GR109" i="7"/>
  <c r="GS109" i="7"/>
  <c r="GT109" i="7"/>
  <c r="GU109" i="7"/>
  <c r="GV109" i="7"/>
  <c r="GW109" i="7"/>
  <c r="GX109" i="7"/>
  <c r="GY109" i="7"/>
  <c r="GZ109" i="7"/>
  <c r="HA109" i="7"/>
  <c r="HB109" i="7"/>
  <c r="HC109" i="7"/>
  <c r="HD109" i="7"/>
  <c r="HE109" i="7"/>
  <c r="HF109" i="7"/>
  <c r="HG109" i="7"/>
  <c r="HH109" i="7"/>
  <c r="HI109" i="7"/>
  <c r="HJ109" i="7"/>
  <c r="HK109" i="7"/>
  <c r="HL109" i="7"/>
  <c r="HM109" i="7"/>
  <c r="HN109" i="7"/>
  <c r="HO109" i="7"/>
  <c r="HP109" i="7"/>
  <c r="HQ109" i="7"/>
  <c r="HR109" i="7"/>
  <c r="HS109" i="7"/>
  <c r="HT109" i="7"/>
  <c r="HU109" i="7"/>
  <c r="HV109" i="7"/>
  <c r="HW109" i="7"/>
  <c r="HX109" i="7"/>
  <c r="HY109" i="7"/>
  <c r="HZ109" i="7"/>
  <c r="IA109" i="7"/>
  <c r="IB109" i="7"/>
  <c r="IC109" i="7"/>
  <c r="ID109" i="7"/>
  <c r="IE109" i="7"/>
  <c r="IF109" i="7"/>
  <c r="IG109" i="7"/>
  <c r="IH109" i="7"/>
  <c r="II109" i="7"/>
  <c r="IJ109" i="7"/>
  <c r="IK109" i="7"/>
  <c r="IL109" i="7"/>
  <c r="IM109" i="7"/>
  <c r="IN109" i="7"/>
  <c r="IO109" i="7"/>
  <c r="IP109" i="7"/>
  <c r="IQ109" i="7"/>
  <c r="IR109" i="7"/>
  <c r="IS109" i="7"/>
  <c r="IT109" i="7"/>
  <c r="IU109" i="7"/>
  <c r="IV109" i="7"/>
  <c r="A108" i="7"/>
  <c r="B108" i="7"/>
  <c r="C108"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AD108" i="7"/>
  <c r="AE108" i="7"/>
  <c r="AF108" i="7"/>
  <c r="AG108" i="7"/>
  <c r="AH108" i="7"/>
  <c r="AI108" i="7"/>
  <c r="AJ108" i="7"/>
  <c r="AK108" i="7"/>
  <c r="AL108" i="7"/>
  <c r="AM108" i="7"/>
  <c r="AN108" i="7"/>
  <c r="AO108" i="7"/>
  <c r="AP108" i="7"/>
  <c r="AQ108" i="7"/>
  <c r="AR108" i="7"/>
  <c r="AS108" i="7"/>
  <c r="AT108" i="7"/>
  <c r="AU108" i="7"/>
  <c r="AV108" i="7"/>
  <c r="AW108" i="7"/>
  <c r="AX108" i="7"/>
  <c r="AY108" i="7"/>
  <c r="AZ108" i="7"/>
  <c r="BA108" i="7"/>
  <c r="BB108" i="7"/>
  <c r="BC108" i="7"/>
  <c r="BD108" i="7"/>
  <c r="BE108" i="7"/>
  <c r="BF108" i="7"/>
  <c r="BG108" i="7"/>
  <c r="BH108" i="7"/>
  <c r="BI108" i="7"/>
  <c r="BJ108" i="7"/>
  <c r="BK108" i="7"/>
  <c r="BL108" i="7"/>
  <c r="BM108" i="7"/>
  <c r="BN108" i="7"/>
  <c r="BO108" i="7"/>
  <c r="BP108" i="7"/>
  <c r="BQ108" i="7"/>
  <c r="BR108" i="7"/>
  <c r="BS108" i="7"/>
  <c r="BT108" i="7"/>
  <c r="BU108" i="7"/>
  <c r="BV108" i="7"/>
  <c r="BW108" i="7"/>
  <c r="BX108" i="7"/>
  <c r="BY108" i="7"/>
  <c r="BZ108" i="7"/>
  <c r="CA108" i="7"/>
  <c r="CB108" i="7"/>
  <c r="CC108" i="7"/>
  <c r="CD108" i="7"/>
  <c r="CE108" i="7"/>
  <c r="CF108" i="7"/>
  <c r="CG108" i="7"/>
  <c r="CH108" i="7"/>
  <c r="CI108" i="7"/>
  <c r="CJ108" i="7"/>
  <c r="CK108" i="7"/>
  <c r="CL108" i="7"/>
  <c r="CM108" i="7"/>
  <c r="CN108" i="7"/>
  <c r="CO108" i="7"/>
  <c r="CP108" i="7"/>
  <c r="CQ108" i="7"/>
  <c r="CR108" i="7"/>
  <c r="CS108" i="7"/>
  <c r="CT108" i="7"/>
  <c r="CU108" i="7"/>
  <c r="CV108" i="7"/>
  <c r="CW108" i="7"/>
  <c r="CX108" i="7"/>
  <c r="CY108" i="7"/>
  <c r="CZ108" i="7"/>
  <c r="DA108" i="7"/>
  <c r="DB108" i="7"/>
  <c r="DC108" i="7"/>
  <c r="DD108" i="7"/>
  <c r="DE108" i="7"/>
  <c r="DF108" i="7"/>
  <c r="DG108" i="7"/>
  <c r="DH108" i="7"/>
  <c r="DI108" i="7"/>
  <c r="DJ108" i="7"/>
  <c r="DK108" i="7"/>
  <c r="DL108" i="7"/>
  <c r="DM108" i="7"/>
  <c r="DN108" i="7"/>
  <c r="DO108" i="7"/>
  <c r="DP108" i="7"/>
  <c r="DQ108" i="7"/>
  <c r="DR108" i="7"/>
  <c r="DS108" i="7"/>
  <c r="DT108" i="7"/>
  <c r="DU108" i="7"/>
  <c r="DV108" i="7"/>
  <c r="DW108" i="7"/>
  <c r="DX108" i="7"/>
  <c r="DY108" i="7"/>
  <c r="DZ108" i="7"/>
  <c r="EA108" i="7"/>
  <c r="EB108" i="7"/>
  <c r="EC108" i="7"/>
  <c r="ED108" i="7"/>
  <c r="EE108" i="7"/>
  <c r="EF108" i="7"/>
  <c r="EG108" i="7"/>
  <c r="EH108" i="7"/>
  <c r="EI108" i="7"/>
  <c r="EJ108" i="7"/>
  <c r="EK108" i="7"/>
  <c r="EL108" i="7"/>
  <c r="EM108" i="7"/>
  <c r="EN108" i="7"/>
  <c r="EO108" i="7"/>
  <c r="EP108" i="7"/>
  <c r="EQ108" i="7"/>
  <c r="ER108" i="7"/>
  <c r="ES108" i="7"/>
  <c r="ET108" i="7"/>
  <c r="EU108" i="7"/>
  <c r="EV108" i="7"/>
  <c r="EW108" i="7"/>
  <c r="EX108" i="7"/>
  <c r="EY108" i="7"/>
  <c r="EZ108" i="7"/>
  <c r="FA108" i="7"/>
  <c r="FB108" i="7"/>
  <c r="FC108" i="7"/>
  <c r="FD108" i="7"/>
  <c r="FE108" i="7"/>
  <c r="FF108" i="7"/>
  <c r="FG108" i="7"/>
  <c r="FH108" i="7"/>
  <c r="FI108" i="7"/>
  <c r="FJ108" i="7"/>
  <c r="FK108" i="7"/>
  <c r="FL108" i="7"/>
  <c r="FM108" i="7"/>
  <c r="FN108" i="7"/>
  <c r="FO108" i="7"/>
  <c r="FP108" i="7"/>
  <c r="FQ108" i="7"/>
  <c r="FR108" i="7"/>
  <c r="FS108" i="7"/>
  <c r="FT108" i="7"/>
  <c r="FU108" i="7"/>
  <c r="FV108" i="7"/>
  <c r="FW108" i="7"/>
  <c r="FX108" i="7"/>
  <c r="FY108" i="7"/>
  <c r="FZ108" i="7"/>
  <c r="GA108" i="7"/>
  <c r="GB108" i="7"/>
  <c r="GC108" i="7"/>
  <c r="GD108" i="7"/>
  <c r="GE108" i="7"/>
  <c r="GF108" i="7"/>
  <c r="GG108" i="7"/>
  <c r="GH108" i="7"/>
  <c r="GI108" i="7"/>
  <c r="GJ108" i="7"/>
  <c r="GK108" i="7"/>
  <c r="GL108" i="7"/>
  <c r="GM108" i="7"/>
  <c r="GN108" i="7"/>
  <c r="GO108" i="7"/>
  <c r="GP108" i="7"/>
  <c r="GQ108" i="7"/>
  <c r="GR108" i="7"/>
  <c r="GS108" i="7"/>
  <c r="GT108" i="7"/>
  <c r="GU108" i="7"/>
  <c r="GV108" i="7"/>
  <c r="GW108" i="7"/>
  <c r="GX108" i="7"/>
  <c r="GY108" i="7"/>
  <c r="GZ108" i="7"/>
  <c r="HA108" i="7"/>
  <c r="HB108" i="7"/>
  <c r="HC108" i="7"/>
  <c r="HD108" i="7"/>
  <c r="HE108" i="7"/>
  <c r="HF108" i="7"/>
  <c r="HG108" i="7"/>
  <c r="HH108" i="7"/>
  <c r="HI108" i="7"/>
  <c r="HJ108" i="7"/>
  <c r="HK108" i="7"/>
  <c r="HL108" i="7"/>
  <c r="HM108" i="7"/>
  <c r="HN108" i="7"/>
  <c r="HO108" i="7"/>
  <c r="HP108" i="7"/>
  <c r="HQ108" i="7"/>
  <c r="HR108" i="7"/>
  <c r="HS108" i="7"/>
  <c r="HT108" i="7"/>
  <c r="HU108" i="7"/>
  <c r="HV108" i="7"/>
  <c r="HW108" i="7"/>
  <c r="HX108" i="7"/>
  <c r="HY108" i="7"/>
  <c r="HZ108" i="7"/>
  <c r="IA108" i="7"/>
  <c r="IB108" i="7"/>
  <c r="IC108" i="7"/>
  <c r="ID108" i="7"/>
  <c r="IE108" i="7"/>
  <c r="IF108" i="7"/>
  <c r="IG108" i="7"/>
  <c r="IH108" i="7"/>
  <c r="II108" i="7"/>
  <c r="IJ108" i="7"/>
  <c r="IK108" i="7"/>
  <c r="IL108" i="7"/>
  <c r="IM108" i="7"/>
  <c r="IN108" i="7"/>
  <c r="IO108" i="7"/>
  <c r="IP108" i="7"/>
  <c r="IQ108" i="7"/>
  <c r="IR108" i="7"/>
  <c r="IS108" i="7"/>
  <c r="IT108" i="7"/>
  <c r="IU108" i="7"/>
  <c r="IV108" i="7"/>
  <c r="A107" i="7"/>
  <c r="B107" i="7"/>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AD107" i="7"/>
  <c r="AE107" i="7"/>
  <c r="AF107" i="7"/>
  <c r="AG107" i="7"/>
  <c r="AH107" i="7"/>
  <c r="AI107" i="7"/>
  <c r="AJ107" i="7"/>
  <c r="AK107" i="7"/>
  <c r="AL107" i="7"/>
  <c r="AM107" i="7"/>
  <c r="AN107" i="7"/>
  <c r="AO107" i="7"/>
  <c r="AP107" i="7"/>
  <c r="AQ107" i="7"/>
  <c r="AR107" i="7"/>
  <c r="AS107" i="7"/>
  <c r="AT107" i="7"/>
  <c r="AU107" i="7"/>
  <c r="AV107" i="7"/>
  <c r="AW107" i="7"/>
  <c r="AX107" i="7"/>
  <c r="AY107" i="7"/>
  <c r="AZ107" i="7"/>
  <c r="BA107" i="7"/>
  <c r="BB107" i="7"/>
  <c r="BC107" i="7"/>
  <c r="BD107" i="7"/>
  <c r="BE107" i="7"/>
  <c r="BF107" i="7"/>
  <c r="BG107" i="7"/>
  <c r="BH107" i="7"/>
  <c r="BI107" i="7"/>
  <c r="BJ107" i="7"/>
  <c r="BK107" i="7"/>
  <c r="BL107" i="7"/>
  <c r="BM107" i="7"/>
  <c r="BN107" i="7"/>
  <c r="BO107" i="7"/>
  <c r="BP107" i="7"/>
  <c r="BQ107" i="7"/>
  <c r="BR107" i="7"/>
  <c r="BS107" i="7"/>
  <c r="BT107" i="7"/>
  <c r="BU107" i="7"/>
  <c r="BV107" i="7"/>
  <c r="BW107" i="7"/>
  <c r="BX107" i="7"/>
  <c r="BY107" i="7"/>
  <c r="BZ107" i="7"/>
  <c r="CA107" i="7"/>
  <c r="CB107" i="7"/>
  <c r="CC107" i="7"/>
  <c r="CD107" i="7"/>
  <c r="CE107" i="7"/>
  <c r="CF107" i="7"/>
  <c r="CG107" i="7"/>
  <c r="CH107" i="7"/>
  <c r="CI107" i="7"/>
  <c r="CJ107" i="7"/>
  <c r="CK107" i="7"/>
  <c r="CL107" i="7"/>
  <c r="CM107" i="7"/>
  <c r="CN107" i="7"/>
  <c r="CO107" i="7"/>
  <c r="CP107" i="7"/>
  <c r="CQ107" i="7"/>
  <c r="CR107" i="7"/>
  <c r="CS107" i="7"/>
  <c r="CT107" i="7"/>
  <c r="CU107" i="7"/>
  <c r="CV107" i="7"/>
  <c r="CW107" i="7"/>
  <c r="CX107" i="7"/>
  <c r="CY107" i="7"/>
  <c r="CZ107" i="7"/>
  <c r="DA107" i="7"/>
  <c r="DB107" i="7"/>
  <c r="DC107" i="7"/>
  <c r="DD107" i="7"/>
  <c r="DE107" i="7"/>
  <c r="DF107" i="7"/>
  <c r="DG107" i="7"/>
  <c r="DH107" i="7"/>
  <c r="DI107" i="7"/>
  <c r="DJ107" i="7"/>
  <c r="DK107" i="7"/>
  <c r="DL107" i="7"/>
  <c r="DM107" i="7"/>
  <c r="DN107" i="7"/>
  <c r="DO107" i="7"/>
  <c r="DP107" i="7"/>
  <c r="DQ107" i="7"/>
  <c r="DR107" i="7"/>
  <c r="DS107" i="7"/>
  <c r="DT107" i="7"/>
  <c r="DU107" i="7"/>
  <c r="DV107" i="7"/>
  <c r="DW107" i="7"/>
  <c r="DX107" i="7"/>
  <c r="DY107" i="7"/>
  <c r="DZ107" i="7"/>
  <c r="EA107" i="7"/>
  <c r="EB107" i="7"/>
  <c r="EC107" i="7"/>
  <c r="ED107" i="7"/>
  <c r="EE107" i="7"/>
  <c r="EF107" i="7"/>
  <c r="EG107" i="7"/>
  <c r="EH107" i="7"/>
  <c r="EI107" i="7"/>
  <c r="EJ107" i="7"/>
  <c r="EK107" i="7"/>
  <c r="EL107" i="7"/>
  <c r="EM107" i="7"/>
  <c r="EN107" i="7"/>
  <c r="EO107" i="7"/>
  <c r="EP107" i="7"/>
  <c r="EQ107" i="7"/>
  <c r="ER107" i="7"/>
  <c r="ES107" i="7"/>
  <c r="ET107" i="7"/>
  <c r="EU107" i="7"/>
  <c r="EV107" i="7"/>
  <c r="EW107" i="7"/>
  <c r="EX107" i="7"/>
  <c r="EY107" i="7"/>
  <c r="EZ107" i="7"/>
  <c r="FA107" i="7"/>
  <c r="FB107" i="7"/>
  <c r="FC107" i="7"/>
  <c r="FD107" i="7"/>
  <c r="FE107" i="7"/>
  <c r="FF107" i="7"/>
  <c r="FG107" i="7"/>
  <c r="FH107" i="7"/>
  <c r="FI107" i="7"/>
  <c r="FJ107" i="7"/>
  <c r="FK107" i="7"/>
  <c r="FL107" i="7"/>
  <c r="FM107" i="7"/>
  <c r="FN107" i="7"/>
  <c r="FO107" i="7"/>
  <c r="FP107" i="7"/>
  <c r="FQ107" i="7"/>
  <c r="FR107" i="7"/>
  <c r="FS107" i="7"/>
  <c r="FT107" i="7"/>
  <c r="FU107" i="7"/>
  <c r="FV107" i="7"/>
  <c r="FW107" i="7"/>
  <c r="FX107" i="7"/>
  <c r="FY107" i="7"/>
  <c r="FZ107" i="7"/>
  <c r="GA107" i="7"/>
  <c r="GB107" i="7"/>
  <c r="GC107" i="7"/>
  <c r="GD107" i="7"/>
  <c r="GE107" i="7"/>
  <c r="GF107" i="7"/>
  <c r="GG107" i="7"/>
  <c r="GH107" i="7"/>
  <c r="GI107" i="7"/>
  <c r="GJ107" i="7"/>
  <c r="GK107" i="7"/>
  <c r="GL107" i="7"/>
  <c r="GM107" i="7"/>
  <c r="GN107" i="7"/>
  <c r="GO107" i="7"/>
  <c r="GP107" i="7"/>
  <c r="GQ107" i="7"/>
  <c r="GR107" i="7"/>
  <c r="GS107" i="7"/>
  <c r="GT107" i="7"/>
  <c r="GU107" i="7"/>
  <c r="GV107" i="7"/>
  <c r="GW107" i="7"/>
  <c r="GX107" i="7"/>
  <c r="GY107" i="7"/>
  <c r="GZ107" i="7"/>
  <c r="HA107" i="7"/>
  <c r="HB107" i="7"/>
  <c r="HC107" i="7"/>
  <c r="HD107" i="7"/>
  <c r="HE107" i="7"/>
  <c r="HF107" i="7"/>
  <c r="HG107" i="7"/>
  <c r="HH107" i="7"/>
  <c r="HI107" i="7"/>
  <c r="HJ107" i="7"/>
  <c r="HK107" i="7"/>
  <c r="HL107" i="7"/>
  <c r="HM107" i="7"/>
  <c r="HN107" i="7"/>
  <c r="HO107" i="7"/>
  <c r="HP107" i="7"/>
  <c r="HQ107" i="7"/>
  <c r="HR107" i="7"/>
  <c r="HS107" i="7"/>
  <c r="HT107" i="7"/>
  <c r="HU107" i="7"/>
  <c r="HV107" i="7"/>
  <c r="HW107" i="7"/>
  <c r="HX107" i="7"/>
  <c r="HY107" i="7"/>
  <c r="HZ107" i="7"/>
  <c r="IA107" i="7"/>
  <c r="IB107" i="7"/>
  <c r="IC107" i="7"/>
  <c r="ID107" i="7"/>
  <c r="IE107" i="7"/>
  <c r="IF107" i="7"/>
  <c r="IG107" i="7"/>
  <c r="IH107" i="7"/>
  <c r="II107" i="7"/>
  <c r="IJ107" i="7"/>
  <c r="IK107" i="7"/>
  <c r="IL107" i="7"/>
  <c r="IM107" i="7"/>
  <c r="IN107" i="7"/>
  <c r="IO107" i="7"/>
  <c r="IP107" i="7"/>
  <c r="IQ107" i="7"/>
  <c r="IR107" i="7"/>
  <c r="IS107" i="7"/>
  <c r="IT107" i="7"/>
  <c r="IU107" i="7"/>
  <c r="IV107" i="7"/>
  <c r="A106" i="7"/>
  <c r="B106" i="7"/>
  <c r="C106"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AD106" i="7"/>
  <c r="AE106" i="7"/>
  <c r="AF106" i="7"/>
  <c r="AG106" i="7"/>
  <c r="AH106" i="7"/>
  <c r="AI106" i="7"/>
  <c r="AJ106" i="7"/>
  <c r="AK106" i="7"/>
  <c r="AL106" i="7"/>
  <c r="AM106" i="7"/>
  <c r="AN106" i="7"/>
  <c r="AO106" i="7"/>
  <c r="AP106" i="7"/>
  <c r="AQ106" i="7"/>
  <c r="AR106" i="7"/>
  <c r="AS106" i="7"/>
  <c r="AT106" i="7"/>
  <c r="AU106" i="7"/>
  <c r="AV106" i="7"/>
  <c r="AW106" i="7"/>
  <c r="AX106" i="7"/>
  <c r="AY106" i="7"/>
  <c r="AZ106" i="7"/>
  <c r="BA106" i="7"/>
  <c r="BB106" i="7"/>
  <c r="BC106" i="7"/>
  <c r="BD106" i="7"/>
  <c r="BE106" i="7"/>
  <c r="BF106" i="7"/>
  <c r="BG106" i="7"/>
  <c r="BH106" i="7"/>
  <c r="BI106" i="7"/>
  <c r="BJ106" i="7"/>
  <c r="BK106" i="7"/>
  <c r="BL106" i="7"/>
  <c r="BM106" i="7"/>
  <c r="BN106" i="7"/>
  <c r="BO106" i="7"/>
  <c r="BP106" i="7"/>
  <c r="BQ106" i="7"/>
  <c r="BR106" i="7"/>
  <c r="BS106" i="7"/>
  <c r="BT106" i="7"/>
  <c r="BU106" i="7"/>
  <c r="BV106" i="7"/>
  <c r="BW106" i="7"/>
  <c r="BX106" i="7"/>
  <c r="BY106" i="7"/>
  <c r="BZ106" i="7"/>
  <c r="CA106" i="7"/>
  <c r="CB106" i="7"/>
  <c r="CC106" i="7"/>
  <c r="CD106" i="7"/>
  <c r="CE106" i="7"/>
  <c r="CF106" i="7"/>
  <c r="CG106" i="7"/>
  <c r="CH106" i="7"/>
  <c r="CI106" i="7"/>
  <c r="CJ106" i="7"/>
  <c r="CK106" i="7"/>
  <c r="CL106" i="7"/>
  <c r="CM106" i="7"/>
  <c r="CN106" i="7"/>
  <c r="CO106" i="7"/>
  <c r="CP106" i="7"/>
  <c r="CQ106" i="7"/>
  <c r="CR106" i="7"/>
  <c r="CS106" i="7"/>
  <c r="CT106" i="7"/>
  <c r="CU106" i="7"/>
  <c r="CV106" i="7"/>
  <c r="CW106" i="7"/>
  <c r="CX106" i="7"/>
  <c r="CY106" i="7"/>
  <c r="CZ106" i="7"/>
  <c r="DA106" i="7"/>
  <c r="DB106" i="7"/>
  <c r="DC106" i="7"/>
  <c r="DD106" i="7"/>
  <c r="DE106" i="7"/>
  <c r="DF106" i="7"/>
  <c r="DG106" i="7"/>
  <c r="DH106" i="7"/>
  <c r="DI106" i="7"/>
  <c r="DJ106" i="7"/>
  <c r="DK106" i="7"/>
  <c r="DL106" i="7"/>
  <c r="DM106" i="7"/>
  <c r="DN106" i="7"/>
  <c r="DO106" i="7"/>
  <c r="DP106" i="7"/>
  <c r="DQ106" i="7"/>
  <c r="DR106" i="7"/>
  <c r="DS106" i="7"/>
  <c r="DT106" i="7"/>
  <c r="DU106" i="7"/>
  <c r="DV106" i="7"/>
  <c r="DW106" i="7"/>
  <c r="DX106" i="7"/>
  <c r="DY106" i="7"/>
  <c r="DZ106" i="7"/>
  <c r="EA106" i="7"/>
  <c r="EB106" i="7"/>
  <c r="EC106" i="7"/>
  <c r="ED106" i="7"/>
  <c r="EE106" i="7"/>
  <c r="EF106" i="7"/>
  <c r="EG106" i="7"/>
  <c r="EH106" i="7"/>
  <c r="EI106" i="7"/>
  <c r="EJ106" i="7"/>
  <c r="EK106" i="7"/>
  <c r="EL106" i="7"/>
  <c r="EM106" i="7"/>
  <c r="EN106" i="7"/>
  <c r="EO106" i="7"/>
  <c r="EP106" i="7"/>
  <c r="EQ106" i="7"/>
  <c r="ER106" i="7"/>
  <c r="ES106" i="7"/>
  <c r="ET106" i="7"/>
  <c r="EU106" i="7"/>
  <c r="EV106" i="7"/>
  <c r="EW106" i="7"/>
  <c r="EX106" i="7"/>
  <c r="EY106" i="7"/>
  <c r="EZ106" i="7"/>
  <c r="FA106" i="7"/>
  <c r="FB106" i="7"/>
  <c r="FC106" i="7"/>
  <c r="FD106" i="7"/>
  <c r="FE106" i="7"/>
  <c r="FF106" i="7"/>
  <c r="FG106" i="7"/>
  <c r="FH106" i="7"/>
  <c r="FI106" i="7"/>
  <c r="FJ106" i="7"/>
  <c r="FK106" i="7"/>
  <c r="FL106" i="7"/>
  <c r="FM106" i="7"/>
  <c r="FN106" i="7"/>
  <c r="FO106" i="7"/>
  <c r="FP106" i="7"/>
  <c r="FQ106" i="7"/>
  <c r="FR106" i="7"/>
  <c r="FS106" i="7"/>
  <c r="FT106" i="7"/>
  <c r="FU106" i="7"/>
  <c r="FV106" i="7"/>
  <c r="FW106" i="7"/>
  <c r="FX106" i="7"/>
  <c r="FY106" i="7"/>
  <c r="FZ106" i="7"/>
  <c r="GA106" i="7"/>
  <c r="GB106" i="7"/>
  <c r="GC106" i="7"/>
  <c r="GD106" i="7"/>
  <c r="GE106" i="7"/>
  <c r="GF106" i="7"/>
  <c r="GG106" i="7"/>
  <c r="GH106" i="7"/>
  <c r="GI106" i="7"/>
  <c r="GJ106" i="7"/>
  <c r="GK106" i="7"/>
  <c r="GL106" i="7"/>
  <c r="GM106" i="7"/>
  <c r="GN106" i="7"/>
  <c r="GO106" i="7"/>
  <c r="GP106" i="7"/>
  <c r="GQ106" i="7"/>
  <c r="GR106" i="7"/>
  <c r="GS106" i="7"/>
  <c r="GT106" i="7"/>
  <c r="GU106" i="7"/>
  <c r="GV106" i="7"/>
  <c r="GW106" i="7"/>
  <c r="GX106" i="7"/>
  <c r="GY106" i="7"/>
  <c r="GZ106" i="7"/>
  <c r="HA106" i="7"/>
  <c r="HB106" i="7"/>
  <c r="HC106" i="7"/>
  <c r="HD106" i="7"/>
  <c r="HE106" i="7"/>
  <c r="HF106" i="7"/>
  <c r="HG106" i="7"/>
  <c r="HH106" i="7"/>
  <c r="HI106" i="7"/>
  <c r="HJ106" i="7"/>
  <c r="HK106" i="7"/>
  <c r="HL106" i="7"/>
  <c r="HM106" i="7"/>
  <c r="HN106" i="7"/>
  <c r="HO106" i="7"/>
  <c r="HP106" i="7"/>
  <c r="HQ106" i="7"/>
  <c r="HR106" i="7"/>
  <c r="HS106" i="7"/>
  <c r="HT106" i="7"/>
  <c r="HU106" i="7"/>
  <c r="HV106" i="7"/>
  <c r="HW106" i="7"/>
  <c r="HX106" i="7"/>
  <c r="HY106" i="7"/>
  <c r="HZ106" i="7"/>
  <c r="IA106" i="7"/>
  <c r="IB106" i="7"/>
  <c r="IC106" i="7"/>
  <c r="ID106" i="7"/>
  <c r="IE106" i="7"/>
  <c r="IF106" i="7"/>
  <c r="IG106" i="7"/>
  <c r="IH106" i="7"/>
  <c r="II106" i="7"/>
  <c r="IJ106" i="7"/>
  <c r="IK106" i="7"/>
  <c r="IL106" i="7"/>
  <c r="IM106" i="7"/>
  <c r="IN106" i="7"/>
  <c r="IO106" i="7"/>
  <c r="IP106" i="7"/>
  <c r="IQ106" i="7"/>
  <c r="IR106" i="7"/>
  <c r="IS106" i="7"/>
  <c r="IT106" i="7"/>
  <c r="IU106" i="7"/>
  <c r="IV106" i="7"/>
  <c r="A105" i="7"/>
  <c r="B105" i="7"/>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FO105" i="7"/>
  <c r="FP105" i="7"/>
  <c r="FQ105" i="7"/>
  <c r="FR105" i="7"/>
  <c r="FS105" i="7"/>
  <c r="FT105" i="7"/>
  <c r="FU105" i="7"/>
  <c r="FV105" i="7"/>
  <c r="FW105" i="7"/>
  <c r="FX105" i="7"/>
  <c r="FY105" i="7"/>
  <c r="FZ105" i="7"/>
  <c r="GA105" i="7"/>
  <c r="GB105" i="7"/>
  <c r="GC105" i="7"/>
  <c r="GD105" i="7"/>
  <c r="GE105" i="7"/>
  <c r="GF105" i="7"/>
  <c r="GG105" i="7"/>
  <c r="GH105" i="7"/>
  <c r="GI105" i="7"/>
  <c r="GJ105" i="7"/>
  <c r="GK105" i="7"/>
  <c r="GL105" i="7"/>
  <c r="GM105" i="7"/>
  <c r="GN105" i="7"/>
  <c r="GO105" i="7"/>
  <c r="GP105" i="7"/>
  <c r="GQ105" i="7"/>
  <c r="GR105" i="7"/>
  <c r="GS105" i="7"/>
  <c r="GT105" i="7"/>
  <c r="GU105" i="7"/>
  <c r="GV105" i="7"/>
  <c r="GW105" i="7"/>
  <c r="GX105" i="7"/>
  <c r="GY105" i="7"/>
  <c r="GZ105" i="7"/>
  <c r="HA105" i="7"/>
  <c r="HB105" i="7"/>
  <c r="HC105" i="7"/>
  <c r="HD105" i="7"/>
  <c r="HE105" i="7"/>
  <c r="HF105" i="7"/>
  <c r="HG105" i="7"/>
  <c r="HH105" i="7"/>
  <c r="HI105" i="7"/>
  <c r="HJ105" i="7"/>
  <c r="HK105" i="7"/>
  <c r="HL105" i="7"/>
  <c r="HM105" i="7"/>
  <c r="HN105" i="7"/>
  <c r="HO105" i="7"/>
  <c r="HP105" i="7"/>
  <c r="HQ105" i="7"/>
  <c r="HR105" i="7"/>
  <c r="HS105" i="7"/>
  <c r="HT105" i="7"/>
  <c r="HU105" i="7"/>
  <c r="HV105" i="7"/>
  <c r="HW105" i="7"/>
  <c r="HX105" i="7"/>
  <c r="HY105" i="7"/>
  <c r="HZ105" i="7"/>
  <c r="IA105" i="7"/>
  <c r="IB105" i="7"/>
  <c r="IC105" i="7"/>
  <c r="ID105" i="7"/>
  <c r="IE105" i="7"/>
  <c r="IF105" i="7"/>
  <c r="IG105" i="7"/>
  <c r="IH105" i="7"/>
  <c r="II105" i="7"/>
  <c r="IJ105" i="7"/>
  <c r="IK105" i="7"/>
  <c r="IL105" i="7"/>
  <c r="IM105" i="7"/>
  <c r="IN105" i="7"/>
  <c r="IO105" i="7"/>
  <c r="IP105" i="7"/>
  <c r="IQ105" i="7"/>
  <c r="IR105" i="7"/>
  <c r="IS105" i="7"/>
  <c r="IT105" i="7"/>
  <c r="IU105" i="7"/>
  <c r="IV105" i="7"/>
  <c r="A104" i="7"/>
  <c r="B104" i="7"/>
  <c r="C104"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AD104" i="7"/>
  <c r="AE104" i="7"/>
  <c r="AF104" i="7"/>
  <c r="AG104" i="7"/>
  <c r="AH104" i="7"/>
  <c r="AI104" i="7"/>
  <c r="AJ104" i="7"/>
  <c r="AK104" i="7"/>
  <c r="AL104" i="7"/>
  <c r="AM104" i="7"/>
  <c r="AN104" i="7"/>
  <c r="AO104" i="7"/>
  <c r="AP104" i="7"/>
  <c r="AQ104" i="7"/>
  <c r="AR104" i="7"/>
  <c r="AS104" i="7"/>
  <c r="AT104" i="7"/>
  <c r="AU104" i="7"/>
  <c r="AV104" i="7"/>
  <c r="AW104" i="7"/>
  <c r="AX104" i="7"/>
  <c r="AY104" i="7"/>
  <c r="AZ104" i="7"/>
  <c r="BA104" i="7"/>
  <c r="BB104" i="7"/>
  <c r="BC104" i="7"/>
  <c r="BD104" i="7"/>
  <c r="BE104" i="7"/>
  <c r="BF104" i="7"/>
  <c r="BG104" i="7"/>
  <c r="BH104" i="7"/>
  <c r="BI104" i="7"/>
  <c r="BJ104" i="7"/>
  <c r="BK104" i="7"/>
  <c r="BL104" i="7"/>
  <c r="BM104" i="7"/>
  <c r="BN104" i="7"/>
  <c r="BO104" i="7"/>
  <c r="BP104" i="7"/>
  <c r="BQ104" i="7"/>
  <c r="BR104" i="7"/>
  <c r="BS104" i="7"/>
  <c r="BT104" i="7"/>
  <c r="BU104" i="7"/>
  <c r="BV104" i="7"/>
  <c r="BW104" i="7"/>
  <c r="BX104" i="7"/>
  <c r="BY104" i="7"/>
  <c r="BZ104" i="7"/>
  <c r="CA104" i="7"/>
  <c r="CB104" i="7"/>
  <c r="CC104" i="7"/>
  <c r="CD104" i="7"/>
  <c r="CE104" i="7"/>
  <c r="CF104" i="7"/>
  <c r="CG104" i="7"/>
  <c r="CH104" i="7"/>
  <c r="CI104" i="7"/>
  <c r="CJ104" i="7"/>
  <c r="CK104" i="7"/>
  <c r="CL104" i="7"/>
  <c r="CM104" i="7"/>
  <c r="CN104" i="7"/>
  <c r="CO104" i="7"/>
  <c r="CP104" i="7"/>
  <c r="CQ104" i="7"/>
  <c r="CR104" i="7"/>
  <c r="CS104" i="7"/>
  <c r="CT104" i="7"/>
  <c r="CU104" i="7"/>
  <c r="CV104" i="7"/>
  <c r="CW104" i="7"/>
  <c r="CX104" i="7"/>
  <c r="CY104" i="7"/>
  <c r="CZ104" i="7"/>
  <c r="DA104" i="7"/>
  <c r="DB104" i="7"/>
  <c r="DC104" i="7"/>
  <c r="DD104" i="7"/>
  <c r="DE104" i="7"/>
  <c r="DF104" i="7"/>
  <c r="DG104" i="7"/>
  <c r="DH104" i="7"/>
  <c r="DI104" i="7"/>
  <c r="DJ104" i="7"/>
  <c r="DK104" i="7"/>
  <c r="DL104" i="7"/>
  <c r="DM104" i="7"/>
  <c r="DN104" i="7"/>
  <c r="DO104" i="7"/>
  <c r="DP104" i="7"/>
  <c r="DQ104" i="7"/>
  <c r="DR104" i="7"/>
  <c r="DS104" i="7"/>
  <c r="DT104" i="7"/>
  <c r="DU104" i="7"/>
  <c r="DV104" i="7"/>
  <c r="DW104" i="7"/>
  <c r="DX104" i="7"/>
  <c r="DY104" i="7"/>
  <c r="DZ104" i="7"/>
  <c r="EA104" i="7"/>
  <c r="EB104" i="7"/>
  <c r="EC104" i="7"/>
  <c r="ED104" i="7"/>
  <c r="EE104" i="7"/>
  <c r="EF104" i="7"/>
  <c r="EG104" i="7"/>
  <c r="EH104" i="7"/>
  <c r="EI104" i="7"/>
  <c r="EJ104" i="7"/>
  <c r="EK104" i="7"/>
  <c r="EL104" i="7"/>
  <c r="EM104" i="7"/>
  <c r="EN104" i="7"/>
  <c r="EO104" i="7"/>
  <c r="EP104" i="7"/>
  <c r="EQ104" i="7"/>
  <c r="ER104" i="7"/>
  <c r="ES104" i="7"/>
  <c r="ET104" i="7"/>
  <c r="EU104" i="7"/>
  <c r="EV104" i="7"/>
  <c r="EW104" i="7"/>
  <c r="EX104" i="7"/>
  <c r="EY104" i="7"/>
  <c r="EZ104" i="7"/>
  <c r="FA104" i="7"/>
  <c r="FB104" i="7"/>
  <c r="FC104" i="7"/>
  <c r="FD104" i="7"/>
  <c r="FE104" i="7"/>
  <c r="FF104" i="7"/>
  <c r="FG104" i="7"/>
  <c r="FH104" i="7"/>
  <c r="FI104" i="7"/>
  <c r="FJ104" i="7"/>
  <c r="FK104" i="7"/>
  <c r="FL104" i="7"/>
  <c r="FM104" i="7"/>
  <c r="FN104" i="7"/>
  <c r="FO104" i="7"/>
  <c r="FP104" i="7"/>
  <c r="FQ104" i="7"/>
  <c r="FR104" i="7"/>
  <c r="FS104" i="7"/>
  <c r="FT104" i="7"/>
  <c r="FU104" i="7"/>
  <c r="FV104" i="7"/>
  <c r="FW104" i="7"/>
  <c r="FX104" i="7"/>
  <c r="FY104" i="7"/>
  <c r="FZ104" i="7"/>
  <c r="GA104" i="7"/>
  <c r="GB104" i="7"/>
  <c r="GC104" i="7"/>
  <c r="GD104" i="7"/>
  <c r="GE104" i="7"/>
  <c r="GF104" i="7"/>
  <c r="GG104" i="7"/>
  <c r="GH104" i="7"/>
  <c r="GI104" i="7"/>
  <c r="GJ104" i="7"/>
  <c r="GK104" i="7"/>
  <c r="GL104" i="7"/>
  <c r="GM104" i="7"/>
  <c r="GN104" i="7"/>
  <c r="GO104" i="7"/>
  <c r="GP104" i="7"/>
  <c r="GQ104" i="7"/>
  <c r="GR104" i="7"/>
  <c r="GS104" i="7"/>
  <c r="GT104" i="7"/>
  <c r="GU104" i="7"/>
  <c r="GV104" i="7"/>
  <c r="GW104" i="7"/>
  <c r="GX104" i="7"/>
  <c r="GY104" i="7"/>
  <c r="GZ104" i="7"/>
  <c r="HA104" i="7"/>
  <c r="HB104" i="7"/>
  <c r="HC104" i="7"/>
  <c r="HD104" i="7"/>
  <c r="HE104" i="7"/>
  <c r="HF104" i="7"/>
  <c r="HG104" i="7"/>
  <c r="HH104" i="7"/>
  <c r="HI104" i="7"/>
  <c r="HJ104" i="7"/>
  <c r="HK104" i="7"/>
  <c r="HL104" i="7"/>
  <c r="HM104" i="7"/>
  <c r="HN104" i="7"/>
  <c r="HO104" i="7"/>
  <c r="HP104" i="7"/>
  <c r="HQ104" i="7"/>
  <c r="HR104" i="7"/>
  <c r="HS104" i="7"/>
  <c r="HT104" i="7"/>
  <c r="HU104" i="7"/>
  <c r="HV104" i="7"/>
  <c r="HW104" i="7"/>
  <c r="HX104" i="7"/>
  <c r="HY104" i="7"/>
  <c r="HZ104" i="7"/>
  <c r="IA104" i="7"/>
  <c r="IB104" i="7"/>
  <c r="IC104" i="7"/>
  <c r="ID104" i="7"/>
  <c r="IE104" i="7"/>
  <c r="IF104" i="7"/>
  <c r="IG104" i="7"/>
  <c r="IH104" i="7"/>
  <c r="II104" i="7"/>
  <c r="IJ104" i="7"/>
  <c r="IK104" i="7"/>
  <c r="IL104" i="7"/>
  <c r="IM104" i="7"/>
  <c r="IN104" i="7"/>
  <c r="IO104" i="7"/>
  <c r="IP104" i="7"/>
  <c r="IQ104" i="7"/>
  <c r="IR104" i="7"/>
  <c r="IS104" i="7"/>
  <c r="IT104" i="7"/>
  <c r="IU104" i="7"/>
  <c r="IV104" i="7"/>
  <c r="A103" i="7"/>
  <c r="B103" i="7"/>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AD103" i="7"/>
  <c r="AE103" i="7"/>
  <c r="AF103" i="7"/>
  <c r="AG103" i="7"/>
  <c r="AH103" i="7"/>
  <c r="AI103" i="7"/>
  <c r="AJ103" i="7"/>
  <c r="AK103" i="7"/>
  <c r="AL103" i="7"/>
  <c r="AM103" i="7"/>
  <c r="AN103" i="7"/>
  <c r="AO103" i="7"/>
  <c r="AP103" i="7"/>
  <c r="AQ103" i="7"/>
  <c r="AR103" i="7"/>
  <c r="AS103" i="7"/>
  <c r="AT103" i="7"/>
  <c r="AU103" i="7"/>
  <c r="AV103" i="7"/>
  <c r="AW103" i="7"/>
  <c r="AX103" i="7"/>
  <c r="AY103" i="7"/>
  <c r="AZ103" i="7"/>
  <c r="BA103" i="7"/>
  <c r="BB103" i="7"/>
  <c r="BC103" i="7"/>
  <c r="BD103" i="7"/>
  <c r="BE103" i="7"/>
  <c r="BF103" i="7"/>
  <c r="BG103" i="7"/>
  <c r="BH103" i="7"/>
  <c r="BI103" i="7"/>
  <c r="BJ103" i="7"/>
  <c r="BK103" i="7"/>
  <c r="BL103" i="7"/>
  <c r="BM103" i="7"/>
  <c r="BN103" i="7"/>
  <c r="BO103" i="7"/>
  <c r="BP103" i="7"/>
  <c r="BQ103" i="7"/>
  <c r="BR103" i="7"/>
  <c r="BS103" i="7"/>
  <c r="BT103" i="7"/>
  <c r="BU103" i="7"/>
  <c r="BV103" i="7"/>
  <c r="BW103" i="7"/>
  <c r="BX103" i="7"/>
  <c r="BY103" i="7"/>
  <c r="BZ103" i="7"/>
  <c r="CA103" i="7"/>
  <c r="CB103" i="7"/>
  <c r="CC103" i="7"/>
  <c r="CD103" i="7"/>
  <c r="CE103" i="7"/>
  <c r="CF103" i="7"/>
  <c r="CG103" i="7"/>
  <c r="CH103" i="7"/>
  <c r="CI103" i="7"/>
  <c r="CJ103" i="7"/>
  <c r="CK103" i="7"/>
  <c r="CL103" i="7"/>
  <c r="CM103" i="7"/>
  <c r="CN103" i="7"/>
  <c r="CO103" i="7"/>
  <c r="CP103" i="7"/>
  <c r="CQ103" i="7"/>
  <c r="CR103" i="7"/>
  <c r="CS103" i="7"/>
  <c r="CT103" i="7"/>
  <c r="CU103" i="7"/>
  <c r="CV103" i="7"/>
  <c r="CW103" i="7"/>
  <c r="CX103" i="7"/>
  <c r="CY103" i="7"/>
  <c r="CZ103" i="7"/>
  <c r="DA103" i="7"/>
  <c r="DB103" i="7"/>
  <c r="DC103" i="7"/>
  <c r="DD103" i="7"/>
  <c r="DE103" i="7"/>
  <c r="DF103" i="7"/>
  <c r="DG103" i="7"/>
  <c r="DH103" i="7"/>
  <c r="DI103" i="7"/>
  <c r="DJ103" i="7"/>
  <c r="DK103" i="7"/>
  <c r="DL103" i="7"/>
  <c r="DM103" i="7"/>
  <c r="DN103" i="7"/>
  <c r="DO103" i="7"/>
  <c r="DP103" i="7"/>
  <c r="DQ103" i="7"/>
  <c r="DR103" i="7"/>
  <c r="DS103" i="7"/>
  <c r="DT103" i="7"/>
  <c r="DU103" i="7"/>
  <c r="DV103" i="7"/>
  <c r="DW103" i="7"/>
  <c r="DX103" i="7"/>
  <c r="DY103" i="7"/>
  <c r="DZ103" i="7"/>
  <c r="EA103" i="7"/>
  <c r="EB103" i="7"/>
  <c r="EC103" i="7"/>
  <c r="ED103" i="7"/>
  <c r="EE103" i="7"/>
  <c r="EF103" i="7"/>
  <c r="EG103" i="7"/>
  <c r="EH103" i="7"/>
  <c r="EI103" i="7"/>
  <c r="EJ103" i="7"/>
  <c r="EK103" i="7"/>
  <c r="EL103" i="7"/>
  <c r="EM103" i="7"/>
  <c r="EN103" i="7"/>
  <c r="EO103" i="7"/>
  <c r="EP103" i="7"/>
  <c r="EQ103" i="7"/>
  <c r="ER103" i="7"/>
  <c r="ES103" i="7"/>
  <c r="ET103" i="7"/>
  <c r="EU103" i="7"/>
  <c r="EV103" i="7"/>
  <c r="EW103" i="7"/>
  <c r="EX103" i="7"/>
  <c r="EY103" i="7"/>
  <c r="EZ103" i="7"/>
  <c r="FA103" i="7"/>
  <c r="FB103" i="7"/>
  <c r="FC103" i="7"/>
  <c r="FD103" i="7"/>
  <c r="FE103" i="7"/>
  <c r="FF103" i="7"/>
  <c r="FG103" i="7"/>
  <c r="FH103" i="7"/>
  <c r="FI103" i="7"/>
  <c r="FJ103" i="7"/>
  <c r="FK103" i="7"/>
  <c r="FL103" i="7"/>
  <c r="FM103" i="7"/>
  <c r="FN103" i="7"/>
  <c r="FO103" i="7"/>
  <c r="FP103" i="7"/>
  <c r="FQ103" i="7"/>
  <c r="FR103" i="7"/>
  <c r="FS103" i="7"/>
  <c r="FT103" i="7"/>
  <c r="FU103" i="7"/>
  <c r="FV103" i="7"/>
  <c r="FW103" i="7"/>
  <c r="FX103" i="7"/>
  <c r="FY103" i="7"/>
  <c r="FZ103" i="7"/>
  <c r="GA103" i="7"/>
  <c r="GB103" i="7"/>
  <c r="GC103" i="7"/>
  <c r="GD103" i="7"/>
  <c r="GE103" i="7"/>
  <c r="GF103" i="7"/>
  <c r="GG103" i="7"/>
  <c r="GH103" i="7"/>
  <c r="GI103" i="7"/>
  <c r="GJ103" i="7"/>
  <c r="GK103" i="7"/>
  <c r="GL103" i="7"/>
  <c r="GM103" i="7"/>
  <c r="GN103" i="7"/>
  <c r="GO103" i="7"/>
  <c r="GP103" i="7"/>
  <c r="GQ103" i="7"/>
  <c r="GR103" i="7"/>
  <c r="GS103" i="7"/>
  <c r="GT103" i="7"/>
  <c r="GU103" i="7"/>
  <c r="GV103" i="7"/>
  <c r="GW103" i="7"/>
  <c r="GX103" i="7"/>
  <c r="GY103" i="7"/>
  <c r="GZ103" i="7"/>
  <c r="HA103" i="7"/>
  <c r="HB103" i="7"/>
  <c r="HC103" i="7"/>
  <c r="HD103" i="7"/>
  <c r="HE103" i="7"/>
  <c r="HF103" i="7"/>
  <c r="HG103" i="7"/>
  <c r="HH103" i="7"/>
  <c r="HI103" i="7"/>
  <c r="HJ103" i="7"/>
  <c r="HK103" i="7"/>
  <c r="HL103" i="7"/>
  <c r="HM103" i="7"/>
  <c r="HN103" i="7"/>
  <c r="HO103" i="7"/>
  <c r="HP103" i="7"/>
  <c r="HQ103" i="7"/>
  <c r="HR103" i="7"/>
  <c r="HS103" i="7"/>
  <c r="HT103" i="7"/>
  <c r="HU103" i="7"/>
  <c r="HV103" i="7"/>
  <c r="HW103" i="7"/>
  <c r="HX103" i="7"/>
  <c r="HY103" i="7"/>
  <c r="HZ103" i="7"/>
  <c r="IA103" i="7"/>
  <c r="IB103" i="7"/>
  <c r="IC103" i="7"/>
  <c r="ID103" i="7"/>
  <c r="IE103" i="7"/>
  <c r="IF103" i="7"/>
  <c r="IG103" i="7"/>
  <c r="IH103" i="7"/>
  <c r="II103" i="7"/>
  <c r="IJ103" i="7"/>
  <c r="IK103" i="7"/>
  <c r="IL103" i="7"/>
  <c r="IM103" i="7"/>
  <c r="IN103" i="7"/>
  <c r="IO103" i="7"/>
  <c r="IP103" i="7"/>
  <c r="IQ103" i="7"/>
  <c r="IR103" i="7"/>
  <c r="IS103" i="7"/>
  <c r="IT103" i="7"/>
  <c r="IU103" i="7"/>
  <c r="IV103" i="7"/>
  <c r="A102" i="7"/>
  <c r="B102" i="7"/>
  <c r="C102"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AD102" i="7"/>
  <c r="AE102" i="7"/>
  <c r="AF102" i="7"/>
  <c r="AG102" i="7"/>
  <c r="AH102" i="7"/>
  <c r="AI102" i="7"/>
  <c r="AJ102" i="7"/>
  <c r="AK102" i="7"/>
  <c r="AL102" i="7"/>
  <c r="AM102" i="7"/>
  <c r="AN102" i="7"/>
  <c r="AO102" i="7"/>
  <c r="AP102" i="7"/>
  <c r="AQ102" i="7"/>
  <c r="AR102" i="7"/>
  <c r="AS102" i="7"/>
  <c r="AT102" i="7"/>
  <c r="AU102" i="7"/>
  <c r="AV102" i="7"/>
  <c r="AW102" i="7"/>
  <c r="AX102" i="7"/>
  <c r="AY102" i="7"/>
  <c r="AZ102" i="7"/>
  <c r="BA102" i="7"/>
  <c r="BB102" i="7"/>
  <c r="BC102" i="7"/>
  <c r="BD102" i="7"/>
  <c r="BE102" i="7"/>
  <c r="BF102" i="7"/>
  <c r="BG102" i="7"/>
  <c r="BH102" i="7"/>
  <c r="BI102" i="7"/>
  <c r="BJ102" i="7"/>
  <c r="BK102" i="7"/>
  <c r="BL102" i="7"/>
  <c r="BM102" i="7"/>
  <c r="BN102" i="7"/>
  <c r="BO102" i="7"/>
  <c r="BP102" i="7"/>
  <c r="BQ102" i="7"/>
  <c r="BR102" i="7"/>
  <c r="BS102" i="7"/>
  <c r="BT102" i="7"/>
  <c r="BU102" i="7"/>
  <c r="BV102" i="7"/>
  <c r="BW102" i="7"/>
  <c r="BX102" i="7"/>
  <c r="BY102" i="7"/>
  <c r="BZ102" i="7"/>
  <c r="CA102" i="7"/>
  <c r="CB102" i="7"/>
  <c r="CC102" i="7"/>
  <c r="CD102" i="7"/>
  <c r="CE102" i="7"/>
  <c r="CF102" i="7"/>
  <c r="CG102" i="7"/>
  <c r="CH102" i="7"/>
  <c r="CI102" i="7"/>
  <c r="CJ102" i="7"/>
  <c r="CK102" i="7"/>
  <c r="CL102" i="7"/>
  <c r="CM102" i="7"/>
  <c r="CN102" i="7"/>
  <c r="CO102" i="7"/>
  <c r="CP102" i="7"/>
  <c r="CQ102" i="7"/>
  <c r="CR102" i="7"/>
  <c r="CS102" i="7"/>
  <c r="CT102" i="7"/>
  <c r="CU102" i="7"/>
  <c r="CV102" i="7"/>
  <c r="CW102" i="7"/>
  <c r="CX102" i="7"/>
  <c r="CY102" i="7"/>
  <c r="CZ102" i="7"/>
  <c r="DA102" i="7"/>
  <c r="DB102" i="7"/>
  <c r="DC102" i="7"/>
  <c r="DD102" i="7"/>
  <c r="DE102" i="7"/>
  <c r="DF102" i="7"/>
  <c r="DG102" i="7"/>
  <c r="DH102" i="7"/>
  <c r="DI102" i="7"/>
  <c r="DJ102" i="7"/>
  <c r="DK102" i="7"/>
  <c r="DL102" i="7"/>
  <c r="DM102" i="7"/>
  <c r="DN102" i="7"/>
  <c r="DO102" i="7"/>
  <c r="DP102" i="7"/>
  <c r="DQ102" i="7"/>
  <c r="DR102" i="7"/>
  <c r="DS102" i="7"/>
  <c r="DT102" i="7"/>
  <c r="DU102" i="7"/>
  <c r="DV102" i="7"/>
  <c r="DW102" i="7"/>
  <c r="DX102" i="7"/>
  <c r="DY102" i="7"/>
  <c r="DZ102" i="7"/>
  <c r="EA102" i="7"/>
  <c r="EB102" i="7"/>
  <c r="EC102" i="7"/>
  <c r="ED102" i="7"/>
  <c r="EE102" i="7"/>
  <c r="EF102" i="7"/>
  <c r="EG102" i="7"/>
  <c r="EH102" i="7"/>
  <c r="EI102" i="7"/>
  <c r="EJ102" i="7"/>
  <c r="EK102" i="7"/>
  <c r="EL102" i="7"/>
  <c r="EM102" i="7"/>
  <c r="EN102" i="7"/>
  <c r="EO102" i="7"/>
  <c r="EP102" i="7"/>
  <c r="EQ102" i="7"/>
  <c r="ER102" i="7"/>
  <c r="ES102" i="7"/>
  <c r="ET102" i="7"/>
  <c r="EU102" i="7"/>
  <c r="EV102" i="7"/>
  <c r="EW102" i="7"/>
  <c r="EX102" i="7"/>
  <c r="EY102" i="7"/>
  <c r="EZ102" i="7"/>
  <c r="FA102" i="7"/>
  <c r="FB102" i="7"/>
  <c r="FC102" i="7"/>
  <c r="FD102" i="7"/>
  <c r="FE102" i="7"/>
  <c r="FF102" i="7"/>
  <c r="FG102" i="7"/>
  <c r="FH102" i="7"/>
  <c r="FI102" i="7"/>
  <c r="FJ102" i="7"/>
  <c r="FK102" i="7"/>
  <c r="FL102" i="7"/>
  <c r="FM102" i="7"/>
  <c r="FN102" i="7"/>
  <c r="FO102" i="7"/>
  <c r="FP102" i="7"/>
  <c r="FQ102" i="7"/>
  <c r="FR102" i="7"/>
  <c r="FS102" i="7"/>
  <c r="FT102" i="7"/>
  <c r="FU102" i="7"/>
  <c r="FV102" i="7"/>
  <c r="FW102" i="7"/>
  <c r="FX102" i="7"/>
  <c r="FY102" i="7"/>
  <c r="FZ102" i="7"/>
  <c r="GA102" i="7"/>
  <c r="GB102" i="7"/>
  <c r="GC102" i="7"/>
  <c r="GD102" i="7"/>
  <c r="GE102" i="7"/>
  <c r="GF102" i="7"/>
  <c r="GG102" i="7"/>
  <c r="GH102" i="7"/>
  <c r="GI102" i="7"/>
  <c r="GJ102" i="7"/>
  <c r="GK102" i="7"/>
  <c r="GL102" i="7"/>
  <c r="GM102" i="7"/>
  <c r="GN102" i="7"/>
  <c r="GO102" i="7"/>
  <c r="GP102" i="7"/>
  <c r="GQ102" i="7"/>
  <c r="GR102" i="7"/>
  <c r="GS102" i="7"/>
  <c r="GT102" i="7"/>
  <c r="GU102" i="7"/>
  <c r="GV102" i="7"/>
  <c r="GW102" i="7"/>
  <c r="GX102" i="7"/>
  <c r="GY102" i="7"/>
  <c r="GZ102" i="7"/>
  <c r="HA102" i="7"/>
  <c r="HB102" i="7"/>
  <c r="HC102" i="7"/>
  <c r="HD102" i="7"/>
  <c r="HE102" i="7"/>
  <c r="HF102" i="7"/>
  <c r="HG102" i="7"/>
  <c r="HH102" i="7"/>
  <c r="HI102" i="7"/>
  <c r="HJ102" i="7"/>
  <c r="HK102" i="7"/>
  <c r="HL102" i="7"/>
  <c r="HM102" i="7"/>
  <c r="HN102" i="7"/>
  <c r="HO102" i="7"/>
  <c r="HP102" i="7"/>
  <c r="HQ102" i="7"/>
  <c r="HR102" i="7"/>
  <c r="HS102" i="7"/>
  <c r="HT102" i="7"/>
  <c r="HU102" i="7"/>
  <c r="HV102" i="7"/>
  <c r="HW102" i="7"/>
  <c r="HX102" i="7"/>
  <c r="HY102" i="7"/>
  <c r="HZ102" i="7"/>
  <c r="IA102" i="7"/>
  <c r="IB102" i="7"/>
  <c r="IC102" i="7"/>
  <c r="ID102" i="7"/>
  <c r="IE102" i="7"/>
  <c r="IF102" i="7"/>
  <c r="IG102" i="7"/>
  <c r="IH102" i="7"/>
  <c r="II102" i="7"/>
  <c r="IJ102" i="7"/>
  <c r="IK102" i="7"/>
  <c r="IL102" i="7"/>
  <c r="IM102" i="7"/>
  <c r="IN102" i="7"/>
  <c r="IO102" i="7"/>
  <c r="IP102" i="7"/>
  <c r="IQ102" i="7"/>
  <c r="IR102" i="7"/>
  <c r="IS102" i="7"/>
  <c r="IT102" i="7"/>
  <c r="IU102" i="7"/>
  <c r="IV102" i="7"/>
  <c r="A101" i="7"/>
  <c r="B101" i="7"/>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AD101" i="7"/>
  <c r="AE101" i="7"/>
  <c r="AF101" i="7"/>
  <c r="AG101" i="7"/>
  <c r="AH101" i="7"/>
  <c r="AI101" i="7"/>
  <c r="AJ101" i="7"/>
  <c r="AK101" i="7"/>
  <c r="AL101" i="7"/>
  <c r="AM101" i="7"/>
  <c r="AN101" i="7"/>
  <c r="AO101" i="7"/>
  <c r="AP101" i="7"/>
  <c r="AQ101" i="7"/>
  <c r="AR101" i="7"/>
  <c r="AS101" i="7"/>
  <c r="AT101" i="7"/>
  <c r="AU101" i="7"/>
  <c r="AV101" i="7"/>
  <c r="AW101" i="7"/>
  <c r="AX101" i="7"/>
  <c r="AY101" i="7"/>
  <c r="AZ101" i="7"/>
  <c r="BA101" i="7"/>
  <c r="BB101" i="7"/>
  <c r="BC101" i="7"/>
  <c r="BD101" i="7"/>
  <c r="BE101" i="7"/>
  <c r="BF101" i="7"/>
  <c r="BG101" i="7"/>
  <c r="BH101" i="7"/>
  <c r="BI101" i="7"/>
  <c r="BJ101" i="7"/>
  <c r="BK101" i="7"/>
  <c r="BL101" i="7"/>
  <c r="BM101" i="7"/>
  <c r="BN101" i="7"/>
  <c r="BO101" i="7"/>
  <c r="BP101" i="7"/>
  <c r="BQ101" i="7"/>
  <c r="BR101" i="7"/>
  <c r="BS101" i="7"/>
  <c r="BT101" i="7"/>
  <c r="BU101" i="7"/>
  <c r="BV101" i="7"/>
  <c r="BW101" i="7"/>
  <c r="BX101" i="7"/>
  <c r="BY101" i="7"/>
  <c r="BZ101" i="7"/>
  <c r="CA101" i="7"/>
  <c r="CB101" i="7"/>
  <c r="CC101" i="7"/>
  <c r="CD101" i="7"/>
  <c r="CE101" i="7"/>
  <c r="CF101" i="7"/>
  <c r="CG101" i="7"/>
  <c r="CH101" i="7"/>
  <c r="CI101" i="7"/>
  <c r="CJ101" i="7"/>
  <c r="CK101" i="7"/>
  <c r="CL101" i="7"/>
  <c r="CM101" i="7"/>
  <c r="CN101" i="7"/>
  <c r="CO101" i="7"/>
  <c r="CP101" i="7"/>
  <c r="CQ101" i="7"/>
  <c r="CR101" i="7"/>
  <c r="CS101" i="7"/>
  <c r="CT101" i="7"/>
  <c r="CU101" i="7"/>
  <c r="CV101" i="7"/>
  <c r="CW101" i="7"/>
  <c r="CX101" i="7"/>
  <c r="CY101" i="7"/>
  <c r="CZ101" i="7"/>
  <c r="DA101" i="7"/>
  <c r="DB101" i="7"/>
  <c r="DC101" i="7"/>
  <c r="DD101" i="7"/>
  <c r="DE101" i="7"/>
  <c r="DF101" i="7"/>
  <c r="DG101" i="7"/>
  <c r="DH101" i="7"/>
  <c r="DI101" i="7"/>
  <c r="DJ101" i="7"/>
  <c r="DK101" i="7"/>
  <c r="DL101" i="7"/>
  <c r="DM101" i="7"/>
  <c r="DN101" i="7"/>
  <c r="DO101" i="7"/>
  <c r="DP101" i="7"/>
  <c r="DQ101" i="7"/>
  <c r="DR101" i="7"/>
  <c r="DS101" i="7"/>
  <c r="DT101" i="7"/>
  <c r="DU101" i="7"/>
  <c r="DV101" i="7"/>
  <c r="DW101" i="7"/>
  <c r="DX101" i="7"/>
  <c r="DY101" i="7"/>
  <c r="DZ101" i="7"/>
  <c r="EA101" i="7"/>
  <c r="EB101" i="7"/>
  <c r="EC101" i="7"/>
  <c r="ED101" i="7"/>
  <c r="EE101" i="7"/>
  <c r="EF101" i="7"/>
  <c r="EG101" i="7"/>
  <c r="EH101" i="7"/>
  <c r="EI101" i="7"/>
  <c r="EJ101" i="7"/>
  <c r="EK101" i="7"/>
  <c r="EL101" i="7"/>
  <c r="EM101" i="7"/>
  <c r="EN101" i="7"/>
  <c r="EO101" i="7"/>
  <c r="EP101" i="7"/>
  <c r="EQ101" i="7"/>
  <c r="ER101" i="7"/>
  <c r="ES101" i="7"/>
  <c r="ET101" i="7"/>
  <c r="EU101" i="7"/>
  <c r="EV101" i="7"/>
  <c r="EW101" i="7"/>
  <c r="EX101" i="7"/>
  <c r="EY101" i="7"/>
  <c r="EZ101" i="7"/>
  <c r="FA101" i="7"/>
  <c r="FB101" i="7"/>
  <c r="FC101" i="7"/>
  <c r="FD101" i="7"/>
  <c r="FE101" i="7"/>
  <c r="FF101" i="7"/>
  <c r="FG101" i="7"/>
  <c r="FH101" i="7"/>
  <c r="FI101" i="7"/>
  <c r="FJ101" i="7"/>
  <c r="FK101" i="7"/>
  <c r="FL101" i="7"/>
  <c r="FM101" i="7"/>
  <c r="FN101" i="7"/>
  <c r="FO101" i="7"/>
  <c r="FP101" i="7"/>
  <c r="FQ101" i="7"/>
  <c r="FR101" i="7"/>
  <c r="FS101" i="7"/>
  <c r="FT101" i="7"/>
  <c r="FU101" i="7"/>
  <c r="FV101" i="7"/>
  <c r="FW101" i="7"/>
  <c r="FX101" i="7"/>
  <c r="FY101" i="7"/>
  <c r="FZ101" i="7"/>
  <c r="GA101" i="7"/>
  <c r="GB101" i="7"/>
  <c r="GC101" i="7"/>
  <c r="GD101" i="7"/>
  <c r="GE101" i="7"/>
  <c r="GF101" i="7"/>
  <c r="GG101" i="7"/>
  <c r="GH101" i="7"/>
  <c r="GI101" i="7"/>
  <c r="GJ101" i="7"/>
  <c r="GK101" i="7"/>
  <c r="GL101" i="7"/>
  <c r="GM101" i="7"/>
  <c r="GN101" i="7"/>
  <c r="GO101" i="7"/>
  <c r="GP101" i="7"/>
  <c r="GQ101" i="7"/>
  <c r="GR101" i="7"/>
  <c r="GS101" i="7"/>
  <c r="GT101" i="7"/>
  <c r="GU101" i="7"/>
  <c r="GV101" i="7"/>
  <c r="GW101" i="7"/>
  <c r="GX101" i="7"/>
  <c r="GY101" i="7"/>
  <c r="GZ101" i="7"/>
  <c r="HA101" i="7"/>
  <c r="HB101" i="7"/>
  <c r="HC101" i="7"/>
  <c r="HD101" i="7"/>
  <c r="HE101" i="7"/>
  <c r="HF101" i="7"/>
  <c r="HG101" i="7"/>
  <c r="HH101" i="7"/>
  <c r="HI101" i="7"/>
  <c r="HJ101" i="7"/>
  <c r="HK101" i="7"/>
  <c r="HL101" i="7"/>
  <c r="HM101" i="7"/>
  <c r="HN101" i="7"/>
  <c r="HO101" i="7"/>
  <c r="HP101" i="7"/>
  <c r="HQ101" i="7"/>
  <c r="HR101" i="7"/>
  <c r="HS101" i="7"/>
  <c r="HT101" i="7"/>
  <c r="HU101" i="7"/>
  <c r="HV101" i="7"/>
  <c r="HW101" i="7"/>
  <c r="HX101" i="7"/>
  <c r="HY101" i="7"/>
  <c r="HZ101" i="7"/>
  <c r="IA101" i="7"/>
  <c r="IB101" i="7"/>
  <c r="IC101" i="7"/>
  <c r="ID101" i="7"/>
  <c r="IE101" i="7"/>
  <c r="IF101" i="7"/>
  <c r="IG101" i="7"/>
  <c r="IH101" i="7"/>
  <c r="II101" i="7"/>
  <c r="IJ101" i="7"/>
  <c r="IK101" i="7"/>
  <c r="IL101" i="7"/>
  <c r="IM101" i="7"/>
  <c r="IN101" i="7"/>
  <c r="IO101" i="7"/>
  <c r="IP101" i="7"/>
  <c r="IQ101" i="7"/>
  <c r="IR101" i="7"/>
  <c r="IS101" i="7"/>
  <c r="IT101" i="7"/>
  <c r="IU101" i="7"/>
  <c r="IV101" i="7"/>
  <c r="A100" i="7"/>
  <c r="B100" i="7"/>
  <c r="C100"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AD100" i="7"/>
  <c r="AE100" i="7"/>
  <c r="AF100" i="7"/>
  <c r="AG100" i="7"/>
  <c r="AH100" i="7"/>
  <c r="AI100" i="7"/>
  <c r="AJ100" i="7"/>
  <c r="AK100" i="7"/>
  <c r="AL100" i="7"/>
  <c r="AM100" i="7"/>
  <c r="AN100" i="7"/>
  <c r="AO100" i="7"/>
  <c r="AP100" i="7"/>
  <c r="AQ100" i="7"/>
  <c r="AR100" i="7"/>
  <c r="AS100" i="7"/>
  <c r="AT100" i="7"/>
  <c r="AU100" i="7"/>
  <c r="AV100" i="7"/>
  <c r="AW100" i="7"/>
  <c r="AX100" i="7"/>
  <c r="AY100" i="7"/>
  <c r="AZ100" i="7"/>
  <c r="BA100" i="7"/>
  <c r="BB100" i="7"/>
  <c r="BC100" i="7"/>
  <c r="BD100" i="7"/>
  <c r="BE100" i="7"/>
  <c r="BF100" i="7"/>
  <c r="BG100" i="7"/>
  <c r="BH100" i="7"/>
  <c r="BI100" i="7"/>
  <c r="BJ100" i="7"/>
  <c r="BK100" i="7"/>
  <c r="BL100" i="7"/>
  <c r="BM100" i="7"/>
  <c r="BN100" i="7"/>
  <c r="BO100" i="7"/>
  <c r="BP100" i="7"/>
  <c r="BQ100" i="7"/>
  <c r="BR100" i="7"/>
  <c r="BS100" i="7"/>
  <c r="BT100" i="7"/>
  <c r="BU100" i="7"/>
  <c r="BV100" i="7"/>
  <c r="BW100" i="7"/>
  <c r="BX100" i="7"/>
  <c r="BY100" i="7"/>
  <c r="BZ100" i="7"/>
  <c r="CA100" i="7"/>
  <c r="CB100" i="7"/>
  <c r="CC100" i="7"/>
  <c r="CD100" i="7"/>
  <c r="CE100" i="7"/>
  <c r="CF100" i="7"/>
  <c r="CG100" i="7"/>
  <c r="CH100" i="7"/>
  <c r="CI100" i="7"/>
  <c r="CJ100" i="7"/>
  <c r="CK100" i="7"/>
  <c r="CL100" i="7"/>
  <c r="CM100" i="7"/>
  <c r="CN100" i="7"/>
  <c r="CO100" i="7"/>
  <c r="CP100" i="7"/>
  <c r="CQ100" i="7"/>
  <c r="CR100" i="7"/>
  <c r="CS100" i="7"/>
  <c r="CT100" i="7"/>
  <c r="CU100" i="7"/>
  <c r="CV100" i="7"/>
  <c r="CW100" i="7"/>
  <c r="CX100" i="7"/>
  <c r="CY100" i="7"/>
  <c r="CZ100" i="7"/>
  <c r="DA100" i="7"/>
  <c r="DB100" i="7"/>
  <c r="DC100" i="7"/>
  <c r="DD100" i="7"/>
  <c r="DE100" i="7"/>
  <c r="DF100" i="7"/>
  <c r="DG100" i="7"/>
  <c r="DH100" i="7"/>
  <c r="DI100" i="7"/>
  <c r="DJ100" i="7"/>
  <c r="DK100" i="7"/>
  <c r="DL100" i="7"/>
  <c r="DM100" i="7"/>
  <c r="DN100" i="7"/>
  <c r="DO100" i="7"/>
  <c r="DP100" i="7"/>
  <c r="DQ100" i="7"/>
  <c r="DR100" i="7"/>
  <c r="DS100" i="7"/>
  <c r="DT100" i="7"/>
  <c r="DU100" i="7"/>
  <c r="DV100" i="7"/>
  <c r="DW100" i="7"/>
  <c r="DX100" i="7"/>
  <c r="DY100" i="7"/>
  <c r="DZ100" i="7"/>
  <c r="EA100" i="7"/>
  <c r="EB100" i="7"/>
  <c r="EC100" i="7"/>
  <c r="ED100" i="7"/>
  <c r="EE100" i="7"/>
  <c r="EF100" i="7"/>
  <c r="EG100" i="7"/>
  <c r="EH100" i="7"/>
  <c r="EI100" i="7"/>
  <c r="EJ100" i="7"/>
  <c r="EK100" i="7"/>
  <c r="EL100" i="7"/>
  <c r="EM100" i="7"/>
  <c r="EN100" i="7"/>
  <c r="EO100" i="7"/>
  <c r="EP100" i="7"/>
  <c r="EQ100" i="7"/>
  <c r="ER100" i="7"/>
  <c r="ES100" i="7"/>
  <c r="ET100" i="7"/>
  <c r="EU100" i="7"/>
  <c r="EV100" i="7"/>
  <c r="EW100" i="7"/>
  <c r="EX100" i="7"/>
  <c r="EY100" i="7"/>
  <c r="EZ100" i="7"/>
  <c r="FA100" i="7"/>
  <c r="FB100" i="7"/>
  <c r="FC100" i="7"/>
  <c r="FD100" i="7"/>
  <c r="FE100" i="7"/>
  <c r="FF100" i="7"/>
  <c r="FG100" i="7"/>
  <c r="FH100" i="7"/>
  <c r="FI100" i="7"/>
  <c r="FJ100" i="7"/>
  <c r="FK100" i="7"/>
  <c r="FL100" i="7"/>
  <c r="FM100" i="7"/>
  <c r="FN100" i="7"/>
  <c r="FO100" i="7"/>
  <c r="FP100" i="7"/>
  <c r="FQ100" i="7"/>
  <c r="FR100" i="7"/>
  <c r="FS100" i="7"/>
  <c r="FT100" i="7"/>
  <c r="FU100" i="7"/>
  <c r="FV100" i="7"/>
  <c r="FW100" i="7"/>
  <c r="FX100" i="7"/>
  <c r="FY100" i="7"/>
  <c r="FZ100" i="7"/>
  <c r="GA100" i="7"/>
  <c r="GB100" i="7"/>
  <c r="GC100" i="7"/>
  <c r="GD100" i="7"/>
  <c r="GE100" i="7"/>
  <c r="GF100" i="7"/>
  <c r="GG100" i="7"/>
  <c r="GH100" i="7"/>
  <c r="GI100" i="7"/>
  <c r="GJ100" i="7"/>
  <c r="GK100" i="7"/>
  <c r="GL100" i="7"/>
  <c r="GM100" i="7"/>
  <c r="GN100" i="7"/>
  <c r="GO100" i="7"/>
  <c r="GP100" i="7"/>
  <c r="GQ100" i="7"/>
  <c r="GR100" i="7"/>
  <c r="GS100" i="7"/>
  <c r="GT100" i="7"/>
  <c r="GU100" i="7"/>
  <c r="GV100" i="7"/>
  <c r="GW100" i="7"/>
  <c r="GX100" i="7"/>
  <c r="GY100" i="7"/>
  <c r="GZ100" i="7"/>
  <c r="HA100" i="7"/>
  <c r="HB100" i="7"/>
  <c r="HC100" i="7"/>
  <c r="HD100" i="7"/>
  <c r="HE100" i="7"/>
  <c r="HF100" i="7"/>
  <c r="HG100" i="7"/>
  <c r="HH100" i="7"/>
  <c r="HI100" i="7"/>
  <c r="HJ100" i="7"/>
  <c r="HK100" i="7"/>
  <c r="HL100" i="7"/>
  <c r="HM100" i="7"/>
  <c r="HN100" i="7"/>
  <c r="HO100" i="7"/>
  <c r="HP100" i="7"/>
  <c r="HQ100" i="7"/>
  <c r="HR100" i="7"/>
  <c r="HS100" i="7"/>
  <c r="HT100" i="7"/>
  <c r="HU100" i="7"/>
  <c r="HV100" i="7"/>
  <c r="HW100" i="7"/>
  <c r="HX100" i="7"/>
  <c r="HY100" i="7"/>
  <c r="HZ100" i="7"/>
  <c r="IA100" i="7"/>
  <c r="IB100" i="7"/>
  <c r="IC100" i="7"/>
  <c r="ID100" i="7"/>
  <c r="IE100" i="7"/>
  <c r="IF100" i="7"/>
  <c r="IG100" i="7"/>
  <c r="IH100" i="7"/>
  <c r="II100" i="7"/>
  <c r="IJ100" i="7"/>
  <c r="IK100" i="7"/>
  <c r="IL100" i="7"/>
  <c r="IM100" i="7"/>
  <c r="IN100" i="7"/>
  <c r="IO100" i="7"/>
  <c r="IP100" i="7"/>
  <c r="IQ100" i="7"/>
  <c r="IR100" i="7"/>
  <c r="IS100" i="7"/>
  <c r="IT100" i="7"/>
  <c r="IU100" i="7"/>
  <c r="IV100" i="7"/>
  <c r="A99" i="7"/>
  <c r="B99" i="7"/>
  <c r="C99" i="7"/>
  <c r="D99" i="7"/>
  <c r="E99" i="7"/>
  <c r="F99" i="7"/>
  <c r="G99" i="7"/>
  <c r="H99" i="7"/>
  <c r="I99" i="7"/>
  <c r="J99" i="7"/>
  <c r="K99" i="7"/>
  <c r="L99" i="7"/>
  <c r="M99" i="7"/>
  <c r="N99" i="7"/>
  <c r="O99" i="7"/>
  <c r="P99" i="7"/>
  <c r="Q99" i="7"/>
  <c r="R99" i="7"/>
  <c r="S99" i="7"/>
  <c r="T99" i="7"/>
  <c r="U99" i="7"/>
  <c r="V99" i="7"/>
  <c r="W99" i="7"/>
  <c r="X99" i="7"/>
  <c r="Y99" i="7"/>
  <c r="Z99" i="7"/>
  <c r="AA99" i="7"/>
  <c r="AB99" i="7"/>
  <c r="AC99" i="7"/>
  <c r="AD99" i="7"/>
  <c r="AE99" i="7"/>
  <c r="AF99" i="7"/>
  <c r="AG99" i="7"/>
  <c r="AH99" i="7"/>
  <c r="AI99" i="7"/>
  <c r="AJ99" i="7"/>
  <c r="AK99" i="7"/>
  <c r="AL99" i="7"/>
  <c r="AM99" i="7"/>
  <c r="AN99" i="7"/>
  <c r="AO99" i="7"/>
  <c r="AP99" i="7"/>
  <c r="AQ99" i="7"/>
  <c r="AR99" i="7"/>
  <c r="AS99" i="7"/>
  <c r="AT99" i="7"/>
  <c r="AU99" i="7"/>
  <c r="AV99" i="7"/>
  <c r="AW99" i="7"/>
  <c r="AX99" i="7"/>
  <c r="AY99" i="7"/>
  <c r="AZ99" i="7"/>
  <c r="BA99" i="7"/>
  <c r="BB99" i="7"/>
  <c r="BC99" i="7"/>
  <c r="BD99" i="7"/>
  <c r="BE99" i="7"/>
  <c r="BF99" i="7"/>
  <c r="BG99" i="7"/>
  <c r="BH99" i="7"/>
  <c r="BI99" i="7"/>
  <c r="BJ99" i="7"/>
  <c r="BK99" i="7"/>
  <c r="BL99" i="7"/>
  <c r="BM99" i="7"/>
  <c r="BN99" i="7"/>
  <c r="BO99" i="7"/>
  <c r="BP99" i="7"/>
  <c r="BQ99" i="7"/>
  <c r="BR99" i="7"/>
  <c r="BS99" i="7"/>
  <c r="BT99" i="7"/>
  <c r="BU99" i="7"/>
  <c r="BV99" i="7"/>
  <c r="BW99" i="7"/>
  <c r="BX99" i="7"/>
  <c r="BY99" i="7"/>
  <c r="BZ99" i="7"/>
  <c r="CA99" i="7"/>
  <c r="CB99" i="7"/>
  <c r="CC99" i="7"/>
  <c r="CD99" i="7"/>
  <c r="CE99" i="7"/>
  <c r="CF99" i="7"/>
  <c r="CG99" i="7"/>
  <c r="CH99" i="7"/>
  <c r="CI99" i="7"/>
  <c r="CJ99" i="7"/>
  <c r="CK99" i="7"/>
  <c r="CL99" i="7"/>
  <c r="CM99" i="7"/>
  <c r="CN99" i="7"/>
  <c r="CO99" i="7"/>
  <c r="CP99" i="7"/>
  <c r="CQ99" i="7"/>
  <c r="CR99" i="7"/>
  <c r="CS99" i="7"/>
  <c r="CT99" i="7"/>
  <c r="CU99" i="7"/>
  <c r="CV99" i="7"/>
  <c r="CW99" i="7"/>
  <c r="CX99" i="7"/>
  <c r="CY99" i="7"/>
  <c r="CZ99" i="7"/>
  <c r="DA99" i="7"/>
  <c r="DB99" i="7"/>
  <c r="DC99" i="7"/>
  <c r="DD99" i="7"/>
  <c r="DE99" i="7"/>
  <c r="DF99" i="7"/>
  <c r="DG99" i="7"/>
  <c r="DH99" i="7"/>
  <c r="DI99" i="7"/>
  <c r="DJ99" i="7"/>
  <c r="DK99" i="7"/>
  <c r="DL99" i="7"/>
  <c r="DM99" i="7"/>
  <c r="DN99" i="7"/>
  <c r="DO99" i="7"/>
  <c r="DP99" i="7"/>
  <c r="DQ99" i="7"/>
  <c r="DR99" i="7"/>
  <c r="DS99" i="7"/>
  <c r="DT99" i="7"/>
  <c r="DU99" i="7"/>
  <c r="DV99" i="7"/>
  <c r="DW99" i="7"/>
  <c r="DX99" i="7"/>
  <c r="DY99" i="7"/>
  <c r="DZ99" i="7"/>
  <c r="EA99" i="7"/>
  <c r="EB99" i="7"/>
  <c r="EC99" i="7"/>
  <c r="ED99" i="7"/>
  <c r="EE99" i="7"/>
  <c r="EF99" i="7"/>
  <c r="EG99" i="7"/>
  <c r="EH99" i="7"/>
  <c r="EI99" i="7"/>
  <c r="EJ99" i="7"/>
  <c r="EK99" i="7"/>
  <c r="EL99" i="7"/>
  <c r="EM99" i="7"/>
  <c r="EN99" i="7"/>
  <c r="EO99" i="7"/>
  <c r="EP99" i="7"/>
  <c r="EQ99" i="7"/>
  <c r="ER99" i="7"/>
  <c r="ES99" i="7"/>
  <c r="ET99" i="7"/>
  <c r="EU99" i="7"/>
  <c r="EV99" i="7"/>
  <c r="EW99" i="7"/>
  <c r="EX99" i="7"/>
  <c r="EY99" i="7"/>
  <c r="EZ99" i="7"/>
  <c r="FA99" i="7"/>
  <c r="FB99" i="7"/>
  <c r="FC99" i="7"/>
  <c r="FD99" i="7"/>
  <c r="FE99" i="7"/>
  <c r="FF99" i="7"/>
  <c r="FG99" i="7"/>
  <c r="FH99" i="7"/>
  <c r="FI99" i="7"/>
  <c r="FJ99" i="7"/>
  <c r="FK99" i="7"/>
  <c r="FL99" i="7"/>
  <c r="FM99" i="7"/>
  <c r="FN99" i="7"/>
  <c r="FO99" i="7"/>
  <c r="FP99" i="7"/>
  <c r="FQ99" i="7"/>
  <c r="FR99" i="7"/>
  <c r="FS99" i="7"/>
  <c r="FT99" i="7"/>
  <c r="FU99" i="7"/>
  <c r="FV99" i="7"/>
  <c r="FW99" i="7"/>
  <c r="FX99" i="7"/>
  <c r="FY99" i="7"/>
  <c r="FZ99" i="7"/>
  <c r="GA99" i="7"/>
  <c r="GB99" i="7"/>
  <c r="GC99" i="7"/>
  <c r="GD99" i="7"/>
  <c r="GE99" i="7"/>
  <c r="GF99" i="7"/>
  <c r="GG99" i="7"/>
  <c r="GH99" i="7"/>
  <c r="GI99" i="7"/>
  <c r="GJ99" i="7"/>
  <c r="GK99" i="7"/>
  <c r="GL99" i="7"/>
  <c r="GM99" i="7"/>
  <c r="GN99" i="7"/>
  <c r="GO99" i="7"/>
  <c r="GP99" i="7"/>
  <c r="GQ99" i="7"/>
  <c r="GR99" i="7"/>
  <c r="GS99" i="7"/>
  <c r="GT99" i="7"/>
  <c r="GU99" i="7"/>
  <c r="GV99" i="7"/>
  <c r="GW99" i="7"/>
  <c r="GX99" i="7"/>
  <c r="GY99" i="7"/>
  <c r="GZ99" i="7"/>
  <c r="HA99" i="7"/>
  <c r="HB99" i="7"/>
  <c r="HC99" i="7"/>
  <c r="HD99" i="7"/>
  <c r="HE99" i="7"/>
  <c r="HF99" i="7"/>
  <c r="HG99" i="7"/>
  <c r="HH99" i="7"/>
  <c r="HI99" i="7"/>
  <c r="HJ99" i="7"/>
  <c r="HK99" i="7"/>
  <c r="HL99" i="7"/>
  <c r="HM99" i="7"/>
  <c r="HN99" i="7"/>
  <c r="HO99" i="7"/>
  <c r="HP99" i="7"/>
  <c r="HQ99" i="7"/>
  <c r="HR99" i="7"/>
  <c r="HS99" i="7"/>
  <c r="HT99" i="7"/>
  <c r="HU99" i="7"/>
  <c r="HV99" i="7"/>
  <c r="HW99" i="7"/>
  <c r="HX99" i="7"/>
  <c r="HY99" i="7"/>
  <c r="HZ99" i="7"/>
  <c r="IA99" i="7"/>
  <c r="IB99" i="7"/>
  <c r="IC99" i="7"/>
  <c r="ID99" i="7"/>
  <c r="IE99" i="7"/>
  <c r="IF99" i="7"/>
  <c r="IG99" i="7"/>
  <c r="IH99" i="7"/>
  <c r="II99" i="7"/>
  <c r="IJ99" i="7"/>
  <c r="IK99" i="7"/>
  <c r="IL99" i="7"/>
  <c r="IM99" i="7"/>
  <c r="IN99" i="7"/>
  <c r="IO99" i="7"/>
  <c r="IP99" i="7"/>
  <c r="IQ99" i="7"/>
  <c r="IR99" i="7"/>
  <c r="IS99" i="7"/>
  <c r="IT99" i="7"/>
  <c r="IU99" i="7"/>
  <c r="IV99" i="7"/>
  <c r="A98" i="7"/>
  <c r="B98" i="7"/>
  <c r="C98" i="7"/>
  <c r="D98" i="7"/>
  <c r="E98" i="7"/>
  <c r="F98" i="7"/>
  <c r="G98" i="7"/>
  <c r="H98" i="7"/>
  <c r="I98" i="7"/>
  <c r="J98" i="7"/>
  <c r="K98" i="7"/>
  <c r="L98" i="7"/>
  <c r="M98" i="7"/>
  <c r="N98" i="7"/>
  <c r="O98" i="7"/>
  <c r="P98" i="7"/>
  <c r="Q98" i="7"/>
  <c r="R98" i="7"/>
  <c r="S98" i="7"/>
  <c r="T98" i="7"/>
  <c r="U98" i="7"/>
  <c r="V98" i="7"/>
  <c r="W98" i="7"/>
  <c r="X98" i="7"/>
  <c r="Y98" i="7"/>
  <c r="Z98" i="7"/>
  <c r="AA98" i="7"/>
  <c r="AB98" i="7"/>
  <c r="AC98" i="7"/>
  <c r="AD98" i="7"/>
  <c r="AE98" i="7"/>
  <c r="AF98" i="7"/>
  <c r="AG98" i="7"/>
  <c r="AH98" i="7"/>
  <c r="AI98" i="7"/>
  <c r="AJ98" i="7"/>
  <c r="AK98" i="7"/>
  <c r="AL98" i="7"/>
  <c r="AM98" i="7"/>
  <c r="AN98" i="7"/>
  <c r="AO98" i="7"/>
  <c r="AP98" i="7"/>
  <c r="AQ98" i="7"/>
  <c r="AR98" i="7"/>
  <c r="AS98" i="7"/>
  <c r="AT98" i="7"/>
  <c r="AU98" i="7"/>
  <c r="AV98" i="7"/>
  <c r="AW98" i="7"/>
  <c r="AX98" i="7"/>
  <c r="AY98" i="7"/>
  <c r="AZ98" i="7"/>
  <c r="BA98" i="7"/>
  <c r="BB98" i="7"/>
  <c r="BC98" i="7"/>
  <c r="BD98" i="7"/>
  <c r="BE98" i="7"/>
  <c r="BF98" i="7"/>
  <c r="BG98" i="7"/>
  <c r="BH98" i="7"/>
  <c r="BI98" i="7"/>
  <c r="BJ98" i="7"/>
  <c r="BK98" i="7"/>
  <c r="BL98" i="7"/>
  <c r="BM98" i="7"/>
  <c r="BN98" i="7"/>
  <c r="BO98" i="7"/>
  <c r="BP98" i="7"/>
  <c r="BQ98" i="7"/>
  <c r="BR98" i="7"/>
  <c r="BS98" i="7"/>
  <c r="BT98" i="7"/>
  <c r="BU98" i="7"/>
  <c r="BV98" i="7"/>
  <c r="BW98" i="7"/>
  <c r="BX98" i="7"/>
  <c r="BY98" i="7"/>
  <c r="BZ98" i="7"/>
  <c r="CA98" i="7"/>
  <c r="CB98" i="7"/>
  <c r="CC98" i="7"/>
  <c r="CD98" i="7"/>
  <c r="CE98" i="7"/>
  <c r="CF98" i="7"/>
  <c r="CG98" i="7"/>
  <c r="CH98" i="7"/>
  <c r="CI98" i="7"/>
  <c r="CJ98" i="7"/>
  <c r="CK98" i="7"/>
  <c r="CL98" i="7"/>
  <c r="CM98" i="7"/>
  <c r="CN98" i="7"/>
  <c r="CO98" i="7"/>
  <c r="CP98" i="7"/>
  <c r="CQ98" i="7"/>
  <c r="CR98" i="7"/>
  <c r="CS98" i="7"/>
  <c r="CT98" i="7"/>
  <c r="CU98" i="7"/>
  <c r="CV98" i="7"/>
  <c r="CW98" i="7"/>
  <c r="CX98" i="7"/>
  <c r="CY98" i="7"/>
  <c r="CZ98" i="7"/>
  <c r="DA98" i="7"/>
  <c r="DB98" i="7"/>
  <c r="DC98" i="7"/>
  <c r="DD98" i="7"/>
  <c r="DE98" i="7"/>
  <c r="DF98" i="7"/>
  <c r="DG98" i="7"/>
  <c r="DH98" i="7"/>
  <c r="DI98" i="7"/>
  <c r="DJ98" i="7"/>
  <c r="DK98" i="7"/>
  <c r="DL98" i="7"/>
  <c r="DM98" i="7"/>
  <c r="DN98" i="7"/>
  <c r="DO98" i="7"/>
  <c r="DP98" i="7"/>
  <c r="DQ98" i="7"/>
  <c r="DR98" i="7"/>
  <c r="DS98" i="7"/>
  <c r="DT98" i="7"/>
  <c r="DU98" i="7"/>
  <c r="DV98" i="7"/>
  <c r="DW98" i="7"/>
  <c r="DX98" i="7"/>
  <c r="DY98" i="7"/>
  <c r="DZ98" i="7"/>
  <c r="EA98" i="7"/>
  <c r="EB98" i="7"/>
  <c r="EC98" i="7"/>
  <c r="ED98" i="7"/>
  <c r="EE98" i="7"/>
  <c r="EF98" i="7"/>
  <c r="EG98" i="7"/>
  <c r="EH98" i="7"/>
  <c r="EI98" i="7"/>
  <c r="EJ98" i="7"/>
  <c r="EK98" i="7"/>
  <c r="EL98" i="7"/>
  <c r="EM98" i="7"/>
  <c r="EN98" i="7"/>
  <c r="EO98" i="7"/>
  <c r="EP98" i="7"/>
  <c r="EQ98" i="7"/>
  <c r="ER98" i="7"/>
  <c r="ES98" i="7"/>
  <c r="ET98" i="7"/>
  <c r="EU98" i="7"/>
  <c r="EV98" i="7"/>
  <c r="EW98" i="7"/>
  <c r="EX98" i="7"/>
  <c r="EY98" i="7"/>
  <c r="EZ98" i="7"/>
  <c r="FA98" i="7"/>
  <c r="FB98" i="7"/>
  <c r="FC98" i="7"/>
  <c r="FD98" i="7"/>
  <c r="FE98" i="7"/>
  <c r="FF98" i="7"/>
  <c r="FG98" i="7"/>
  <c r="FH98" i="7"/>
  <c r="FI98" i="7"/>
  <c r="FJ98" i="7"/>
  <c r="FK98" i="7"/>
  <c r="FL98" i="7"/>
  <c r="FM98" i="7"/>
  <c r="FN98" i="7"/>
  <c r="FO98" i="7"/>
  <c r="FP98" i="7"/>
  <c r="FQ98" i="7"/>
  <c r="FR98" i="7"/>
  <c r="FS98" i="7"/>
  <c r="FT98" i="7"/>
  <c r="FU98" i="7"/>
  <c r="FV98" i="7"/>
  <c r="FW98" i="7"/>
  <c r="FX98" i="7"/>
  <c r="FY98" i="7"/>
  <c r="FZ98" i="7"/>
  <c r="GA98" i="7"/>
  <c r="GB98" i="7"/>
  <c r="GC98" i="7"/>
  <c r="GD98" i="7"/>
  <c r="GE98" i="7"/>
  <c r="GF98" i="7"/>
  <c r="GG98" i="7"/>
  <c r="GH98" i="7"/>
  <c r="GI98" i="7"/>
  <c r="GJ98" i="7"/>
  <c r="GK98" i="7"/>
  <c r="GL98" i="7"/>
  <c r="GM98" i="7"/>
  <c r="GN98" i="7"/>
  <c r="GO98" i="7"/>
  <c r="GP98" i="7"/>
  <c r="GQ98" i="7"/>
  <c r="GR98" i="7"/>
  <c r="GS98" i="7"/>
  <c r="GT98" i="7"/>
  <c r="GU98" i="7"/>
  <c r="GV98" i="7"/>
  <c r="GW98" i="7"/>
  <c r="GX98" i="7"/>
  <c r="GY98" i="7"/>
  <c r="GZ98" i="7"/>
  <c r="HA98" i="7"/>
  <c r="HB98" i="7"/>
  <c r="HC98" i="7"/>
  <c r="HD98" i="7"/>
  <c r="HE98" i="7"/>
  <c r="HF98" i="7"/>
  <c r="HG98" i="7"/>
  <c r="HH98" i="7"/>
  <c r="HI98" i="7"/>
  <c r="HJ98" i="7"/>
  <c r="HK98" i="7"/>
  <c r="HL98" i="7"/>
  <c r="HM98" i="7"/>
  <c r="HN98" i="7"/>
  <c r="HO98" i="7"/>
  <c r="HP98" i="7"/>
  <c r="HQ98" i="7"/>
  <c r="HR98" i="7"/>
  <c r="HS98" i="7"/>
  <c r="HT98" i="7"/>
  <c r="HU98" i="7"/>
  <c r="HV98" i="7"/>
  <c r="HW98" i="7"/>
  <c r="HX98" i="7"/>
  <c r="HY98" i="7"/>
  <c r="HZ98" i="7"/>
  <c r="IA98" i="7"/>
  <c r="IB98" i="7"/>
  <c r="IC98" i="7"/>
  <c r="ID98" i="7"/>
  <c r="IE98" i="7"/>
  <c r="IF98" i="7"/>
  <c r="IG98" i="7"/>
  <c r="IH98" i="7"/>
  <c r="II98" i="7"/>
  <c r="IJ98" i="7"/>
  <c r="IK98" i="7"/>
  <c r="IL98" i="7"/>
  <c r="IM98" i="7"/>
  <c r="IN98" i="7"/>
  <c r="IO98" i="7"/>
  <c r="IP98" i="7"/>
  <c r="IQ98" i="7"/>
  <c r="IR98" i="7"/>
  <c r="IS98" i="7"/>
  <c r="IT98" i="7"/>
  <c r="IU98" i="7"/>
  <c r="IV98" i="7"/>
  <c r="A97" i="7"/>
  <c r="B97" i="7"/>
  <c r="C97" i="7"/>
  <c r="D97" i="7"/>
  <c r="E97" i="7"/>
  <c r="F97" i="7"/>
  <c r="G97" i="7"/>
  <c r="H97" i="7"/>
  <c r="I97" i="7"/>
  <c r="J97" i="7"/>
  <c r="K97" i="7"/>
  <c r="L97" i="7"/>
  <c r="M97" i="7"/>
  <c r="N97" i="7"/>
  <c r="O97" i="7"/>
  <c r="P97" i="7"/>
  <c r="Q97" i="7"/>
  <c r="R97" i="7"/>
  <c r="S97" i="7"/>
  <c r="T97" i="7"/>
  <c r="U97" i="7"/>
  <c r="V97" i="7"/>
  <c r="W97" i="7"/>
  <c r="X97" i="7"/>
  <c r="Y97" i="7"/>
  <c r="Z97" i="7"/>
  <c r="AA97" i="7"/>
  <c r="AB97" i="7"/>
  <c r="AC97" i="7"/>
  <c r="AD97" i="7"/>
  <c r="AE97" i="7"/>
  <c r="AF97" i="7"/>
  <c r="AG97" i="7"/>
  <c r="AH97" i="7"/>
  <c r="AI97" i="7"/>
  <c r="AJ97" i="7"/>
  <c r="AK97" i="7"/>
  <c r="AL97" i="7"/>
  <c r="AM97" i="7"/>
  <c r="AN97" i="7"/>
  <c r="AO97" i="7"/>
  <c r="AP97" i="7"/>
  <c r="AQ97" i="7"/>
  <c r="AR97" i="7"/>
  <c r="AS97" i="7"/>
  <c r="AT97" i="7"/>
  <c r="AU97" i="7"/>
  <c r="AV97" i="7"/>
  <c r="AW97" i="7"/>
  <c r="AX97" i="7"/>
  <c r="AY97" i="7"/>
  <c r="AZ97" i="7"/>
  <c r="BA97" i="7"/>
  <c r="BB97" i="7"/>
  <c r="BC97" i="7"/>
  <c r="BD97" i="7"/>
  <c r="BE97" i="7"/>
  <c r="BF97" i="7"/>
  <c r="BG97" i="7"/>
  <c r="BH97" i="7"/>
  <c r="BI97" i="7"/>
  <c r="BJ97" i="7"/>
  <c r="BK97" i="7"/>
  <c r="BL97" i="7"/>
  <c r="BM97" i="7"/>
  <c r="BN97" i="7"/>
  <c r="BO97" i="7"/>
  <c r="BP97" i="7"/>
  <c r="BQ97" i="7"/>
  <c r="BR97" i="7"/>
  <c r="BS97" i="7"/>
  <c r="BT97" i="7"/>
  <c r="BU97" i="7"/>
  <c r="BV97" i="7"/>
  <c r="BW97" i="7"/>
  <c r="BX97" i="7"/>
  <c r="BY97" i="7"/>
  <c r="BZ97" i="7"/>
  <c r="CA97" i="7"/>
  <c r="CB97" i="7"/>
  <c r="CC97" i="7"/>
  <c r="CD97" i="7"/>
  <c r="CE97" i="7"/>
  <c r="CF97" i="7"/>
  <c r="CG97" i="7"/>
  <c r="CH97" i="7"/>
  <c r="CI97" i="7"/>
  <c r="CJ97" i="7"/>
  <c r="CK97" i="7"/>
  <c r="CL97" i="7"/>
  <c r="CM97" i="7"/>
  <c r="CN97" i="7"/>
  <c r="CO97" i="7"/>
  <c r="CP97" i="7"/>
  <c r="CQ97" i="7"/>
  <c r="CR97" i="7"/>
  <c r="CS97" i="7"/>
  <c r="CT97" i="7"/>
  <c r="CU97" i="7"/>
  <c r="CV97" i="7"/>
  <c r="CW97" i="7"/>
  <c r="CX97" i="7"/>
  <c r="CY97" i="7"/>
  <c r="CZ97" i="7"/>
  <c r="DA97" i="7"/>
  <c r="DB97" i="7"/>
  <c r="DC97" i="7"/>
  <c r="DD97" i="7"/>
  <c r="DE97" i="7"/>
  <c r="DF97" i="7"/>
  <c r="DG97" i="7"/>
  <c r="DH97" i="7"/>
  <c r="DI97" i="7"/>
  <c r="DJ97" i="7"/>
  <c r="DK97" i="7"/>
  <c r="DL97" i="7"/>
  <c r="DM97" i="7"/>
  <c r="DN97" i="7"/>
  <c r="DO97" i="7"/>
  <c r="DP97" i="7"/>
  <c r="DQ97" i="7"/>
  <c r="DR97" i="7"/>
  <c r="DS97" i="7"/>
  <c r="DT97" i="7"/>
  <c r="DU97" i="7"/>
  <c r="DV97" i="7"/>
  <c r="DW97" i="7"/>
  <c r="DX97" i="7"/>
  <c r="DY97" i="7"/>
  <c r="DZ97" i="7"/>
  <c r="EA97" i="7"/>
  <c r="EB97" i="7"/>
  <c r="EC97" i="7"/>
  <c r="ED97" i="7"/>
  <c r="EE97" i="7"/>
  <c r="EF97" i="7"/>
  <c r="EG97" i="7"/>
  <c r="EH97" i="7"/>
  <c r="EI97" i="7"/>
  <c r="EJ97" i="7"/>
  <c r="EK97" i="7"/>
  <c r="EL97" i="7"/>
  <c r="EM97" i="7"/>
  <c r="EN97" i="7"/>
  <c r="EO97" i="7"/>
  <c r="EP97" i="7"/>
  <c r="EQ97" i="7"/>
  <c r="ER97" i="7"/>
  <c r="ES97" i="7"/>
  <c r="ET97" i="7"/>
  <c r="EU97" i="7"/>
  <c r="EV97" i="7"/>
  <c r="EW97" i="7"/>
  <c r="EX97" i="7"/>
  <c r="EY97" i="7"/>
  <c r="EZ97" i="7"/>
  <c r="FA97" i="7"/>
  <c r="FB97" i="7"/>
  <c r="FC97" i="7"/>
  <c r="FD97" i="7"/>
  <c r="FE97" i="7"/>
  <c r="FF97" i="7"/>
  <c r="FG97" i="7"/>
  <c r="FH97" i="7"/>
  <c r="FI97" i="7"/>
  <c r="FJ97" i="7"/>
  <c r="FK97" i="7"/>
  <c r="FL97" i="7"/>
  <c r="FM97" i="7"/>
  <c r="FN97" i="7"/>
  <c r="FO97" i="7"/>
  <c r="FP97" i="7"/>
  <c r="FQ97" i="7"/>
  <c r="FR97" i="7"/>
  <c r="FS97" i="7"/>
  <c r="FT97" i="7"/>
  <c r="FU97" i="7"/>
  <c r="FV97" i="7"/>
  <c r="FW97" i="7"/>
  <c r="FX97" i="7"/>
  <c r="FY97" i="7"/>
  <c r="FZ97" i="7"/>
  <c r="GA97" i="7"/>
  <c r="GB97" i="7"/>
  <c r="GC97" i="7"/>
  <c r="GD97" i="7"/>
  <c r="GE97" i="7"/>
  <c r="GF97" i="7"/>
  <c r="GG97" i="7"/>
  <c r="GH97" i="7"/>
  <c r="GI97" i="7"/>
  <c r="GJ97" i="7"/>
  <c r="GK97" i="7"/>
  <c r="GL97" i="7"/>
  <c r="GM97" i="7"/>
  <c r="GN97" i="7"/>
  <c r="GO97" i="7"/>
  <c r="GP97" i="7"/>
  <c r="GQ97" i="7"/>
  <c r="GR97" i="7"/>
  <c r="GS97" i="7"/>
  <c r="GT97" i="7"/>
  <c r="GU97" i="7"/>
  <c r="GV97" i="7"/>
  <c r="GW97" i="7"/>
  <c r="GX97" i="7"/>
  <c r="GY97" i="7"/>
  <c r="GZ97" i="7"/>
  <c r="HA97" i="7"/>
  <c r="HB97" i="7"/>
  <c r="HC97" i="7"/>
  <c r="HD97" i="7"/>
  <c r="HE97" i="7"/>
  <c r="HF97" i="7"/>
  <c r="HG97" i="7"/>
  <c r="HH97" i="7"/>
  <c r="HI97" i="7"/>
  <c r="HJ97" i="7"/>
  <c r="HK97" i="7"/>
  <c r="HL97" i="7"/>
  <c r="HM97" i="7"/>
  <c r="HN97" i="7"/>
  <c r="HO97" i="7"/>
  <c r="HP97" i="7"/>
  <c r="HQ97" i="7"/>
  <c r="HR97" i="7"/>
  <c r="HS97" i="7"/>
  <c r="HT97" i="7"/>
  <c r="HU97" i="7"/>
  <c r="HV97" i="7"/>
  <c r="HW97" i="7"/>
  <c r="HX97" i="7"/>
  <c r="HY97" i="7"/>
  <c r="HZ97" i="7"/>
  <c r="IA97" i="7"/>
  <c r="IB97" i="7"/>
  <c r="IC97" i="7"/>
  <c r="ID97" i="7"/>
  <c r="IE97" i="7"/>
  <c r="IF97" i="7"/>
  <c r="IG97" i="7"/>
  <c r="IH97" i="7"/>
  <c r="II97" i="7"/>
  <c r="IJ97" i="7"/>
  <c r="IK97" i="7"/>
  <c r="IL97" i="7"/>
  <c r="IM97" i="7"/>
  <c r="IN97" i="7"/>
  <c r="IO97" i="7"/>
  <c r="IP97" i="7"/>
  <c r="IQ97" i="7"/>
  <c r="IR97" i="7"/>
  <c r="IS97" i="7"/>
  <c r="IT97" i="7"/>
  <c r="IU97" i="7"/>
  <c r="IV97" i="7"/>
  <c r="A96" i="7"/>
  <c r="B96" i="7"/>
  <c r="C96" i="7"/>
  <c r="D96" i="7"/>
  <c r="E96" i="7"/>
  <c r="F96" i="7"/>
  <c r="G96" i="7"/>
  <c r="H96" i="7"/>
  <c r="I96" i="7"/>
  <c r="J96" i="7"/>
  <c r="K96" i="7"/>
  <c r="L96" i="7"/>
  <c r="M96" i="7"/>
  <c r="N96" i="7"/>
  <c r="O96" i="7"/>
  <c r="P96" i="7"/>
  <c r="Q96" i="7"/>
  <c r="R96" i="7"/>
  <c r="S96" i="7"/>
  <c r="T96" i="7"/>
  <c r="U96" i="7"/>
  <c r="V96" i="7"/>
  <c r="W96" i="7"/>
  <c r="X96" i="7"/>
  <c r="Y96" i="7"/>
  <c r="Z96" i="7"/>
  <c r="AA96" i="7"/>
  <c r="AB96" i="7"/>
  <c r="AC96" i="7"/>
  <c r="AD96" i="7"/>
  <c r="AE96" i="7"/>
  <c r="AF96" i="7"/>
  <c r="AG96" i="7"/>
  <c r="AH96" i="7"/>
  <c r="AI96" i="7"/>
  <c r="AJ96" i="7"/>
  <c r="AK96" i="7"/>
  <c r="AL96" i="7"/>
  <c r="AM96" i="7"/>
  <c r="AN96" i="7"/>
  <c r="AO96" i="7"/>
  <c r="AP96" i="7"/>
  <c r="AQ96" i="7"/>
  <c r="AR96" i="7"/>
  <c r="AS96" i="7"/>
  <c r="AT96" i="7"/>
  <c r="AU96" i="7"/>
  <c r="AV96" i="7"/>
  <c r="AW96" i="7"/>
  <c r="AX96" i="7"/>
  <c r="AY96" i="7"/>
  <c r="AZ96" i="7"/>
  <c r="BA96" i="7"/>
  <c r="BB96" i="7"/>
  <c r="BC96" i="7"/>
  <c r="BD96" i="7"/>
  <c r="BE96" i="7"/>
  <c r="BF96" i="7"/>
  <c r="BG96" i="7"/>
  <c r="BH96" i="7"/>
  <c r="BI96" i="7"/>
  <c r="BJ96" i="7"/>
  <c r="BK96" i="7"/>
  <c r="BL96" i="7"/>
  <c r="BM96" i="7"/>
  <c r="BN96" i="7"/>
  <c r="BO96" i="7"/>
  <c r="BP96" i="7"/>
  <c r="BQ96" i="7"/>
  <c r="BR96" i="7"/>
  <c r="BS96" i="7"/>
  <c r="BT96" i="7"/>
  <c r="BU96" i="7"/>
  <c r="BV96" i="7"/>
  <c r="BW96" i="7"/>
  <c r="BX96" i="7"/>
  <c r="BY96" i="7"/>
  <c r="BZ96" i="7"/>
  <c r="CA96" i="7"/>
  <c r="CB96" i="7"/>
  <c r="CC96" i="7"/>
  <c r="CD96" i="7"/>
  <c r="CE96" i="7"/>
  <c r="CF96" i="7"/>
  <c r="CG96" i="7"/>
  <c r="CH96" i="7"/>
  <c r="CI96" i="7"/>
  <c r="CJ96" i="7"/>
  <c r="CK96" i="7"/>
  <c r="CL96" i="7"/>
  <c r="CM96" i="7"/>
  <c r="CN96" i="7"/>
  <c r="CO96" i="7"/>
  <c r="CP96" i="7"/>
  <c r="CQ96" i="7"/>
  <c r="CR96" i="7"/>
  <c r="CS96" i="7"/>
  <c r="CT96" i="7"/>
  <c r="CU96" i="7"/>
  <c r="CV96" i="7"/>
  <c r="CW96" i="7"/>
  <c r="CX96" i="7"/>
  <c r="CY96" i="7"/>
  <c r="CZ96" i="7"/>
  <c r="DA96" i="7"/>
  <c r="DB96" i="7"/>
  <c r="DC96" i="7"/>
  <c r="DD96" i="7"/>
  <c r="DE96" i="7"/>
  <c r="DF96" i="7"/>
  <c r="DG96" i="7"/>
  <c r="DH96" i="7"/>
  <c r="DI96" i="7"/>
  <c r="DJ96" i="7"/>
  <c r="DK96" i="7"/>
  <c r="DL96" i="7"/>
  <c r="DM96" i="7"/>
  <c r="DN96" i="7"/>
  <c r="DO96" i="7"/>
  <c r="DP96" i="7"/>
  <c r="DQ96" i="7"/>
  <c r="DR96" i="7"/>
  <c r="DS96" i="7"/>
  <c r="DT96" i="7"/>
  <c r="DU96" i="7"/>
  <c r="DV96" i="7"/>
  <c r="DW96" i="7"/>
  <c r="DX96" i="7"/>
  <c r="DY96" i="7"/>
  <c r="DZ96" i="7"/>
  <c r="EA96" i="7"/>
  <c r="EB96" i="7"/>
  <c r="EC96" i="7"/>
  <c r="ED96" i="7"/>
  <c r="EE96" i="7"/>
  <c r="EF96" i="7"/>
  <c r="EG96" i="7"/>
  <c r="EH96" i="7"/>
  <c r="EI96" i="7"/>
  <c r="EJ96" i="7"/>
  <c r="EK96" i="7"/>
  <c r="EL96" i="7"/>
  <c r="EM96" i="7"/>
  <c r="EN96" i="7"/>
  <c r="EO96" i="7"/>
  <c r="EP96" i="7"/>
  <c r="EQ96" i="7"/>
  <c r="ER96" i="7"/>
  <c r="ES96" i="7"/>
  <c r="ET96" i="7"/>
  <c r="EU96" i="7"/>
  <c r="EV96" i="7"/>
  <c r="EW96" i="7"/>
  <c r="EX96" i="7"/>
  <c r="EY96" i="7"/>
  <c r="EZ96" i="7"/>
  <c r="FA96" i="7"/>
  <c r="FB96" i="7"/>
  <c r="FC96" i="7"/>
  <c r="FD96" i="7"/>
  <c r="FE96" i="7"/>
  <c r="FF96" i="7"/>
  <c r="FG96" i="7"/>
  <c r="FH96" i="7"/>
  <c r="FI96" i="7"/>
  <c r="FJ96" i="7"/>
  <c r="FK96" i="7"/>
  <c r="FL96" i="7"/>
  <c r="FM96" i="7"/>
  <c r="FN96" i="7"/>
  <c r="FO96" i="7"/>
  <c r="FP96" i="7"/>
  <c r="FQ96" i="7"/>
  <c r="FR96" i="7"/>
  <c r="FS96" i="7"/>
  <c r="FT96" i="7"/>
  <c r="FU96" i="7"/>
  <c r="FV96" i="7"/>
  <c r="FW96" i="7"/>
  <c r="FX96" i="7"/>
  <c r="FY96" i="7"/>
  <c r="FZ96" i="7"/>
  <c r="GA96" i="7"/>
  <c r="GB96" i="7"/>
  <c r="GC96" i="7"/>
  <c r="GD96" i="7"/>
  <c r="GE96" i="7"/>
  <c r="GF96" i="7"/>
  <c r="GG96" i="7"/>
  <c r="GH96" i="7"/>
  <c r="GI96" i="7"/>
  <c r="GJ96" i="7"/>
  <c r="GK96" i="7"/>
  <c r="GL96" i="7"/>
  <c r="GM96" i="7"/>
  <c r="GN96" i="7"/>
  <c r="GO96" i="7"/>
  <c r="GP96" i="7"/>
  <c r="GQ96" i="7"/>
  <c r="GR96" i="7"/>
  <c r="GS96" i="7"/>
  <c r="GT96" i="7"/>
  <c r="GU96" i="7"/>
  <c r="GV96" i="7"/>
  <c r="GW96" i="7"/>
  <c r="GX96" i="7"/>
  <c r="GY96" i="7"/>
  <c r="GZ96" i="7"/>
  <c r="HA96" i="7"/>
  <c r="HB96" i="7"/>
  <c r="HC96" i="7"/>
  <c r="HD96" i="7"/>
  <c r="HE96" i="7"/>
  <c r="HF96" i="7"/>
  <c r="HG96" i="7"/>
  <c r="HH96" i="7"/>
  <c r="HI96" i="7"/>
  <c r="HJ96" i="7"/>
  <c r="HK96" i="7"/>
  <c r="HL96" i="7"/>
  <c r="HM96" i="7"/>
  <c r="HN96" i="7"/>
  <c r="HO96" i="7"/>
  <c r="HP96" i="7"/>
  <c r="HQ96" i="7"/>
  <c r="HR96" i="7"/>
  <c r="HS96" i="7"/>
  <c r="HT96" i="7"/>
  <c r="HU96" i="7"/>
  <c r="HV96" i="7"/>
  <c r="HW96" i="7"/>
  <c r="HX96" i="7"/>
  <c r="HY96" i="7"/>
  <c r="HZ96" i="7"/>
  <c r="IA96" i="7"/>
  <c r="IB96" i="7"/>
  <c r="IC96" i="7"/>
  <c r="ID96" i="7"/>
  <c r="IE96" i="7"/>
  <c r="IF96" i="7"/>
  <c r="IG96" i="7"/>
  <c r="IH96" i="7"/>
  <c r="II96" i="7"/>
  <c r="IJ96" i="7"/>
  <c r="IK96" i="7"/>
  <c r="IL96" i="7"/>
  <c r="IM96" i="7"/>
  <c r="IN96" i="7"/>
  <c r="IO96" i="7"/>
  <c r="IP96" i="7"/>
  <c r="IQ96" i="7"/>
  <c r="IR96" i="7"/>
  <c r="IS96" i="7"/>
  <c r="IT96" i="7"/>
  <c r="IU96" i="7"/>
  <c r="IV96" i="7"/>
  <c r="A95" i="7"/>
  <c r="B95" i="7"/>
  <c r="C95" i="7"/>
  <c r="D95" i="7"/>
  <c r="E95" i="7"/>
  <c r="F95" i="7"/>
  <c r="G95" i="7"/>
  <c r="H95" i="7"/>
  <c r="I95" i="7"/>
  <c r="J95" i="7"/>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R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FO95" i="7"/>
  <c r="FP95" i="7"/>
  <c r="FQ95" i="7"/>
  <c r="FR95" i="7"/>
  <c r="FS95" i="7"/>
  <c r="FT95" i="7"/>
  <c r="FU95" i="7"/>
  <c r="FV95" i="7"/>
  <c r="FW95" i="7"/>
  <c r="FX95" i="7"/>
  <c r="FY95" i="7"/>
  <c r="FZ95" i="7"/>
  <c r="GA95" i="7"/>
  <c r="GB95" i="7"/>
  <c r="GC95" i="7"/>
  <c r="GD95" i="7"/>
  <c r="GE95" i="7"/>
  <c r="GF95" i="7"/>
  <c r="GG95" i="7"/>
  <c r="GH95" i="7"/>
  <c r="GI95" i="7"/>
  <c r="GJ95" i="7"/>
  <c r="GK95" i="7"/>
  <c r="GL95" i="7"/>
  <c r="GM95" i="7"/>
  <c r="GN95" i="7"/>
  <c r="GO95" i="7"/>
  <c r="GP95" i="7"/>
  <c r="GQ95" i="7"/>
  <c r="GR95" i="7"/>
  <c r="GS95" i="7"/>
  <c r="GT95" i="7"/>
  <c r="GU95" i="7"/>
  <c r="GV95" i="7"/>
  <c r="GW95" i="7"/>
  <c r="GX95" i="7"/>
  <c r="GY95" i="7"/>
  <c r="GZ95" i="7"/>
  <c r="HA95" i="7"/>
  <c r="HB95" i="7"/>
  <c r="HC95" i="7"/>
  <c r="HD95" i="7"/>
  <c r="HE95" i="7"/>
  <c r="HF95" i="7"/>
  <c r="HG95" i="7"/>
  <c r="HH95" i="7"/>
  <c r="HI95" i="7"/>
  <c r="HJ95" i="7"/>
  <c r="HK95" i="7"/>
  <c r="HL95" i="7"/>
  <c r="HM95" i="7"/>
  <c r="HN95" i="7"/>
  <c r="HO95" i="7"/>
  <c r="HP95" i="7"/>
  <c r="HQ95" i="7"/>
  <c r="HR95" i="7"/>
  <c r="HS95" i="7"/>
  <c r="HT95" i="7"/>
  <c r="HU95" i="7"/>
  <c r="HV95" i="7"/>
  <c r="HW95" i="7"/>
  <c r="HX95" i="7"/>
  <c r="HY95" i="7"/>
  <c r="HZ95" i="7"/>
  <c r="IA95" i="7"/>
  <c r="IB95" i="7"/>
  <c r="IC95" i="7"/>
  <c r="ID95" i="7"/>
  <c r="IE95" i="7"/>
  <c r="IF95" i="7"/>
  <c r="IG95" i="7"/>
  <c r="IH95" i="7"/>
  <c r="II95" i="7"/>
  <c r="IJ95" i="7"/>
  <c r="IK95" i="7"/>
  <c r="IL95" i="7"/>
  <c r="IM95" i="7"/>
  <c r="IN95" i="7"/>
  <c r="IO95" i="7"/>
  <c r="IP95" i="7"/>
  <c r="IQ95" i="7"/>
  <c r="IR95" i="7"/>
  <c r="IS95" i="7"/>
  <c r="IT95" i="7"/>
  <c r="IU95" i="7"/>
  <c r="IV95" i="7"/>
  <c r="A94" i="7"/>
  <c r="B94" i="7"/>
  <c r="C94" i="7"/>
  <c r="D94" i="7"/>
  <c r="E94" i="7"/>
  <c r="F94" i="7"/>
  <c r="G94" i="7"/>
  <c r="H94" i="7"/>
  <c r="I94" i="7"/>
  <c r="J94" i="7"/>
  <c r="K94" i="7"/>
  <c r="L94" i="7"/>
  <c r="M94" i="7"/>
  <c r="N94" i="7"/>
  <c r="O94" i="7"/>
  <c r="P94" i="7"/>
  <c r="Q94" i="7"/>
  <c r="R94" i="7"/>
  <c r="S94" i="7"/>
  <c r="T94" i="7"/>
  <c r="U94" i="7"/>
  <c r="V94" i="7"/>
  <c r="W94" i="7"/>
  <c r="X94" i="7"/>
  <c r="Y94" i="7"/>
  <c r="Z94" i="7"/>
  <c r="AA94" i="7"/>
  <c r="AB94" i="7"/>
  <c r="AC94" i="7"/>
  <c r="AD94" i="7"/>
  <c r="AE94" i="7"/>
  <c r="AF94" i="7"/>
  <c r="AG94" i="7"/>
  <c r="AH94" i="7"/>
  <c r="AI94" i="7"/>
  <c r="AJ94" i="7"/>
  <c r="AK94" i="7"/>
  <c r="AL94" i="7"/>
  <c r="AM94" i="7"/>
  <c r="AN94" i="7"/>
  <c r="AO94" i="7"/>
  <c r="AP94" i="7"/>
  <c r="AQ94" i="7"/>
  <c r="AR94" i="7"/>
  <c r="AS94" i="7"/>
  <c r="AT94" i="7"/>
  <c r="AU94" i="7"/>
  <c r="AV94" i="7"/>
  <c r="AW94" i="7"/>
  <c r="AX94" i="7"/>
  <c r="AY94" i="7"/>
  <c r="AZ94" i="7"/>
  <c r="BA94" i="7"/>
  <c r="BB94" i="7"/>
  <c r="BC94" i="7"/>
  <c r="BD94" i="7"/>
  <c r="BE94" i="7"/>
  <c r="BF94" i="7"/>
  <c r="BG94" i="7"/>
  <c r="BH94" i="7"/>
  <c r="BI94" i="7"/>
  <c r="BJ94" i="7"/>
  <c r="BK94" i="7"/>
  <c r="BL94" i="7"/>
  <c r="BM94" i="7"/>
  <c r="BN94" i="7"/>
  <c r="BO94" i="7"/>
  <c r="BP94" i="7"/>
  <c r="BQ94" i="7"/>
  <c r="BR94" i="7"/>
  <c r="BS94" i="7"/>
  <c r="BT94" i="7"/>
  <c r="BU94" i="7"/>
  <c r="BV94" i="7"/>
  <c r="BW94" i="7"/>
  <c r="BX94" i="7"/>
  <c r="BY94" i="7"/>
  <c r="BZ94" i="7"/>
  <c r="CA94" i="7"/>
  <c r="CB94" i="7"/>
  <c r="CC94" i="7"/>
  <c r="CD94" i="7"/>
  <c r="CE94" i="7"/>
  <c r="CF94" i="7"/>
  <c r="CG94" i="7"/>
  <c r="CH94" i="7"/>
  <c r="CI94" i="7"/>
  <c r="CJ94" i="7"/>
  <c r="CK94" i="7"/>
  <c r="CL94" i="7"/>
  <c r="CM94" i="7"/>
  <c r="CN94" i="7"/>
  <c r="CO94" i="7"/>
  <c r="CP94" i="7"/>
  <c r="CQ94" i="7"/>
  <c r="CR94" i="7"/>
  <c r="CS94" i="7"/>
  <c r="CT94" i="7"/>
  <c r="CU94" i="7"/>
  <c r="CV94" i="7"/>
  <c r="CW94" i="7"/>
  <c r="CX94" i="7"/>
  <c r="CY94" i="7"/>
  <c r="CZ94" i="7"/>
  <c r="DA94" i="7"/>
  <c r="DB94" i="7"/>
  <c r="DC94" i="7"/>
  <c r="DD94" i="7"/>
  <c r="DE94" i="7"/>
  <c r="DF94" i="7"/>
  <c r="DG94" i="7"/>
  <c r="DH94" i="7"/>
  <c r="DI94" i="7"/>
  <c r="DJ94" i="7"/>
  <c r="DK94" i="7"/>
  <c r="DL94" i="7"/>
  <c r="DM94" i="7"/>
  <c r="DN94" i="7"/>
  <c r="DO94" i="7"/>
  <c r="DP94" i="7"/>
  <c r="DQ94" i="7"/>
  <c r="DR94" i="7"/>
  <c r="DS94" i="7"/>
  <c r="DT94" i="7"/>
  <c r="DU94" i="7"/>
  <c r="DV94" i="7"/>
  <c r="DW94" i="7"/>
  <c r="DX94" i="7"/>
  <c r="DY94" i="7"/>
  <c r="DZ94" i="7"/>
  <c r="EA94" i="7"/>
  <c r="EB94" i="7"/>
  <c r="EC94" i="7"/>
  <c r="ED94" i="7"/>
  <c r="EE94" i="7"/>
  <c r="EF94" i="7"/>
  <c r="EG94" i="7"/>
  <c r="EH94" i="7"/>
  <c r="EI94" i="7"/>
  <c r="EJ94" i="7"/>
  <c r="EK94" i="7"/>
  <c r="EL94" i="7"/>
  <c r="EM94" i="7"/>
  <c r="EN94" i="7"/>
  <c r="EO94" i="7"/>
  <c r="EP94" i="7"/>
  <c r="EQ94" i="7"/>
  <c r="ER94" i="7"/>
  <c r="ES94" i="7"/>
  <c r="ET94" i="7"/>
  <c r="EU94" i="7"/>
  <c r="EV94" i="7"/>
  <c r="EW94" i="7"/>
  <c r="EX94" i="7"/>
  <c r="EY94" i="7"/>
  <c r="EZ94" i="7"/>
  <c r="FA94" i="7"/>
  <c r="FB94" i="7"/>
  <c r="FC94" i="7"/>
  <c r="FD94" i="7"/>
  <c r="FE94" i="7"/>
  <c r="FF94" i="7"/>
  <c r="FG94" i="7"/>
  <c r="FH94" i="7"/>
  <c r="FI94" i="7"/>
  <c r="FJ94" i="7"/>
  <c r="FK94" i="7"/>
  <c r="FL94" i="7"/>
  <c r="FM94" i="7"/>
  <c r="FN94" i="7"/>
  <c r="FO94" i="7"/>
  <c r="FP94" i="7"/>
  <c r="FQ94" i="7"/>
  <c r="FR94" i="7"/>
  <c r="FS94" i="7"/>
  <c r="FT94" i="7"/>
  <c r="FU94" i="7"/>
  <c r="FV94" i="7"/>
  <c r="FW94" i="7"/>
  <c r="FX94" i="7"/>
  <c r="FY94" i="7"/>
  <c r="FZ94" i="7"/>
  <c r="GA94" i="7"/>
  <c r="GB94" i="7"/>
  <c r="GC94" i="7"/>
  <c r="GD94" i="7"/>
  <c r="GE94" i="7"/>
  <c r="GF94" i="7"/>
  <c r="GG94" i="7"/>
  <c r="GH94" i="7"/>
  <c r="GI94" i="7"/>
  <c r="GJ94" i="7"/>
  <c r="GK94" i="7"/>
  <c r="GL94" i="7"/>
  <c r="GM94" i="7"/>
  <c r="GN94" i="7"/>
  <c r="GO94" i="7"/>
  <c r="GP94" i="7"/>
  <c r="GQ94" i="7"/>
  <c r="GR94" i="7"/>
  <c r="GS94" i="7"/>
  <c r="GT94" i="7"/>
  <c r="GU94" i="7"/>
  <c r="GV94" i="7"/>
  <c r="GW94" i="7"/>
  <c r="GX94" i="7"/>
  <c r="GY94" i="7"/>
  <c r="GZ94" i="7"/>
  <c r="HA94" i="7"/>
  <c r="HB94" i="7"/>
  <c r="HC94" i="7"/>
  <c r="HD94" i="7"/>
  <c r="HE94" i="7"/>
  <c r="HF94" i="7"/>
  <c r="HG94" i="7"/>
  <c r="HH94" i="7"/>
  <c r="HI94" i="7"/>
  <c r="HJ94" i="7"/>
  <c r="HK94" i="7"/>
  <c r="HL94" i="7"/>
  <c r="HM94" i="7"/>
  <c r="HN94" i="7"/>
  <c r="HO94" i="7"/>
  <c r="HP94" i="7"/>
  <c r="HQ94" i="7"/>
  <c r="HR94" i="7"/>
  <c r="HS94" i="7"/>
  <c r="HT94" i="7"/>
  <c r="HU94" i="7"/>
  <c r="HV94" i="7"/>
  <c r="HW94" i="7"/>
  <c r="HX94" i="7"/>
  <c r="HY94" i="7"/>
  <c r="HZ94" i="7"/>
  <c r="IA94" i="7"/>
  <c r="IB94" i="7"/>
  <c r="IC94" i="7"/>
  <c r="ID94" i="7"/>
  <c r="IE94" i="7"/>
  <c r="IF94" i="7"/>
  <c r="IG94" i="7"/>
  <c r="IH94" i="7"/>
  <c r="II94" i="7"/>
  <c r="IJ94" i="7"/>
  <c r="IK94" i="7"/>
  <c r="IL94" i="7"/>
  <c r="IM94" i="7"/>
  <c r="IN94" i="7"/>
  <c r="IO94" i="7"/>
  <c r="IP94" i="7"/>
  <c r="IQ94" i="7"/>
  <c r="IR94" i="7"/>
  <c r="IS94" i="7"/>
  <c r="IT94" i="7"/>
  <c r="IU94" i="7"/>
  <c r="IV94" i="7"/>
  <c r="A93" i="7"/>
  <c r="B93" i="7"/>
  <c r="C93" i="7"/>
  <c r="D93" i="7"/>
  <c r="E93" i="7"/>
  <c r="F93" i="7"/>
  <c r="G93" i="7"/>
  <c r="H93" i="7"/>
  <c r="I93" i="7"/>
  <c r="J93" i="7"/>
  <c r="K93" i="7"/>
  <c r="L93" i="7"/>
  <c r="M93" i="7"/>
  <c r="N93" i="7"/>
  <c r="O93" i="7"/>
  <c r="P93" i="7"/>
  <c r="Q93" i="7"/>
  <c r="R93" i="7"/>
  <c r="S93" i="7"/>
  <c r="T93" i="7"/>
  <c r="U93" i="7"/>
  <c r="V93" i="7"/>
  <c r="W93" i="7"/>
  <c r="X93" i="7"/>
  <c r="Y93" i="7"/>
  <c r="Z93" i="7"/>
  <c r="AA93" i="7"/>
  <c r="AB93" i="7"/>
  <c r="AC93" i="7"/>
  <c r="AD93" i="7"/>
  <c r="AE93" i="7"/>
  <c r="AF93" i="7"/>
  <c r="AG93" i="7"/>
  <c r="AH93" i="7"/>
  <c r="AI93" i="7"/>
  <c r="AJ93" i="7"/>
  <c r="AK93" i="7"/>
  <c r="AL93" i="7"/>
  <c r="AM93" i="7"/>
  <c r="AN93" i="7"/>
  <c r="AO93" i="7"/>
  <c r="AP93" i="7"/>
  <c r="AQ93" i="7"/>
  <c r="AR93" i="7"/>
  <c r="AS93" i="7"/>
  <c r="AT93" i="7"/>
  <c r="AU93" i="7"/>
  <c r="AV93" i="7"/>
  <c r="AW93" i="7"/>
  <c r="AX93" i="7"/>
  <c r="AY93" i="7"/>
  <c r="AZ93" i="7"/>
  <c r="BA93" i="7"/>
  <c r="BB93" i="7"/>
  <c r="BC93" i="7"/>
  <c r="BD93" i="7"/>
  <c r="BE93" i="7"/>
  <c r="BF93" i="7"/>
  <c r="BG93" i="7"/>
  <c r="BH93" i="7"/>
  <c r="BI93" i="7"/>
  <c r="BJ93" i="7"/>
  <c r="BK93" i="7"/>
  <c r="BL93" i="7"/>
  <c r="BM93" i="7"/>
  <c r="BN93" i="7"/>
  <c r="BO93" i="7"/>
  <c r="BP93" i="7"/>
  <c r="BQ93" i="7"/>
  <c r="BR93" i="7"/>
  <c r="BS93" i="7"/>
  <c r="BT93" i="7"/>
  <c r="BU93" i="7"/>
  <c r="BV93" i="7"/>
  <c r="BW93" i="7"/>
  <c r="BX93" i="7"/>
  <c r="BY93" i="7"/>
  <c r="BZ93" i="7"/>
  <c r="CA93" i="7"/>
  <c r="CB93" i="7"/>
  <c r="CC93" i="7"/>
  <c r="CD93" i="7"/>
  <c r="CE93" i="7"/>
  <c r="CF93" i="7"/>
  <c r="CG93" i="7"/>
  <c r="CH93" i="7"/>
  <c r="CI93" i="7"/>
  <c r="CJ93" i="7"/>
  <c r="CK93" i="7"/>
  <c r="CL93" i="7"/>
  <c r="CM93" i="7"/>
  <c r="CN93" i="7"/>
  <c r="CO93" i="7"/>
  <c r="CP93" i="7"/>
  <c r="CQ93" i="7"/>
  <c r="CR93" i="7"/>
  <c r="CS93" i="7"/>
  <c r="CT93" i="7"/>
  <c r="CU93" i="7"/>
  <c r="CV93" i="7"/>
  <c r="CW93" i="7"/>
  <c r="CX93" i="7"/>
  <c r="CY93" i="7"/>
  <c r="CZ93" i="7"/>
  <c r="DA93" i="7"/>
  <c r="DB93" i="7"/>
  <c r="DC93" i="7"/>
  <c r="DD93" i="7"/>
  <c r="DE93" i="7"/>
  <c r="DF93" i="7"/>
  <c r="DG93" i="7"/>
  <c r="DH93" i="7"/>
  <c r="DI93" i="7"/>
  <c r="DJ93" i="7"/>
  <c r="DK93" i="7"/>
  <c r="DL93" i="7"/>
  <c r="DM93" i="7"/>
  <c r="DN93" i="7"/>
  <c r="DO93" i="7"/>
  <c r="DP93" i="7"/>
  <c r="DQ93" i="7"/>
  <c r="DR93" i="7"/>
  <c r="DS93" i="7"/>
  <c r="DT93" i="7"/>
  <c r="DU93" i="7"/>
  <c r="DV93" i="7"/>
  <c r="DW93" i="7"/>
  <c r="DX93" i="7"/>
  <c r="DY93" i="7"/>
  <c r="DZ93" i="7"/>
  <c r="EA93" i="7"/>
  <c r="EB93" i="7"/>
  <c r="EC93" i="7"/>
  <c r="ED93" i="7"/>
  <c r="EE93" i="7"/>
  <c r="EF93" i="7"/>
  <c r="EG93" i="7"/>
  <c r="EH93" i="7"/>
  <c r="EI93" i="7"/>
  <c r="EJ93" i="7"/>
  <c r="EK93" i="7"/>
  <c r="EL93" i="7"/>
  <c r="EM93" i="7"/>
  <c r="EN93" i="7"/>
  <c r="EO93" i="7"/>
  <c r="EP93" i="7"/>
  <c r="EQ93" i="7"/>
  <c r="ER93" i="7"/>
  <c r="ES93" i="7"/>
  <c r="ET93" i="7"/>
  <c r="EU93" i="7"/>
  <c r="EV93" i="7"/>
  <c r="EW93" i="7"/>
  <c r="EX93" i="7"/>
  <c r="EY93" i="7"/>
  <c r="EZ93" i="7"/>
  <c r="FA93" i="7"/>
  <c r="FB93" i="7"/>
  <c r="FC93" i="7"/>
  <c r="FD93" i="7"/>
  <c r="FE93" i="7"/>
  <c r="FF93" i="7"/>
  <c r="FG93" i="7"/>
  <c r="FH93" i="7"/>
  <c r="FI93" i="7"/>
  <c r="FJ93" i="7"/>
  <c r="FK93" i="7"/>
  <c r="FL93" i="7"/>
  <c r="FM93" i="7"/>
  <c r="FN93" i="7"/>
  <c r="FO93" i="7"/>
  <c r="FP93" i="7"/>
  <c r="FQ93" i="7"/>
  <c r="FR93" i="7"/>
  <c r="FS93" i="7"/>
  <c r="FT93" i="7"/>
  <c r="FU93" i="7"/>
  <c r="FV93" i="7"/>
  <c r="FW93" i="7"/>
  <c r="FX93" i="7"/>
  <c r="FY93" i="7"/>
  <c r="FZ93" i="7"/>
  <c r="GA93" i="7"/>
  <c r="GB93" i="7"/>
  <c r="GC93" i="7"/>
  <c r="GD93" i="7"/>
  <c r="GE93" i="7"/>
  <c r="GF93" i="7"/>
  <c r="GG93" i="7"/>
  <c r="GH93" i="7"/>
  <c r="GI93" i="7"/>
  <c r="GJ93" i="7"/>
  <c r="GK93" i="7"/>
  <c r="GL93" i="7"/>
  <c r="GM93" i="7"/>
  <c r="GN93" i="7"/>
  <c r="GO93" i="7"/>
  <c r="GP93" i="7"/>
  <c r="GQ93" i="7"/>
  <c r="GR93" i="7"/>
  <c r="GS93" i="7"/>
  <c r="GT93" i="7"/>
  <c r="GU93" i="7"/>
  <c r="GV93" i="7"/>
  <c r="GW93" i="7"/>
  <c r="GX93" i="7"/>
  <c r="GY93" i="7"/>
  <c r="GZ93" i="7"/>
  <c r="HA93" i="7"/>
  <c r="HB93" i="7"/>
  <c r="HC93" i="7"/>
  <c r="HD93" i="7"/>
  <c r="HE93" i="7"/>
  <c r="HF93" i="7"/>
  <c r="HG93" i="7"/>
  <c r="HH93" i="7"/>
  <c r="HI93" i="7"/>
  <c r="HJ93" i="7"/>
  <c r="HK93" i="7"/>
  <c r="HL93" i="7"/>
  <c r="HM93" i="7"/>
  <c r="HN93" i="7"/>
  <c r="HO93" i="7"/>
  <c r="HP93" i="7"/>
  <c r="HQ93" i="7"/>
  <c r="HR93" i="7"/>
  <c r="HS93" i="7"/>
  <c r="HT93" i="7"/>
  <c r="HU93" i="7"/>
  <c r="HV93" i="7"/>
  <c r="HW93" i="7"/>
  <c r="HX93" i="7"/>
  <c r="HY93" i="7"/>
  <c r="HZ93" i="7"/>
  <c r="IA93" i="7"/>
  <c r="IB93" i="7"/>
  <c r="IC93" i="7"/>
  <c r="ID93" i="7"/>
  <c r="IE93" i="7"/>
  <c r="IF93" i="7"/>
  <c r="IG93" i="7"/>
  <c r="IH93" i="7"/>
  <c r="II93" i="7"/>
  <c r="IJ93" i="7"/>
  <c r="IK93" i="7"/>
  <c r="IL93" i="7"/>
  <c r="IM93" i="7"/>
  <c r="IN93" i="7"/>
  <c r="IO93" i="7"/>
  <c r="IP93" i="7"/>
  <c r="IQ93" i="7"/>
  <c r="IR93" i="7"/>
  <c r="IS93" i="7"/>
  <c r="IT93" i="7"/>
  <c r="IU93" i="7"/>
  <c r="IV93" i="7"/>
  <c r="A92" i="7"/>
  <c r="B92" i="7"/>
  <c r="C92" i="7"/>
  <c r="D92" i="7"/>
  <c r="E92" i="7"/>
  <c r="F92" i="7"/>
  <c r="G92" i="7"/>
  <c r="H92" i="7"/>
  <c r="I92" i="7"/>
  <c r="J92" i="7"/>
  <c r="K92" i="7"/>
  <c r="L92" i="7"/>
  <c r="M92" i="7"/>
  <c r="N92" i="7"/>
  <c r="O92" i="7"/>
  <c r="P92" i="7"/>
  <c r="Q92" i="7"/>
  <c r="R92" i="7"/>
  <c r="S92" i="7"/>
  <c r="T92" i="7"/>
  <c r="U92" i="7"/>
  <c r="V92" i="7"/>
  <c r="W92" i="7"/>
  <c r="X92" i="7"/>
  <c r="Y92" i="7"/>
  <c r="Z92" i="7"/>
  <c r="AA92" i="7"/>
  <c r="AB92" i="7"/>
  <c r="AC92" i="7"/>
  <c r="AD92" i="7"/>
  <c r="AE92" i="7"/>
  <c r="AF92" i="7"/>
  <c r="AG92" i="7"/>
  <c r="AH92" i="7"/>
  <c r="AI92" i="7"/>
  <c r="AJ92" i="7"/>
  <c r="AK92" i="7"/>
  <c r="AL92" i="7"/>
  <c r="AM92" i="7"/>
  <c r="AN92" i="7"/>
  <c r="AO92" i="7"/>
  <c r="AP92" i="7"/>
  <c r="AQ92" i="7"/>
  <c r="AR92" i="7"/>
  <c r="AS92" i="7"/>
  <c r="AT92" i="7"/>
  <c r="AU92" i="7"/>
  <c r="AV92" i="7"/>
  <c r="AW92" i="7"/>
  <c r="AX92" i="7"/>
  <c r="AY92" i="7"/>
  <c r="AZ92" i="7"/>
  <c r="BA92" i="7"/>
  <c r="BB92" i="7"/>
  <c r="BC92" i="7"/>
  <c r="BD92" i="7"/>
  <c r="BE92" i="7"/>
  <c r="BF92" i="7"/>
  <c r="BG92" i="7"/>
  <c r="BH92" i="7"/>
  <c r="BI92" i="7"/>
  <c r="BJ92" i="7"/>
  <c r="BK92" i="7"/>
  <c r="BL92" i="7"/>
  <c r="BM92" i="7"/>
  <c r="BN92" i="7"/>
  <c r="BO92" i="7"/>
  <c r="BP92" i="7"/>
  <c r="BQ92" i="7"/>
  <c r="BR92" i="7"/>
  <c r="BS92" i="7"/>
  <c r="BT92" i="7"/>
  <c r="BU92" i="7"/>
  <c r="BV92" i="7"/>
  <c r="BW92" i="7"/>
  <c r="BX92" i="7"/>
  <c r="BY92" i="7"/>
  <c r="BZ92" i="7"/>
  <c r="CA92" i="7"/>
  <c r="CB92" i="7"/>
  <c r="CC92" i="7"/>
  <c r="CD92" i="7"/>
  <c r="CE92" i="7"/>
  <c r="CF92" i="7"/>
  <c r="CG92" i="7"/>
  <c r="CH92" i="7"/>
  <c r="CI92" i="7"/>
  <c r="CJ92" i="7"/>
  <c r="CK92" i="7"/>
  <c r="CL92" i="7"/>
  <c r="CM92" i="7"/>
  <c r="CN92" i="7"/>
  <c r="CO92" i="7"/>
  <c r="CP92" i="7"/>
  <c r="CQ92" i="7"/>
  <c r="CR92" i="7"/>
  <c r="CS92" i="7"/>
  <c r="CT92" i="7"/>
  <c r="CU92" i="7"/>
  <c r="CV92" i="7"/>
  <c r="CW92" i="7"/>
  <c r="CX92" i="7"/>
  <c r="CY92" i="7"/>
  <c r="CZ92" i="7"/>
  <c r="DA92" i="7"/>
  <c r="DB92" i="7"/>
  <c r="DC92" i="7"/>
  <c r="DD92" i="7"/>
  <c r="DE92" i="7"/>
  <c r="DF92" i="7"/>
  <c r="DG92" i="7"/>
  <c r="DH92" i="7"/>
  <c r="DI92" i="7"/>
  <c r="DJ92" i="7"/>
  <c r="DK92" i="7"/>
  <c r="DL92" i="7"/>
  <c r="DM92" i="7"/>
  <c r="DN92" i="7"/>
  <c r="DO92" i="7"/>
  <c r="DP92" i="7"/>
  <c r="DQ92" i="7"/>
  <c r="DR92" i="7"/>
  <c r="DS92" i="7"/>
  <c r="DT92" i="7"/>
  <c r="DU92" i="7"/>
  <c r="DV92" i="7"/>
  <c r="DW92" i="7"/>
  <c r="DX92" i="7"/>
  <c r="DY92" i="7"/>
  <c r="DZ92" i="7"/>
  <c r="EA92" i="7"/>
  <c r="EB92" i="7"/>
  <c r="EC92" i="7"/>
  <c r="ED92" i="7"/>
  <c r="EE92" i="7"/>
  <c r="EF92" i="7"/>
  <c r="EG92" i="7"/>
  <c r="EH92" i="7"/>
  <c r="EI92" i="7"/>
  <c r="EJ92" i="7"/>
  <c r="EK92" i="7"/>
  <c r="EL92" i="7"/>
  <c r="EM92" i="7"/>
  <c r="EN92" i="7"/>
  <c r="EO92" i="7"/>
  <c r="EP92" i="7"/>
  <c r="EQ92" i="7"/>
  <c r="ER92" i="7"/>
  <c r="ES92" i="7"/>
  <c r="ET92" i="7"/>
  <c r="EU92" i="7"/>
  <c r="EV92" i="7"/>
  <c r="EW92" i="7"/>
  <c r="EX92" i="7"/>
  <c r="EY92" i="7"/>
  <c r="EZ92" i="7"/>
  <c r="FA92" i="7"/>
  <c r="FB92" i="7"/>
  <c r="FC92" i="7"/>
  <c r="FD92" i="7"/>
  <c r="FE92" i="7"/>
  <c r="FF92" i="7"/>
  <c r="FG92" i="7"/>
  <c r="FH92" i="7"/>
  <c r="FI92" i="7"/>
  <c r="FJ92" i="7"/>
  <c r="FK92" i="7"/>
  <c r="FL92" i="7"/>
  <c r="FM92" i="7"/>
  <c r="FN92" i="7"/>
  <c r="FO92" i="7"/>
  <c r="FP92" i="7"/>
  <c r="FQ92" i="7"/>
  <c r="FR92" i="7"/>
  <c r="FS92" i="7"/>
  <c r="FT92" i="7"/>
  <c r="FU92" i="7"/>
  <c r="FV92" i="7"/>
  <c r="FW92" i="7"/>
  <c r="FX92" i="7"/>
  <c r="FY92" i="7"/>
  <c r="FZ92" i="7"/>
  <c r="GA92" i="7"/>
  <c r="GB92" i="7"/>
  <c r="GC92" i="7"/>
  <c r="GD92" i="7"/>
  <c r="GE92" i="7"/>
  <c r="GF92" i="7"/>
  <c r="GG92" i="7"/>
  <c r="GH92" i="7"/>
  <c r="GI92" i="7"/>
  <c r="GJ92" i="7"/>
  <c r="GK92" i="7"/>
  <c r="GL92" i="7"/>
  <c r="GM92" i="7"/>
  <c r="GN92" i="7"/>
  <c r="GO92" i="7"/>
  <c r="GP92" i="7"/>
  <c r="GQ92" i="7"/>
  <c r="GR92" i="7"/>
  <c r="GS92" i="7"/>
  <c r="GT92" i="7"/>
  <c r="GU92" i="7"/>
  <c r="GV92" i="7"/>
  <c r="GW92" i="7"/>
  <c r="GX92" i="7"/>
  <c r="GY92" i="7"/>
  <c r="GZ92" i="7"/>
  <c r="HA92" i="7"/>
  <c r="HB92" i="7"/>
  <c r="HC92" i="7"/>
  <c r="HD92" i="7"/>
  <c r="HE92" i="7"/>
  <c r="HF92" i="7"/>
  <c r="HG92" i="7"/>
  <c r="HH92" i="7"/>
  <c r="HI92" i="7"/>
  <c r="HJ92" i="7"/>
  <c r="HK92" i="7"/>
  <c r="HL92" i="7"/>
  <c r="HM92" i="7"/>
  <c r="HN92" i="7"/>
  <c r="HO92" i="7"/>
  <c r="HP92" i="7"/>
  <c r="HQ92" i="7"/>
  <c r="HR92" i="7"/>
  <c r="HS92" i="7"/>
  <c r="HT92" i="7"/>
  <c r="HU92" i="7"/>
  <c r="HV92" i="7"/>
  <c r="HW92" i="7"/>
  <c r="HX92" i="7"/>
  <c r="HY92" i="7"/>
  <c r="HZ92" i="7"/>
  <c r="IA92" i="7"/>
  <c r="IB92" i="7"/>
  <c r="IC92" i="7"/>
  <c r="ID92" i="7"/>
  <c r="IE92" i="7"/>
  <c r="IF92" i="7"/>
  <c r="IG92" i="7"/>
  <c r="IH92" i="7"/>
  <c r="II92" i="7"/>
  <c r="IJ92" i="7"/>
  <c r="IK92" i="7"/>
  <c r="IL92" i="7"/>
  <c r="IM92" i="7"/>
  <c r="IN92" i="7"/>
  <c r="IO92" i="7"/>
  <c r="IP92" i="7"/>
  <c r="IQ92" i="7"/>
  <c r="IR92" i="7"/>
  <c r="IS92" i="7"/>
  <c r="IT92" i="7"/>
  <c r="IU92" i="7"/>
  <c r="IV92" i="7"/>
  <c r="A91" i="7"/>
  <c r="B91" i="7"/>
  <c r="C91" i="7"/>
  <c r="D91" i="7"/>
  <c r="E91" i="7"/>
  <c r="F91" i="7"/>
  <c r="G91" i="7"/>
  <c r="H91" i="7"/>
  <c r="I91" i="7"/>
  <c r="J91" i="7"/>
  <c r="K91" i="7"/>
  <c r="L91" i="7"/>
  <c r="M91" i="7"/>
  <c r="N91" i="7"/>
  <c r="O91" i="7"/>
  <c r="P91" i="7"/>
  <c r="Q91" i="7"/>
  <c r="R91" i="7"/>
  <c r="S91" i="7"/>
  <c r="T91" i="7"/>
  <c r="U91" i="7"/>
  <c r="V91" i="7"/>
  <c r="W91" i="7"/>
  <c r="X91" i="7"/>
  <c r="Y91" i="7"/>
  <c r="Z91" i="7"/>
  <c r="AA91" i="7"/>
  <c r="AB91" i="7"/>
  <c r="AC91" i="7"/>
  <c r="AD91" i="7"/>
  <c r="AE91" i="7"/>
  <c r="AF91" i="7"/>
  <c r="AG91" i="7"/>
  <c r="AH91" i="7"/>
  <c r="AI91" i="7"/>
  <c r="AJ91" i="7"/>
  <c r="AK91" i="7"/>
  <c r="AL91" i="7"/>
  <c r="AM91" i="7"/>
  <c r="AN91" i="7"/>
  <c r="AO91" i="7"/>
  <c r="AP91" i="7"/>
  <c r="AQ91" i="7"/>
  <c r="AR91" i="7"/>
  <c r="AS91" i="7"/>
  <c r="AT91" i="7"/>
  <c r="AU91" i="7"/>
  <c r="AV91" i="7"/>
  <c r="AW91" i="7"/>
  <c r="AX91" i="7"/>
  <c r="AY91" i="7"/>
  <c r="AZ91" i="7"/>
  <c r="BA91" i="7"/>
  <c r="BB91" i="7"/>
  <c r="BC91" i="7"/>
  <c r="BD91" i="7"/>
  <c r="BE91" i="7"/>
  <c r="BF91" i="7"/>
  <c r="BG91" i="7"/>
  <c r="BH91" i="7"/>
  <c r="BI91" i="7"/>
  <c r="BJ91" i="7"/>
  <c r="BK91" i="7"/>
  <c r="BL91" i="7"/>
  <c r="BM91" i="7"/>
  <c r="BN91" i="7"/>
  <c r="BO91" i="7"/>
  <c r="BP91" i="7"/>
  <c r="BQ91" i="7"/>
  <c r="BR91" i="7"/>
  <c r="BS91" i="7"/>
  <c r="BT91" i="7"/>
  <c r="BU91" i="7"/>
  <c r="BV91" i="7"/>
  <c r="BW91" i="7"/>
  <c r="BX91" i="7"/>
  <c r="BY91" i="7"/>
  <c r="BZ91" i="7"/>
  <c r="CA91" i="7"/>
  <c r="CB91" i="7"/>
  <c r="CC91" i="7"/>
  <c r="CD91" i="7"/>
  <c r="CE91" i="7"/>
  <c r="CF91" i="7"/>
  <c r="CG91" i="7"/>
  <c r="CH91" i="7"/>
  <c r="CI91" i="7"/>
  <c r="CJ91" i="7"/>
  <c r="CK91" i="7"/>
  <c r="CL91" i="7"/>
  <c r="CM91" i="7"/>
  <c r="CN91" i="7"/>
  <c r="CO91" i="7"/>
  <c r="CP91" i="7"/>
  <c r="CQ91" i="7"/>
  <c r="CR91" i="7"/>
  <c r="CS91" i="7"/>
  <c r="CT91" i="7"/>
  <c r="CU91" i="7"/>
  <c r="CV91" i="7"/>
  <c r="CW91" i="7"/>
  <c r="CX91" i="7"/>
  <c r="CY91" i="7"/>
  <c r="CZ91" i="7"/>
  <c r="DA91" i="7"/>
  <c r="DB91" i="7"/>
  <c r="DC91" i="7"/>
  <c r="DD91" i="7"/>
  <c r="DE91" i="7"/>
  <c r="DF91" i="7"/>
  <c r="DG91" i="7"/>
  <c r="DH91" i="7"/>
  <c r="DI91" i="7"/>
  <c r="DJ91" i="7"/>
  <c r="DK91" i="7"/>
  <c r="DL91" i="7"/>
  <c r="DM91" i="7"/>
  <c r="DN91" i="7"/>
  <c r="DO91" i="7"/>
  <c r="DP91" i="7"/>
  <c r="DQ91" i="7"/>
  <c r="DR91" i="7"/>
  <c r="DS91" i="7"/>
  <c r="DT91" i="7"/>
  <c r="DU91" i="7"/>
  <c r="DV91" i="7"/>
  <c r="DW91" i="7"/>
  <c r="DX91" i="7"/>
  <c r="DY91" i="7"/>
  <c r="DZ91" i="7"/>
  <c r="EA91" i="7"/>
  <c r="EB91" i="7"/>
  <c r="EC91" i="7"/>
  <c r="ED91" i="7"/>
  <c r="EE91" i="7"/>
  <c r="EF91" i="7"/>
  <c r="EG91" i="7"/>
  <c r="EH91" i="7"/>
  <c r="EI91" i="7"/>
  <c r="EJ91" i="7"/>
  <c r="EK91" i="7"/>
  <c r="EL91" i="7"/>
  <c r="EM91" i="7"/>
  <c r="EN91" i="7"/>
  <c r="EO91" i="7"/>
  <c r="EP91" i="7"/>
  <c r="EQ91" i="7"/>
  <c r="ER91" i="7"/>
  <c r="ES91" i="7"/>
  <c r="ET91" i="7"/>
  <c r="EU91" i="7"/>
  <c r="EV91" i="7"/>
  <c r="EW91" i="7"/>
  <c r="EX91" i="7"/>
  <c r="EY91" i="7"/>
  <c r="EZ91" i="7"/>
  <c r="FA91" i="7"/>
  <c r="FB91" i="7"/>
  <c r="FC91" i="7"/>
  <c r="FD91" i="7"/>
  <c r="FE91" i="7"/>
  <c r="FF91" i="7"/>
  <c r="FG91" i="7"/>
  <c r="FH91" i="7"/>
  <c r="FI91" i="7"/>
  <c r="FJ91" i="7"/>
  <c r="FK91" i="7"/>
  <c r="FL91" i="7"/>
  <c r="FM91" i="7"/>
  <c r="FN91" i="7"/>
  <c r="FO91" i="7"/>
  <c r="FP91" i="7"/>
  <c r="FQ91" i="7"/>
  <c r="FR91" i="7"/>
  <c r="FS91" i="7"/>
  <c r="FT91" i="7"/>
  <c r="FU91" i="7"/>
  <c r="FV91" i="7"/>
  <c r="FW91" i="7"/>
  <c r="FX91" i="7"/>
  <c r="FY91" i="7"/>
  <c r="FZ91" i="7"/>
  <c r="GA91" i="7"/>
  <c r="GB91" i="7"/>
  <c r="GC91" i="7"/>
  <c r="GD91" i="7"/>
  <c r="GE91" i="7"/>
  <c r="GF91" i="7"/>
  <c r="GG91" i="7"/>
  <c r="GH91" i="7"/>
  <c r="GI91" i="7"/>
  <c r="GJ91" i="7"/>
  <c r="GK91" i="7"/>
  <c r="GL91" i="7"/>
  <c r="GM91" i="7"/>
  <c r="GN91" i="7"/>
  <c r="GO91" i="7"/>
  <c r="GP91" i="7"/>
  <c r="GQ91" i="7"/>
  <c r="GR91" i="7"/>
  <c r="GS91" i="7"/>
  <c r="GT91" i="7"/>
  <c r="GU91" i="7"/>
  <c r="GV91" i="7"/>
  <c r="GW91" i="7"/>
  <c r="GX91" i="7"/>
  <c r="GY91" i="7"/>
  <c r="GZ91" i="7"/>
  <c r="HA91" i="7"/>
  <c r="HB91" i="7"/>
  <c r="HC91" i="7"/>
  <c r="HD91" i="7"/>
  <c r="HE91" i="7"/>
  <c r="HF91" i="7"/>
  <c r="HG91" i="7"/>
  <c r="HH91" i="7"/>
  <c r="HI91" i="7"/>
  <c r="HJ91" i="7"/>
  <c r="HK91" i="7"/>
  <c r="HL91" i="7"/>
  <c r="HM91" i="7"/>
  <c r="HN91" i="7"/>
  <c r="HO91" i="7"/>
  <c r="HP91" i="7"/>
  <c r="HQ91" i="7"/>
  <c r="HR91" i="7"/>
  <c r="HS91" i="7"/>
  <c r="HT91" i="7"/>
  <c r="HU91" i="7"/>
  <c r="HV91" i="7"/>
  <c r="HW91" i="7"/>
  <c r="HX91" i="7"/>
  <c r="HY91" i="7"/>
  <c r="HZ91" i="7"/>
  <c r="IA91" i="7"/>
  <c r="IB91" i="7"/>
  <c r="IC91" i="7"/>
  <c r="ID91" i="7"/>
  <c r="IE91" i="7"/>
  <c r="IF91" i="7"/>
  <c r="IG91" i="7"/>
  <c r="IH91" i="7"/>
  <c r="II91" i="7"/>
  <c r="IJ91" i="7"/>
  <c r="IK91" i="7"/>
  <c r="IL91" i="7"/>
  <c r="IM91" i="7"/>
  <c r="IN91" i="7"/>
  <c r="IO91" i="7"/>
  <c r="IP91" i="7"/>
  <c r="IQ91" i="7"/>
  <c r="IR91" i="7"/>
  <c r="IS91" i="7"/>
  <c r="IT91" i="7"/>
  <c r="IU91" i="7"/>
  <c r="IV91" i="7"/>
  <c r="A90" i="7"/>
  <c r="B90" i="7"/>
  <c r="C90" i="7"/>
  <c r="D90" i="7"/>
  <c r="E90" i="7"/>
  <c r="F90" i="7"/>
  <c r="G90" i="7"/>
  <c r="H90" i="7"/>
  <c r="I90" i="7"/>
  <c r="J90" i="7"/>
  <c r="K90" i="7"/>
  <c r="L90" i="7"/>
  <c r="M90" i="7"/>
  <c r="N90" i="7"/>
  <c r="O90" i="7"/>
  <c r="P90" i="7"/>
  <c r="Q90" i="7"/>
  <c r="R90" i="7"/>
  <c r="S90" i="7"/>
  <c r="T90" i="7"/>
  <c r="U90" i="7"/>
  <c r="V90" i="7"/>
  <c r="W90" i="7"/>
  <c r="X90" i="7"/>
  <c r="Y90" i="7"/>
  <c r="Z90" i="7"/>
  <c r="AA90" i="7"/>
  <c r="AB90" i="7"/>
  <c r="AC90" i="7"/>
  <c r="AD90" i="7"/>
  <c r="AE90" i="7"/>
  <c r="AF90" i="7"/>
  <c r="AG90" i="7"/>
  <c r="AH90" i="7"/>
  <c r="AI90" i="7"/>
  <c r="AJ90" i="7"/>
  <c r="AK90" i="7"/>
  <c r="AL90" i="7"/>
  <c r="AM90" i="7"/>
  <c r="AN90" i="7"/>
  <c r="AO90" i="7"/>
  <c r="AP90" i="7"/>
  <c r="AQ90" i="7"/>
  <c r="AR90" i="7"/>
  <c r="AS90" i="7"/>
  <c r="AT90" i="7"/>
  <c r="AU90" i="7"/>
  <c r="AV90" i="7"/>
  <c r="AW90" i="7"/>
  <c r="AX90" i="7"/>
  <c r="AY90" i="7"/>
  <c r="AZ90" i="7"/>
  <c r="BA90" i="7"/>
  <c r="BB90" i="7"/>
  <c r="BC90" i="7"/>
  <c r="BD90" i="7"/>
  <c r="BE90" i="7"/>
  <c r="BF90" i="7"/>
  <c r="BG90" i="7"/>
  <c r="BH90" i="7"/>
  <c r="BI90" i="7"/>
  <c r="BJ90" i="7"/>
  <c r="BK90" i="7"/>
  <c r="BL90" i="7"/>
  <c r="BM90" i="7"/>
  <c r="BN90" i="7"/>
  <c r="BO90" i="7"/>
  <c r="BP90" i="7"/>
  <c r="BQ90" i="7"/>
  <c r="BR90" i="7"/>
  <c r="BS90" i="7"/>
  <c r="BT90" i="7"/>
  <c r="BU90" i="7"/>
  <c r="BV90" i="7"/>
  <c r="BW90" i="7"/>
  <c r="BX90" i="7"/>
  <c r="BY90" i="7"/>
  <c r="BZ90" i="7"/>
  <c r="CA90" i="7"/>
  <c r="CB90" i="7"/>
  <c r="CC90" i="7"/>
  <c r="CD90" i="7"/>
  <c r="CE90" i="7"/>
  <c r="CF90" i="7"/>
  <c r="CG90" i="7"/>
  <c r="CH90" i="7"/>
  <c r="CI90" i="7"/>
  <c r="CJ90" i="7"/>
  <c r="CK90" i="7"/>
  <c r="CL90" i="7"/>
  <c r="CM90" i="7"/>
  <c r="CN90" i="7"/>
  <c r="CO90" i="7"/>
  <c r="CP90" i="7"/>
  <c r="CQ90" i="7"/>
  <c r="CR90" i="7"/>
  <c r="CS90" i="7"/>
  <c r="CT90" i="7"/>
  <c r="CU90" i="7"/>
  <c r="CV90" i="7"/>
  <c r="CW90" i="7"/>
  <c r="CX90" i="7"/>
  <c r="CY90" i="7"/>
  <c r="CZ90" i="7"/>
  <c r="DA90" i="7"/>
  <c r="DB90" i="7"/>
  <c r="DC90" i="7"/>
  <c r="DD90" i="7"/>
  <c r="DE90" i="7"/>
  <c r="DF90" i="7"/>
  <c r="DG90" i="7"/>
  <c r="DH90" i="7"/>
  <c r="DI90" i="7"/>
  <c r="DJ90" i="7"/>
  <c r="DK90" i="7"/>
  <c r="DL90" i="7"/>
  <c r="DM90" i="7"/>
  <c r="DN90" i="7"/>
  <c r="DO90" i="7"/>
  <c r="DP90" i="7"/>
  <c r="DQ90" i="7"/>
  <c r="DR90" i="7"/>
  <c r="DS90" i="7"/>
  <c r="DT90" i="7"/>
  <c r="DU90" i="7"/>
  <c r="DV90" i="7"/>
  <c r="DW90" i="7"/>
  <c r="DX90" i="7"/>
  <c r="DY90" i="7"/>
  <c r="DZ90" i="7"/>
  <c r="EA90" i="7"/>
  <c r="EB90" i="7"/>
  <c r="EC90" i="7"/>
  <c r="ED90" i="7"/>
  <c r="EE90" i="7"/>
  <c r="EF90" i="7"/>
  <c r="EG90" i="7"/>
  <c r="EH90" i="7"/>
  <c r="EI90" i="7"/>
  <c r="EJ90" i="7"/>
  <c r="EK90" i="7"/>
  <c r="EL90" i="7"/>
  <c r="EM90" i="7"/>
  <c r="EN90" i="7"/>
  <c r="EO90" i="7"/>
  <c r="EP90" i="7"/>
  <c r="EQ90" i="7"/>
  <c r="ER90" i="7"/>
  <c r="ES90" i="7"/>
  <c r="ET90" i="7"/>
  <c r="EU90" i="7"/>
  <c r="EV90" i="7"/>
  <c r="EW90" i="7"/>
  <c r="EX90" i="7"/>
  <c r="EY90" i="7"/>
  <c r="EZ90" i="7"/>
  <c r="FA90" i="7"/>
  <c r="FB90" i="7"/>
  <c r="FC90" i="7"/>
  <c r="FD90" i="7"/>
  <c r="FE90" i="7"/>
  <c r="FF90" i="7"/>
  <c r="FG90" i="7"/>
  <c r="FH90" i="7"/>
  <c r="FI90" i="7"/>
  <c r="FJ90" i="7"/>
  <c r="FK90" i="7"/>
  <c r="FL90" i="7"/>
  <c r="FM90" i="7"/>
  <c r="FN90" i="7"/>
  <c r="FO90" i="7"/>
  <c r="FP90" i="7"/>
  <c r="FQ90" i="7"/>
  <c r="FR90" i="7"/>
  <c r="FS90" i="7"/>
  <c r="FT90" i="7"/>
  <c r="FU90" i="7"/>
  <c r="FV90" i="7"/>
  <c r="FW90" i="7"/>
  <c r="FX90" i="7"/>
  <c r="FY90" i="7"/>
  <c r="FZ90" i="7"/>
  <c r="GA90" i="7"/>
  <c r="GB90" i="7"/>
  <c r="GC90" i="7"/>
  <c r="GD90" i="7"/>
  <c r="GE90" i="7"/>
  <c r="GF90" i="7"/>
  <c r="GG90" i="7"/>
  <c r="GH90" i="7"/>
  <c r="GI90" i="7"/>
  <c r="GJ90" i="7"/>
  <c r="GK90" i="7"/>
  <c r="GL90" i="7"/>
  <c r="GM90" i="7"/>
  <c r="GN90" i="7"/>
  <c r="GO90" i="7"/>
  <c r="GP90" i="7"/>
  <c r="GQ90" i="7"/>
  <c r="GR90" i="7"/>
  <c r="GS90" i="7"/>
  <c r="GT90" i="7"/>
  <c r="GU90" i="7"/>
  <c r="GV90" i="7"/>
  <c r="GW90" i="7"/>
  <c r="GX90" i="7"/>
  <c r="GY90" i="7"/>
  <c r="GZ90" i="7"/>
  <c r="HA90" i="7"/>
  <c r="HB90" i="7"/>
  <c r="HC90" i="7"/>
  <c r="HD90" i="7"/>
  <c r="HE90" i="7"/>
  <c r="HF90" i="7"/>
  <c r="HG90" i="7"/>
  <c r="HH90" i="7"/>
  <c r="HI90" i="7"/>
  <c r="HJ90" i="7"/>
  <c r="HK90" i="7"/>
  <c r="HL90" i="7"/>
  <c r="HM90" i="7"/>
  <c r="HN90" i="7"/>
  <c r="HO90" i="7"/>
  <c r="HP90" i="7"/>
  <c r="HQ90" i="7"/>
  <c r="HR90" i="7"/>
  <c r="HS90" i="7"/>
  <c r="HT90" i="7"/>
  <c r="HU90" i="7"/>
  <c r="HV90" i="7"/>
  <c r="HW90" i="7"/>
  <c r="HX90" i="7"/>
  <c r="HY90" i="7"/>
  <c r="HZ90" i="7"/>
  <c r="IA90" i="7"/>
  <c r="IB90" i="7"/>
  <c r="IC90" i="7"/>
  <c r="ID90" i="7"/>
  <c r="IE90" i="7"/>
  <c r="IF90" i="7"/>
  <c r="IG90" i="7"/>
  <c r="IH90" i="7"/>
  <c r="II90" i="7"/>
  <c r="IJ90" i="7"/>
  <c r="IK90" i="7"/>
  <c r="IL90" i="7"/>
  <c r="IM90" i="7"/>
  <c r="IN90" i="7"/>
  <c r="IO90" i="7"/>
  <c r="IP90" i="7"/>
  <c r="IQ90" i="7"/>
  <c r="IR90" i="7"/>
  <c r="IS90" i="7"/>
  <c r="IT90" i="7"/>
  <c r="IU90" i="7"/>
  <c r="IV90" i="7"/>
  <c r="A89" i="7"/>
  <c r="B89" i="7"/>
  <c r="C89" i="7"/>
  <c r="D89" i="7"/>
  <c r="E89" i="7"/>
  <c r="F89" i="7"/>
  <c r="G89" i="7"/>
  <c r="H89" i="7"/>
  <c r="I89" i="7"/>
  <c r="J89" i="7"/>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FO89" i="7"/>
  <c r="FP89" i="7"/>
  <c r="FQ89" i="7"/>
  <c r="FR89" i="7"/>
  <c r="FS89" i="7"/>
  <c r="FT89" i="7"/>
  <c r="FU89" i="7"/>
  <c r="FV89" i="7"/>
  <c r="FW89" i="7"/>
  <c r="FX89" i="7"/>
  <c r="FY89" i="7"/>
  <c r="FZ89" i="7"/>
  <c r="GA89" i="7"/>
  <c r="GB89" i="7"/>
  <c r="GC89" i="7"/>
  <c r="GD89" i="7"/>
  <c r="GE89" i="7"/>
  <c r="GF89" i="7"/>
  <c r="GG89" i="7"/>
  <c r="GH89" i="7"/>
  <c r="GI89" i="7"/>
  <c r="GJ89" i="7"/>
  <c r="GK89" i="7"/>
  <c r="GL89" i="7"/>
  <c r="GM89" i="7"/>
  <c r="GN89" i="7"/>
  <c r="GO89" i="7"/>
  <c r="GP89" i="7"/>
  <c r="GQ89" i="7"/>
  <c r="GR89" i="7"/>
  <c r="GS89" i="7"/>
  <c r="GT89" i="7"/>
  <c r="GU89" i="7"/>
  <c r="GV89" i="7"/>
  <c r="GW89" i="7"/>
  <c r="GX89" i="7"/>
  <c r="GY89" i="7"/>
  <c r="GZ89" i="7"/>
  <c r="HA89" i="7"/>
  <c r="HB89" i="7"/>
  <c r="HC89" i="7"/>
  <c r="HD89" i="7"/>
  <c r="HE89" i="7"/>
  <c r="HF89" i="7"/>
  <c r="HG89" i="7"/>
  <c r="HH89" i="7"/>
  <c r="HI89" i="7"/>
  <c r="HJ89" i="7"/>
  <c r="HK89" i="7"/>
  <c r="HL89" i="7"/>
  <c r="HM89" i="7"/>
  <c r="HN89" i="7"/>
  <c r="HO89" i="7"/>
  <c r="HP89" i="7"/>
  <c r="HQ89" i="7"/>
  <c r="HR89" i="7"/>
  <c r="HS89" i="7"/>
  <c r="HT89" i="7"/>
  <c r="HU89" i="7"/>
  <c r="HV89" i="7"/>
  <c r="HW89" i="7"/>
  <c r="HX89" i="7"/>
  <c r="HY89" i="7"/>
  <c r="HZ89" i="7"/>
  <c r="IA89" i="7"/>
  <c r="IB89" i="7"/>
  <c r="IC89" i="7"/>
  <c r="ID89" i="7"/>
  <c r="IE89" i="7"/>
  <c r="IF89" i="7"/>
  <c r="IG89" i="7"/>
  <c r="IH89" i="7"/>
  <c r="II89" i="7"/>
  <c r="IJ89" i="7"/>
  <c r="IK89" i="7"/>
  <c r="IL89" i="7"/>
  <c r="IM89" i="7"/>
  <c r="IN89" i="7"/>
  <c r="IO89" i="7"/>
  <c r="IP89" i="7"/>
  <c r="IQ89" i="7"/>
  <c r="IR89" i="7"/>
  <c r="IS89" i="7"/>
  <c r="IT89" i="7"/>
  <c r="IU89" i="7"/>
  <c r="IV89" i="7"/>
  <c r="A88" i="7"/>
  <c r="B88" i="7"/>
  <c r="C88" i="7"/>
  <c r="D88" i="7"/>
  <c r="E88" i="7"/>
  <c r="F88" i="7"/>
  <c r="G88" i="7"/>
  <c r="H88" i="7"/>
  <c r="I88" i="7"/>
  <c r="J88" i="7"/>
  <c r="K88" i="7"/>
  <c r="L88" i="7"/>
  <c r="M88" i="7"/>
  <c r="N88" i="7"/>
  <c r="O88" i="7"/>
  <c r="P88" i="7"/>
  <c r="Q88" i="7"/>
  <c r="R88" i="7"/>
  <c r="S88" i="7"/>
  <c r="T88" i="7"/>
  <c r="U88" i="7"/>
  <c r="V88" i="7"/>
  <c r="W88" i="7"/>
  <c r="X88" i="7"/>
  <c r="Y88" i="7"/>
  <c r="Z88" i="7"/>
  <c r="AA88" i="7"/>
  <c r="AB88" i="7"/>
  <c r="AC88" i="7"/>
  <c r="AD88" i="7"/>
  <c r="AE88" i="7"/>
  <c r="AF88" i="7"/>
  <c r="AG88" i="7"/>
  <c r="AH88" i="7"/>
  <c r="AI88" i="7"/>
  <c r="AJ88" i="7"/>
  <c r="AK88" i="7"/>
  <c r="AL88" i="7"/>
  <c r="AM88" i="7"/>
  <c r="AN88" i="7"/>
  <c r="AO88" i="7"/>
  <c r="AP88" i="7"/>
  <c r="AQ88" i="7"/>
  <c r="AR88" i="7"/>
  <c r="AS88" i="7"/>
  <c r="AT88" i="7"/>
  <c r="AU88" i="7"/>
  <c r="AV88" i="7"/>
  <c r="AW88" i="7"/>
  <c r="AX88" i="7"/>
  <c r="AY88" i="7"/>
  <c r="AZ88" i="7"/>
  <c r="BA88" i="7"/>
  <c r="BB88" i="7"/>
  <c r="BC88" i="7"/>
  <c r="BD88" i="7"/>
  <c r="BE88" i="7"/>
  <c r="BF88" i="7"/>
  <c r="BG88" i="7"/>
  <c r="BH88" i="7"/>
  <c r="BI88" i="7"/>
  <c r="BJ88" i="7"/>
  <c r="BK88" i="7"/>
  <c r="BL88" i="7"/>
  <c r="BM88" i="7"/>
  <c r="BN88" i="7"/>
  <c r="BO88" i="7"/>
  <c r="BP88" i="7"/>
  <c r="BQ88" i="7"/>
  <c r="BR88" i="7"/>
  <c r="BS88" i="7"/>
  <c r="BT88" i="7"/>
  <c r="BU88" i="7"/>
  <c r="BV88" i="7"/>
  <c r="BW88" i="7"/>
  <c r="BX88" i="7"/>
  <c r="BY88" i="7"/>
  <c r="BZ88" i="7"/>
  <c r="CA88" i="7"/>
  <c r="CB88" i="7"/>
  <c r="CC88" i="7"/>
  <c r="CD88" i="7"/>
  <c r="CE88" i="7"/>
  <c r="CF88" i="7"/>
  <c r="CG88" i="7"/>
  <c r="CH88" i="7"/>
  <c r="CI88" i="7"/>
  <c r="CJ88" i="7"/>
  <c r="CK88" i="7"/>
  <c r="CL88" i="7"/>
  <c r="CM88" i="7"/>
  <c r="CN88" i="7"/>
  <c r="CO88" i="7"/>
  <c r="CP88" i="7"/>
  <c r="CQ88" i="7"/>
  <c r="CR88" i="7"/>
  <c r="CS88" i="7"/>
  <c r="CT88" i="7"/>
  <c r="CU88" i="7"/>
  <c r="CV88" i="7"/>
  <c r="CW88" i="7"/>
  <c r="CX88" i="7"/>
  <c r="CY88" i="7"/>
  <c r="CZ88" i="7"/>
  <c r="DA88" i="7"/>
  <c r="DB88" i="7"/>
  <c r="DC88" i="7"/>
  <c r="DD88" i="7"/>
  <c r="DE88" i="7"/>
  <c r="DF88" i="7"/>
  <c r="DG88" i="7"/>
  <c r="DH88" i="7"/>
  <c r="DI88" i="7"/>
  <c r="DJ88" i="7"/>
  <c r="DK88" i="7"/>
  <c r="DL88" i="7"/>
  <c r="DM88" i="7"/>
  <c r="DN88" i="7"/>
  <c r="DO88" i="7"/>
  <c r="DP88" i="7"/>
  <c r="DQ88" i="7"/>
  <c r="DR88" i="7"/>
  <c r="DS88" i="7"/>
  <c r="DT88" i="7"/>
  <c r="DU88" i="7"/>
  <c r="DV88" i="7"/>
  <c r="DW88" i="7"/>
  <c r="DX88" i="7"/>
  <c r="DY88" i="7"/>
  <c r="DZ88" i="7"/>
  <c r="EA88" i="7"/>
  <c r="EB88" i="7"/>
  <c r="EC88" i="7"/>
  <c r="ED88" i="7"/>
  <c r="EE88" i="7"/>
  <c r="EF88" i="7"/>
  <c r="EG88" i="7"/>
  <c r="EH88" i="7"/>
  <c r="EI88" i="7"/>
  <c r="EJ88" i="7"/>
  <c r="EK88" i="7"/>
  <c r="EL88" i="7"/>
  <c r="EM88" i="7"/>
  <c r="EN88" i="7"/>
  <c r="EO88" i="7"/>
  <c r="EP88" i="7"/>
  <c r="EQ88" i="7"/>
  <c r="ER88" i="7"/>
  <c r="ES88" i="7"/>
  <c r="ET88" i="7"/>
  <c r="EU88" i="7"/>
  <c r="EV88" i="7"/>
  <c r="EW88" i="7"/>
  <c r="EX88" i="7"/>
  <c r="EY88" i="7"/>
  <c r="EZ88" i="7"/>
  <c r="FA88" i="7"/>
  <c r="FB88" i="7"/>
  <c r="FC88" i="7"/>
  <c r="FD88" i="7"/>
  <c r="FE88" i="7"/>
  <c r="FF88" i="7"/>
  <c r="FG88" i="7"/>
  <c r="FH88" i="7"/>
  <c r="FI88" i="7"/>
  <c r="FJ88" i="7"/>
  <c r="FK88" i="7"/>
  <c r="FL88" i="7"/>
  <c r="FM88" i="7"/>
  <c r="FN88" i="7"/>
  <c r="FO88" i="7"/>
  <c r="FP88" i="7"/>
  <c r="FQ88" i="7"/>
  <c r="FR88" i="7"/>
  <c r="FS88" i="7"/>
  <c r="FT88" i="7"/>
  <c r="FU88" i="7"/>
  <c r="FV88" i="7"/>
  <c r="FW88" i="7"/>
  <c r="FX88" i="7"/>
  <c r="FY88" i="7"/>
  <c r="FZ88" i="7"/>
  <c r="GA88" i="7"/>
  <c r="GB88" i="7"/>
  <c r="GC88" i="7"/>
  <c r="GD88" i="7"/>
  <c r="GE88" i="7"/>
  <c r="GF88" i="7"/>
  <c r="GG88" i="7"/>
  <c r="GH88" i="7"/>
  <c r="GI88" i="7"/>
  <c r="GJ88" i="7"/>
  <c r="GK88" i="7"/>
  <c r="GL88" i="7"/>
  <c r="GM88" i="7"/>
  <c r="GN88" i="7"/>
  <c r="GO88" i="7"/>
  <c r="GP88" i="7"/>
  <c r="GQ88" i="7"/>
  <c r="GR88" i="7"/>
  <c r="GS88" i="7"/>
  <c r="GT88" i="7"/>
  <c r="GU88" i="7"/>
  <c r="GV88" i="7"/>
  <c r="GW88" i="7"/>
  <c r="GX88" i="7"/>
  <c r="GY88" i="7"/>
  <c r="GZ88" i="7"/>
  <c r="HA88" i="7"/>
  <c r="HB88" i="7"/>
  <c r="HC88" i="7"/>
  <c r="HD88" i="7"/>
  <c r="HE88" i="7"/>
  <c r="HF88" i="7"/>
  <c r="HG88" i="7"/>
  <c r="HH88" i="7"/>
  <c r="HI88" i="7"/>
  <c r="HJ88" i="7"/>
  <c r="HK88" i="7"/>
  <c r="HL88" i="7"/>
  <c r="HM88" i="7"/>
  <c r="HN88" i="7"/>
  <c r="HO88" i="7"/>
  <c r="HP88" i="7"/>
  <c r="HQ88" i="7"/>
  <c r="HR88" i="7"/>
  <c r="HS88" i="7"/>
  <c r="HT88" i="7"/>
  <c r="HU88" i="7"/>
  <c r="HV88" i="7"/>
  <c r="HW88" i="7"/>
  <c r="HX88" i="7"/>
  <c r="HY88" i="7"/>
  <c r="HZ88" i="7"/>
  <c r="IA88" i="7"/>
  <c r="IB88" i="7"/>
  <c r="IC88" i="7"/>
  <c r="ID88" i="7"/>
  <c r="IE88" i="7"/>
  <c r="IF88" i="7"/>
  <c r="IG88" i="7"/>
  <c r="IH88" i="7"/>
  <c r="II88" i="7"/>
  <c r="IJ88" i="7"/>
  <c r="IK88" i="7"/>
  <c r="IL88" i="7"/>
  <c r="IM88" i="7"/>
  <c r="IN88" i="7"/>
  <c r="IO88" i="7"/>
  <c r="IP88" i="7"/>
  <c r="IQ88" i="7"/>
  <c r="IR88" i="7"/>
  <c r="IS88" i="7"/>
  <c r="IT88" i="7"/>
  <c r="IU88" i="7"/>
  <c r="IV88" i="7"/>
  <c r="A87" i="7"/>
  <c r="B87" i="7"/>
  <c r="C87" i="7"/>
  <c r="D87" i="7"/>
  <c r="E87" i="7"/>
  <c r="F87" i="7"/>
  <c r="G87" i="7"/>
  <c r="H87" i="7"/>
  <c r="I87" i="7"/>
  <c r="J87" i="7"/>
  <c r="K87" i="7"/>
  <c r="L87" i="7"/>
  <c r="M87" i="7"/>
  <c r="N87" i="7"/>
  <c r="O87" i="7"/>
  <c r="P87" i="7"/>
  <c r="Q87" i="7"/>
  <c r="R87" i="7"/>
  <c r="S87" i="7"/>
  <c r="T87" i="7"/>
  <c r="U87" i="7"/>
  <c r="V87" i="7"/>
  <c r="W87" i="7"/>
  <c r="X87" i="7"/>
  <c r="Y87" i="7"/>
  <c r="Z87" i="7"/>
  <c r="AA87" i="7"/>
  <c r="AB87" i="7"/>
  <c r="AC87" i="7"/>
  <c r="AD87" i="7"/>
  <c r="AE87" i="7"/>
  <c r="AF87" i="7"/>
  <c r="AG87" i="7"/>
  <c r="AH87" i="7"/>
  <c r="AI87" i="7"/>
  <c r="AJ87" i="7"/>
  <c r="AK87" i="7"/>
  <c r="AL87" i="7"/>
  <c r="AM87" i="7"/>
  <c r="AN87" i="7"/>
  <c r="AO87" i="7"/>
  <c r="AP87" i="7"/>
  <c r="AQ87" i="7"/>
  <c r="AR87" i="7"/>
  <c r="AS87" i="7"/>
  <c r="AT87" i="7"/>
  <c r="AU87" i="7"/>
  <c r="AV87" i="7"/>
  <c r="AW87" i="7"/>
  <c r="AX87" i="7"/>
  <c r="AY87" i="7"/>
  <c r="AZ87" i="7"/>
  <c r="BA87" i="7"/>
  <c r="BB87" i="7"/>
  <c r="BC87" i="7"/>
  <c r="BD87" i="7"/>
  <c r="BE87" i="7"/>
  <c r="BF87" i="7"/>
  <c r="BG87" i="7"/>
  <c r="BH87" i="7"/>
  <c r="BI87" i="7"/>
  <c r="BJ87" i="7"/>
  <c r="BK87" i="7"/>
  <c r="BL87" i="7"/>
  <c r="BM87" i="7"/>
  <c r="BN87" i="7"/>
  <c r="BO87" i="7"/>
  <c r="BP87" i="7"/>
  <c r="BQ87" i="7"/>
  <c r="BR87" i="7"/>
  <c r="BS87" i="7"/>
  <c r="BT87" i="7"/>
  <c r="BU87" i="7"/>
  <c r="BV87" i="7"/>
  <c r="BW87" i="7"/>
  <c r="BX87" i="7"/>
  <c r="BY87" i="7"/>
  <c r="BZ87" i="7"/>
  <c r="CA87" i="7"/>
  <c r="CB87" i="7"/>
  <c r="CC87" i="7"/>
  <c r="CD87" i="7"/>
  <c r="CE87" i="7"/>
  <c r="CF87" i="7"/>
  <c r="CG87" i="7"/>
  <c r="CH87" i="7"/>
  <c r="CI87" i="7"/>
  <c r="CJ87" i="7"/>
  <c r="CK87" i="7"/>
  <c r="CL87" i="7"/>
  <c r="CM87" i="7"/>
  <c r="CN87" i="7"/>
  <c r="CO87" i="7"/>
  <c r="CP87" i="7"/>
  <c r="CQ87" i="7"/>
  <c r="CR87" i="7"/>
  <c r="CS87" i="7"/>
  <c r="CT87" i="7"/>
  <c r="CU87" i="7"/>
  <c r="CV87" i="7"/>
  <c r="CW87" i="7"/>
  <c r="CX87" i="7"/>
  <c r="CY87" i="7"/>
  <c r="CZ87" i="7"/>
  <c r="DA87" i="7"/>
  <c r="DB87" i="7"/>
  <c r="DC87" i="7"/>
  <c r="DD87" i="7"/>
  <c r="DE87" i="7"/>
  <c r="DF87" i="7"/>
  <c r="DG87" i="7"/>
  <c r="DH87" i="7"/>
  <c r="DI87" i="7"/>
  <c r="DJ87" i="7"/>
  <c r="DK87" i="7"/>
  <c r="DL87" i="7"/>
  <c r="DM87" i="7"/>
  <c r="DN87" i="7"/>
  <c r="DO87" i="7"/>
  <c r="DP87" i="7"/>
  <c r="DQ87" i="7"/>
  <c r="DR87" i="7"/>
  <c r="DS87" i="7"/>
  <c r="DT87" i="7"/>
  <c r="DU87" i="7"/>
  <c r="DV87" i="7"/>
  <c r="DW87" i="7"/>
  <c r="DX87" i="7"/>
  <c r="DY87" i="7"/>
  <c r="DZ87" i="7"/>
  <c r="EA87" i="7"/>
  <c r="EB87" i="7"/>
  <c r="EC87" i="7"/>
  <c r="ED87" i="7"/>
  <c r="EE87" i="7"/>
  <c r="EF87" i="7"/>
  <c r="EG87" i="7"/>
  <c r="EH87" i="7"/>
  <c r="EI87" i="7"/>
  <c r="EJ87" i="7"/>
  <c r="EK87" i="7"/>
  <c r="EL87" i="7"/>
  <c r="EM87" i="7"/>
  <c r="EN87" i="7"/>
  <c r="EO87" i="7"/>
  <c r="EP87" i="7"/>
  <c r="EQ87" i="7"/>
  <c r="ER87" i="7"/>
  <c r="ES87" i="7"/>
  <c r="ET87" i="7"/>
  <c r="EU87" i="7"/>
  <c r="EV87" i="7"/>
  <c r="EW87" i="7"/>
  <c r="EX87" i="7"/>
  <c r="EY87" i="7"/>
  <c r="EZ87" i="7"/>
  <c r="FA87" i="7"/>
  <c r="FB87" i="7"/>
  <c r="FC87" i="7"/>
  <c r="FD87" i="7"/>
  <c r="FE87" i="7"/>
  <c r="FF87" i="7"/>
  <c r="FG87" i="7"/>
  <c r="FH87" i="7"/>
  <c r="FI87" i="7"/>
  <c r="FJ87" i="7"/>
  <c r="FK87" i="7"/>
  <c r="FL87" i="7"/>
  <c r="FM87" i="7"/>
  <c r="FN87" i="7"/>
  <c r="FO87" i="7"/>
  <c r="FP87" i="7"/>
  <c r="FQ87" i="7"/>
  <c r="FR87" i="7"/>
  <c r="FS87" i="7"/>
  <c r="FT87" i="7"/>
  <c r="FU87" i="7"/>
  <c r="FV87" i="7"/>
  <c r="FW87" i="7"/>
  <c r="FX87" i="7"/>
  <c r="FY87" i="7"/>
  <c r="FZ87" i="7"/>
  <c r="GA87" i="7"/>
  <c r="GB87" i="7"/>
  <c r="GC87" i="7"/>
  <c r="GD87" i="7"/>
  <c r="GE87" i="7"/>
  <c r="GF87" i="7"/>
  <c r="GG87" i="7"/>
  <c r="GH87" i="7"/>
  <c r="GI87" i="7"/>
  <c r="GJ87" i="7"/>
  <c r="GK87" i="7"/>
  <c r="GL87" i="7"/>
  <c r="GM87" i="7"/>
  <c r="GN87" i="7"/>
  <c r="GO87" i="7"/>
  <c r="GP87" i="7"/>
  <c r="GQ87" i="7"/>
  <c r="GR87" i="7"/>
  <c r="GS87" i="7"/>
  <c r="GT87" i="7"/>
  <c r="GU87" i="7"/>
  <c r="GV87" i="7"/>
  <c r="GW87" i="7"/>
  <c r="GX87" i="7"/>
  <c r="GY87" i="7"/>
  <c r="GZ87" i="7"/>
  <c r="HA87" i="7"/>
  <c r="HB87" i="7"/>
  <c r="HC87" i="7"/>
  <c r="HD87" i="7"/>
  <c r="HE87" i="7"/>
  <c r="HF87" i="7"/>
  <c r="HG87" i="7"/>
  <c r="HH87" i="7"/>
  <c r="HI87" i="7"/>
  <c r="HJ87" i="7"/>
  <c r="HK87" i="7"/>
  <c r="HL87" i="7"/>
  <c r="HM87" i="7"/>
  <c r="HN87" i="7"/>
  <c r="HO87" i="7"/>
  <c r="HP87" i="7"/>
  <c r="HQ87" i="7"/>
  <c r="HR87" i="7"/>
  <c r="HS87" i="7"/>
  <c r="HT87" i="7"/>
  <c r="HU87" i="7"/>
  <c r="HV87" i="7"/>
  <c r="HW87" i="7"/>
  <c r="HX87" i="7"/>
  <c r="HY87" i="7"/>
  <c r="HZ87" i="7"/>
  <c r="IA87" i="7"/>
  <c r="IB87" i="7"/>
  <c r="IC87" i="7"/>
  <c r="ID87" i="7"/>
  <c r="IE87" i="7"/>
  <c r="IF87" i="7"/>
  <c r="IG87" i="7"/>
  <c r="IH87" i="7"/>
  <c r="II87" i="7"/>
  <c r="IJ87" i="7"/>
  <c r="IK87" i="7"/>
  <c r="IL87" i="7"/>
  <c r="IM87" i="7"/>
  <c r="IN87" i="7"/>
  <c r="IO87" i="7"/>
  <c r="IP87" i="7"/>
  <c r="IQ87" i="7"/>
  <c r="IR87" i="7"/>
  <c r="IS87" i="7"/>
  <c r="IT87" i="7"/>
  <c r="IU87" i="7"/>
  <c r="IV87" i="7"/>
  <c r="A86" i="7"/>
  <c r="B86" i="7"/>
  <c r="C86" i="7"/>
  <c r="D86" i="7"/>
  <c r="E86" i="7"/>
  <c r="F86" i="7"/>
  <c r="G86" i="7"/>
  <c r="H86" i="7"/>
  <c r="I86" i="7"/>
  <c r="J86" i="7"/>
  <c r="K86" i="7"/>
  <c r="L86" i="7"/>
  <c r="M86" i="7"/>
  <c r="N86" i="7"/>
  <c r="O86" i="7"/>
  <c r="P86" i="7"/>
  <c r="Q86" i="7"/>
  <c r="R86" i="7"/>
  <c r="S86" i="7"/>
  <c r="T86" i="7"/>
  <c r="U86" i="7"/>
  <c r="V86" i="7"/>
  <c r="W86" i="7"/>
  <c r="X86" i="7"/>
  <c r="Y86" i="7"/>
  <c r="Z86" i="7"/>
  <c r="AA86" i="7"/>
  <c r="AB86" i="7"/>
  <c r="AC86" i="7"/>
  <c r="AD86" i="7"/>
  <c r="AE86" i="7"/>
  <c r="AF86" i="7"/>
  <c r="AG86" i="7"/>
  <c r="AH86" i="7"/>
  <c r="AI86" i="7"/>
  <c r="AJ86" i="7"/>
  <c r="AK86" i="7"/>
  <c r="AL86" i="7"/>
  <c r="AM86" i="7"/>
  <c r="AN86" i="7"/>
  <c r="AO86" i="7"/>
  <c r="AP86" i="7"/>
  <c r="AQ86" i="7"/>
  <c r="AR86" i="7"/>
  <c r="AS86" i="7"/>
  <c r="AT86" i="7"/>
  <c r="AU86" i="7"/>
  <c r="AV86" i="7"/>
  <c r="AW86" i="7"/>
  <c r="AX86" i="7"/>
  <c r="AY86" i="7"/>
  <c r="AZ86" i="7"/>
  <c r="BA86" i="7"/>
  <c r="BB86" i="7"/>
  <c r="BC86" i="7"/>
  <c r="BD86" i="7"/>
  <c r="BE86" i="7"/>
  <c r="BF86" i="7"/>
  <c r="BG86" i="7"/>
  <c r="BH86" i="7"/>
  <c r="BI86" i="7"/>
  <c r="BJ86" i="7"/>
  <c r="BK86" i="7"/>
  <c r="BL86" i="7"/>
  <c r="BM86" i="7"/>
  <c r="BN86" i="7"/>
  <c r="BO86" i="7"/>
  <c r="BP86" i="7"/>
  <c r="BQ86" i="7"/>
  <c r="BR86" i="7"/>
  <c r="BS86" i="7"/>
  <c r="BT86" i="7"/>
  <c r="BU86" i="7"/>
  <c r="BV86" i="7"/>
  <c r="BW86" i="7"/>
  <c r="BX86" i="7"/>
  <c r="BY86" i="7"/>
  <c r="BZ86" i="7"/>
  <c r="CA86" i="7"/>
  <c r="CB86" i="7"/>
  <c r="CC86" i="7"/>
  <c r="CD86" i="7"/>
  <c r="CE86" i="7"/>
  <c r="CF86" i="7"/>
  <c r="CG86" i="7"/>
  <c r="CH86" i="7"/>
  <c r="CI86" i="7"/>
  <c r="CJ86" i="7"/>
  <c r="CK86" i="7"/>
  <c r="CL86" i="7"/>
  <c r="CM86" i="7"/>
  <c r="CN86" i="7"/>
  <c r="CO86" i="7"/>
  <c r="CP86" i="7"/>
  <c r="CQ86" i="7"/>
  <c r="CR86" i="7"/>
  <c r="CS86" i="7"/>
  <c r="CT86" i="7"/>
  <c r="CU86" i="7"/>
  <c r="CV86" i="7"/>
  <c r="CW86" i="7"/>
  <c r="CX86" i="7"/>
  <c r="CY86" i="7"/>
  <c r="CZ86" i="7"/>
  <c r="DA86" i="7"/>
  <c r="DB86" i="7"/>
  <c r="DC86" i="7"/>
  <c r="DD86" i="7"/>
  <c r="DE86" i="7"/>
  <c r="DF86" i="7"/>
  <c r="DG86" i="7"/>
  <c r="DH86" i="7"/>
  <c r="DI86" i="7"/>
  <c r="DJ86" i="7"/>
  <c r="DK86" i="7"/>
  <c r="DL86" i="7"/>
  <c r="DM86" i="7"/>
  <c r="DN86" i="7"/>
  <c r="DO86" i="7"/>
  <c r="DP86" i="7"/>
  <c r="DQ86" i="7"/>
  <c r="DR86" i="7"/>
  <c r="DS86" i="7"/>
  <c r="DT86" i="7"/>
  <c r="DU86" i="7"/>
  <c r="DV86" i="7"/>
  <c r="DW86" i="7"/>
  <c r="DX86" i="7"/>
  <c r="DY86" i="7"/>
  <c r="DZ86" i="7"/>
  <c r="EA86" i="7"/>
  <c r="EB86" i="7"/>
  <c r="EC86" i="7"/>
  <c r="ED86" i="7"/>
  <c r="EE86" i="7"/>
  <c r="EF86" i="7"/>
  <c r="EG86" i="7"/>
  <c r="EH86" i="7"/>
  <c r="EI86" i="7"/>
  <c r="EJ86" i="7"/>
  <c r="EK86" i="7"/>
  <c r="EL86" i="7"/>
  <c r="EM86" i="7"/>
  <c r="EN86" i="7"/>
  <c r="EO86" i="7"/>
  <c r="EP86" i="7"/>
  <c r="EQ86" i="7"/>
  <c r="ER86" i="7"/>
  <c r="ES86" i="7"/>
  <c r="ET86" i="7"/>
  <c r="EU86" i="7"/>
  <c r="EV86" i="7"/>
  <c r="EW86" i="7"/>
  <c r="EX86" i="7"/>
  <c r="EY86" i="7"/>
  <c r="EZ86" i="7"/>
  <c r="FA86" i="7"/>
  <c r="FB86" i="7"/>
  <c r="FC86" i="7"/>
  <c r="FD86" i="7"/>
  <c r="FE86" i="7"/>
  <c r="FF86" i="7"/>
  <c r="FG86" i="7"/>
  <c r="FH86" i="7"/>
  <c r="FI86" i="7"/>
  <c r="FJ86" i="7"/>
  <c r="FK86" i="7"/>
  <c r="FL86" i="7"/>
  <c r="FM86" i="7"/>
  <c r="FN86" i="7"/>
  <c r="FO86" i="7"/>
  <c r="FP86" i="7"/>
  <c r="FQ86" i="7"/>
  <c r="FR86" i="7"/>
  <c r="FS86" i="7"/>
  <c r="FT86" i="7"/>
  <c r="FU86" i="7"/>
  <c r="FV86" i="7"/>
  <c r="FW86" i="7"/>
  <c r="FX86" i="7"/>
  <c r="FY86" i="7"/>
  <c r="FZ86" i="7"/>
  <c r="GA86" i="7"/>
  <c r="GB86" i="7"/>
  <c r="GC86" i="7"/>
  <c r="GD86" i="7"/>
  <c r="GE86" i="7"/>
  <c r="GF86" i="7"/>
  <c r="GG86" i="7"/>
  <c r="GH86" i="7"/>
  <c r="GI86" i="7"/>
  <c r="GJ86" i="7"/>
  <c r="GK86" i="7"/>
  <c r="GL86" i="7"/>
  <c r="GM86" i="7"/>
  <c r="GN86" i="7"/>
  <c r="GO86" i="7"/>
  <c r="GP86" i="7"/>
  <c r="GQ86" i="7"/>
  <c r="GR86" i="7"/>
  <c r="GS86" i="7"/>
  <c r="GT86" i="7"/>
  <c r="GU86" i="7"/>
  <c r="GV86" i="7"/>
  <c r="GW86" i="7"/>
  <c r="GX86" i="7"/>
  <c r="GY86" i="7"/>
  <c r="GZ86" i="7"/>
  <c r="HA86" i="7"/>
  <c r="HB86" i="7"/>
  <c r="HC86" i="7"/>
  <c r="HD86" i="7"/>
  <c r="HE86" i="7"/>
  <c r="HF86" i="7"/>
  <c r="HG86" i="7"/>
  <c r="HH86" i="7"/>
  <c r="HI86" i="7"/>
  <c r="HJ86" i="7"/>
  <c r="HK86" i="7"/>
  <c r="HL86" i="7"/>
  <c r="HM86" i="7"/>
  <c r="HN86" i="7"/>
  <c r="HO86" i="7"/>
  <c r="HP86" i="7"/>
  <c r="HQ86" i="7"/>
  <c r="HR86" i="7"/>
  <c r="HS86" i="7"/>
  <c r="HT86" i="7"/>
  <c r="HU86" i="7"/>
  <c r="HV86" i="7"/>
  <c r="HW86" i="7"/>
  <c r="HX86" i="7"/>
  <c r="HY86" i="7"/>
  <c r="HZ86" i="7"/>
  <c r="IA86" i="7"/>
  <c r="IB86" i="7"/>
  <c r="IC86" i="7"/>
  <c r="ID86" i="7"/>
  <c r="IE86" i="7"/>
  <c r="IF86" i="7"/>
  <c r="IG86" i="7"/>
  <c r="IH86" i="7"/>
  <c r="II86" i="7"/>
  <c r="IJ86" i="7"/>
  <c r="IK86" i="7"/>
  <c r="IL86" i="7"/>
  <c r="IM86" i="7"/>
  <c r="IN86" i="7"/>
  <c r="IO86" i="7"/>
  <c r="IP86" i="7"/>
  <c r="IQ86" i="7"/>
  <c r="IR86" i="7"/>
  <c r="IS86" i="7"/>
  <c r="IT86" i="7"/>
  <c r="IU86" i="7"/>
  <c r="IV86" i="7"/>
  <c r="A85" i="7"/>
  <c r="B85" i="7"/>
  <c r="C85" i="7"/>
  <c r="D85" i="7"/>
  <c r="E85" i="7"/>
  <c r="F85" i="7"/>
  <c r="G85" i="7"/>
  <c r="H85" i="7"/>
  <c r="I85" i="7"/>
  <c r="J85" i="7"/>
  <c r="K85" i="7"/>
  <c r="L85" i="7"/>
  <c r="M85" i="7"/>
  <c r="N85" i="7"/>
  <c r="O85" i="7"/>
  <c r="P85" i="7"/>
  <c r="Q85" i="7"/>
  <c r="R85" i="7"/>
  <c r="S85" i="7"/>
  <c r="T85" i="7"/>
  <c r="U85" i="7"/>
  <c r="V85" i="7"/>
  <c r="W85" i="7"/>
  <c r="X85" i="7"/>
  <c r="Y85" i="7"/>
  <c r="Z85" i="7"/>
  <c r="AA85" i="7"/>
  <c r="AB85" i="7"/>
  <c r="AC85" i="7"/>
  <c r="AD85" i="7"/>
  <c r="AE85" i="7"/>
  <c r="AF85" i="7"/>
  <c r="AG85" i="7"/>
  <c r="AH85" i="7"/>
  <c r="AI85" i="7"/>
  <c r="AJ85" i="7"/>
  <c r="AK85" i="7"/>
  <c r="AL85" i="7"/>
  <c r="AM85" i="7"/>
  <c r="AN85" i="7"/>
  <c r="AO85" i="7"/>
  <c r="AP85" i="7"/>
  <c r="AQ85" i="7"/>
  <c r="AR85" i="7"/>
  <c r="AS85" i="7"/>
  <c r="AT85" i="7"/>
  <c r="AU85" i="7"/>
  <c r="AV85" i="7"/>
  <c r="AW85" i="7"/>
  <c r="AX85" i="7"/>
  <c r="AY85" i="7"/>
  <c r="AZ85" i="7"/>
  <c r="BA85" i="7"/>
  <c r="BB85" i="7"/>
  <c r="BC85" i="7"/>
  <c r="BD85" i="7"/>
  <c r="BE85" i="7"/>
  <c r="BF85" i="7"/>
  <c r="BG85" i="7"/>
  <c r="BH85" i="7"/>
  <c r="BI85" i="7"/>
  <c r="BJ85" i="7"/>
  <c r="BK85" i="7"/>
  <c r="BL85" i="7"/>
  <c r="BM85" i="7"/>
  <c r="BN85" i="7"/>
  <c r="BO85" i="7"/>
  <c r="BP85" i="7"/>
  <c r="BQ85" i="7"/>
  <c r="BR85" i="7"/>
  <c r="BS85" i="7"/>
  <c r="BT85" i="7"/>
  <c r="BU85" i="7"/>
  <c r="BV85" i="7"/>
  <c r="BW85" i="7"/>
  <c r="BX85" i="7"/>
  <c r="BY85" i="7"/>
  <c r="BZ85" i="7"/>
  <c r="CA85" i="7"/>
  <c r="CB85" i="7"/>
  <c r="CC85" i="7"/>
  <c r="CD85" i="7"/>
  <c r="CE85" i="7"/>
  <c r="CF85" i="7"/>
  <c r="CG85" i="7"/>
  <c r="CH85" i="7"/>
  <c r="CI85" i="7"/>
  <c r="CJ85" i="7"/>
  <c r="CK85" i="7"/>
  <c r="CL85" i="7"/>
  <c r="CM85" i="7"/>
  <c r="CN85" i="7"/>
  <c r="CO85" i="7"/>
  <c r="CP85" i="7"/>
  <c r="CQ85" i="7"/>
  <c r="CR85" i="7"/>
  <c r="CS85" i="7"/>
  <c r="CT85" i="7"/>
  <c r="CU85" i="7"/>
  <c r="CV85" i="7"/>
  <c r="CW85" i="7"/>
  <c r="CX85" i="7"/>
  <c r="CY85" i="7"/>
  <c r="CZ85" i="7"/>
  <c r="DA85" i="7"/>
  <c r="DB85" i="7"/>
  <c r="DC85" i="7"/>
  <c r="DD85" i="7"/>
  <c r="DE85" i="7"/>
  <c r="DF85" i="7"/>
  <c r="DG85" i="7"/>
  <c r="DH85" i="7"/>
  <c r="DI85" i="7"/>
  <c r="DJ85" i="7"/>
  <c r="DK85" i="7"/>
  <c r="DL85" i="7"/>
  <c r="DM85" i="7"/>
  <c r="DN85" i="7"/>
  <c r="DO85" i="7"/>
  <c r="DP85" i="7"/>
  <c r="DQ85" i="7"/>
  <c r="DR85" i="7"/>
  <c r="DS85" i="7"/>
  <c r="DT85" i="7"/>
  <c r="DU85" i="7"/>
  <c r="DV85" i="7"/>
  <c r="DW85" i="7"/>
  <c r="DX85" i="7"/>
  <c r="DY85" i="7"/>
  <c r="DZ85" i="7"/>
  <c r="EA85" i="7"/>
  <c r="EB85" i="7"/>
  <c r="EC85" i="7"/>
  <c r="ED85" i="7"/>
  <c r="EE85" i="7"/>
  <c r="EF85" i="7"/>
  <c r="EG85" i="7"/>
  <c r="EH85" i="7"/>
  <c r="EI85" i="7"/>
  <c r="EJ85" i="7"/>
  <c r="EK85" i="7"/>
  <c r="EL85" i="7"/>
  <c r="EM85" i="7"/>
  <c r="EN85" i="7"/>
  <c r="EO85" i="7"/>
  <c r="EP85" i="7"/>
  <c r="EQ85" i="7"/>
  <c r="ER85" i="7"/>
  <c r="ES85" i="7"/>
  <c r="ET85" i="7"/>
  <c r="EU85" i="7"/>
  <c r="EV85" i="7"/>
  <c r="EW85" i="7"/>
  <c r="EX85" i="7"/>
  <c r="EY85" i="7"/>
  <c r="EZ85" i="7"/>
  <c r="FA85" i="7"/>
  <c r="FB85" i="7"/>
  <c r="FC85" i="7"/>
  <c r="FD85" i="7"/>
  <c r="FE85" i="7"/>
  <c r="FF85" i="7"/>
  <c r="FG85" i="7"/>
  <c r="FH85" i="7"/>
  <c r="FI85" i="7"/>
  <c r="FJ85" i="7"/>
  <c r="FK85" i="7"/>
  <c r="FL85" i="7"/>
  <c r="FM85" i="7"/>
  <c r="FN85" i="7"/>
  <c r="FO85" i="7"/>
  <c r="FP85" i="7"/>
  <c r="FQ85" i="7"/>
  <c r="FR85" i="7"/>
  <c r="FS85" i="7"/>
  <c r="FT85" i="7"/>
  <c r="FU85" i="7"/>
  <c r="FV85" i="7"/>
  <c r="FW85" i="7"/>
  <c r="FX85" i="7"/>
  <c r="FY85" i="7"/>
  <c r="FZ85" i="7"/>
  <c r="GA85" i="7"/>
  <c r="GB85" i="7"/>
  <c r="GC85" i="7"/>
  <c r="GD85" i="7"/>
  <c r="GE85" i="7"/>
  <c r="GF85" i="7"/>
  <c r="GG85" i="7"/>
  <c r="GH85" i="7"/>
  <c r="GI85" i="7"/>
  <c r="GJ85" i="7"/>
  <c r="GK85" i="7"/>
  <c r="GL85" i="7"/>
  <c r="GM85" i="7"/>
  <c r="GN85" i="7"/>
  <c r="GO85" i="7"/>
  <c r="GP85" i="7"/>
  <c r="GQ85" i="7"/>
  <c r="GR85" i="7"/>
  <c r="GS85" i="7"/>
  <c r="GT85" i="7"/>
  <c r="GU85" i="7"/>
  <c r="GV85" i="7"/>
  <c r="GW85" i="7"/>
  <c r="GX85" i="7"/>
  <c r="GY85" i="7"/>
  <c r="GZ85" i="7"/>
  <c r="HA85" i="7"/>
  <c r="HB85" i="7"/>
  <c r="HC85" i="7"/>
  <c r="HD85" i="7"/>
  <c r="HE85" i="7"/>
  <c r="HF85" i="7"/>
  <c r="HG85" i="7"/>
  <c r="HH85" i="7"/>
  <c r="HI85" i="7"/>
  <c r="HJ85" i="7"/>
  <c r="HK85" i="7"/>
  <c r="HL85" i="7"/>
  <c r="HM85" i="7"/>
  <c r="HN85" i="7"/>
  <c r="HO85" i="7"/>
  <c r="HP85" i="7"/>
  <c r="HQ85" i="7"/>
  <c r="HR85" i="7"/>
  <c r="HS85" i="7"/>
  <c r="HT85" i="7"/>
  <c r="HU85" i="7"/>
  <c r="HV85" i="7"/>
  <c r="HW85" i="7"/>
  <c r="HX85" i="7"/>
  <c r="HY85" i="7"/>
  <c r="HZ85" i="7"/>
  <c r="IA85" i="7"/>
  <c r="IB85" i="7"/>
  <c r="IC85" i="7"/>
  <c r="ID85" i="7"/>
  <c r="IE85" i="7"/>
  <c r="IF85" i="7"/>
  <c r="IG85" i="7"/>
  <c r="IH85" i="7"/>
  <c r="II85" i="7"/>
  <c r="IJ85" i="7"/>
  <c r="IK85" i="7"/>
  <c r="IL85" i="7"/>
  <c r="IM85" i="7"/>
  <c r="IN85" i="7"/>
  <c r="IO85" i="7"/>
  <c r="IP85" i="7"/>
  <c r="IQ85" i="7"/>
  <c r="IR85" i="7"/>
  <c r="IS85" i="7"/>
  <c r="IT85" i="7"/>
  <c r="IU85" i="7"/>
  <c r="IV85" i="7"/>
  <c r="A84" i="7"/>
  <c r="B84" i="7"/>
  <c r="C84" i="7"/>
  <c r="D84" i="7"/>
  <c r="E84" i="7"/>
  <c r="F84" i="7"/>
  <c r="G84" i="7"/>
  <c r="H84" i="7"/>
  <c r="I84" i="7"/>
  <c r="J84" i="7"/>
  <c r="K84" i="7"/>
  <c r="L84" i="7"/>
  <c r="M84" i="7"/>
  <c r="N84" i="7"/>
  <c r="O84" i="7"/>
  <c r="P84" i="7"/>
  <c r="Q84" i="7"/>
  <c r="R84" i="7"/>
  <c r="S84" i="7"/>
  <c r="T84" i="7"/>
  <c r="U84" i="7"/>
  <c r="V84" i="7"/>
  <c r="W84" i="7"/>
  <c r="X84" i="7"/>
  <c r="Y84" i="7"/>
  <c r="Z84" i="7"/>
  <c r="AA84" i="7"/>
  <c r="AB84" i="7"/>
  <c r="AC84" i="7"/>
  <c r="AD84" i="7"/>
  <c r="AE84" i="7"/>
  <c r="AF84" i="7"/>
  <c r="AG84" i="7"/>
  <c r="AH84" i="7"/>
  <c r="AI84" i="7"/>
  <c r="AJ84" i="7"/>
  <c r="AK84" i="7"/>
  <c r="AL84" i="7"/>
  <c r="AM84" i="7"/>
  <c r="AN84" i="7"/>
  <c r="AO84" i="7"/>
  <c r="AP84" i="7"/>
  <c r="AQ84" i="7"/>
  <c r="AR84" i="7"/>
  <c r="AS84" i="7"/>
  <c r="AT84" i="7"/>
  <c r="AU84" i="7"/>
  <c r="AV84" i="7"/>
  <c r="AW84" i="7"/>
  <c r="AX84" i="7"/>
  <c r="AY84" i="7"/>
  <c r="AZ84" i="7"/>
  <c r="BA84" i="7"/>
  <c r="BB84" i="7"/>
  <c r="BC84" i="7"/>
  <c r="BD84" i="7"/>
  <c r="BE84" i="7"/>
  <c r="BF84" i="7"/>
  <c r="BG84" i="7"/>
  <c r="BH84" i="7"/>
  <c r="BI84" i="7"/>
  <c r="BJ84" i="7"/>
  <c r="BK84" i="7"/>
  <c r="BL84" i="7"/>
  <c r="BM84" i="7"/>
  <c r="BN84" i="7"/>
  <c r="BO84" i="7"/>
  <c r="BP84" i="7"/>
  <c r="BQ84" i="7"/>
  <c r="BR84" i="7"/>
  <c r="BS84" i="7"/>
  <c r="BT84" i="7"/>
  <c r="BU84" i="7"/>
  <c r="BV84" i="7"/>
  <c r="BW84" i="7"/>
  <c r="BX84" i="7"/>
  <c r="BY84" i="7"/>
  <c r="BZ84" i="7"/>
  <c r="CA84" i="7"/>
  <c r="CB84" i="7"/>
  <c r="CC84" i="7"/>
  <c r="CD84" i="7"/>
  <c r="CE84" i="7"/>
  <c r="CF84" i="7"/>
  <c r="CG84" i="7"/>
  <c r="CH84" i="7"/>
  <c r="CI84" i="7"/>
  <c r="CJ84" i="7"/>
  <c r="CK84" i="7"/>
  <c r="CL84" i="7"/>
  <c r="CM84" i="7"/>
  <c r="CN84" i="7"/>
  <c r="CO84" i="7"/>
  <c r="CP84" i="7"/>
  <c r="CQ84" i="7"/>
  <c r="CR84" i="7"/>
  <c r="CS84" i="7"/>
  <c r="CT84" i="7"/>
  <c r="CU84" i="7"/>
  <c r="CV84" i="7"/>
  <c r="CW84" i="7"/>
  <c r="CX84" i="7"/>
  <c r="CY84" i="7"/>
  <c r="CZ84" i="7"/>
  <c r="DA84" i="7"/>
  <c r="DB84" i="7"/>
  <c r="DC84" i="7"/>
  <c r="DD84" i="7"/>
  <c r="DE84" i="7"/>
  <c r="DF84" i="7"/>
  <c r="DG84" i="7"/>
  <c r="DH84" i="7"/>
  <c r="DI84" i="7"/>
  <c r="DJ84" i="7"/>
  <c r="DK84" i="7"/>
  <c r="DL84" i="7"/>
  <c r="DM84" i="7"/>
  <c r="DN84" i="7"/>
  <c r="DO84" i="7"/>
  <c r="DP84" i="7"/>
  <c r="DQ84" i="7"/>
  <c r="DR84" i="7"/>
  <c r="DS84" i="7"/>
  <c r="DT84" i="7"/>
  <c r="DU84" i="7"/>
  <c r="DV84" i="7"/>
  <c r="DW84" i="7"/>
  <c r="DX84" i="7"/>
  <c r="DY84" i="7"/>
  <c r="DZ84" i="7"/>
  <c r="EA84" i="7"/>
  <c r="EB84" i="7"/>
  <c r="EC84" i="7"/>
  <c r="ED84" i="7"/>
  <c r="EE84" i="7"/>
  <c r="EF84" i="7"/>
  <c r="EG84" i="7"/>
  <c r="EH84" i="7"/>
  <c r="EI84" i="7"/>
  <c r="EJ84" i="7"/>
  <c r="EK84" i="7"/>
  <c r="EL84" i="7"/>
  <c r="EM84" i="7"/>
  <c r="EN84" i="7"/>
  <c r="EO84" i="7"/>
  <c r="EP84" i="7"/>
  <c r="EQ84" i="7"/>
  <c r="ER84" i="7"/>
  <c r="ES84" i="7"/>
  <c r="ET84" i="7"/>
  <c r="EU84" i="7"/>
  <c r="EV84" i="7"/>
  <c r="EW84" i="7"/>
  <c r="EX84" i="7"/>
  <c r="EY84" i="7"/>
  <c r="EZ84" i="7"/>
  <c r="FA84" i="7"/>
  <c r="FB84" i="7"/>
  <c r="FC84" i="7"/>
  <c r="FD84" i="7"/>
  <c r="FE84" i="7"/>
  <c r="FF84" i="7"/>
  <c r="FG84" i="7"/>
  <c r="FH84" i="7"/>
  <c r="FI84" i="7"/>
  <c r="FJ84" i="7"/>
  <c r="FK84" i="7"/>
  <c r="FL84" i="7"/>
  <c r="FM84" i="7"/>
  <c r="FN84" i="7"/>
  <c r="FO84" i="7"/>
  <c r="FP84" i="7"/>
  <c r="FQ84" i="7"/>
  <c r="FR84" i="7"/>
  <c r="FS84" i="7"/>
  <c r="FT84" i="7"/>
  <c r="FU84" i="7"/>
  <c r="FV84" i="7"/>
  <c r="FW84" i="7"/>
  <c r="FX84" i="7"/>
  <c r="FY84" i="7"/>
  <c r="FZ84" i="7"/>
  <c r="GA84" i="7"/>
  <c r="GB84" i="7"/>
  <c r="GC84" i="7"/>
  <c r="GD84" i="7"/>
  <c r="GE84" i="7"/>
  <c r="GF84" i="7"/>
  <c r="GG84" i="7"/>
  <c r="GH84" i="7"/>
  <c r="GI84" i="7"/>
  <c r="GJ84" i="7"/>
  <c r="GK84" i="7"/>
  <c r="GL84" i="7"/>
  <c r="GM84" i="7"/>
  <c r="GN84" i="7"/>
  <c r="GO84" i="7"/>
  <c r="GP84" i="7"/>
  <c r="GQ84" i="7"/>
  <c r="GR84" i="7"/>
  <c r="GS84" i="7"/>
  <c r="GT84" i="7"/>
  <c r="GU84" i="7"/>
  <c r="GV84" i="7"/>
  <c r="GW84" i="7"/>
  <c r="GX84" i="7"/>
  <c r="GY84" i="7"/>
  <c r="GZ84" i="7"/>
  <c r="HA84" i="7"/>
  <c r="HB84" i="7"/>
  <c r="HC84" i="7"/>
  <c r="HD84" i="7"/>
  <c r="HE84" i="7"/>
  <c r="HF84" i="7"/>
  <c r="HG84" i="7"/>
  <c r="HH84" i="7"/>
  <c r="HI84" i="7"/>
  <c r="HJ84" i="7"/>
  <c r="HK84" i="7"/>
  <c r="HL84" i="7"/>
  <c r="HM84" i="7"/>
  <c r="HN84" i="7"/>
  <c r="HO84" i="7"/>
  <c r="HP84" i="7"/>
  <c r="HQ84" i="7"/>
  <c r="HR84" i="7"/>
  <c r="HS84" i="7"/>
  <c r="HT84" i="7"/>
  <c r="HU84" i="7"/>
  <c r="HV84" i="7"/>
  <c r="HW84" i="7"/>
  <c r="HX84" i="7"/>
  <c r="HY84" i="7"/>
  <c r="HZ84" i="7"/>
  <c r="IA84" i="7"/>
  <c r="IB84" i="7"/>
  <c r="IC84" i="7"/>
  <c r="ID84" i="7"/>
  <c r="IE84" i="7"/>
  <c r="IF84" i="7"/>
  <c r="IG84" i="7"/>
  <c r="IH84" i="7"/>
  <c r="II84" i="7"/>
  <c r="IJ84" i="7"/>
  <c r="IK84" i="7"/>
  <c r="IL84" i="7"/>
  <c r="IM84" i="7"/>
  <c r="IN84" i="7"/>
  <c r="IO84" i="7"/>
  <c r="IP84" i="7"/>
  <c r="IQ84" i="7"/>
  <c r="IR84" i="7"/>
  <c r="IS84" i="7"/>
  <c r="IT84" i="7"/>
  <c r="IU84" i="7"/>
  <c r="IV84" i="7"/>
  <c r="A83" i="7"/>
  <c r="B83" i="7"/>
  <c r="C83" i="7"/>
  <c r="D83" i="7"/>
  <c r="E83" i="7"/>
  <c r="F83" i="7"/>
  <c r="G83" i="7"/>
  <c r="H83" i="7"/>
  <c r="I83" i="7"/>
  <c r="J83" i="7"/>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FO83" i="7"/>
  <c r="FP83" i="7"/>
  <c r="FQ83" i="7"/>
  <c r="FR83" i="7"/>
  <c r="FS83" i="7"/>
  <c r="FT83" i="7"/>
  <c r="FU83" i="7"/>
  <c r="FV83" i="7"/>
  <c r="FW83" i="7"/>
  <c r="FX83" i="7"/>
  <c r="FY83" i="7"/>
  <c r="FZ83" i="7"/>
  <c r="GA83" i="7"/>
  <c r="GB83" i="7"/>
  <c r="GC83" i="7"/>
  <c r="GD83" i="7"/>
  <c r="GE83" i="7"/>
  <c r="GF83" i="7"/>
  <c r="GG83" i="7"/>
  <c r="GH83" i="7"/>
  <c r="GI83" i="7"/>
  <c r="GJ83" i="7"/>
  <c r="GK83" i="7"/>
  <c r="GL83" i="7"/>
  <c r="GM83" i="7"/>
  <c r="GN83" i="7"/>
  <c r="GO83" i="7"/>
  <c r="GP83" i="7"/>
  <c r="GQ83" i="7"/>
  <c r="GR83" i="7"/>
  <c r="GS83" i="7"/>
  <c r="GT83" i="7"/>
  <c r="GU83" i="7"/>
  <c r="GV83" i="7"/>
  <c r="GW83" i="7"/>
  <c r="GX83" i="7"/>
  <c r="GY83" i="7"/>
  <c r="GZ83" i="7"/>
  <c r="HA83" i="7"/>
  <c r="HB83" i="7"/>
  <c r="HC83" i="7"/>
  <c r="HD83" i="7"/>
  <c r="HE83" i="7"/>
  <c r="HF83" i="7"/>
  <c r="HG83" i="7"/>
  <c r="HH83" i="7"/>
  <c r="HI83" i="7"/>
  <c r="HJ83" i="7"/>
  <c r="HK83" i="7"/>
  <c r="HL83" i="7"/>
  <c r="HM83" i="7"/>
  <c r="HN83" i="7"/>
  <c r="HO83" i="7"/>
  <c r="HP83" i="7"/>
  <c r="HQ83" i="7"/>
  <c r="HR83" i="7"/>
  <c r="HS83" i="7"/>
  <c r="HT83" i="7"/>
  <c r="HU83" i="7"/>
  <c r="HV83" i="7"/>
  <c r="HW83" i="7"/>
  <c r="HX83" i="7"/>
  <c r="HY83" i="7"/>
  <c r="HZ83" i="7"/>
  <c r="IA83" i="7"/>
  <c r="IB83" i="7"/>
  <c r="IC83" i="7"/>
  <c r="ID83" i="7"/>
  <c r="IE83" i="7"/>
  <c r="IF83" i="7"/>
  <c r="IG83" i="7"/>
  <c r="IH83" i="7"/>
  <c r="II83" i="7"/>
  <c r="IJ83" i="7"/>
  <c r="IK83" i="7"/>
  <c r="IL83" i="7"/>
  <c r="IM83" i="7"/>
  <c r="IN83" i="7"/>
  <c r="IO83" i="7"/>
  <c r="IP83" i="7"/>
  <c r="IQ83" i="7"/>
  <c r="IR83" i="7"/>
  <c r="IS83" i="7"/>
  <c r="IT83" i="7"/>
  <c r="IU83" i="7"/>
  <c r="IV83" i="7"/>
  <c r="A82" i="7"/>
  <c r="B82" i="7"/>
  <c r="C82" i="7"/>
  <c r="D82" i="7"/>
  <c r="E82" i="7"/>
  <c r="F82" i="7"/>
  <c r="G82" i="7"/>
  <c r="H82" i="7"/>
  <c r="I82" i="7"/>
  <c r="J82" i="7"/>
  <c r="K82" i="7"/>
  <c r="L82" i="7"/>
  <c r="M82" i="7"/>
  <c r="N82" i="7"/>
  <c r="O82" i="7"/>
  <c r="P82" i="7"/>
  <c r="Q82" i="7"/>
  <c r="R82" i="7"/>
  <c r="S82" i="7"/>
  <c r="T82" i="7"/>
  <c r="U82" i="7"/>
  <c r="V82" i="7"/>
  <c r="W82" i="7"/>
  <c r="X82" i="7"/>
  <c r="Y82" i="7"/>
  <c r="Z82" i="7"/>
  <c r="AA82" i="7"/>
  <c r="AB82" i="7"/>
  <c r="AC82" i="7"/>
  <c r="AD82" i="7"/>
  <c r="AE82" i="7"/>
  <c r="AF82" i="7"/>
  <c r="AG82" i="7"/>
  <c r="AH82" i="7"/>
  <c r="AI82" i="7"/>
  <c r="AJ82" i="7"/>
  <c r="AK82" i="7"/>
  <c r="AL82" i="7"/>
  <c r="AM82" i="7"/>
  <c r="AN82" i="7"/>
  <c r="AO82" i="7"/>
  <c r="AP82" i="7"/>
  <c r="AQ82" i="7"/>
  <c r="AR82" i="7"/>
  <c r="AS82" i="7"/>
  <c r="AT82" i="7"/>
  <c r="AU82" i="7"/>
  <c r="AV82" i="7"/>
  <c r="AW82" i="7"/>
  <c r="AX82" i="7"/>
  <c r="AY82" i="7"/>
  <c r="AZ82" i="7"/>
  <c r="BA82" i="7"/>
  <c r="BB82" i="7"/>
  <c r="BC82" i="7"/>
  <c r="BD82" i="7"/>
  <c r="BE82" i="7"/>
  <c r="BF82" i="7"/>
  <c r="BG82" i="7"/>
  <c r="BH82" i="7"/>
  <c r="BI82" i="7"/>
  <c r="BJ82" i="7"/>
  <c r="BK82" i="7"/>
  <c r="BL82" i="7"/>
  <c r="BM82" i="7"/>
  <c r="BN82" i="7"/>
  <c r="BO82" i="7"/>
  <c r="BP82" i="7"/>
  <c r="BQ82" i="7"/>
  <c r="BR82" i="7"/>
  <c r="BS82" i="7"/>
  <c r="BT82" i="7"/>
  <c r="BU82" i="7"/>
  <c r="BV82" i="7"/>
  <c r="BW82" i="7"/>
  <c r="BX82" i="7"/>
  <c r="BY82" i="7"/>
  <c r="BZ82" i="7"/>
  <c r="CA82" i="7"/>
  <c r="CB82" i="7"/>
  <c r="CC82" i="7"/>
  <c r="CD82" i="7"/>
  <c r="CE82" i="7"/>
  <c r="CF82" i="7"/>
  <c r="CG82" i="7"/>
  <c r="CH82" i="7"/>
  <c r="CI82" i="7"/>
  <c r="CJ82" i="7"/>
  <c r="CK82" i="7"/>
  <c r="CL82" i="7"/>
  <c r="CM82" i="7"/>
  <c r="CN82" i="7"/>
  <c r="CO82" i="7"/>
  <c r="CP82" i="7"/>
  <c r="CQ82" i="7"/>
  <c r="CR82" i="7"/>
  <c r="CS82" i="7"/>
  <c r="CT82" i="7"/>
  <c r="CU82" i="7"/>
  <c r="CV82" i="7"/>
  <c r="CW82" i="7"/>
  <c r="CX82" i="7"/>
  <c r="CY82" i="7"/>
  <c r="CZ82" i="7"/>
  <c r="DA82" i="7"/>
  <c r="DB82" i="7"/>
  <c r="DC82" i="7"/>
  <c r="DD82" i="7"/>
  <c r="DE82" i="7"/>
  <c r="DF82" i="7"/>
  <c r="DG82" i="7"/>
  <c r="DH82" i="7"/>
  <c r="DI82" i="7"/>
  <c r="DJ82" i="7"/>
  <c r="DK82" i="7"/>
  <c r="DL82" i="7"/>
  <c r="DM82" i="7"/>
  <c r="DN82" i="7"/>
  <c r="DO82" i="7"/>
  <c r="DP82" i="7"/>
  <c r="DQ82" i="7"/>
  <c r="DR82" i="7"/>
  <c r="DS82" i="7"/>
  <c r="DT82" i="7"/>
  <c r="DU82" i="7"/>
  <c r="DV82" i="7"/>
  <c r="DW82" i="7"/>
  <c r="DX82" i="7"/>
  <c r="DY82" i="7"/>
  <c r="DZ82" i="7"/>
  <c r="EA82" i="7"/>
  <c r="EB82" i="7"/>
  <c r="EC82" i="7"/>
  <c r="ED82" i="7"/>
  <c r="EE82" i="7"/>
  <c r="EF82" i="7"/>
  <c r="EG82" i="7"/>
  <c r="EH82" i="7"/>
  <c r="EI82" i="7"/>
  <c r="EJ82" i="7"/>
  <c r="EK82" i="7"/>
  <c r="EL82" i="7"/>
  <c r="EM82" i="7"/>
  <c r="EN82" i="7"/>
  <c r="EO82" i="7"/>
  <c r="EP82" i="7"/>
  <c r="EQ82" i="7"/>
  <c r="ER82" i="7"/>
  <c r="ES82" i="7"/>
  <c r="ET82" i="7"/>
  <c r="EU82" i="7"/>
  <c r="EV82" i="7"/>
  <c r="EW82" i="7"/>
  <c r="EX82" i="7"/>
  <c r="EY82" i="7"/>
  <c r="EZ82" i="7"/>
  <c r="FA82" i="7"/>
  <c r="FB82" i="7"/>
  <c r="FC82" i="7"/>
  <c r="FD82" i="7"/>
  <c r="FE82" i="7"/>
  <c r="FF82" i="7"/>
  <c r="FG82" i="7"/>
  <c r="FH82" i="7"/>
  <c r="FI82" i="7"/>
  <c r="FJ82" i="7"/>
  <c r="FK82" i="7"/>
  <c r="FL82" i="7"/>
  <c r="FM82" i="7"/>
  <c r="FN82" i="7"/>
  <c r="FO82" i="7"/>
  <c r="FP82" i="7"/>
  <c r="FQ82" i="7"/>
  <c r="FR82" i="7"/>
  <c r="FS82" i="7"/>
  <c r="FT82" i="7"/>
  <c r="FU82" i="7"/>
  <c r="FV82" i="7"/>
  <c r="FW82" i="7"/>
  <c r="FX82" i="7"/>
  <c r="FY82" i="7"/>
  <c r="FZ82" i="7"/>
  <c r="GA82" i="7"/>
  <c r="GB82" i="7"/>
  <c r="GC82" i="7"/>
  <c r="GD82" i="7"/>
  <c r="GE82" i="7"/>
  <c r="GF82" i="7"/>
  <c r="GG82" i="7"/>
  <c r="GH82" i="7"/>
  <c r="GI82" i="7"/>
  <c r="GJ82" i="7"/>
  <c r="GK82" i="7"/>
  <c r="GL82" i="7"/>
  <c r="GM82" i="7"/>
  <c r="GN82" i="7"/>
  <c r="GO82" i="7"/>
  <c r="GP82" i="7"/>
  <c r="GQ82" i="7"/>
  <c r="GR82" i="7"/>
  <c r="GS82" i="7"/>
  <c r="GT82" i="7"/>
  <c r="GU82" i="7"/>
  <c r="GV82" i="7"/>
  <c r="GW82" i="7"/>
  <c r="GX82" i="7"/>
  <c r="GY82" i="7"/>
  <c r="GZ82" i="7"/>
  <c r="HA82" i="7"/>
  <c r="HB82" i="7"/>
  <c r="HC82" i="7"/>
  <c r="HD82" i="7"/>
  <c r="HE82" i="7"/>
  <c r="HF82" i="7"/>
  <c r="HG82" i="7"/>
  <c r="HH82" i="7"/>
  <c r="HI82" i="7"/>
  <c r="HJ82" i="7"/>
  <c r="HK82" i="7"/>
  <c r="HL82" i="7"/>
  <c r="HM82" i="7"/>
  <c r="HN82" i="7"/>
  <c r="HO82" i="7"/>
  <c r="HP82" i="7"/>
  <c r="HQ82" i="7"/>
  <c r="HR82" i="7"/>
  <c r="HS82" i="7"/>
  <c r="HT82" i="7"/>
  <c r="HU82" i="7"/>
  <c r="HV82" i="7"/>
  <c r="HW82" i="7"/>
  <c r="HX82" i="7"/>
  <c r="HY82" i="7"/>
  <c r="HZ82" i="7"/>
  <c r="IA82" i="7"/>
  <c r="IB82" i="7"/>
  <c r="IC82" i="7"/>
  <c r="ID82" i="7"/>
  <c r="IE82" i="7"/>
  <c r="IF82" i="7"/>
  <c r="IG82" i="7"/>
  <c r="IH82" i="7"/>
  <c r="II82" i="7"/>
  <c r="IJ82" i="7"/>
  <c r="IK82" i="7"/>
  <c r="IL82" i="7"/>
  <c r="IM82" i="7"/>
  <c r="IN82" i="7"/>
  <c r="IO82" i="7"/>
  <c r="IP82" i="7"/>
  <c r="IQ82" i="7"/>
  <c r="IR82" i="7"/>
  <c r="IS82" i="7"/>
  <c r="IT82" i="7"/>
  <c r="IU82" i="7"/>
  <c r="IV82" i="7"/>
  <c r="A81" i="7"/>
  <c r="B81" i="7"/>
  <c r="C81" i="7"/>
  <c r="D81" i="7"/>
  <c r="E81" i="7"/>
  <c r="F81" i="7"/>
  <c r="G81" i="7"/>
  <c r="H81" i="7"/>
  <c r="I81" i="7"/>
  <c r="J81" i="7"/>
  <c r="K81" i="7"/>
  <c r="L81" i="7"/>
  <c r="M81" i="7"/>
  <c r="N81" i="7"/>
  <c r="O81" i="7"/>
  <c r="P81" i="7"/>
  <c r="Q81" i="7"/>
  <c r="R81" i="7"/>
  <c r="S81" i="7"/>
  <c r="T81" i="7"/>
  <c r="U81" i="7"/>
  <c r="V81" i="7"/>
  <c r="W81" i="7"/>
  <c r="X81" i="7"/>
  <c r="Y81" i="7"/>
  <c r="Z81" i="7"/>
  <c r="AA81" i="7"/>
  <c r="AB81" i="7"/>
  <c r="AC81" i="7"/>
  <c r="AD81" i="7"/>
  <c r="AE81" i="7"/>
  <c r="AF81" i="7"/>
  <c r="AG81" i="7"/>
  <c r="AH81" i="7"/>
  <c r="AI81" i="7"/>
  <c r="AJ81" i="7"/>
  <c r="AK81" i="7"/>
  <c r="AL81" i="7"/>
  <c r="AM81" i="7"/>
  <c r="AN81" i="7"/>
  <c r="AO81" i="7"/>
  <c r="AP81" i="7"/>
  <c r="AQ81" i="7"/>
  <c r="AR81" i="7"/>
  <c r="AS81" i="7"/>
  <c r="AT81" i="7"/>
  <c r="AU81" i="7"/>
  <c r="AV81" i="7"/>
  <c r="AW81" i="7"/>
  <c r="AX81" i="7"/>
  <c r="AY81" i="7"/>
  <c r="AZ81" i="7"/>
  <c r="BA81" i="7"/>
  <c r="BB81" i="7"/>
  <c r="BC81" i="7"/>
  <c r="BD81" i="7"/>
  <c r="BE81" i="7"/>
  <c r="BF81" i="7"/>
  <c r="BG81" i="7"/>
  <c r="BH81" i="7"/>
  <c r="BI81" i="7"/>
  <c r="BJ81" i="7"/>
  <c r="BK81" i="7"/>
  <c r="BL81" i="7"/>
  <c r="BM81" i="7"/>
  <c r="BN81" i="7"/>
  <c r="BO81" i="7"/>
  <c r="BP81" i="7"/>
  <c r="BQ81" i="7"/>
  <c r="BR81" i="7"/>
  <c r="BS81" i="7"/>
  <c r="BT81" i="7"/>
  <c r="BU81" i="7"/>
  <c r="BV81" i="7"/>
  <c r="BW81" i="7"/>
  <c r="BX81" i="7"/>
  <c r="BY81" i="7"/>
  <c r="BZ81" i="7"/>
  <c r="CA81" i="7"/>
  <c r="CB81" i="7"/>
  <c r="CC81" i="7"/>
  <c r="CD81" i="7"/>
  <c r="CE81" i="7"/>
  <c r="CF81" i="7"/>
  <c r="CG81" i="7"/>
  <c r="CH81" i="7"/>
  <c r="CI81" i="7"/>
  <c r="CJ81" i="7"/>
  <c r="CK81" i="7"/>
  <c r="CL81" i="7"/>
  <c r="CM81" i="7"/>
  <c r="CN81" i="7"/>
  <c r="CO81" i="7"/>
  <c r="CP81" i="7"/>
  <c r="CQ81" i="7"/>
  <c r="CR81" i="7"/>
  <c r="CS81" i="7"/>
  <c r="CT81" i="7"/>
  <c r="CU81" i="7"/>
  <c r="CV81" i="7"/>
  <c r="CW81" i="7"/>
  <c r="CX81" i="7"/>
  <c r="CY81" i="7"/>
  <c r="CZ81" i="7"/>
  <c r="DA81" i="7"/>
  <c r="DB81" i="7"/>
  <c r="DC81" i="7"/>
  <c r="DD81" i="7"/>
  <c r="DE81" i="7"/>
  <c r="DF81" i="7"/>
  <c r="DG81" i="7"/>
  <c r="DH81" i="7"/>
  <c r="DI81" i="7"/>
  <c r="DJ81" i="7"/>
  <c r="DK81" i="7"/>
  <c r="DL81" i="7"/>
  <c r="DM81" i="7"/>
  <c r="DN81" i="7"/>
  <c r="DO81" i="7"/>
  <c r="DP81" i="7"/>
  <c r="DQ81" i="7"/>
  <c r="DR81" i="7"/>
  <c r="DS81" i="7"/>
  <c r="DT81" i="7"/>
  <c r="DU81" i="7"/>
  <c r="DV81" i="7"/>
  <c r="DW81" i="7"/>
  <c r="DX81" i="7"/>
  <c r="DY81" i="7"/>
  <c r="DZ81" i="7"/>
  <c r="EA81" i="7"/>
  <c r="EB81" i="7"/>
  <c r="EC81" i="7"/>
  <c r="ED81" i="7"/>
  <c r="EE81" i="7"/>
  <c r="EF81" i="7"/>
  <c r="EG81" i="7"/>
  <c r="EH81" i="7"/>
  <c r="EI81" i="7"/>
  <c r="EJ81" i="7"/>
  <c r="EK81" i="7"/>
  <c r="EL81" i="7"/>
  <c r="EM81" i="7"/>
  <c r="EN81" i="7"/>
  <c r="EO81" i="7"/>
  <c r="EP81" i="7"/>
  <c r="EQ81" i="7"/>
  <c r="ER81" i="7"/>
  <c r="ES81" i="7"/>
  <c r="ET81" i="7"/>
  <c r="EU81" i="7"/>
  <c r="EV81" i="7"/>
  <c r="EW81" i="7"/>
  <c r="EX81" i="7"/>
  <c r="EY81" i="7"/>
  <c r="EZ81" i="7"/>
  <c r="FA81" i="7"/>
  <c r="FB81" i="7"/>
  <c r="FC81" i="7"/>
  <c r="FD81" i="7"/>
  <c r="FE81" i="7"/>
  <c r="FF81" i="7"/>
  <c r="FG81" i="7"/>
  <c r="FH81" i="7"/>
  <c r="FI81" i="7"/>
  <c r="FJ81" i="7"/>
  <c r="FK81" i="7"/>
  <c r="FL81" i="7"/>
  <c r="FM81" i="7"/>
  <c r="FN81" i="7"/>
  <c r="FO81" i="7"/>
  <c r="FP81" i="7"/>
  <c r="FQ81" i="7"/>
  <c r="FR81" i="7"/>
  <c r="FS81" i="7"/>
  <c r="FT81" i="7"/>
  <c r="FU81" i="7"/>
  <c r="FV81" i="7"/>
  <c r="FW81" i="7"/>
  <c r="FX81" i="7"/>
  <c r="FY81" i="7"/>
  <c r="FZ81" i="7"/>
  <c r="GA81" i="7"/>
  <c r="GB81" i="7"/>
  <c r="GC81" i="7"/>
  <c r="GD81" i="7"/>
  <c r="GE81" i="7"/>
  <c r="GF81" i="7"/>
  <c r="GG81" i="7"/>
  <c r="GH81" i="7"/>
  <c r="GI81" i="7"/>
  <c r="GJ81" i="7"/>
  <c r="GK81" i="7"/>
  <c r="GL81" i="7"/>
  <c r="GM81" i="7"/>
  <c r="GN81" i="7"/>
  <c r="GO81" i="7"/>
  <c r="GP81" i="7"/>
  <c r="GQ81" i="7"/>
  <c r="GR81" i="7"/>
  <c r="GS81" i="7"/>
  <c r="GT81" i="7"/>
  <c r="GU81" i="7"/>
  <c r="GV81" i="7"/>
  <c r="GW81" i="7"/>
  <c r="GX81" i="7"/>
  <c r="GY81" i="7"/>
  <c r="GZ81" i="7"/>
  <c r="HA81" i="7"/>
  <c r="HB81" i="7"/>
  <c r="HC81" i="7"/>
  <c r="HD81" i="7"/>
  <c r="HE81" i="7"/>
  <c r="HF81" i="7"/>
  <c r="HG81" i="7"/>
  <c r="HH81" i="7"/>
  <c r="HI81" i="7"/>
  <c r="HJ81" i="7"/>
  <c r="HK81" i="7"/>
  <c r="HL81" i="7"/>
  <c r="HM81" i="7"/>
  <c r="HN81" i="7"/>
  <c r="HO81" i="7"/>
  <c r="HP81" i="7"/>
  <c r="HQ81" i="7"/>
  <c r="HR81" i="7"/>
  <c r="HS81" i="7"/>
  <c r="HT81" i="7"/>
  <c r="HU81" i="7"/>
  <c r="HV81" i="7"/>
  <c r="HW81" i="7"/>
  <c r="HX81" i="7"/>
  <c r="HY81" i="7"/>
  <c r="HZ81" i="7"/>
  <c r="IA81" i="7"/>
  <c r="IB81" i="7"/>
  <c r="IC81" i="7"/>
  <c r="ID81" i="7"/>
  <c r="IE81" i="7"/>
  <c r="IF81" i="7"/>
  <c r="IG81" i="7"/>
  <c r="IH81" i="7"/>
  <c r="II81" i="7"/>
  <c r="IJ81" i="7"/>
  <c r="IK81" i="7"/>
  <c r="IL81" i="7"/>
  <c r="IM81" i="7"/>
  <c r="IN81" i="7"/>
  <c r="IO81" i="7"/>
  <c r="IP81" i="7"/>
  <c r="IQ81" i="7"/>
  <c r="IR81" i="7"/>
  <c r="IS81" i="7"/>
  <c r="IT81" i="7"/>
  <c r="IU81" i="7"/>
  <c r="IV81" i="7"/>
  <c r="A80" i="7"/>
  <c r="B80" i="7"/>
  <c r="C80" i="7"/>
  <c r="D80" i="7"/>
  <c r="E80" i="7"/>
  <c r="F80" i="7"/>
  <c r="G80" i="7"/>
  <c r="H80" i="7"/>
  <c r="I80" i="7"/>
  <c r="J80" i="7"/>
  <c r="K80" i="7"/>
  <c r="L80" i="7"/>
  <c r="M80" i="7"/>
  <c r="N80" i="7"/>
  <c r="O80" i="7"/>
  <c r="P80" i="7"/>
  <c r="Q80" i="7"/>
  <c r="R80" i="7"/>
  <c r="S80" i="7"/>
  <c r="T80" i="7"/>
  <c r="U80" i="7"/>
  <c r="V80" i="7"/>
  <c r="W80" i="7"/>
  <c r="X80" i="7"/>
  <c r="Y80" i="7"/>
  <c r="Z80" i="7"/>
  <c r="AA80" i="7"/>
  <c r="AB80" i="7"/>
  <c r="AC80" i="7"/>
  <c r="AD80" i="7"/>
  <c r="AE80" i="7"/>
  <c r="AF80" i="7"/>
  <c r="AG80" i="7"/>
  <c r="AH80" i="7"/>
  <c r="AI80" i="7"/>
  <c r="AJ80" i="7"/>
  <c r="AK80" i="7"/>
  <c r="AL80" i="7"/>
  <c r="AM80" i="7"/>
  <c r="AN80" i="7"/>
  <c r="AO80" i="7"/>
  <c r="AP80" i="7"/>
  <c r="AQ80" i="7"/>
  <c r="AR80" i="7"/>
  <c r="AS80" i="7"/>
  <c r="AT80" i="7"/>
  <c r="AU80" i="7"/>
  <c r="AV80" i="7"/>
  <c r="AW80" i="7"/>
  <c r="AX80" i="7"/>
  <c r="AY80" i="7"/>
  <c r="AZ80" i="7"/>
  <c r="BA80" i="7"/>
  <c r="BB80" i="7"/>
  <c r="BC80" i="7"/>
  <c r="BD80" i="7"/>
  <c r="BE80" i="7"/>
  <c r="BF80" i="7"/>
  <c r="BG80" i="7"/>
  <c r="BH80" i="7"/>
  <c r="BI80" i="7"/>
  <c r="BJ80" i="7"/>
  <c r="BK80" i="7"/>
  <c r="BL80" i="7"/>
  <c r="BM80" i="7"/>
  <c r="BN80" i="7"/>
  <c r="BO80" i="7"/>
  <c r="BP80" i="7"/>
  <c r="BQ80" i="7"/>
  <c r="BR80" i="7"/>
  <c r="BS80" i="7"/>
  <c r="BT80" i="7"/>
  <c r="BU80" i="7"/>
  <c r="BV80" i="7"/>
  <c r="BW80" i="7"/>
  <c r="BX80" i="7"/>
  <c r="BY80" i="7"/>
  <c r="BZ80" i="7"/>
  <c r="CA80" i="7"/>
  <c r="CB80" i="7"/>
  <c r="CC80" i="7"/>
  <c r="CD80" i="7"/>
  <c r="CE80" i="7"/>
  <c r="CF80" i="7"/>
  <c r="CG80" i="7"/>
  <c r="CH80" i="7"/>
  <c r="CI80" i="7"/>
  <c r="CJ80" i="7"/>
  <c r="CK80" i="7"/>
  <c r="CL80" i="7"/>
  <c r="CM80" i="7"/>
  <c r="CN80" i="7"/>
  <c r="CO80" i="7"/>
  <c r="CP80" i="7"/>
  <c r="CQ80" i="7"/>
  <c r="CR80" i="7"/>
  <c r="CS80" i="7"/>
  <c r="CT80" i="7"/>
  <c r="CU80" i="7"/>
  <c r="CV80" i="7"/>
  <c r="CW80" i="7"/>
  <c r="CX80" i="7"/>
  <c r="CY80" i="7"/>
  <c r="CZ80" i="7"/>
  <c r="DA80" i="7"/>
  <c r="DB80" i="7"/>
  <c r="DC80" i="7"/>
  <c r="DD80" i="7"/>
  <c r="DE80" i="7"/>
  <c r="DF80" i="7"/>
  <c r="DG80" i="7"/>
  <c r="DH80" i="7"/>
  <c r="DI80" i="7"/>
  <c r="DJ80" i="7"/>
  <c r="DK80" i="7"/>
  <c r="DL80" i="7"/>
  <c r="DM80" i="7"/>
  <c r="DN80" i="7"/>
  <c r="DO80" i="7"/>
  <c r="DP80" i="7"/>
  <c r="DQ80" i="7"/>
  <c r="DR80" i="7"/>
  <c r="DS80" i="7"/>
  <c r="DT80" i="7"/>
  <c r="DU80" i="7"/>
  <c r="DV80" i="7"/>
  <c r="DW80" i="7"/>
  <c r="DX80" i="7"/>
  <c r="DY80" i="7"/>
  <c r="DZ80" i="7"/>
  <c r="EA80" i="7"/>
  <c r="EB80" i="7"/>
  <c r="EC80" i="7"/>
  <c r="ED80" i="7"/>
  <c r="EE80" i="7"/>
  <c r="EF80" i="7"/>
  <c r="EG80" i="7"/>
  <c r="EH80" i="7"/>
  <c r="EI80" i="7"/>
  <c r="EJ80" i="7"/>
  <c r="EK80" i="7"/>
  <c r="EL80" i="7"/>
  <c r="EM80" i="7"/>
  <c r="EN80" i="7"/>
  <c r="EO80" i="7"/>
  <c r="EP80" i="7"/>
  <c r="EQ80" i="7"/>
  <c r="ER80" i="7"/>
  <c r="ES80" i="7"/>
  <c r="ET80" i="7"/>
  <c r="EU80" i="7"/>
  <c r="EV80" i="7"/>
  <c r="EW80" i="7"/>
  <c r="EX80" i="7"/>
  <c r="EY80" i="7"/>
  <c r="EZ80" i="7"/>
  <c r="FA80" i="7"/>
  <c r="FB80" i="7"/>
  <c r="FC80" i="7"/>
  <c r="FD80" i="7"/>
  <c r="FE80" i="7"/>
  <c r="FF80" i="7"/>
  <c r="FG80" i="7"/>
  <c r="FH80" i="7"/>
  <c r="FI80" i="7"/>
  <c r="FJ80" i="7"/>
  <c r="FK80" i="7"/>
  <c r="FL80" i="7"/>
  <c r="FM80" i="7"/>
  <c r="FN80" i="7"/>
  <c r="FO80" i="7"/>
  <c r="FP80" i="7"/>
  <c r="FQ80" i="7"/>
  <c r="FR80" i="7"/>
  <c r="FS80" i="7"/>
  <c r="FT80" i="7"/>
  <c r="FU80" i="7"/>
  <c r="FV80" i="7"/>
  <c r="FW80" i="7"/>
  <c r="FX80" i="7"/>
  <c r="FY80" i="7"/>
  <c r="FZ80" i="7"/>
  <c r="GA80" i="7"/>
  <c r="GB80" i="7"/>
  <c r="GC80" i="7"/>
  <c r="GD80" i="7"/>
  <c r="GE80" i="7"/>
  <c r="GF80" i="7"/>
  <c r="GG80" i="7"/>
  <c r="GH80" i="7"/>
  <c r="GI80" i="7"/>
  <c r="GJ80" i="7"/>
  <c r="GK80" i="7"/>
  <c r="GL80" i="7"/>
  <c r="GM80" i="7"/>
  <c r="GN80" i="7"/>
  <c r="GO80" i="7"/>
  <c r="GP80" i="7"/>
  <c r="GQ80" i="7"/>
  <c r="GR80" i="7"/>
  <c r="GS80" i="7"/>
  <c r="GT80" i="7"/>
  <c r="GU80" i="7"/>
  <c r="GV80" i="7"/>
  <c r="GW80" i="7"/>
  <c r="GX80" i="7"/>
  <c r="GY80" i="7"/>
  <c r="GZ80" i="7"/>
  <c r="HA80" i="7"/>
  <c r="HB80" i="7"/>
  <c r="HC80" i="7"/>
  <c r="HD80" i="7"/>
  <c r="HE80" i="7"/>
  <c r="HF80" i="7"/>
  <c r="HG80" i="7"/>
  <c r="HH80" i="7"/>
  <c r="HI80" i="7"/>
  <c r="HJ80" i="7"/>
  <c r="HK80" i="7"/>
  <c r="HL80" i="7"/>
  <c r="HM80" i="7"/>
  <c r="HN80" i="7"/>
  <c r="HO80" i="7"/>
  <c r="HP80" i="7"/>
  <c r="HQ80" i="7"/>
  <c r="HR80" i="7"/>
  <c r="HS80" i="7"/>
  <c r="HT80" i="7"/>
  <c r="HU80" i="7"/>
  <c r="HV80" i="7"/>
  <c r="HW80" i="7"/>
  <c r="HX80" i="7"/>
  <c r="HY80" i="7"/>
  <c r="HZ80" i="7"/>
  <c r="IA80" i="7"/>
  <c r="IB80" i="7"/>
  <c r="IC80" i="7"/>
  <c r="ID80" i="7"/>
  <c r="IE80" i="7"/>
  <c r="IF80" i="7"/>
  <c r="IG80" i="7"/>
  <c r="IH80" i="7"/>
  <c r="II80" i="7"/>
  <c r="IJ80" i="7"/>
  <c r="IK80" i="7"/>
  <c r="IL80" i="7"/>
  <c r="IM80" i="7"/>
  <c r="IN80" i="7"/>
  <c r="IO80" i="7"/>
  <c r="IP80" i="7"/>
  <c r="IQ80" i="7"/>
  <c r="IR80" i="7"/>
  <c r="IS80" i="7"/>
  <c r="IT80" i="7"/>
  <c r="IU80" i="7"/>
  <c r="IV80" i="7"/>
  <c r="A79" i="7"/>
  <c r="B79" i="7"/>
  <c r="C79" i="7"/>
  <c r="D79" i="7"/>
  <c r="E79" i="7"/>
  <c r="F79" i="7"/>
  <c r="G79" i="7"/>
  <c r="H79" i="7"/>
  <c r="I79" i="7"/>
  <c r="J79" i="7"/>
  <c r="K79" i="7"/>
  <c r="L79" i="7"/>
  <c r="M79" i="7"/>
  <c r="N79" i="7"/>
  <c r="O79" i="7"/>
  <c r="P79" i="7"/>
  <c r="Q79" i="7"/>
  <c r="R79" i="7"/>
  <c r="S79" i="7"/>
  <c r="T79" i="7"/>
  <c r="U79" i="7"/>
  <c r="V79" i="7"/>
  <c r="W79" i="7"/>
  <c r="X79" i="7"/>
  <c r="Y79" i="7"/>
  <c r="Z79" i="7"/>
  <c r="AA79" i="7"/>
  <c r="AB79" i="7"/>
  <c r="AC79" i="7"/>
  <c r="AD79" i="7"/>
  <c r="AE79" i="7"/>
  <c r="AF79" i="7"/>
  <c r="AG79" i="7"/>
  <c r="AH79" i="7"/>
  <c r="AI79" i="7"/>
  <c r="AJ79" i="7"/>
  <c r="AK79" i="7"/>
  <c r="AL79" i="7"/>
  <c r="AM79" i="7"/>
  <c r="AN79" i="7"/>
  <c r="AO79" i="7"/>
  <c r="AP79" i="7"/>
  <c r="AQ79" i="7"/>
  <c r="AR79" i="7"/>
  <c r="AS79" i="7"/>
  <c r="AT79" i="7"/>
  <c r="AU79" i="7"/>
  <c r="AV79" i="7"/>
  <c r="AW79" i="7"/>
  <c r="AX79" i="7"/>
  <c r="AY79" i="7"/>
  <c r="AZ79" i="7"/>
  <c r="BA79" i="7"/>
  <c r="BB79" i="7"/>
  <c r="BC79" i="7"/>
  <c r="BD79" i="7"/>
  <c r="BE79" i="7"/>
  <c r="BF79" i="7"/>
  <c r="BG79" i="7"/>
  <c r="BH79" i="7"/>
  <c r="BI79" i="7"/>
  <c r="BJ79" i="7"/>
  <c r="BK79" i="7"/>
  <c r="BL79" i="7"/>
  <c r="BM79" i="7"/>
  <c r="BN79" i="7"/>
  <c r="BO79" i="7"/>
  <c r="BP79" i="7"/>
  <c r="BQ79" i="7"/>
  <c r="BR79" i="7"/>
  <c r="BS79" i="7"/>
  <c r="BT79" i="7"/>
  <c r="BU79" i="7"/>
  <c r="BV79" i="7"/>
  <c r="BW79" i="7"/>
  <c r="BX79" i="7"/>
  <c r="BY79" i="7"/>
  <c r="BZ79" i="7"/>
  <c r="CA79" i="7"/>
  <c r="CB79" i="7"/>
  <c r="CC79" i="7"/>
  <c r="CD79" i="7"/>
  <c r="CE79" i="7"/>
  <c r="CF79" i="7"/>
  <c r="CG79" i="7"/>
  <c r="CH79" i="7"/>
  <c r="CI79" i="7"/>
  <c r="CJ79" i="7"/>
  <c r="CK79" i="7"/>
  <c r="CL79" i="7"/>
  <c r="CM79" i="7"/>
  <c r="CN79" i="7"/>
  <c r="CO79" i="7"/>
  <c r="CP79" i="7"/>
  <c r="CQ79" i="7"/>
  <c r="CR79" i="7"/>
  <c r="CS79" i="7"/>
  <c r="CT79" i="7"/>
  <c r="CU79" i="7"/>
  <c r="CV79" i="7"/>
  <c r="CW79" i="7"/>
  <c r="CX79" i="7"/>
  <c r="CY79" i="7"/>
  <c r="CZ79" i="7"/>
  <c r="DA79" i="7"/>
  <c r="DB79" i="7"/>
  <c r="DC79" i="7"/>
  <c r="DD79" i="7"/>
  <c r="DE79" i="7"/>
  <c r="DF79" i="7"/>
  <c r="DG79" i="7"/>
  <c r="DH79" i="7"/>
  <c r="DI79" i="7"/>
  <c r="DJ79" i="7"/>
  <c r="DK79" i="7"/>
  <c r="DL79" i="7"/>
  <c r="DM79" i="7"/>
  <c r="DN79" i="7"/>
  <c r="DO79" i="7"/>
  <c r="DP79" i="7"/>
  <c r="DQ79" i="7"/>
  <c r="DR79" i="7"/>
  <c r="DS79" i="7"/>
  <c r="DT79" i="7"/>
  <c r="DU79" i="7"/>
  <c r="DV79" i="7"/>
  <c r="DW79" i="7"/>
  <c r="DX79" i="7"/>
  <c r="DY79" i="7"/>
  <c r="DZ79" i="7"/>
  <c r="EA79" i="7"/>
  <c r="EB79" i="7"/>
  <c r="EC79" i="7"/>
  <c r="ED79" i="7"/>
  <c r="EE79" i="7"/>
  <c r="EF79" i="7"/>
  <c r="EG79" i="7"/>
  <c r="EH79" i="7"/>
  <c r="EI79" i="7"/>
  <c r="EJ79" i="7"/>
  <c r="EK79" i="7"/>
  <c r="EL79" i="7"/>
  <c r="EM79" i="7"/>
  <c r="EN79" i="7"/>
  <c r="EO79" i="7"/>
  <c r="EP79" i="7"/>
  <c r="EQ79" i="7"/>
  <c r="ER79" i="7"/>
  <c r="ES79" i="7"/>
  <c r="ET79" i="7"/>
  <c r="EU79" i="7"/>
  <c r="EV79" i="7"/>
  <c r="EW79" i="7"/>
  <c r="EX79" i="7"/>
  <c r="EY79" i="7"/>
  <c r="EZ79" i="7"/>
  <c r="FA79" i="7"/>
  <c r="FB79" i="7"/>
  <c r="FC79" i="7"/>
  <c r="FD79" i="7"/>
  <c r="FE79" i="7"/>
  <c r="FF79" i="7"/>
  <c r="FG79" i="7"/>
  <c r="FH79" i="7"/>
  <c r="FI79" i="7"/>
  <c r="FJ79" i="7"/>
  <c r="FK79" i="7"/>
  <c r="FL79" i="7"/>
  <c r="FM79" i="7"/>
  <c r="FN79" i="7"/>
  <c r="FO79" i="7"/>
  <c r="FP79" i="7"/>
  <c r="FQ79" i="7"/>
  <c r="FR79" i="7"/>
  <c r="FS79" i="7"/>
  <c r="FT79" i="7"/>
  <c r="FU79" i="7"/>
  <c r="FV79" i="7"/>
  <c r="FW79" i="7"/>
  <c r="FX79" i="7"/>
  <c r="FY79" i="7"/>
  <c r="FZ79" i="7"/>
  <c r="GA79" i="7"/>
  <c r="GB79" i="7"/>
  <c r="GC79" i="7"/>
  <c r="GD79" i="7"/>
  <c r="GE79" i="7"/>
  <c r="GF79" i="7"/>
  <c r="GG79" i="7"/>
  <c r="GH79" i="7"/>
  <c r="GI79" i="7"/>
  <c r="GJ79" i="7"/>
  <c r="GK79" i="7"/>
  <c r="GL79" i="7"/>
  <c r="GM79" i="7"/>
  <c r="GN79" i="7"/>
  <c r="GO79" i="7"/>
  <c r="GP79" i="7"/>
  <c r="GQ79" i="7"/>
  <c r="GR79" i="7"/>
  <c r="GS79" i="7"/>
  <c r="GT79" i="7"/>
  <c r="GU79" i="7"/>
  <c r="GV79" i="7"/>
  <c r="GW79" i="7"/>
  <c r="GX79" i="7"/>
  <c r="GY79" i="7"/>
  <c r="GZ79" i="7"/>
  <c r="HA79" i="7"/>
  <c r="HB79" i="7"/>
  <c r="HC79" i="7"/>
  <c r="HD79" i="7"/>
  <c r="HE79" i="7"/>
  <c r="HF79" i="7"/>
  <c r="HG79" i="7"/>
  <c r="HH79" i="7"/>
  <c r="HI79" i="7"/>
  <c r="HJ79" i="7"/>
  <c r="HK79" i="7"/>
  <c r="HL79" i="7"/>
  <c r="HM79" i="7"/>
  <c r="HN79" i="7"/>
  <c r="HO79" i="7"/>
  <c r="HP79" i="7"/>
  <c r="HQ79" i="7"/>
  <c r="HR79" i="7"/>
  <c r="HS79" i="7"/>
  <c r="HT79" i="7"/>
  <c r="HU79" i="7"/>
  <c r="HV79" i="7"/>
  <c r="HW79" i="7"/>
  <c r="HX79" i="7"/>
  <c r="HY79" i="7"/>
  <c r="HZ79" i="7"/>
  <c r="IA79" i="7"/>
  <c r="IB79" i="7"/>
  <c r="IC79" i="7"/>
  <c r="ID79" i="7"/>
  <c r="IE79" i="7"/>
  <c r="IF79" i="7"/>
  <c r="IG79" i="7"/>
  <c r="IH79" i="7"/>
  <c r="II79" i="7"/>
  <c r="IJ79" i="7"/>
  <c r="IK79" i="7"/>
  <c r="IL79" i="7"/>
  <c r="IM79" i="7"/>
  <c r="IN79" i="7"/>
  <c r="IO79" i="7"/>
  <c r="IP79" i="7"/>
  <c r="IQ79" i="7"/>
  <c r="IR79" i="7"/>
  <c r="IS79" i="7"/>
  <c r="IT79" i="7"/>
  <c r="IU79" i="7"/>
  <c r="IV79" i="7"/>
  <c r="A78" i="7"/>
  <c r="B78" i="7"/>
  <c r="C78" i="7"/>
  <c r="D78" i="7"/>
  <c r="E78" i="7"/>
  <c r="F78" i="7"/>
  <c r="G78" i="7"/>
  <c r="H78" i="7"/>
  <c r="I78" i="7"/>
  <c r="J78" i="7"/>
  <c r="K78" i="7"/>
  <c r="L78" i="7"/>
  <c r="M78" i="7"/>
  <c r="N78" i="7"/>
  <c r="O78" i="7"/>
  <c r="P78" i="7"/>
  <c r="Q78" i="7"/>
  <c r="R78" i="7"/>
  <c r="S78" i="7"/>
  <c r="T78" i="7"/>
  <c r="U78" i="7"/>
  <c r="V78" i="7"/>
  <c r="W78" i="7"/>
  <c r="X78" i="7"/>
  <c r="Y78" i="7"/>
  <c r="Z78" i="7"/>
  <c r="AA78" i="7"/>
  <c r="AB78" i="7"/>
  <c r="AC78" i="7"/>
  <c r="AD78" i="7"/>
  <c r="AE78" i="7"/>
  <c r="AF78" i="7"/>
  <c r="AG78" i="7"/>
  <c r="AH78" i="7"/>
  <c r="AI78" i="7"/>
  <c r="AJ78" i="7"/>
  <c r="AK78" i="7"/>
  <c r="AL78" i="7"/>
  <c r="AM78" i="7"/>
  <c r="AN78" i="7"/>
  <c r="AO78" i="7"/>
  <c r="AP78" i="7"/>
  <c r="AQ78" i="7"/>
  <c r="AR78" i="7"/>
  <c r="AS78" i="7"/>
  <c r="AT78" i="7"/>
  <c r="AU78" i="7"/>
  <c r="AV78" i="7"/>
  <c r="AW78" i="7"/>
  <c r="AX78" i="7"/>
  <c r="AY78" i="7"/>
  <c r="AZ78" i="7"/>
  <c r="BA78" i="7"/>
  <c r="BB78" i="7"/>
  <c r="BC78" i="7"/>
  <c r="BD78" i="7"/>
  <c r="BE78" i="7"/>
  <c r="BF78" i="7"/>
  <c r="BG78" i="7"/>
  <c r="BH78" i="7"/>
  <c r="BI78" i="7"/>
  <c r="BJ78" i="7"/>
  <c r="BK78" i="7"/>
  <c r="BL78" i="7"/>
  <c r="BM78" i="7"/>
  <c r="BN78" i="7"/>
  <c r="BO78" i="7"/>
  <c r="BP78" i="7"/>
  <c r="BQ78" i="7"/>
  <c r="BR78" i="7"/>
  <c r="BS78" i="7"/>
  <c r="BT78" i="7"/>
  <c r="BU78" i="7"/>
  <c r="BV78" i="7"/>
  <c r="BW78" i="7"/>
  <c r="BX78" i="7"/>
  <c r="BY78" i="7"/>
  <c r="BZ78" i="7"/>
  <c r="CA78" i="7"/>
  <c r="CB78" i="7"/>
  <c r="CC78" i="7"/>
  <c r="CD78" i="7"/>
  <c r="CE78" i="7"/>
  <c r="CF78" i="7"/>
  <c r="CG78" i="7"/>
  <c r="CH78" i="7"/>
  <c r="CI78" i="7"/>
  <c r="CJ78" i="7"/>
  <c r="CK78" i="7"/>
  <c r="CL78" i="7"/>
  <c r="CM78" i="7"/>
  <c r="CN78" i="7"/>
  <c r="CO78" i="7"/>
  <c r="CP78" i="7"/>
  <c r="CQ78" i="7"/>
  <c r="CR78" i="7"/>
  <c r="CS78" i="7"/>
  <c r="CT78" i="7"/>
  <c r="CU78" i="7"/>
  <c r="CV78" i="7"/>
  <c r="CW78" i="7"/>
  <c r="CX78" i="7"/>
  <c r="CY78" i="7"/>
  <c r="CZ78" i="7"/>
  <c r="DA78" i="7"/>
  <c r="DB78" i="7"/>
  <c r="DC78" i="7"/>
  <c r="DD78" i="7"/>
  <c r="DE78" i="7"/>
  <c r="DF78" i="7"/>
  <c r="DG78" i="7"/>
  <c r="DH78" i="7"/>
  <c r="DI78" i="7"/>
  <c r="DJ78" i="7"/>
  <c r="DK78" i="7"/>
  <c r="DL78" i="7"/>
  <c r="DM78" i="7"/>
  <c r="DN78" i="7"/>
  <c r="DO78" i="7"/>
  <c r="DP78" i="7"/>
  <c r="DQ78" i="7"/>
  <c r="DR78" i="7"/>
  <c r="DS78" i="7"/>
  <c r="DT78" i="7"/>
  <c r="DU78" i="7"/>
  <c r="DV78" i="7"/>
  <c r="DW78" i="7"/>
  <c r="DX78" i="7"/>
  <c r="DY78" i="7"/>
  <c r="DZ78" i="7"/>
  <c r="EA78" i="7"/>
  <c r="EB78" i="7"/>
  <c r="EC78" i="7"/>
  <c r="ED78" i="7"/>
  <c r="EE78" i="7"/>
  <c r="EF78" i="7"/>
  <c r="EG78" i="7"/>
  <c r="EH78" i="7"/>
  <c r="EI78" i="7"/>
  <c r="EJ78" i="7"/>
  <c r="EK78" i="7"/>
  <c r="EL78" i="7"/>
  <c r="EM78" i="7"/>
  <c r="EN78" i="7"/>
  <c r="EO78" i="7"/>
  <c r="EP78" i="7"/>
  <c r="EQ78" i="7"/>
  <c r="ER78" i="7"/>
  <c r="ES78" i="7"/>
  <c r="ET78" i="7"/>
  <c r="EU78" i="7"/>
  <c r="EV78" i="7"/>
  <c r="EW78" i="7"/>
  <c r="EX78" i="7"/>
  <c r="EY78" i="7"/>
  <c r="EZ78" i="7"/>
  <c r="FA78" i="7"/>
  <c r="FB78" i="7"/>
  <c r="FC78" i="7"/>
  <c r="FD78" i="7"/>
  <c r="FE78" i="7"/>
  <c r="FF78" i="7"/>
  <c r="FG78" i="7"/>
  <c r="FH78" i="7"/>
  <c r="FI78" i="7"/>
  <c r="FJ78" i="7"/>
  <c r="FK78" i="7"/>
  <c r="FL78" i="7"/>
  <c r="FM78" i="7"/>
  <c r="FN78" i="7"/>
  <c r="FO78" i="7"/>
  <c r="FP78" i="7"/>
  <c r="FQ78" i="7"/>
  <c r="FR78" i="7"/>
  <c r="FS78" i="7"/>
  <c r="FT78" i="7"/>
  <c r="FU78" i="7"/>
  <c r="FV78" i="7"/>
  <c r="FW78" i="7"/>
  <c r="FX78" i="7"/>
  <c r="FY78" i="7"/>
  <c r="FZ78" i="7"/>
  <c r="GA78" i="7"/>
  <c r="GB78" i="7"/>
  <c r="GC78" i="7"/>
  <c r="GD78" i="7"/>
  <c r="GE78" i="7"/>
  <c r="GF78" i="7"/>
  <c r="GG78" i="7"/>
  <c r="GH78" i="7"/>
  <c r="GI78" i="7"/>
  <c r="GJ78" i="7"/>
  <c r="GK78" i="7"/>
  <c r="GL78" i="7"/>
  <c r="GM78" i="7"/>
  <c r="GN78" i="7"/>
  <c r="GO78" i="7"/>
  <c r="GP78" i="7"/>
  <c r="GQ78" i="7"/>
  <c r="GR78" i="7"/>
  <c r="GS78" i="7"/>
  <c r="GT78" i="7"/>
  <c r="GU78" i="7"/>
  <c r="GV78" i="7"/>
  <c r="GW78" i="7"/>
  <c r="GX78" i="7"/>
  <c r="GY78" i="7"/>
  <c r="GZ78" i="7"/>
  <c r="HA78" i="7"/>
  <c r="HB78" i="7"/>
  <c r="HC78" i="7"/>
  <c r="HD78" i="7"/>
  <c r="HE78" i="7"/>
  <c r="HF78" i="7"/>
  <c r="HG78" i="7"/>
  <c r="HH78" i="7"/>
  <c r="HI78" i="7"/>
  <c r="HJ78" i="7"/>
  <c r="HK78" i="7"/>
  <c r="HL78" i="7"/>
  <c r="HM78" i="7"/>
  <c r="HN78" i="7"/>
  <c r="HO78" i="7"/>
  <c r="HP78" i="7"/>
  <c r="HQ78" i="7"/>
  <c r="HR78" i="7"/>
  <c r="HS78" i="7"/>
  <c r="HT78" i="7"/>
  <c r="HU78" i="7"/>
  <c r="HV78" i="7"/>
  <c r="HW78" i="7"/>
  <c r="HX78" i="7"/>
  <c r="HY78" i="7"/>
  <c r="HZ78" i="7"/>
  <c r="IA78" i="7"/>
  <c r="IB78" i="7"/>
  <c r="IC78" i="7"/>
  <c r="ID78" i="7"/>
  <c r="IE78" i="7"/>
  <c r="IF78" i="7"/>
  <c r="IG78" i="7"/>
  <c r="IH78" i="7"/>
  <c r="II78" i="7"/>
  <c r="IJ78" i="7"/>
  <c r="IK78" i="7"/>
  <c r="IL78" i="7"/>
  <c r="IM78" i="7"/>
  <c r="IN78" i="7"/>
  <c r="IO78" i="7"/>
  <c r="IP78" i="7"/>
  <c r="IQ78" i="7"/>
  <c r="IR78" i="7"/>
  <c r="IS78" i="7"/>
  <c r="IT78" i="7"/>
  <c r="IU78" i="7"/>
  <c r="IV78" i="7"/>
  <c r="GU41" i="7"/>
  <c r="GR41" i="7"/>
  <c r="A77" i="7"/>
  <c r="B77" i="7"/>
  <c r="C77" i="7"/>
  <c r="D77" i="7"/>
  <c r="E77" i="7"/>
  <c r="F77" i="7"/>
  <c r="G77" i="7"/>
  <c r="H77" i="7"/>
  <c r="I77" i="7"/>
  <c r="J77" i="7"/>
  <c r="K77" i="7"/>
  <c r="L77" i="7"/>
  <c r="M77" i="7"/>
  <c r="N77" i="7"/>
  <c r="O77" i="7"/>
  <c r="P77" i="7"/>
  <c r="Q77" i="7"/>
  <c r="R77" i="7"/>
  <c r="S77" i="7"/>
  <c r="T77" i="7"/>
  <c r="U77" i="7"/>
  <c r="V77" i="7"/>
  <c r="W77" i="7"/>
  <c r="X77" i="7"/>
  <c r="Y77" i="7"/>
  <c r="Z77" i="7"/>
  <c r="AA77" i="7"/>
  <c r="AB77" i="7"/>
  <c r="AC77" i="7"/>
  <c r="AD77" i="7"/>
  <c r="AE77" i="7"/>
  <c r="AF77" i="7"/>
  <c r="AG77" i="7"/>
  <c r="AH77" i="7"/>
  <c r="AI77" i="7"/>
  <c r="AJ77" i="7"/>
  <c r="AK77" i="7"/>
  <c r="AL77" i="7"/>
  <c r="AM77" i="7"/>
  <c r="AN77" i="7"/>
  <c r="AO77" i="7"/>
  <c r="AP77" i="7"/>
  <c r="AQ77" i="7"/>
  <c r="AR77" i="7"/>
  <c r="AS77" i="7"/>
  <c r="AT77" i="7"/>
  <c r="AU77" i="7"/>
  <c r="AV77" i="7"/>
  <c r="AW77" i="7"/>
  <c r="AX77" i="7"/>
  <c r="AY77" i="7"/>
  <c r="AZ77" i="7"/>
  <c r="BA77" i="7"/>
  <c r="BB77" i="7"/>
  <c r="A76" i="7"/>
  <c r="B76" i="7"/>
  <c r="C76" i="7"/>
  <c r="D76" i="7"/>
  <c r="E76" i="7"/>
  <c r="F76" i="7"/>
  <c r="G76" i="7"/>
  <c r="H76" i="7"/>
  <c r="I76" i="7"/>
  <c r="J76" i="7"/>
  <c r="K76" i="7"/>
  <c r="L76" i="7"/>
  <c r="M76" i="7"/>
  <c r="N76" i="7"/>
  <c r="O76" i="7"/>
  <c r="P76" i="7"/>
  <c r="Q76" i="7"/>
  <c r="R76" i="7"/>
  <c r="S76" i="7"/>
  <c r="T76" i="7"/>
  <c r="U76" i="7"/>
  <c r="V76" i="7"/>
  <c r="W76" i="7"/>
  <c r="X76" i="7"/>
  <c r="Y76" i="7"/>
  <c r="Z76" i="7"/>
  <c r="AA76" i="7"/>
  <c r="AB76" i="7"/>
  <c r="A75" i="7"/>
  <c r="B75" i="7"/>
  <c r="C75" i="7"/>
  <c r="D75" i="7"/>
  <c r="E75" i="7"/>
  <c r="F75" i="7"/>
  <c r="G75" i="7"/>
  <c r="H75" i="7"/>
  <c r="I75" i="7"/>
  <c r="J75" i="7"/>
  <c r="K75" i="7"/>
  <c r="L75" i="7"/>
  <c r="M75" i="7"/>
  <c r="N75" i="7"/>
  <c r="O75" i="7"/>
  <c r="P75" i="7"/>
  <c r="Q75" i="7"/>
  <c r="R75" i="7"/>
  <c r="S75" i="7"/>
  <c r="T75" i="7"/>
  <c r="U75" i="7"/>
  <c r="V75" i="7"/>
  <c r="W75" i="7"/>
  <c r="X75" i="7"/>
  <c r="Y75" i="7"/>
  <c r="Z75" i="7"/>
  <c r="AA75" i="7"/>
  <c r="AB75" i="7"/>
  <c r="AC75" i="7"/>
  <c r="AD75" i="7"/>
  <c r="AE75" i="7"/>
  <c r="AF75" i="7"/>
  <c r="AG75" i="7"/>
  <c r="AH75" i="7"/>
  <c r="AI75" i="7"/>
  <c r="AJ75" i="7"/>
  <c r="AK75" i="7"/>
  <c r="AL75" i="7"/>
  <c r="AM75" i="7"/>
  <c r="AN75" i="7"/>
  <c r="AO75" i="7"/>
  <c r="AP75" i="7"/>
  <c r="AQ75" i="7"/>
  <c r="AR75" i="7"/>
  <c r="AS75" i="7"/>
  <c r="AT75" i="7"/>
  <c r="AU75" i="7"/>
  <c r="AV75" i="7"/>
  <c r="AW75" i="7"/>
  <c r="AX75" i="7"/>
  <c r="AY75" i="7"/>
  <c r="AZ75" i="7"/>
  <c r="BA75" i="7"/>
  <c r="BB75" i="7"/>
  <c r="BC75" i="7"/>
  <c r="BD75" i="7"/>
  <c r="BE75" i="7"/>
  <c r="BF75" i="7"/>
  <c r="BG75" i="7"/>
  <c r="BH75" i="7"/>
  <c r="BI75" i="7"/>
  <c r="BJ75" i="7"/>
  <c r="BK75" i="7"/>
  <c r="BL75" i="7"/>
  <c r="BM75" i="7"/>
  <c r="BN75" i="7"/>
  <c r="BO75" i="7"/>
  <c r="BP75" i="7"/>
  <c r="BQ75" i="7"/>
  <c r="BR75" i="7"/>
  <c r="BS75" i="7"/>
  <c r="BT75" i="7"/>
  <c r="BU75" i="7"/>
  <c r="BV75" i="7"/>
  <c r="BW75" i="7"/>
  <c r="BX75" i="7"/>
  <c r="BY75" i="7"/>
  <c r="BZ75" i="7"/>
  <c r="CA75" i="7"/>
  <c r="CB75" i="7"/>
  <c r="CC75" i="7"/>
  <c r="CD75" i="7"/>
  <c r="CE75" i="7"/>
  <c r="CF75" i="7"/>
  <c r="CG75" i="7"/>
  <c r="CH75" i="7"/>
  <c r="CI75" i="7"/>
  <c r="CJ75" i="7"/>
  <c r="CK75" i="7"/>
  <c r="CL75" i="7"/>
  <c r="CM75" i="7"/>
  <c r="CN75" i="7"/>
  <c r="CO75" i="7"/>
  <c r="CP75" i="7"/>
  <c r="CQ75" i="7"/>
  <c r="CR75" i="7"/>
  <c r="CS75" i="7"/>
  <c r="CT75" i="7"/>
  <c r="CU75" i="7"/>
  <c r="CV75" i="7"/>
  <c r="A74" i="7"/>
  <c r="B74" i="7"/>
  <c r="C74" i="7"/>
  <c r="D74" i="7"/>
  <c r="E74" i="7"/>
  <c r="F74" i="7"/>
  <c r="G74" i="7"/>
  <c r="H74" i="7"/>
  <c r="I74" i="7"/>
  <c r="J74" i="7"/>
  <c r="K74" i="7"/>
  <c r="L74" i="7"/>
  <c r="M74" i="7"/>
  <c r="N74" i="7"/>
  <c r="O74" i="7"/>
  <c r="P74" i="7"/>
  <c r="Q74" i="7"/>
  <c r="R74" i="7"/>
  <c r="S74" i="7"/>
  <c r="T74" i="7"/>
  <c r="U74" i="7"/>
  <c r="V74" i="7"/>
  <c r="W74" i="7"/>
  <c r="X74" i="7"/>
  <c r="Y74" i="7"/>
  <c r="Z74" i="7"/>
  <c r="AA74" i="7"/>
  <c r="AB74" i="7"/>
  <c r="AC74" i="7"/>
  <c r="AD74" i="7"/>
  <c r="AE74" i="7"/>
  <c r="AF74" i="7"/>
  <c r="AG74" i="7"/>
  <c r="AH74" i="7"/>
  <c r="AI74" i="7"/>
  <c r="AJ74" i="7"/>
  <c r="AK74" i="7"/>
  <c r="AL74" i="7"/>
  <c r="AM74" i="7"/>
  <c r="AN74" i="7"/>
  <c r="AO74" i="7"/>
  <c r="AP74" i="7"/>
  <c r="AQ74" i="7"/>
  <c r="AR74" i="7"/>
  <c r="AS74" i="7"/>
  <c r="AT74" i="7"/>
  <c r="AU74" i="7"/>
  <c r="AV74" i="7"/>
  <c r="AW74" i="7"/>
  <c r="AX74" i="7"/>
  <c r="AY74" i="7"/>
  <c r="AZ74" i="7"/>
  <c r="BA74" i="7"/>
  <c r="BB74" i="7"/>
  <c r="BC74" i="7"/>
  <c r="BD74" i="7"/>
  <c r="BE74" i="7"/>
  <c r="BF74" i="7"/>
  <c r="BG74" i="7"/>
  <c r="BH74" i="7"/>
  <c r="BI74" i="7"/>
  <c r="BJ74" i="7"/>
  <c r="BK74" i="7"/>
  <c r="BL74" i="7"/>
  <c r="BM74" i="7"/>
  <c r="BN74" i="7"/>
  <c r="BO74" i="7"/>
  <c r="BP74" i="7"/>
  <c r="BQ74" i="7"/>
  <c r="BR74" i="7"/>
  <c r="BS74" i="7"/>
  <c r="BT74" i="7"/>
  <c r="BU74" i="7"/>
  <c r="BV74" i="7"/>
  <c r="BW74" i="7"/>
  <c r="BX74" i="7"/>
  <c r="BY74" i="7"/>
  <c r="BZ74" i="7"/>
  <c r="CA74" i="7"/>
  <c r="CB74" i="7"/>
  <c r="CC74" i="7"/>
  <c r="CD74" i="7"/>
  <c r="CE74" i="7"/>
  <c r="CF74" i="7"/>
  <c r="CG74" i="7"/>
  <c r="CH74" i="7"/>
  <c r="CI74" i="7"/>
  <c r="CJ74" i="7"/>
  <c r="CK74" i="7"/>
  <c r="CL74" i="7"/>
  <c r="CM74" i="7"/>
  <c r="CN74" i="7"/>
  <c r="CO74" i="7"/>
  <c r="CP74" i="7"/>
  <c r="CQ74" i="7"/>
  <c r="CR74" i="7"/>
  <c r="CS74" i="7"/>
  <c r="CT74" i="7"/>
  <c r="CU74" i="7"/>
  <c r="CV74" i="7"/>
  <c r="CW74" i="7"/>
  <c r="CX74" i="7"/>
  <c r="CY74" i="7"/>
  <c r="CZ74" i="7"/>
  <c r="DA74" i="7"/>
  <c r="DB74" i="7"/>
  <c r="DC74" i="7"/>
  <c r="DD74" i="7"/>
  <c r="DE74" i="7"/>
  <c r="DF74" i="7"/>
  <c r="DG74" i="7"/>
  <c r="DH74" i="7"/>
  <c r="DI74" i="7"/>
  <c r="DJ74" i="7"/>
  <c r="DK74" i="7"/>
  <c r="DL74" i="7"/>
  <c r="DM74" i="7"/>
  <c r="DN74" i="7"/>
  <c r="DO74" i="7"/>
  <c r="DP74" i="7"/>
  <c r="DQ74" i="7"/>
  <c r="DR74" i="7"/>
  <c r="DS74" i="7"/>
  <c r="DT74" i="7"/>
  <c r="DU74" i="7"/>
  <c r="DV74" i="7"/>
  <c r="DW74" i="7"/>
  <c r="DX74" i="7"/>
  <c r="DY74" i="7"/>
  <c r="DZ74" i="7"/>
  <c r="EA74" i="7"/>
  <c r="EB74" i="7"/>
  <c r="EC74" i="7"/>
  <c r="ED74" i="7"/>
  <c r="EE74" i="7"/>
  <c r="EF74" i="7"/>
  <c r="EG74" i="7"/>
  <c r="EH74" i="7"/>
  <c r="EI74" i="7"/>
  <c r="EJ74" i="7"/>
  <c r="EK74" i="7"/>
  <c r="EL74" i="7"/>
  <c r="EM74" i="7"/>
  <c r="EN74" i="7"/>
  <c r="EO74" i="7"/>
  <c r="EP74" i="7"/>
  <c r="EQ74" i="7"/>
  <c r="ER74" i="7"/>
  <c r="ES74" i="7"/>
  <c r="ET74" i="7"/>
  <c r="EU74" i="7"/>
  <c r="EV74" i="7"/>
  <c r="EW74" i="7"/>
  <c r="EX74" i="7"/>
  <c r="EY74" i="7"/>
  <c r="EZ74" i="7"/>
  <c r="FA74" i="7"/>
  <c r="FB74" i="7"/>
  <c r="FC74" i="7"/>
  <c r="FD74" i="7"/>
  <c r="FE74" i="7"/>
  <c r="FF74" i="7"/>
  <c r="FG74" i="7"/>
  <c r="FH74" i="7"/>
  <c r="FI74" i="7"/>
  <c r="FJ74" i="7"/>
  <c r="FK74" i="7"/>
  <c r="FL74" i="7"/>
  <c r="FM74" i="7"/>
  <c r="FN74" i="7"/>
  <c r="FO74" i="7"/>
  <c r="FP74" i="7"/>
  <c r="FQ74" i="7"/>
  <c r="FR74" i="7"/>
  <c r="FS74" i="7"/>
  <c r="FT74" i="7"/>
  <c r="FU74" i="7"/>
  <c r="FV74" i="7"/>
  <c r="FW74" i="7"/>
  <c r="FX74" i="7"/>
  <c r="FY74" i="7"/>
  <c r="FZ74" i="7"/>
  <c r="GA74" i="7"/>
  <c r="GB74" i="7"/>
  <c r="GC74" i="7"/>
  <c r="GD74" i="7"/>
  <c r="GE74" i="7"/>
  <c r="GF74" i="7"/>
  <c r="GG74" i="7"/>
  <c r="GH74" i="7"/>
  <c r="GI74" i="7"/>
  <c r="GJ74" i="7"/>
  <c r="GK74" i="7"/>
  <c r="GL74" i="7"/>
  <c r="GM74" i="7"/>
  <c r="GN74" i="7"/>
  <c r="GO74" i="7"/>
  <c r="GP74" i="7"/>
  <c r="GQ74" i="7"/>
  <c r="GR74" i="7"/>
  <c r="GS74" i="7"/>
  <c r="GT74" i="7"/>
  <c r="GU74" i="7"/>
  <c r="GV74" i="7"/>
  <c r="GW74" i="7"/>
  <c r="GX74" i="7"/>
  <c r="GY74" i="7"/>
  <c r="GZ74" i="7"/>
  <c r="HA74" i="7"/>
  <c r="HB74" i="7"/>
  <c r="HC74" i="7"/>
  <c r="HD74" i="7"/>
  <c r="HE74" i="7"/>
  <c r="HF74" i="7"/>
  <c r="HG74" i="7"/>
  <c r="HH74" i="7"/>
  <c r="HI74" i="7"/>
  <c r="HJ74" i="7"/>
  <c r="HK74" i="7"/>
  <c r="HL74" i="7"/>
  <c r="HM74" i="7"/>
  <c r="HN74" i="7"/>
  <c r="HO74" i="7"/>
  <c r="HP74" i="7"/>
  <c r="HQ74" i="7"/>
  <c r="HR74" i="7"/>
  <c r="HS74" i="7"/>
  <c r="HT74" i="7"/>
  <c r="HU74" i="7"/>
  <c r="HV74" i="7"/>
  <c r="HW74" i="7"/>
  <c r="HX74" i="7"/>
  <c r="HY74" i="7"/>
  <c r="HZ74" i="7"/>
  <c r="IA74" i="7"/>
  <c r="IB74" i="7"/>
  <c r="IC74" i="7"/>
  <c r="ID74" i="7"/>
  <c r="IE74" i="7"/>
  <c r="IF74" i="7"/>
  <c r="IG74" i="7"/>
  <c r="IH74" i="7"/>
  <c r="II74" i="7"/>
  <c r="IJ74" i="7"/>
  <c r="IK74" i="7"/>
  <c r="IL74" i="7"/>
  <c r="IM74" i="7"/>
  <c r="IN74" i="7"/>
  <c r="IO74" i="7"/>
  <c r="IP74" i="7"/>
  <c r="IQ74" i="7"/>
  <c r="IR74" i="7"/>
  <c r="IS74" i="7"/>
  <c r="IT74" i="7"/>
  <c r="IU74" i="7"/>
  <c r="IV74" i="7"/>
  <c r="A73" i="7"/>
  <c r="B73" i="7"/>
  <c r="C73" i="7"/>
  <c r="D73" i="7"/>
  <c r="E73" i="7"/>
  <c r="F73" i="7"/>
  <c r="G73" i="7"/>
  <c r="H73" i="7"/>
  <c r="I73" i="7"/>
  <c r="J73" i="7"/>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FO73" i="7"/>
  <c r="FP73" i="7"/>
  <c r="FQ73" i="7"/>
  <c r="FR73" i="7"/>
  <c r="FS73" i="7"/>
  <c r="FT73" i="7"/>
  <c r="FU73" i="7"/>
  <c r="FV73" i="7"/>
  <c r="FW73" i="7"/>
  <c r="FX73" i="7"/>
  <c r="FY73" i="7"/>
  <c r="FZ73" i="7"/>
  <c r="GA73" i="7"/>
  <c r="GB73" i="7"/>
  <c r="GC73" i="7"/>
  <c r="GD73" i="7"/>
  <c r="GE73" i="7"/>
  <c r="GF73" i="7"/>
  <c r="GG73" i="7"/>
  <c r="GH73" i="7"/>
  <c r="GI73" i="7"/>
  <c r="GJ73" i="7"/>
  <c r="GK73" i="7"/>
  <c r="GL73" i="7"/>
  <c r="GM73" i="7"/>
  <c r="GN73" i="7"/>
  <c r="GO73" i="7"/>
  <c r="GP73" i="7"/>
  <c r="GQ73" i="7"/>
  <c r="GR73" i="7"/>
  <c r="GS73" i="7"/>
  <c r="GT73" i="7"/>
  <c r="GU73" i="7"/>
  <c r="GV73" i="7"/>
  <c r="GW73" i="7"/>
  <c r="GX73" i="7"/>
  <c r="GY73" i="7"/>
  <c r="GZ73" i="7"/>
  <c r="HA73" i="7"/>
  <c r="HB73" i="7"/>
  <c r="HC73" i="7"/>
  <c r="HD73" i="7"/>
  <c r="HE73" i="7"/>
  <c r="HF73" i="7"/>
  <c r="HG73" i="7"/>
  <c r="HH73" i="7"/>
  <c r="HI73" i="7"/>
  <c r="HJ73" i="7"/>
  <c r="HK73" i="7"/>
  <c r="HL73" i="7"/>
  <c r="HM73" i="7"/>
  <c r="HN73" i="7"/>
  <c r="HO73" i="7"/>
  <c r="HP73" i="7"/>
  <c r="HQ73" i="7"/>
  <c r="HR73" i="7"/>
  <c r="HS73" i="7"/>
  <c r="HT73" i="7"/>
  <c r="HU73" i="7"/>
  <c r="HV73" i="7"/>
  <c r="HW73" i="7"/>
  <c r="HX73" i="7"/>
  <c r="HY73" i="7"/>
  <c r="HZ73" i="7"/>
  <c r="IA73" i="7"/>
  <c r="IB73" i="7"/>
  <c r="IC73" i="7"/>
  <c r="ID73" i="7"/>
  <c r="IE73" i="7"/>
  <c r="IF73" i="7"/>
  <c r="IG73" i="7"/>
  <c r="IH73" i="7"/>
  <c r="II73" i="7"/>
  <c r="IJ73" i="7"/>
  <c r="IK73" i="7"/>
  <c r="IL73" i="7"/>
  <c r="IM73" i="7"/>
  <c r="IN73" i="7"/>
  <c r="IO73" i="7"/>
  <c r="IP73" i="7"/>
  <c r="IQ73" i="7"/>
  <c r="IR73" i="7"/>
  <c r="IS73" i="7"/>
  <c r="IT73" i="7"/>
  <c r="IU73" i="7"/>
  <c r="IV73" i="7"/>
  <c r="A72" i="7"/>
  <c r="B72" i="7"/>
  <c r="C72" i="7"/>
  <c r="D72" i="7"/>
  <c r="E72" i="7"/>
  <c r="F72" i="7"/>
  <c r="G72" i="7"/>
  <c r="H72" i="7"/>
  <c r="I72" i="7"/>
  <c r="J72" i="7"/>
  <c r="K72" i="7"/>
  <c r="L72" i="7"/>
  <c r="M72" i="7"/>
  <c r="N72" i="7"/>
  <c r="O72" i="7"/>
  <c r="P72" i="7"/>
  <c r="Q72" i="7"/>
  <c r="R72" i="7"/>
  <c r="S72" i="7"/>
  <c r="T72" i="7"/>
  <c r="U72" i="7"/>
  <c r="V72" i="7"/>
  <c r="W72" i="7"/>
  <c r="X72" i="7"/>
  <c r="Y72" i="7"/>
  <c r="Z72" i="7"/>
  <c r="AA72" i="7"/>
  <c r="AB72" i="7"/>
  <c r="AC72" i="7"/>
  <c r="AD72" i="7"/>
  <c r="AE72" i="7"/>
  <c r="AF72" i="7"/>
  <c r="AG72" i="7"/>
  <c r="AH72" i="7"/>
  <c r="AI72" i="7"/>
  <c r="AJ72" i="7"/>
  <c r="AK72" i="7"/>
  <c r="AL72" i="7"/>
  <c r="AM72" i="7"/>
  <c r="AN72" i="7"/>
  <c r="AO72" i="7"/>
  <c r="AP72" i="7"/>
  <c r="AQ72" i="7"/>
  <c r="AR72" i="7"/>
  <c r="AS72" i="7"/>
  <c r="AT72" i="7"/>
  <c r="AU72" i="7"/>
  <c r="AV72" i="7"/>
  <c r="AW72" i="7"/>
  <c r="AX72" i="7"/>
  <c r="AY72" i="7"/>
  <c r="AZ72" i="7"/>
  <c r="BA72" i="7"/>
  <c r="BB72" i="7"/>
  <c r="BC72" i="7"/>
  <c r="BD72" i="7"/>
  <c r="BE72" i="7"/>
  <c r="BF72" i="7"/>
  <c r="BG72" i="7"/>
  <c r="BH72" i="7"/>
  <c r="BI72" i="7"/>
  <c r="BJ72" i="7"/>
  <c r="BK72" i="7"/>
  <c r="BL72" i="7"/>
  <c r="BM72" i="7"/>
  <c r="BN72" i="7"/>
  <c r="BO72" i="7"/>
  <c r="BP72" i="7"/>
  <c r="BQ72" i="7"/>
  <c r="BR72" i="7"/>
  <c r="BS72" i="7"/>
  <c r="BT72" i="7"/>
  <c r="BU72" i="7"/>
  <c r="BV72" i="7"/>
  <c r="BW72" i="7"/>
  <c r="BX72" i="7"/>
  <c r="BY72" i="7"/>
  <c r="BZ72" i="7"/>
  <c r="CA72" i="7"/>
  <c r="CB72" i="7"/>
  <c r="CC72" i="7"/>
  <c r="CD72" i="7"/>
  <c r="CE72" i="7"/>
  <c r="CF72" i="7"/>
  <c r="CG72" i="7"/>
  <c r="CH72" i="7"/>
  <c r="CI72" i="7"/>
  <c r="CJ72" i="7"/>
  <c r="CK72" i="7"/>
  <c r="CL72" i="7"/>
  <c r="CM72" i="7"/>
  <c r="CN72" i="7"/>
  <c r="CO72" i="7"/>
  <c r="CP72" i="7"/>
  <c r="CQ72" i="7"/>
  <c r="CR72" i="7"/>
  <c r="CS72" i="7"/>
  <c r="CT72" i="7"/>
  <c r="CU72" i="7"/>
  <c r="CV72" i="7"/>
  <c r="CW72" i="7"/>
  <c r="CX72" i="7"/>
  <c r="CY72" i="7"/>
  <c r="CZ72" i="7"/>
  <c r="DA72" i="7"/>
  <c r="DB72" i="7"/>
  <c r="DC72" i="7"/>
  <c r="DD72" i="7"/>
  <c r="DE72" i="7"/>
  <c r="DF72" i="7"/>
  <c r="DG72" i="7"/>
  <c r="DH72" i="7"/>
  <c r="DI72" i="7"/>
  <c r="DJ72" i="7"/>
  <c r="DK72" i="7"/>
  <c r="DL72" i="7"/>
  <c r="DM72" i="7"/>
  <c r="DN72" i="7"/>
  <c r="DO72" i="7"/>
  <c r="DP72" i="7"/>
  <c r="DQ72" i="7"/>
  <c r="DR72" i="7"/>
  <c r="DS72" i="7"/>
  <c r="DT72" i="7"/>
  <c r="DU72" i="7"/>
  <c r="DV72" i="7"/>
  <c r="DW72" i="7"/>
  <c r="DX72" i="7"/>
  <c r="DY72" i="7"/>
  <c r="DZ72" i="7"/>
  <c r="EA72" i="7"/>
  <c r="EB72" i="7"/>
  <c r="EC72" i="7"/>
  <c r="ED72" i="7"/>
  <c r="EE72" i="7"/>
  <c r="EF72" i="7"/>
  <c r="EG72" i="7"/>
  <c r="EH72" i="7"/>
  <c r="EI72" i="7"/>
  <c r="EJ72" i="7"/>
  <c r="EK72" i="7"/>
  <c r="EL72" i="7"/>
  <c r="EM72" i="7"/>
  <c r="EN72" i="7"/>
  <c r="EO72" i="7"/>
  <c r="EP72" i="7"/>
  <c r="EQ72" i="7"/>
  <c r="ER72" i="7"/>
  <c r="ES72" i="7"/>
  <c r="ET72" i="7"/>
  <c r="EU72" i="7"/>
  <c r="EV72" i="7"/>
  <c r="EW72" i="7"/>
  <c r="EX72" i="7"/>
  <c r="EY72" i="7"/>
  <c r="EZ72" i="7"/>
  <c r="FA72" i="7"/>
  <c r="FB72" i="7"/>
  <c r="FC72" i="7"/>
  <c r="FD72" i="7"/>
  <c r="FE72" i="7"/>
  <c r="FF72" i="7"/>
  <c r="FG72" i="7"/>
  <c r="FH72" i="7"/>
  <c r="FI72" i="7"/>
  <c r="FJ72" i="7"/>
  <c r="FK72" i="7"/>
  <c r="FL72" i="7"/>
  <c r="FM72" i="7"/>
  <c r="FN72" i="7"/>
  <c r="FO72" i="7"/>
  <c r="FP72" i="7"/>
  <c r="FQ72" i="7"/>
  <c r="FR72" i="7"/>
  <c r="FS72" i="7"/>
  <c r="FT72" i="7"/>
  <c r="FU72" i="7"/>
  <c r="FV72" i="7"/>
  <c r="FW72" i="7"/>
  <c r="FX72" i="7"/>
  <c r="FY72" i="7"/>
  <c r="FZ72" i="7"/>
  <c r="GA72" i="7"/>
  <c r="GB72" i="7"/>
  <c r="GC72" i="7"/>
  <c r="GD72" i="7"/>
  <c r="GE72" i="7"/>
  <c r="GF72" i="7"/>
  <c r="GG72" i="7"/>
  <c r="GH72" i="7"/>
  <c r="GI72" i="7"/>
  <c r="GJ72" i="7"/>
  <c r="GK72" i="7"/>
  <c r="GL72" i="7"/>
  <c r="GM72" i="7"/>
  <c r="GN72" i="7"/>
  <c r="GO72" i="7"/>
  <c r="GP72" i="7"/>
  <c r="GQ72" i="7"/>
  <c r="GR72" i="7"/>
  <c r="GS72" i="7"/>
  <c r="GT72" i="7"/>
  <c r="GU72" i="7"/>
  <c r="GV72" i="7"/>
  <c r="GW72" i="7"/>
  <c r="GX72" i="7"/>
  <c r="GY72" i="7"/>
  <c r="GZ72" i="7"/>
  <c r="HA72" i="7"/>
  <c r="HB72" i="7"/>
  <c r="HC72" i="7"/>
  <c r="HD72" i="7"/>
  <c r="HE72" i="7"/>
  <c r="HF72" i="7"/>
  <c r="HG72" i="7"/>
  <c r="HH72" i="7"/>
  <c r="HI72" i="7"/>
  <c r="HJ72" i="7"/>
  <c r="HK72" i="7"/>
  <c r="HL72" i="7"/>
  <c r="HM72" i="7"/>
  <c r="HN72" i="7"/>
  <c r="HO72" i="7"/>
  <c r="HP72" i="7"/>
  <c r="HQ72" i="7"/>
  <c r="HR72" i="7"/>
  <c r="HS72" i="7"/>
  <c r="HT72" i="7"/>
  <c r="HU72" i="7"/>
  <c r="HV72" i="7"/>
  <c r="HW72" i="7"/>
  <c r="HX72" i="7"/>
  <c r="HY72" i="7"/>
  <c r="HZ72" i="7"/>
  <c r="IA72" i="7"/>
  <c r="IB72" i="7"/>
  <c r="IC72" i="7"/>
  <c r="ID72" i="7"/>
  <c r="IE72" i="7"/>
  <c r="IF72" i="7"/>
  <c r="IG72" i="7"/>
  <c r="IH72" i="7"/>
  <c r="II72" i="7"/>
  <c r="IJ72" i="7"/>
  <c r="IK72" i="7"/>
  <c r="IL72" i="7"/>
  <c r="IM72" i="7"/>
  <c r="IN72" i="7"/>
  <c r="IO72" i="7"/>
  <c r="IP72" i="7"/>
  <c r="IQ72" i="7"/>
  <c r="IR72" i="7"/>
  <c r="IS72" i="7"/>
  <c r="IT72" i="7"/>
  <c r="IU72" i="7"/>
  <c r="IV72" i="7"/>
  <c r="A71" i="7"/>
  <c r="B71" i="7"/>
  <c r="C71" i="7"/>
  <c r="D71" i="7"/>
  <c r="E71" i="7"/>
  <c r="F71" i="7"/>
  <c r="G71" i="7"/>
  <c r="H71" i="7"/>
  <c r="I71" i="7"/>
  <c r="J71" i="7"/>
  <c r="K71" i="7"/>
  <c r="L71" i="7"/>
  <c r="M71" i="7"/>
  <c r="N71" i="7"/>
  <c r="O71" i="7"/>
  <c r="P71" i="7"/>
  <c r="Q71" i="7"/>
  <c r="R71" i="7"/>
  <c r="S71" i="7"/>
  <c r="T71" i="7"/>
  <c r="U71" i="7"/>
  <c r="V71" i="7"/>
  <c r="W71" i="7"/>
  <c r="X71" i="7"/>
  <c r="Y71" i="7"/>
  <c r="Z71" i="7"/>
  <c r="AA71" i="7"/>
  <c r="AB71" i="7"/>
  <c r="AC71" i="7"/>
  <c r="AD71" i="7"/>
  <c r="AE71" i="7"/>
  <c r="AF71" i="7"/>
  <c r="AG71" i="7"/>
  <c r="AH71" i="7"/>
  <c r="AI71" i="7"/>
  <c r="AJ71" i="7"/>
  <c r="AK71" i="7"/>
  <c r="AL71" i="7"/>
  <c r="AM71" i="7"/>
  <c r="AN71" i="7"/>
  <c r="AO71" i="7"/>
  <c r="AP71" i="7"/>
  <c r="AQ71" i="7"/>
  <c r="AR71" i="7"/>
  <c r="AS71" i="7"/>
  <c r="AT71" i="7"/>
  <c r="AU71" i="7"/>
  <c r="AV71" i="7"/>
  <c r="AW71" i="7"/>
  <c r="AX71" i="7"/>
  <c r="AY71" i="7"/>
  <c r="AZ71" i="7"/>
  <c r="BA71" i="7"/>
  <c r="BB71" i="7"/>
  <c r="BC71" i="7"/>
  <c r="BD71" i="7"/>
  <c r="BE71" i="7"/>
  <c r="BF71" i="7"/>
  <c r="BG71" i="7"/>
  <c r="BH71" i="7"/>
  <c r="BI71" i="7"/>
  <c r="BJ71" i="7"/>
  <c r="BK71" i="7"/>
  <c r="BL71" i="7"/>
  <c r="BM71" i="7"/>
  <c r="BN71" i="7"/>
  <c r="BO71" i="7"/>
  <c r="BP71" i="7"/>
  <c r="BQ71" i="7"/>
  <c r="BR71" i="7"/>
  <c r="BS71" i="7"/>
  <c r="BT71" i="7"/>
  <c r="BU71" i="7"/>
  <c r="BV71" i="7"/>
  <c r="BW71" i="7"/>
  <c r="BX71" i="7"/>
  <c r="BY71" i="7"/>
  <c r="BZ71" i="7"/>
  <c r="CA71" i="7"/>
  <c r="CB71" i="7"/>
  <c r="CC71" i="7"/>
  <c r="CD71" i="7"/>
  <c r="CE71" i="7"/>
  <c r="CF71" i="7"/>
  <c r="CG71" i="7"/>
  <c r="CH71" i="7"/>
  <c r="CI71" i="7"/>
  <c r="CJ71" i="7"/>
  <c r="CK71" i="7"/>
  <c r="CL71" i="7"/>
  <c r="CM71" i="7"/>
  <c r="CN71" i="7"/>
  <c r="CO71" i="7"/>
  <c r="CP71" i="7"/>
  <c r="CQ71" i="7"/>
  <c r="CR71" i="7"/>
  <c r="CS71" i="7"/>
  <c r="CT71" i="7"/>
  <c r="CU71" i="7"/>
  <c r="CV71" i="7"/>
  <c r="CW71" i="7"/>
  <c r="CX71" i="7"/>
  <c r="CY71" i="7"/>
  <c r="CZ71" i="7"/>
  <c r="DA71" i="7"/>
  <c r="DB71" i="7"/>
  <c r="DC71" i="7"/>
  <c r="DD71" i="7"/>
  <c r="DE71" i="7"/>
  <c r="DF71" i="7"/>
  <c r="DG71" i="7"/>
  <c r="DH71" i="7"/>
  <c r="DI71" i="7"/>
  <c r="DJ71" i="7"/>
  <c r="DK71" i="7"/>
  <c r="DL71" i="7"/>
  <c r="DM71" i="7"/>
  <c r="DN71" i="7"/>
  <c r="DO71" i="7"/>
  <c r="DP71" i="7"/>
  <c r="DQ71" i="7"/>
  <c r="DR71" i="7"/>
  <c r="DS71" i="7"/>
  <c r="DT71" i="7"/>
  <c r="DU71" i="7"/>
  <c r="DV71" i="7"/>
  <c r="DW71" i="7"/>
  <c r="DX71" i="7"/>
  <c r="DY71" i="7"/>
  <c r="DZ71" i="7"/>
  <c r="EA71" i="7"/>
  <c r="EB71" i="7"/>
  <c r="EC71" i="7"/>
  <c r="ED71" i="7"/>
  <c r="EE71" i="7"/>
  <c r="EF71" i="7"/>
  <c r="EG71" i="7"/>
  <c r="EH71" i="7"/>
  <c r="EI71" i="7"/>
  <c r="EJ71" i="7"/>
  <c r="EK71" i="7"/>
  <c r="EL71" i="7"/>
  <c r="EM71" i="7"/>
  <c r="EN71" i="7"/>
  <c r="EO71" i="7"/>
  <c r="EP71" i="7"/>
  <c r="EQ71" i="7"/>
  <c r="ER71" i="7"/>
  <c r="ES71" i="7"/>
  <c r="ET71" i="7"/>
  <c r="EU71" i="7"/>
  <c r="EV71" i="7"/>
  <c r="EW71" i="7"/>
  <c r="EX71" i="7"/>
  <c r="EY71" i="7"/>
  <c r="EZ71" i="7"/>
  <c r="FA71" i="7"/>
  <c r="FB71" i="7"/>
  <c r="FC71" i="7"/>
  <c r="FD71" i="7"/>
  <c r="FE71" i="7"/>
  <c r="FF71" i="7"/>
  <c r="FG71" i="7"/>
  <c r="FH71" i="7"/>
  <c r="FI71" i="7"/>
  <c r="FJ71" i="7"/>
  <c r="FK71" i="7"/>
  <c r="FL71" i="7"/>
  <c r="FM71" i="7"/>
  <c r="FN71" i="7"/>
  <c r="FO71" i="7"/>
  <c r="FP71" i="7"/>
  <c r="FQ71" i="7"/>
  <c r="FR71" i="7"/>
  <c r="FS71" i="7"/>
  <c r="FT71" i="7"/>
  <c r="FU71" i="7"/>
  <c r="FV71" i="7"/>
  <c r="FW71" i="7"/>
  <c r="FX71" i="7"/>
  <c r="FY71" i="7"/>
  <c r="FZ71" i="7"/>
  <c r="GA71" i="7"/>
  <c r="GB71" i="7"/>
  <c r="GC71" i="7"/>
  <c r="GD71" i="7"/>
  <c r="GE71" i="7"/>
  <c r="GF71" i="7"/>
  <c r="GG71" i="7"/>
  <c r="GH71" i="7"/>
  <c r="GI71" i="7"/>
  <c r="GJ71" i="7"/>
  <c r="GK71" i="7"/>
  <c r="GL71" i="7"/>
  <c r="GM71" i="7"/>
  <c r="GN71" i="7"/>
  <c r="GO71" i="7"/>
  <c r="GP71" i="7"/>
  <c r="GQ71" i="7"/>
  <c r="GR71" i="7"/>
  <c r="GS71" i="7"/>
  <c r="GT71" i="7"/>
  <c r="GU71" i="7"/>
  <c r="GV71" i="7"/>
  <c r="GW71" i="7"/>
  <c r="GX71" i="7"/>
  <c r="GY71" i="7"/>
  <c r="GZ71" i="7"/>
  <c r="HA71" i="7"/>
  <c r="HB71" i="7"/>
  <c r="HC71" i="7"/>
  <c r="HD71" i="7"/>
  <c r="HE71" i="7"/>
  <c r="HF71" i="7"/>
  <c r="HG71" i="7"/>
  <c r="HH71" i="7"/>
  <c r="HI71" i="7"/>
  <c r="HJ71" i="7"/>
  <c r="HK71" i="7"/>
  <c r="HL71" i="7"/>
  <c r="HM71" i="7"/>
  <c r="HN71" i="7"/>
  <c r="HO71" i="7"/>
  <c r="HP71" i="7"/>
  <c r="HQ71" i="7"/>
  <c r="HR71" i="7"/>
  <c r="HS71" i="7"/>
  <c r="HT71" i="7"/>
  <c r="HU71" i="7"/>
  <c r="HV71" i="7"/>
  <c r="HW71" i="7"/>
  <c r="HX71" i="7"/>
  <c r="HY71" i="7"/>
  <c r="HZ71" i="7"/>
  <c r="IA71" i="7"/>
  <c r="IB71" i="7"/>
  <c r="IC71" i="7"/>
  <c r="ID71" i="7"/>
  <c r="IE71" i="7"/>
  <c r="IF71" i="7"/>
  <c r="IG71" i="7"/>
  <c r="IH71" i="7"/>
  <c r="II71" i="7"/>
  <c r="IJ71" i="7"/>
  <c r="IK71" i="7"/>
  <c r="IL71" i="7"/>
  <c r="IM71" i="7"/>
  <c r="IN71" i="7"/>
  <c r="IO71" i="7"/>
  <c r="IP71" i="7"/>
  <c r="IQ71" i="7"/>
  <c r="IR71" i="7"/>
  <c r="IS71" i="7"/>
  <c r="IT71" i="7"/>
  <c r="IU71" i="7"/>
  <c r="IV71" i="7"/>
  <c r="A70" i="7"/>
  <c r="B70" i="7"/>
  <c r="C70" i="7"/>
  <c r="D70" i="7"/>
  <c r="E70" i="7"/>
  <c r="F70" i="7"/>
  <c r="G70" i="7"/>
  <c r="H70" i="7"/>
  <c r="I70" i="7"/>
  <c r="J70" i="7"/>
  <c r="K70" i="7"/>
  <c r="L70" i="7"/>
  <c r="M70" i="7"/>
  <c r="N70" i="7"/>
  <c r="O70" i="7"/>
  <c r="P70" i="7"/>
  <c r="Q70" i="7"/>
  <c r="R70" i="7"/>
  <c r="S70" i="7"/>
  <c r="T70" i="7"/>
  <c r="U70" i="7"/>
  <c r="V70" i="7"/>
  <c r="W70" i="7"/>
  <c r="X70" i="7"/>
  <c r="Y70" i="7"/>
  <c r="Z70" i="7"/>
  <c r="AA70" i="7"/>
  <c r="AB70" i="7"/>
  <c r="AC70" i="7"/>
  <c r="AD70" i="7"/>
  <c r="AE70" i="7"/>
  <c r="AF70" i="7"/>
  <c r="AG70" i="7"/>
  <c r="AH70" i="7"/>
  <c r="AI70" i="7"/>
  <c r="AJ70" i="7"/>
  <c r="AK70" i="7"/>
  <c r="AL70" i="7"/>
  <c r="AM70" i="7"/>
  <c r="AN70" i="7"/>
  <c r="AO70" i="7"/>
  <c r="AP70" i="7"/>
  <c r="AQ70" i="7"/>
  <c r="AR70" i="7"/>
  <c r="AS70" i="7"/>
  <c r="AT70" i="7"/>
  <c r="AU70" i="7"/>
  <c r="AV70" i="7"/>
  <c r="AW70" i="7"/>
  <c r="AX70" i="7"/>
  <c r="AY70" i="7"/>
  <c r="AZ70" i="7"/>
  <c r="BA70" i="7"/>
  <c r="BB70" i="7"/>
  <c r="BC70" i="7"/>
  <c r="BD70" i="7"/>
  <c r="BE70" i="7"/>
  <c r="BF70" i="7"/>
  <c r="BG70" i="7"/>
  <c r="BH70" i="7"/>
  <c r="BI70" i="7"/>
  <c r="BJ70" i="7"/>
  <c r="BK70" i="7"/>
  <c r="BL70" i="7"/>
  <c r="BM70" i="7"/>
  <c r="BN70" i="7"/>
  <c r="BO70" i="7"/>
  <c r="BP70" i="7"/>
  <c r="BQ70" i="7"/>
  <c r="BR70" i="7"/>
  <c r="BS70" i="7"/>
  <c r="BT70" i="7"/>
  <c r="BU70" i="7"/>
  <c r="BV70" i="7"/>
  <c r="BW70" i="7"/>
  <c r="BX70" i="7"/>
  <c r="BY70" i="7"/>
  <c r="BZ70" i="7"/>
  <c r="CA70" i="7"/>
  <c r="CB70" i="7"/>
  <c r="CC70" i="7"/>
  <c r="CD70" i="7"/>
  <c r="CE70" i="7"/>
  <c r="CF70" i="7"/>
  <c r="CG70" i="7"/>
  <c r="CH70" i="7"/>
  <c r="CI70" i="7"/>
  <c r="CJ70" i="7"/>
  <c r="CK70" i="7"/>
  <c r="CL70" i="7"/>
  <c r="CM70" i="7"/>
  <c r="CN70" i="7"/>
  <c r="CO70" i="7"/>
  <c r="CP70" i="7"/>
  <c r="CQ70" i="7"/>
  <c r="CR70" i="7"/>
  <c r="CS70" i="7"/>
  <c r="CT70" i="7"/>
  <c r="CU70" i="7"/>
  <c r="CV70" i="7"/>
  <c r="CW70" i="7"/>
  <c r="CX70" i="7"/>
  <c r="CY70" i="7"/>
  <c r="CZ70" i="7"/>
  <c r="DA70" i="7"/>
  <c r="DB70" i="7"/>
  <c r="DC70" i="7"/>
  <c r="DD70" i="7"/>
  <c r="DE70" i="7"/>
  <c r="DF70" i="7"/>
  <c r="DG70" i="7"/>
  <c r="DH70" i="7"/>
  <c r="DI70" i="7"/>
  <c r="DJ70" i="7"/>
  <c r="DK70" i="7"/>
  <c r="DL70" i="7"/>
  <c r="DM70" i="7"/>
  <c r="DN70" i="7"/>
  <c r="DO70" i="7"/>
  <c r="DP70" i="7"/>
  <c r="DQ70" i="7"/>
  <c r="DR70" i="7"/>
  <c r="DS70" i="7"/>
  <c r="DT70" i="7"/>
  <c r="DU70" i="7"/>
  <c r="DV70" i="7"/>
  <c r="DW70" i="7"/>
  <c r="DX70" i="7"/>
  <c r="DY70" i="7"/>
  <c r="DZ70" i="7"/>
  <c r="EA70" i="7"/>
  <c r="EB70" i="7"/>
  <c r="EC70" i="7"/>
  <c r="ED70" i="7"/>
  <c r="EE70" i="7"/>
  <c r="EF70" i="7"/>
  <c r="EG70" i="7"/>
  <c r="EH70" i="7"/>
  <c r="EI70" i="7"/>
  <c r="EJ70" i="7"/>
  <c r="EK70" i="7"/>
  <c r="EL70" i="7"/>
  <c r="EM70" i="7"/>
  <c r="EN70" i="7"/>
  <c r="EO70" i="7"/>
  <c r="EP70" i="7"/>
  <c r="EQ70" i="7"/>
  <c r="ER70" i="7"/>
  <c r="ES70" i="7"/>
  <c r="ET70" i="7"/>
  <c r="EU70" i="7"/>
  <c r="EV70" i="7"/>
  <c r="EW70" i="7"/>
  <c r="EX70" i="7"/>
  <c r="EY70" i="7"/>
  <c r="EZ70" i="7"/>
  <c r="FA70" i="7"/>
  <c r="FB70" i="7"/>
  <c r="FC70" i="7"/>
  <c r="FD70" i="7"/>
  <c r="FE70" i="7"/>
  <c r="FF70" i="7"/>
  <c r="FG70" i="7"/>
  <c r="FH70" i="7"/>
  <c r="FI70" i="7"/>
  <c r="FJ70" i="7"/>
  <c r="FK70" i="7"/>
  <c r="FL70" i="7"/>
  <c r="FM70" i="7"/>
  <c r="FN70" i="7"/>
  <c r="FO70" i="7"/>
  <c r="FP70" i="7"/>
  <c r="FQ70" i="7"/>
  <c r="FR70" i="7"/>
  <c r="FS70" i="7"/>
  <c r="FT70" i="7"/>
  <c r="FU70" i="7"/>
  <c r="FV70" i="7"/>
  <c r="FW70" i="7"/>
  <c r="FX70" i="7"/>
  <c r="FY70" i="7"/>
  <c r="FZ70" i="7"/>
  <c r="GA70" i="7"/>
  <c r="GB70" i="7"/>
  <c r="GC70" i="7"/>
  <c r="GD70" i="7"/>
  <c r="GE70" i="7"/>
  <c r="GF70" i="7"/>
  <c r="GG70" i="7"/>
  <c r="GH70" i="7"/>
  <c r="GI70" i="7"/>
  <c r="GJ70" i="7"/>
  <c r="GK70" i="7"/>
  <c r="GL70" i="7"/>
  <c r="GM70" i="7"/>
  <c r="GN70" i="7"/>
  <c r="GO70" i="7"/>
  <c r="GP70" i="7"/>
  <c r="GQ70" i="7"/>
  <c r="GR70" i="7"/>
  <c r="GS70" i="7"/>
  <c r="GT70" i="7"/>
  <c r="GU70" i="7"/>
  <c r="GV70" i="7"/>
  <c r="GW70" i="7"/>
  <c r="GX70" i="7"/>
  <c r="GY70" i="7"/>
  <c r="GZ70" i="7"/>
  <c r="HA70" i="7"/>
  <c r="HB70" i="7"/>
  <c r="HC70" i="7"/>
  <c r="HD70" i="7"/>
  <c r="HE70" i="7"/>
  <c r="HF70" i="7"/>
  <c r="HG70" i="7"/>
  <c r="HH70" i="7"/>
  <c r="HI70" i="7"/>
  <c r="HJ70" i="7"/>
  <c r="HK70" i="7"/>
  <c r="HL70" i="7"/>
  <c r="HM70" i="7"/>
  <c r="HN70" i="7"/>
  <c r="HO70" i="7"/>
  <c r="HP70" i="7"/>
  <c r="HQ70" i="7"/>
  <c r="HR70" i="7"/>
  <c r="HS70" i="7"/>
  <c r="HT70" i="7"/>
  <c r="HU70" i="7"/>
  <c r="HV70" i="7"/>
  <c r="HW70" i="7"/>
  <c r="HX70" i="7"/>
  <c r="HY70" i="7"/>
  <c r="HZ70" i="7"/>
  <c r="IA70" i="7"/>
  <c r="IB70" i="7"/>
  <c r="IC70" i="7"/>
  <c r="ID70" i="7"/>
  <c r="IE70" i="7"/>
  <c r="IF70" i="7"/>
  <c r="IG70" i="7"/>
  <c r="IH70" i="7"/>
  <c r="II70" i="7"/>
  <c r="IJ70" i="7"/>
  <c r="IK70" i="7"/>
  <c r="IL70" i="7"/>
  <c r="IM70" i="7"/>
  <c r="IN70" i="7"/>
  <c r="IO70" i="7"/>
  <c r="IP70" i="7"/>
  <c r="IQ70" i="7"/>
  <c r="IR70" i="7"/>
  <c r="IS70" i="7"/>
  <c r="IT70" i="7"/>
  <c r="IU70" i="7"/>
  <c r="IV70" i="7"/>
  <c r="A69" i="7"/>
  <c r="B69" i="7"/>
  <c r="C69" i="7"/>
  <c r="D69" i="7"/>
  <c r="E69" i="7"/>
  <c r="F69" i="7"/>
  <c r="G69" i="7"/>
  <c r="H69" i="7"/>
  <c r="I69" i="7"/>
  <c r="J69" i="7"/>
  <c r="K69" i="7"/>
  <c r="L69" i="7"/>
  <c r="M69" i="7"/>
  <c r="N69" i="7"/>
  <c r="O69" i="7"/>
  <c r="P69" i="7"/>
  <c r="Q69" i="7"/>
  <c r="R69" i="7"/>
  <c r="S69" i="7"/>
  <c r="T69" i="7"/>
  <c r="U69" i="7"/>
  <c r="V69" i="7"/>
  <c r="W69" i="7"/>
  <c r="X69" i="7"/>
  <c r="Y69" i="7"/>
  <c r="Z69" i="7"/>
  <c r="AA69" i="7"/>
  <c r="AB69" i="7"/>
  <c r="AC69" i="7"/>
  <c r="AD69" i="7"/>
  <c r="AE69" i="7"/>
  <c r="AF69" i="7"/>
  <c r="AG69" i="7"/>
  <c r="AH69" i="7"/>
  <c r="AI69" i="7"/>
  <c r="AJ69" i="7"/>
  <c r="AK69" i="7"/>
  <c r="AL69" i="7"/>
  <c r="AM69" i="7"/>
  <c r="AN69" i="7"/>
  <c r="AO69" i="7"/>
  <c r="AP69" i="7"/>
  <c r="AQ69" i="7"/>
  <c r="AR69" i="7"/>
  <c r="AS69" i="7"/>
  <c r="AT69" i="7"/>
  <c r="AU69" i="7"/>
  <c r="AV69" i="7"/>
  <c r="AW69" i="7"/>
  <c r="AX69" i="7"/>
  <c r="AY69" i="7"/>
  <c r="AZ69" i="7"/>
  <c r="BA69" i="7"/>
  <c r="BB69" i="7"/>
  <c r="BC69" i="7"/>
  <c r="BD69" i="7"/>
  <c r="BE69" i="7"/>
  <c r="BF69" i="7"/>
  <c r="BG69" i="7"/>
  <c r="BH69" i="7"/>
  <c r="BI69" i="7"/>
  <c r="BJ69" i="7"/>
  <c r="BK69" i="7"/>
  <c r="BL69" i="7"/>
  <c r="BM69" i="7"/>
  <c r="BN69" i="7"/>
  <c r="BO69" i="7"/>
  <c r="BP69" i="7"/>
  <c r="BQ69" i="7"/>
  <c r="BR69" i="7"/>
  <c r="BS69" i="7"/>
  <c r="BT69" i="7"/>
  <c r="BU69" i="7"/>
  <c r="BV69" i="7"/>
  <c r="BW69" i="7"/>
  <c r="BX69" i="7"/>
  <c r="BY69" i="7"/>
  <c r="BZ69" i="7"/>
  <c r="CA69" i="7"/>
  <c r="CB69" i="7"/>
  <c r="CC69" i="7"/>
  <c r="CD69" i="7"/>
  <c r="CE69" i="7"/>
  <c r="CF69" i="7"/>
  <c r="CG69" i="7"/>
  <c r="CH69" i="7"/>
  <c r="CI69" i="7"/>
  <c r="CJ69" i="7"/>
  <c r="CK69" i="7"/>
  <c r="CL69" i="7"/>
  <c r="CM69" i="7"/>
  <c r="CN69" i="7"/>
  <c r="CO69" i="7"/>
  <c r="CP69" i="7"/>
  <c r="CQ69" i="7"/>
  <c r="CR69" i="7"/>
  <c r="CS69" i="7"/>
  <c r="CT69" i="7"/>
  <c r="CU69" i="7"/>
  <c r="CV69" i="7"/>
  <c r="CW69" i="7"/>
  <c r="CX69" i="7"/>
  <c r="CY69" i="7"/>
  <c r="CZ69" i="7"/>
  <c r="DA69" i="7"/>
  <c r="DB69" i="7"/>
  <c r="DC69" i="7"/>
  <c r="DD69" i="7"/>
  <c r="DE69" i="7"/>
  <c r="DF69" i="7"/>
  <c r="DG69" i="7"/>
  <c r="DH69" i="7"/>
  <c r="DI69" i="7"/>
  <c r="DJ69" i="7"/>
  <c r="DK69" i="7"/>
  <c r="DL69" i="7"/>
  <c r="DM69" i="7"/>
  <c r="DN69" i="7"/>
  <c r="DO69" i="7"/>
  <c r="DP69" i="7"/>
  <c r="DQ69" i="7"/>
  <c r="DR69" i="7"/>
  <c r="DS69" i="7"/>
  <c r="DT69" i="7"/>
  <c r="DU69" i="7"/>
  <c r="DV69" i="7"/>
  <c r="DW69" i="7"/>
  <c r="DX69" i="7"/>
  <c r="DY69" i="7"/>
  <c r="DZ69" i="7"/>
  <c r="EA69" i="7"/>
  <c r="EB69" i="7"/>
  <c r="EC69" i="7"/>
  <c r="ED69" i="7"/>
  <c r="EE69" i="7"/>
  <c r="EF69" i="7"/>
  <c r="EG69" i="7"/>
  <c r="EH69" i="7"/>
  <c r="EI69" i="7"/>
  <c r="EJ69" i="7"/>
  <c r="EK69" i="7"/>
  <c r="EL69" i="7"/>
  <c r="EM69" i="7"/>
  <c r="EN69" i="7"/>
  <c r="EO69" i="7"/>
  <c r="EP69" i="7"/>
  <c r="EQ69" i="7"/>
  <c r="ER69" i="7"/>
  <c r="ES69" i="7"/>
  <c r="ET69" i="7"/>
  <c r="EU69" i="7"/>
  <c r="EV69" i="7"/>
  <c r="EW69" i="7"/>
  <c r="EX69" i="7"/>
  <c r="EY69" i="7"/>
  <c r="EZ69" i="7"/>
  <c r="FA69" i="7"/>
  <c r="FB69" i="7"/>
  <c r="FC69" i="7"/>
  <c r="FD69" i="7"/>
  <c r="FE69" i="7"/>
  <c r="FF69" i="7"/>
  <c r="FG69" i="7"/>
  <c r="FH69" i="7"/>
  <c r="FI69" i="7"/>
  <c r="FJ69" i="7"/>
  <c r="FK69" i="7"/>
  <c r="FL69" i="7"/>
  <c r="FM69" i="7"/>
  <c r="FN69" i="7"/>
  <c r="FO69" i="7"/>
  <c r="FP69" i="7"/>
  <c r="FQ69" i="7"/>
  <c r="FR69" i="7"/>
  <c r="FS69" i="7"/>
  <c r="FT69" i="7"/>
  <c r="FU69" i="7"/>
  <c r="FV69" i="7"/>
  <c r="FW69" i="7"/>
  <c r="FX69" i="7"/>
  <c r="FY69" i="7"/>
  <c r="FZ69" i="7"/>
  <c r="GA69" i="7"/>
  <c r="GB69" i="7"/>
  <c r="GC69" i="7"/>
  <c r="GD69" i="7"/>
  <c r="GE69" i="7"/>
  <c r="GF69" i="7"/>
  <c r="GG69" i="7"/>
  <c r="GH69" i="7"/>
  <c r="GI69" i="7"/>
  <c r="GJ69" i="7"/>
  <c r="GK69" i="7"/>
  <c r="GL69" i="7"/>
  <c r="GM69" i="7"/>
  <c r="GN69" i="7"/>
  <c r="GO69" i="7"/>
  <c r="GP69" i="7"/>
  <c r="GQ69" i="7"/>
  <c r="GR69" i="7"/>
  <c r="GS69" i="7"/>
  <c r="GT69" i="7"/>
  <c r="GU69" i="7"/>
  <c r="GV69" i="7"/>
  <c r="GW69" i="7"/>
  <c r="GX69" i="7"/>
  <c r="GY69" i="7"/>
  <c r="GZ69" i="7"/>
  <c r="HA69" i="7"/>
  <c r="HB69" i="7"/>
  <c r="HC69" i="7"/>
  <c r="HD69" i="7"/>
  <c r="HE69" i="7"/>
  <c r="HF69" i="7"/>
  <c r="HG69" i="7"/>
  <c r="HH69" i="7"/>
  <c r="HI69" i="7"/>
  <c r="HJ69" i="7"/>
  <c r="HK69" i="7"/>
  <c r="HL69" i="7"/>
  <c r="HM69" i="7"/>
  <c r="HN69" i="7"/>
  <c r="HO69" i="7"/>
  <c r="HP69" i="7"/>
  <c r="HQ69" i="7"/>
  <c r="HR69" i="7"/>
  <c r="HS69" i="7"/>
  <c r="HT69" i="7"/>
  <c r="HU69" i="7"/>
  <c r="HV69" i="7"/>
  <c r="HW69" i="7"/>
  <c r="HX69" i="7"/>
  <c r="HY69" i="7"/>
  <c r="HZ69" i="7"/>
  <c r="IA69" i="7"/>
  <c r="IB69" i="7"/>
  <c r="IC69" i="7"/>
  <c r="ID69" i="7"/>
  <c r="IE69" i="7"/>
  <c r="IF69" i="7"/>
  <c r="IG69" i="7"/>
  <c r="IH69" i="7"/>
  <c r="II69" i="7"/>
  <c r="IJ69" i="7"/>
  <c r="IK69" i="7"/>
  <c r="IL69" i="7"/>
  <c r="IM69" i="7"/>
  <c r="IN69" i="7"/>
  <c r="IO69" i="7"/>
  <c r="IP69" i="7"/>
  <c r="IQ69" i="7"/>
  <c r="IR69" i="7"/>
  <c r="IS69" i="7"/>
  <c r="IT69" i="7"/>
  <c r="IU69" i="7"/>
  <c r="IV69" i="7"/>
  <c r="A68" i="7"/>
  <c r="B68" i="7"/>
  <c r="C68" i="7"/>
  <c r="D68" i="7"/>
  <c r="E68" i="7"/>
  <c r="F68" i="7"/>
  <c r="G68" i="7"/>
  <c r="H68" i="7"/>
  <c r="I68" i="7"/>
  <c r="J68" i="7"/>
  <c r="K68" i="7"/>
  <c r="L68" i="7"/>
  <c r="M68" i="7"/>
  <c r="N68" i="7"/>
  <c r="O68" i="7"/>
  <c r="P68" i="7"/>
  <c r="Q68" i="7"/>
  <c r="R68" i="7"/>
  <c r="S68" i="7"/>
  <c r="T68" i="7"/>
  <c r="U68" i="7"/>
  <c r="V68" i="7"/>
  <c r="W68" i="7"/>
  <c r="X68" i="7"/>
  <c r="Y68" i="7"/>
  <c r="Z68" i="7"/>
  <c r="AA68" i="7"/>
  <c r="AB68" i="7"/>
  <c r="AC68" i="7"/>
  <c r="AD68" i="7"/>
  <c r="AE68" i="7"/>
  <c r="AF68" i="7"/>
  <c r="AG68" i="7"/>
  <c r="AH68" i="7"/>
  <c r="AI68" i="7"/>
  <c r="AJ68" i="7"/>
  <c r="AK68" i="7"/>
  <c r="AL68" i="7"/>
  <c r="AM68" i="7"/>
  <c r="AN68" i="7"/>
  <c r="AO68" i="7"/>
  <c r="AP68" i="7"/>
  <c r="AQ68" i="7"/>
  <c r="AR68" i="7"/>
  <c r="AS68" i="7"/>
  <c r="AT68" i="7"/>
  <c r="AU68" i="7"/>
  <c r="AV68" i="7"/>
  <c r="AW68" i="7"/>
  <c r="AX68" i="7"/>
  <c r="AY68" i="7"/>
  <c r="AZ68" i="7"/>
  <c r="BA68" i="7"/>
  <c r="BB68" i="7"/>
  <c r="BC68" i="7"/>
  <c r="BD68" i="7"/>
  <c r="BE68" i="7"/>
  <c r="BF68" i="7"/>
  <c r="BG68" i="7"/>
  <c r="BH68" i="7"/>
  <c r="BI68" i="7"/>
  <c r="BJ68" i="7"/>
  <c r="BK68" i="7"/>
  <c r="BL68" i="7"/>
  <c r="BM68" i="7"/>
  <c r="BN68" i="7"/>
  <c r="BO68" i="7"/>
  <c r="BP68" i="7"/>
  <c r="BQ68" i="7"/>
  <c r="BR68" i="7"/>
  <c r="BS68" i="7"/>
  <c r="BT68" i="7"/>
  <c r="BU68" i="7"/>
  <c r="BV68" i="7"/>
  <c r="BW68" i="7"/>
  <c r="BX68" i="7"/>
  <c r="BY68" i="7"/>
  <c r="BZ68" i="7"/>
  <c r="CA68" i="7"/>
  <c r="CB68" i="7"/>
  <c r="CC68" i="7"/>
  <c r="CD68" i="7"/>
  <c r="CE68" i="7"/>
  <c r="CF68" i="7"/>
  <c r="CG68" i="7"/>
  <c r="CH68" i="7"/>
  <c r="CI68" i="7"/>
  <c r="CJ68" i="7"/>
  <c r="CK68" i="7"/>
  <c r="CL68" i="7"/>
  <c r="CM68" i="7"/>
  <c r="CN68" i="7"/>
  <c r="CO68" i="7"/>
  <c r="CP68" i="7"/>
  <c r="CQ68" i="7"/>
  <c r="CR68" i="7"/>
  <c r="CS68" i="7"/>
  <c r="CT68" i="7"/>
  <c r="CU68" i="7"/>
  <c r="CV68" i="7"/>
  <c r="CW68" i="7"/>
  <c r="CX68" i="7"/>
  <c r="CY68" i="7"/>
  <c r="CZ68" i="7"/>
  <c r="DA68" i="7"/>
  <c r="DB68" i="7"/>
  <c r="DC68" i="7"/>
  <c r="DD68" i="7"/>
  <c r="DE68" i="7"/>
  <c r="DF68" i="7"/>
  <c r="DG68" i="7"/>
  <c r="DH68" i="7"/>
  <c r="DI68" i="7"/>
  <c r="DJ68" i="7"/>
  <c r="DK68" i="7"/>
  <c r="DL68" i="7"/>
  <c r="DM68" i="7"/>
  <c r="DN68" i="7"/>
  <c r="DO68" i="7"/>
  <c r="DP68" i="7"/>
  <c r="DQ68" i="7"/>
  <c r="DR68" i="7"/>
  <c r="DS68" i="7"/>
  <c r="DT68" i="7"/>
  <c r="DU68" i="7"/>
  <c r="DV68" i="7"/>
  <c r="DW68" i="7"/>
  <c r="DX68" i="7"/>
  <c r="DY68" i="7"/>
  <c r="DZ68" i="7"/>
  <c r="EA68" i="7"/>
  <c r="EB68" i="7"/>
  <c r="EC68" i="7"/>
  <c r="ED68" i="7"/>
  <c r="EE68" i="7"/>
  <c r="EF68" i="7"/>
  <c r="EG68" i="7"/>
  <c r="EH68" i="7"/>
  <c r="EI68" i="7"/>
  <c r="EJ68" i="7"/>
  <c r="EK68" i="7"/>
  <c r="EL68" i="7"/>
  <c r="EM68" i="7"/>
  <c r="EN68" i="7"/>
  <c r="EO68" i="7"/>
  <c r="EP68" i="7"/>
  <c r="EQ68" i="7"/>
  <c r="ER68" i="7"/>
  <c r="ES68" i="7"/>
  <c r="ET68" i="7"/>
  <c r="EU68" i="7"/>
  <c r="EV68" i="7"/>
  <c r="EW68" i="7"/>
  <c r="EX68" i="7"/>
  <c r="EY68" i="7"/>
  <c r="EZ68" i="7"/>
  <c r="FA68" i="7"/>
  <c r="FB68" i="7"/>
  <c r="FC68" i="7"/>
  <c r="FD68" i="7"/>
  <c r="FE68" i="7"/>
  <c r="FF68" i="7"/>
  <c r="FG68" i="7"/>
  <c r="FH68" i="7"/>
  <c r="FI68" i="7"/>
  <c r="FJ68" i="7"/>
  <c r="FK68" i="7"/>
  <c r="FL68" i="7"/>
  <c r="FM68" i="7"/>
  <c r="FN68" i="7"/>
  <c r="FO68" i="7"/>
  <c r="FP68" i="7"/>
  <c r="FQ68" i="7"/>
  <c r="FR68" i="7"/>
  <c r="FS68" i="7"/>
  <c r="FT68" i="7"/>
  <c r="FU68" i="7"/>
  <c r="FV68" i="7"/>
  <c r="FW68" i="7"/>
  <c r="FX68" i="7"/>
  <c r="FY68" i="7"/>
  <c r="FZ68" i="7"/>
  <c r="GA68" i="7"/>
  <c r="GB68" i="7"/>
  <c r="GC68" i="7"/>
  <c r="GD68" i="7"/>
  <c r="GE68" i="7"/>
  <c r="GF68" i="7"/>
  <c r="GG68" i="7"/>
  <c r="GH68" i="7"/>
  <c r="GI68" i="7"/>
  <c r="GJ68" i="7"/>
  <c r="GK68" i="7"/>
  <c r="GL68" i="7"/>
  <c r="GM68" i="7"/>
  <c r="GN68" i="7"/>
  <c r="GO68" i="7"/>
  <c r="GP68" i="7"/>
  <c r="GQ68" i="7"/>
  <c r="GR68" i="7"/>
  <c r="GS68" i="7"/>
  <c r="GT68" i="7"/>
  <c r="GU68" i="7"/>
  <c r="GV68" i="7"/>
  <c r="GW68" i="7"/>
  <c r="GX68" i="7"/>
  <c r="GY68" i="7"/>
  <c r="GZ68" i="7"/>
  <c r="HA68" i="7"/>
  <c r="HB68" i="7"/>
  <c r="HC68" i="7"/>
  <c r="HD68" i="7"/>
  <c r="HE68" i="7"/>
  <c r="HF68" i="7"/>
  <c r="HG68" i="7"/>
  <c r="HH68" i="7"/>
  <c r="HI68" i="7"/>
  <c r="HJ68" i="7"/>
  <c r="HK68" i="7"/>
  <c r="HL68" i="7"/>
  <c r="HM68" i="7"/>
  <c r="HN68" i="7"/>
  <c r="HO68" i="7"/>
  <c r="HP68" i="7"/>
  <c r="HQ68" i="7"/>
  <c r="HR68" i="7"/>
  <c r="HS68" i="7"/>
  <c r="HT68" i="7"/>
  <c r="HU68" i="7"/>
  <c r="HV68" i="7"/>
  <c r="HW68" i="7"/>
  <c r="HX68" i="7"/>
  <c r="HY68" i="7"/>
  <c r="HZ68" i="7"/>
  <c r="IA68" i="7"/>
  <c r="IB68" i="7"/>
  <c r="IC68" i="7"/>
  <c r="ID68" i="7"/>
  <c r="IE68" i="7"/>
  <c r="IF68" i="7"/>
  <c r="IG68" i="7"/>
  <c r="IH68" i="7"/>
  <c r="II68" i="7"/>
  <c r="IJ68" i="7"/>
  <c r="IK68" i="7"/>
  <c r="IL68" i="7"/>
  <c r="IM68" i="7"/>
  <c r="IN68" i="7"/>
  <c r="IO68" i="7"/>
  <c r="IP68" i="7"/>
  <c r="IQ68" i="7"/>
  <c r="IR68" i="7"/>
  <c r="IS68" i="7"/>
  <c r="IT68" i="7"/>
  <c r="IU68" i="7"/>
  <c r="IV68" i="7"/>
  <c r="A67" i="7"/>
  <c r="B67" i="7"/>
  <c r="C67" i="7"/>
  <c r="D67" i="7"/>
  <c r="E67" i="7"/>
  <c r="F67" i="7"/>
  <c r="G67" i="7"/>
  <c r="H67" i="7"/>
  <c r="I67" i="7"/>
  <c r="J67" i="7"/>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AZ67" i="7"/>
  <c r="BA67" i="7"/>
  <c r="BB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H67" i="7"/>
  <c r="FI67" i="7"/>
  <c r="FJ67" i="7"/>
  <c r="FK67" i="7"/>
  <c r="FL67" i="7"/>
  <c r="FM67" i="7"/>
  <c r="FN67" i="7"/>
  <c r="FO67" i="7"/>
  <c r="FP67" i="7"/>
  <c r="FQ67" i="7"/>
  <c r="FR67" i="7"/>
  <c r="FS67" i="7"/>
  <c r="FT67" i="7"/>
  <c r="FU67" i="7"/>
  <c r="FV67" i="7"/>
  <c r="FW67" i="7"/>
  <c r="FX67" i="7"/>
  <c r="FY67" i="7"/>
  <c r="FZ67" i="7"/>
  <c r="GA67" i="7"/>
  <c r="GB67" i="7"/>
  <c r="GC67" i="7"/>
  <c r="GD67" i="7"/>
  <c r="GE67" i="7"/>
  <c r="GF67" i="7"/>
  <c r="GG67" i="7"/>
  <c r="GH67" i="7"/>
  <c r="GI67" i="7"/>
  <c r="GJ67" i="7"/>
  <c r="GK67" i="7"/>
  <c r="GL67" i="7"/>
  <c r="GM67" i="7"/>
  <c r="GN67" i="7"/>
  <c r="GO67" i="7"/>
  <c r="GP67" i="7"/>
  <c r="GQ67" i="7"/>
  <c r="GR67" i="7"/>
  <c r="GS67" i="7"/>
  <c r="GT67" i="7"/>
  <c r="GU67" i="7"/>
  <c r="GV67" i="7"/>
  <c r="GW67" i="7"/>
  <c r="GX67" i="7"/>
  <c r="GY67" i="7"/>
  <c r="GZ67" i="7"/>
  <c r="HA67" i="7"/>
  <c r="HB67" i="7"/>
  <c r="HC67" i="7"/>
  <c r="HD67" i="7"/>
  <c r="HE67" i="7"/>
  <c r="HF67" i="7"/>
  <c r="HG67" i="7"/>
  <c r="HH67" i="7"/>
  <c r="HI67" i="7"/>
  <c r="HJ67" i="7"/>
  <c r="HK67" i="7"/>
  <c r="HL67" i="7"/>
  <c r="HM67" i="7"/>
  <c r="HN67" i="7"/>
  <c r="HO67" i="7"/>
  <c r="HP67" i="7"/>
  <c r="HQ67" i="7"/>
  <c r="HR67" i="7"/>
  <c r="HS67" i="7"/>
  <c r="HT67" i="7"/>
  <c r="HU67" i="7"/>
  <c r="HV67" i="7"/>
  <c r="HW67" i="7"/>
  <c r="HX67" i="7"/>
  <c r="HY67" i="7"/>
  <c r="HZ67" i="7"/>
  <c r="IA67" i="7"/>
  <c r="IB67" i="7"/>
  <c r="IC67" i="7"/>
  <c r="ID67" i="7"/>
  <c r="IE67" i="7"/>
  <c r="IF67" i="7"/>
  <c r="IG67" i="7"/>
  <c r="IH67" i="7"/>
  <c r="II67" i="7"/>
  <c r="IJ67" i="7"/>
  <c r="IK67" i="7"/>
  <c r="IL67" i="7"/>
  <c r="IM67" i="7"/>
  <c r="IN67" i="7"/>
  <c r="IO67" i="7"/>
  <c r="IP67" i="7"/>
  <c r="IQ67" i="7"/>
  <c r="IR67" i="7"/>
  <c r="IS67" i="7"/>
  <c r="IT67" i="7"/>
  <c r="IU67" i="7"/>
  <c r="IV67" i="7"/>
  <c r="A66" i="7"/>
  <c r="B66" i="7"/>
  <c r="C66" i="7"/>
  <c r="D66" i="7"/>
  <c r="E66" i="7"/>
  <c r="F66" i="7"/>
  <c r="G66" i="7"/>
  <c r="H66" i="7"/>
  <c r="I66" i="7"/>
  <c r="J66" i="7"/>
  <c r="K66" i="7"/>
  <c r="L66" i="7"/>
  <c r="M66" i="7"/>
  <c r="N66" i="7"/>
  <c r="O66" i="7"/>
  <c r="P66" i="7"/>
  <c r="Q66" i="7"/>
  <c r="R66" i="7"/>
  <c r="S66" i="7"/>
  <c r="T66" i="7"/>
  <c r="U66" i="7"/>
  <c r="V66" i="7"/>
  <c r="W66" i="7"/>
  <c r="X66" i="7"/>
  <c r="Y66" i="7"/>
  <c r="Z66" i="7"/>
  <c r="AA66" i="7"/>
  <c r="AB66" i="7"/>
  <c r="AC66" i="7"/>
  <c r="AD66" i="7"/>
  <c r="AE66" i="7"/>
  <c r="AF66" i="7"/>
  <c r="AG66" i="7"/>
  <c r="AH66" i="7"/>
  <c r="AI66" i="7"/>
  <c r="AJ66" i="7"/>
  <c r="AK66" i="7"/>
  <c r="AL66" i="7"/>
  <c r="AM66" i="7"/>
  <c r="AN66" i="7"/>
  <c r="AO66" i="7"/>
  <c r="AP66" i="7"/>
  <c r="AQ66" i="7"/>
  <c r="AR66" i="7"/>
  <c r="AS66" i="7"/>
  <c r="AT66" i="7"/>
  <c r="AU66" i="7"/>
  <c r="AV66" i="7"/>
  <c r="AW66" i="7"/>
  <c r="AX66" i="7"/>
  <c r="AY66" i="7"/>
  <c r="AZ66" i="7"/>
  <c r="BA66" i="7"/>
  <c r="BB66" i="7"/>
  <c r="BC66" i="7"/>
  <c r="BD66" i="7"/>
  <c r="BE66" i="7"/>
  <c r="BF66" i="7"/>
  <c r="BG66" i="7"/>
  <c r="BH66" i="7"/>
  <c r="BI66" i="7"/>
  <c r="BJ66" i="7"/>
  <c r="BK66" i="7"/>
  <c r="BL66" i="7"/>
  <c r="BM66" i="7"/>
  <c r="BN66" i="7"/>
  <c r="BO66" i="7"/>
  <c r="BP66" i="7"/>
  <c r="BQ66" i="7"/>
  <c r="BR66" i="7"/>
  <c r="BS66" i="7"/>
  <c r="BT66" i="7"/>
  <c r="BU66" i="7"/>
  <c r="BV66" i="7"/>
  <c r="BW66" i="7"/>
  <c r="BX66" i="7"/>
  <c r="BY66" i="7"/>
  <c r="BZ66" i="7"/>
  <c r="CA66" i="7"/>
  <c r="CB66" i="7"/>
  <c r="CC66" i="7"/>
  <c r="CD66" i="7"/>
  <c r="CE66" i="7"/>
  <c r="CF66" i="7"/>
  <c r="CG66" i="7"/>
  <c r="CH66" i="7"/>
  <c r="CI66" i="7"/>
  <c r="CJ66" i="7"/>
  <c r="CK66" i="7"/>
  <c r="CL66" i="7"/>
  <c r="CM66" i="7"/>
  <c r="CN66" i="7"/>
  <c r="CO66" i="7"/>
  <c r="CP66" i="7"/>
  <c r="CQ66" i="7"/>
  <c r="CR66" i="7"/>
  <c r="CS66" i="7"/>
  <c r="CT66" i="7"/>
  <c r="CU66" i="7"/>
  <c r="CV66" i="7"/>
  <c r="CW66" i="7"/>
  <c r="CX66" i="7"/>
  <c r="CY66" i="7"/>
  <c r="CZ66" i="7"/>
  <c r="DA66" i="7"/>
  <c r="DB66" i="7"/>
  <c r="DC66" i="7"/>
  <c r="DD66" i="7"/>
  <c r="DE66" i="7"/>
  <c r="DF66" i="7"/>
  <c r="DG66" i="7"/>
  <c r="DH66" i="7"/>
  <c r="DI66" i="7"/>
  <c r="DJ66" i="7"/>
  <c r="DK66" i="7"/>
  <c r="DL66" i="7"/>
  <c r="DM66" i="7"/>
  <c r="DN66" i="7"/>
  <c r="DO66" i="7"/>
  <c r="DP66" i="7"/>
  <c r="DQ66" i="7"/>
  <c r="DR66" i="7"/>
  <c r="DS66" i="7"/>
  <c r="DT66" i="7"/>
  <c r="DU66" i="7"/>
  <c r="DV66" i="7"/>
  <c r="DW66" i="7"/>
  <c r="DX66" i="7"/>
  <c r="DY66" i="7"/>
  <c r="DZ66" i="7"/>
  <c r="EA66" i="7"/>
  <c r="EB66" i="7"/>
  <c r="EC66" i="7"/>
  <c r="ED66" i="7"/>
  <c r="EE66" i="7"/>
  <c r="EF66" i="7"/>
  <c r="EG66" i="7"/>
  <c r="EH66" i="7"/>
  <c r="EI66" i="7"/>
  <c r="EJ66" i="7"/>
  <c r="EK66" i="7"/>
  <c r="EL66" i="7"/>
  <c r="EM66" i="7"/>
  <c r="EN66" i="7"/>
  <c r="EO66" i="7"/>
  <c r="EP66" i="7"/>
  <c r="EQ66" i="7"/>
  <c r="ER66" i="7"/>
  <c r="ES66" i="7"/>
  <c r="ET66" i="7"/>
  <c r="EU66" i="7"/>
  <c r="EV66" i="7"/>
  <c r="EW66" i="7"/>
  <c r="EX66" i="7"/>
  <c r="EY66" i="7"/>
  <c r="EZ66" i="7"/>
  <c r="FA66" i="7"/>
  <c r="FB66" i="7"/>
  <c r="FC66" i="7"/>
  <c r="FD66" i="7"/>
  <c r="FE66" i="7"/>
  <c r="FF66" i="7"/>
  <c r="FG66" i="7"/>
  <c r="FH66" i="7"/>
  <c r="FI66" i="7"/>
  <c r="FJ66" i="7"/>
  <c r="FK66" i="7"/>
  <c r="FL66" i="7"/>
  <c r="FM66" i="7"/>
  <c r="FN66" i="7"/>
  <c r="FO66" i="7"/>
  <c r="FP66" i="7"/>
  <c r="FQ66" i="7"/>
  <c r="FR66" i="7"/>
  <c r="FS66" i="7"/>
  <c r="FT66" i="7"/>
  <c r="FU66" i="7"/>
  <c r="FV66" i="7"/>
  <c r="FW66" i="7"/>
  <c r="FX66" i="7"/>
  <c r="FY66" i="7"/>
  <c r="FZ66" i="7"/>
  <c r="GA66" i="7"/>
  <c r="GB66" i="7"/>
  <c r="GC66" i="7"/>
  <c r="GD66" i="7"/>
  <c r="GE66" i="7"/>
  <c r="GF66" i="7"/>
  <c r="GG66" i="7"/>
  <c r="GH66" i="7"/>
  <c r="GI66" i="7"/>
  <c r="GJ66" i="7"/>
  <c r="GK66" i="7"/>
  <c r="GL66" i="7"/>
  <c r="GM66" i="7"/>
  <c r="GN66" i="7"/>
  <c r="GO66" i="7"/>
  <c r="GP66" i="7"/>
  <c r="GQ66" i="7"/>
  <c r="GR66" i="7"/>
  <c r="GS66" i="7"/>
  <c r="GT66" i="7"/>
  <c r="GU66" i="7"/>
  <c r="GV66" i="7"/>
  <c r="GW66" i="7"/>
  <c r="GX66" i="7"/>
  <c r="GY66" i="7"/>
  <c r="GZ66" i="7"/>
  <c r="HA66" i="7"/>
  <c r="HB66" i="7"/>
  <c r="HC66" i="7"/>
  <c r="HD66" i="7"/>
  <c r="HE66" i="7"/>
  <c r="HF66" i="7"/>
  <c r="HG66" i="7"/>
  <c r="HH66" i="7"/>
  <c r="HI66" i="7"/>
  <c r="HJ66" i="7"/>
  <c r="HK66" i="7"/>
  <c r="HL66" i="7"/>
  <c r="HM66" i="7"/>
  <c r="HN66" i="7"/>
  <c r="HO66" i="7"/>
  <c r="HP66" i="7"/>
  <c r="HQ66" i="7"/>
  <c r="HR66" i="7"/>
  <c r="HS66" i="7"/>
  <c r="HT66" i="7"/>
  <c r="HU66" i="7"/>
  <c r="HV66" i="7"/>
  <c r="HW66" i="7"/>
  <c r="HX66" i="7"/>
  <c r="HY66" i="7"/>
  <c r="HZ66" i="7"/>
  <c r="IA66" i="7"/>
  <c r="IB66" i="7"/>
  <c r="IC66" i="7"/>
  <c r="ID66" i="7"/>
  <c r="IE66" i="7"/>
  <c r="IF66" i="7"/>
  <c r="IG66" i="7"/>
  <c r="IH66" i="7"/>
  <c r="II66" i="7"/>
  <c r="IJ66" i="7"/>
  <c r="IK66" i="7"/>
  <c r="IL66" i="7"/>
  <c r="IM66" i="7"/>
  <c r="IN66" i="7"/>
  <c r="IO66" i="7"/>
  <c r="IP66" i="7"/>
  <c r="IQ66" i="7"/>
  <c r="IR66" i="7"/>
  <c r="IS66" i="7"/>
  <c r="IT66" i="7"/>
  <c r="IU66" i="7"/>
  <c r="IV66" i="7"/>
  <c r="A65" i="7"/>
  <c r="B65" i="7"/>
  <c r="C65" i="7"/>
  <c r="D65" i="7"/>
  <c r="E65" i="7"/>
  <c r="F65" i="7"/>
  <c r="G65" i="7"/>
  <c r="H65" i="7"/>
  <c r="I65" i="7"/>
  <c r="J65" i="7"/>
  <c r="K65" i="7"/>
  <c r="L65" i="7"/>
  <c r="M65" i="7"/>
  <c r="N65" i="7"/>
  <c r="O65" i="7"/>
  <c r="P65" i="7"/>
  <c r="Q65" i="7"/>
  <c r="R65" i="7"/>
  <c r="S65" i="7"/>
  <c r="T65" i="7"/>
  <c r="U65" i="7"/>
  <c r="V65" i="7"/>
  <c r="W65" i="7"/>
  <c r="X65" i="7"/>
  <c r="Y65" i="7"/>
  <c r="Z65" i="7"/>
  <c r="AA65" i="7"/>
  <c r="AB65" i="7"/>
  <c r="AC65" i="7"/>
  <c r="AD65" i="7"/>
  <c r="AE65" i="7"/>
  <c r="AF65" i="7"/>
  <c r="AG65" i="7"/>
  <c r="AH65" i="7"/>
  <c r="AI65" i="7"/>
  <c r="AJ65" i="7"/>
  <c r="AK65" i="7"/>
  <c r="AL65" i="7"/>
  <c r="AM65" i="7"/>
  <c r="AN65" i="7"/>
  <c r="AO65" i="7"/>
  <c r="AP65" i="7"/>
  <c r="AQ65" i="7"/>
  <c r="AR65" i="7"/>
  <c r="AS65" i="7"/>
  <c r="AT65" i="7"/>
  <c r="AU65" i="7"/>
  <c r="AV65" i="7"/>
  <c r="AW65" i="7"/>
  <c r="AX65" i="7"/>
  <c r="AY65" i="7"/>
  <c r="AZ65" i="7"/>
  <c r="BA65" i="7"/>
  <c r="BB65" i="7"/>
  <c r="BC65" i="7"/>
  <c r="BD65" i="7"/>
  <c r="BE65" i="7"/>
  <c r="BF65" i="7"/>
  <c r="BG65" i="7"/>
  <c r="BH65" i="7"/>
  <c r="BI65" i="7"/>
  <c r="BJ65" i="7"/>
  <c r="BK65" i="7"/>
  <c r="BL65" i="7"/>
  <c r="BM65" i="7"/>
  <c r="BN65" i="7"/>
  <c r="BO65" i="7"/>
  <c r="BP65" i="7"/>
  <c r="BQ65" i="7"/>
  <c r="BR65" i="7"/>
  <c r="BS65" i="7"/>
  <c r="BT65" i="7"/>
  <c r="BU65" i="7"/>
  <c r="BV65" i="7"/>
  <c r="BW65" i="7"/>
  <c r="BX65" i="7"/>
  <c r="BY65" i="7"/>
  <c r="BZ65" i="7"/>
  <c r="CA65" i="7"/>
  <c r="CB65" i="7"/>
  <c r="CC65" i="7"/>
  <c r="CD65" i="7"/>
  <c r="CE65" i="7"/>
  <c r="CF65" i="7"/>
  <c r="CG65" i="7"/>
  <c r="CH65" i="7"/>
  <c r="CI65" i="7"/>
  <c r="CJ65" i="7"/>
  <c r="CK65" i="7"/>
  <c r="CL65" i="7"/>
  <c r="CM65" i="7"/>
  <c r="CN65" i="7"/>
  <c r="CO65" i="7"/>
  <c r="CP65" i="7"/>
  <c r="CQ65" i="7"/>
  <c r="CR65" i="7"/>
  <c r="CS65" i="7"/>
  <c r="CT65" i="7"/>
  <c r="CU65" i="7"/>
  <c r="CV65" i="7"/>
  <c r="CW65" i="7"/>
  <c r="CX65" i="7"/>
  <c r="CY65" i="7"/>
  <c r="CZ65" i="7"/>
  <c r="DA65" i="7"/>
  <c r="DB65" i="7"/>
  <c r="DC65" i="7"/>
  <c r="DD65" i="7"/>
  <c r="DE65" i="7"/>
  <c r="DF65" i="7"/>
  <c r="DG65" i="7"/>
  <c r="DH65" i="7"/>
  <c r="DI65" i="7"/>
  <c r="DJ65" i="7"/>
  <c r="DK65" i="7"/>
  <c r="DL65" i="7"/>
  <c r="DM65" i="7"/>
  <c r="DN65" i="7"/>
  <c r="DO65" i="7"/>
  <c r="DP65" i="7"/>
  <c r="DQ65" i="7"/>
  <c r="DR65" i="7"/>
  <c r="DS65" i="7"/>
  <c r="DT65" i="7"/>
  <c r="DU65" i="7"/>
  <c r="DV65" i="7"/>
  <c r="DW65" i="7"/>
  <c r="DX65" i="7"/>
  <c r="DY65" i="7"/>
  <c r="DZ65" i="7"/>
  <c r="EA65" i="7"/>
  <c r="EB65" i="7"/>
  <c r="EC65" i="7"/>
  <c r="ED65" i="7"/>
  <c r="EE65" i="7"/>
  <c r="EF65" i="7"/>
  <c r="EG65" i="7"/>
  <c r="EH65" i="7"/>
  <c r="EI65" i="7"/>
  <c r="EJ65" i="7"/>
  <c r="EK65" i="7"/>
  <c r="EL65" i="7"/>
  <c r="EM65" i="7"/>
  <c r="EN65" i="7"/>
  <c r="EO65" i="7"/>
  <c r="EP65" i="7"/>
  <c r="EQ65" i="7"/>
  <c r="ER65" i="7"/>
  <c r="ES65" i="7"/>
  <c r="ET65" i="7"/>
  <c r="EU65" i="7"/>
  <c r="EV65" i="7"/>
  <c r="EW65" i="7"/>
  <c r="EX65" i="7"/>
  <c r="EY65" i="7"/>
  <c r="EZ65" i="7"/>
  <c r="FA65" i="7"/>
  <c r="FB65" i="7"/>
  <c r="FC65" i="7"/>
  <c r="FD65" i="7"/>
  <c r="FE65" i="7"/>
  <c r="FF65" i="7"/>
  <c r="FG65" i="7"/>
  <c r="FH65" i="7"/>
  <c r="FI65" i="7"/>
  <c r="FJ65" i="7"/>
  <c r="FK65" i="7"/>
  <c r="FL65" i="7"/>
  <c r="FM65" i="7"/>
  <c r="FN65" i="7"/>
  <c r="FO65" i="7"/>
  <c r="FP65" i="7"/>
  <c r="FQ65" i="7"/>
  <c r="FR65" i="7"/>
  <c r="FS65" i="7"/>
  <c r="FT65" i="7"/>
  <c r="FU65" i="7"/>
  <c r="FV65" i="7"/>
  <c r="FW65" i="7"/>
  <c r="FX65" i="7"/>
  <c r="FY65" i="7"/>
  <c r="FZ65" i="7"/>
  <c r="GA65" i="7"/>
  <c r="GB65" i="7"/>
  <c r="GC65" i="7"/>
  <c r="GD65" i="7"/>
  <c r="GE65" i="7"/>
  <c r="GF65" i="7"/>
  <c r="GG65" i="7"/>
  <c r="GH65" i="7"/>
  <c r="GI65" i="7"/>
  <c r="GJ65" i="7"/>
  <c r="GK65" i="7"/>
  <c r="GL65" i="7"/>
  <c r="GM65" i="7"/>
  <c r="GN65" i="7"/>
  <c r="GO65" i="7"/>
  <c r="GP65" i="7"/>
  <c r="GQ65" i="7"/>
  <c r="GR65" i="7"/>
  <c r="GS65" i="7"/>
  <c r="GT65" i="7"/>
  <c r="GU65" i="7"/>
  <c r="GV65" i="7"/>
  <c r="GW65" i="7"/>
  <c r="GX65" i="7"/>
  <c r="GY65" i="7"/>
  <c r="GZ65" i="7"/>
  <c r="HA65" i="7"/>
  <c r="HB65" i="7"/>
  <c r="HC65" i="7"/>
  <c r="HD65" i="7"/>
  <c r="HE65" i="7"/>
  <c r="HF65" i="7"/>
  <c r="HG65" i="7"/>
  <c r="HH65" i="7"/>
  <c r="HI65" i="7"/>
  <c r="HJ65" i="7"/>
  <c r="HK65" i="7"/>
  <c r="HL65" i="7"/>
  <c r="HM65" i="7"/>
  <c r="HN65" i="7"/>
  <c r="HO65" i="7"/>
  <c r="HP65" i="7"/>
  <c r="HQ65" i="7"/>
  <c r="HR65" i="7"/>
  <c r="HS65" i="7"/>
  <c r="HT65" i="7"/>
  <c r="HU65" i="7"/>
  <c r="HV65" i="7"/>
  <c r="HW65" i="7"/>
  <c r="HX65" i="7"/>
  <c r="HY65" i="7"/>
  <c r="HZ65" i="7"/>
  <c r="IA65" i="7"/>
  <c r="IB65" i="7"/>
  <c r="IC65" i="7"/>
  <c r="ID65" i="7"/>
  <c r="IE65" i="7"/>
  <c r="IF65" i="7"/>
  <c r="IG65" i="7"/>
  <c r="IH65" i="7"/>
  <c r="II65" i="7"/>
  <c r="IJ65" i="7"/>
  <c r="IK65" i="7"/>
  <c r="IL65" i="7"/>
  <c r="IM65" i="7"/>
  <c r="IN65" i="7"/>
  <c r="IO65" i="7"/>
  <c r="IP65" i="7"/>
  <c r="IQ65" i="7"/>
  <c r="IR65" i="7"/>
  <c r="IS65" i="7"/>
  <c r="IT65" i="7"/>
  <c r="IU65" i="7"/>
  <c r="IV65" i="7"/>
  <c r="A64" i="7"/>
  <c r="B64" i="7"/>
  <c r="C64" i="7"/>
  <c r="D64" i="7"/>
  <c r="E64" i="7"/>
  <c r="F64" i="7"/>
  <c r="G64" i="7"/>
  <c r="H64" i="7"/>
  <c r="I64" i="7"/>
  <c r="J64" i="7"/>
  <c r="K64" i="7"/>
  <c r="L64" i="7"/>
  <c r="M64" i="7"/>
  <c r="N64" i="7"/>
  <c r="O64" i="7"/>
  <c r="P64" i="7"/>
  <c r="Q64" i="7"/>
  <c r="R64" i="7"/>
  <c r="S64" i="7"/>
  <c r="T64" i="7"/>
  <c r="U64" i="7"/>
  <c r="V64" i="7"/>
  <c r="W64" i="7"/>
  <c r="X64" i="7"/>
  <c r="Y64" i="7"/>
  <c r="Z64" i="7"/>
  <c r="AA64" i="7"/>
  <c r="AB64" i="7"/>
  <c r="AC64" i="7"/>
  <c r="AD64" i="7"/>
  <c r="AE64" i="7"/>
  <c r="AF64" i="7"/>
  <c r="AG64" i="7"/>
  <c r="AH64" i="7"/>
  <c r="AI64" i="7"/>
  <c r="AJ64" i="7"/>
  <c r="AK64" i="7"/>
  <c r="AL64" i="7"/>
  <c r="AM64" i="7"/>
  <c r="AN64" i="7"/>
  <c r="AO64" i="7"/>
  <c r="AP64" i="7"/>
  <c r="AQ64" i="7"/>
  <c r="AR64" i="7"/>
  <c r="AS64" i="7"/>
  <c r="AT64" i="7"/>
  <c r="AU64" i="7"/>
  <c r="AV64" i="7"/>
  <c r="AW64" i="7"/>
  <c r="AX64" i="7"/>
  <c r="AY64" i="7"/>
  <c r="AZ64" i="7"/>
  <c r="BA64" i="7"/>
  <c r="BB64" i="7"/>
  <c r="BC64" i="7"/>
  <c r="BD64" i="7"/>
  <c r="BE64" i="7"/>
  <c r="BF64" i="7"/>
  <c r="BG64" i="7"/>
  <c r="BH64" i="7"/>
  <c r="BI64" i="7"/>
  <c r="BJ64" i="7"/>
  <c r="BK64" i="7"/>
  <c r="BL64" i="7"/>
  <c r="BM64" i="7"/>
  <c r="BN64" i="7"/>
  <c r="BO64" i="7"/>
  <c r="BP64" i="7"/>
  <c r="BQ64" i="7"/>
  <c r="BR64" i="7"/>
  <c r="BS64" i="7"/>
  <c r="BT64" i="7"/>
  <c r="BU64" i="7"/>
  <c r="BV64" i="7"/>
  <c r="BW64" i="7"/>
  <c r="BX64" i="7"/>
  <c r="BY64" i="7"/>
  <c r="BZ64" i="7"/>
  <c r="CA64" i="7"/>
  <c r="CB64" i="7"/>
  <c r="CC64" i="7"/>
  <c r="CD64" i="7"/>
  <c r="CE64" i="7"/>
  <c r="CF64" i="7"/>
  <c r="CG64" i="7"/>
  <c r="CH64" i="7"/>
  <c r="CI64" i="7"/>
  <c r="CJ64" i="7"/>
  <c r="CK64" i="7"/>
  <c r="CL64" i="7"/>
  <c r="CM64" i="7"/>
  <c r="CN64" i="7"/>
  <c r="CO64" i="7"/>
  <c r="CP64" i="7"/>
  <c r="CQ64" i="7"/>
  <c r="CR64" i="7"/>
  <c r="CS64" i="7"/>
  <c r="CT64" i="7"/>
  <c r="CU64" i="7"/>
  <c r="CV64" i="7"/>
  <c r="CW64" i="7"/>
  <c r="CX64" i="7"/>
  <c r="CY64" i="7"/>
  <c r="CZ64" i="7"/>
  <c r="DA64" i="7"/>
  <c r="DB64" i="7"/>
  <c r="DC64" i="7"/>
  <c r="DD64" i="7"/>
  <c r="DE64" i="7"/>
  <c r="DF64" i="7"/>
  <c r="DG64" i="7"/>
  <c r="DH64" i="7"/>
  <c r="DI64" i="7"/>
  <c r="DJ64" i="7"/>
  <c r="DK64" i="7"/>
  <c r="DL64" i="7"/>
  <c r="DM64" i="7"/>
  <c r="DN64" i="7"/>
  <c r="DO64" i="7"/>
  <c r="DP64" i="7"/>
  <c r="DQ64" i="7"/>
  <c r="DR64" i="7"/>
  <c r="DS64" i="7"/>
  <c r="DT64" i="7"/>
  <c r="DU64" i="7"/>
  <c r="DV64" i="7"/>
  <c r="DW64" i="7"/>
  <c r="DX64" i="7"/>
  <c r="DY64" i="7"/>
  <c r="DZ64" i="7"/>
  <c r="EA64" i="7"/>
  <c r="EB64" i="7"/>
  <c r="EC64" i="7"/>
  <c r="ED64" i="7"/>
  <c r="EE64" i="7"/>
  <c r="EF64" i="7"/>
  <c r="EG64" i="7"/>
  <c r="EH64" i="7"/>
  <c r="EI64" i="7"/>
  <c r="EJ64" i="7"/>
  <c r="EK64" i="7"/>
  <c r="EL64" i="7"/>
  <c r="EM64" i="7"/>
  <c r="EN64" i="7"/>
  <c r="EO64" i="7"/>
  <c r="EP64" i="7"/>
  <c r="EQ64" i="7"/>
  <c r="ER64" i="7"/>
  <c r="ES64" i="7"/>
  <c r="ET64" i="7"/>
  <c r="EU64" i="7"/>
  <c r="EV64" i="7"/>
  <c r="EW64" i="7"/>
  <c r="EX64" i="7"/>
  <c r="EY64" i="7"/>
  <c r="EZ64" i="7"/>
  <c r="FA64" i="7"/>
  <c r="FB64" i="7"/>
  <c r="FC64" i="7"/>
  <c r="FD64" i="7"/>
  <c r="FE64" i="7"/>
  <c r="FF64" i="7"/>
  <c r="FG64" i="7"/>
  <c r="FH64" i="7"/>
  <c r="FI64" i="7"/>
  <c r="FJ64" i="7"/>
  <c r="FK64" i="7"/>
  <c r="FL64" i="7"/>
  <c r="FM64" i="7"/>
  <c r="FN64" i="7"/>
  <c r="FO64" i="7"/>
  <c r="FP64" i="7"/>
  <c r="FQ64" i="7"/>
  <c r="FR64" i="7"/>
  <c r="FS64" i="7"/>
  <c r="FT64" i="7"/>
  <c r="FU64" i="7"/>
  <c r="FV64" i="7"/>
  <c r="FW64" i="7"/>
  <c r="FX64" i="7"/>
  <c r="FY64" i="7"/>
  <c r="FZ64" i="7"/>
  <c r="GA64" i="7"/>
  <c r="GB64" i="7"/>
  <c r="GC64" i="7"/>
  <c r="GD64" i="7"/>
  <c r="GE64" i="7"/>
  <c r="GF64" i="7"/>
  <c r="GG64" i="7"/>
  <c r="GH64" i="7"/>
  <c r="GI64" i="7"/>
  <c r="GJ64" i="7"/>
  <c r="GK64" i="7"/>
  <c r="GL64" i="7"/>
  <c r="GM64" i="7"/>
  <c r="GN64" i="7"/>
  <c r="GO64" i="7"/>
  <c r="GP64" i="7"/>
  <c r="GQ64" i="7"/>
  <c r="GR64" i="7"/>
  <c r="GS64" i="7"/>
  <c r="GT64" i="7"/>
  <c r="GU64" i="7"/>
  <c r="GV64" i="7"/>
  <c r="GW64" i="7"/>
  <c r="GX64" i="7"/>
  <c r="GY64" i="7"/>
  <c r="GZ64" i="7"/>
  <c r="HA64" i="7"/>
  <c r="HB64" i="7"/>
  <c r="HC64" i="7"/>
  <c r="HD64" i="7"/>
  <c r="HE64" i="7"/>
  <c r="HF64" i="7"/>
  <c r="HG64" i="7"/>
  <c r="HH64" i="7"/>
  <c r="HI64" i="7"/>
  <c r="HJ64" i="7"/>
  <c r="HK64" i="7"/>
  <c r="HL64" i="7"/>
  <c r="HM64" i="7"/>
  <c r="HN64" i="7"/>
  <c r="HO64" i="7"/>
  <c r="HP64" i="7"/>
  <c r="HQ64" i="7"/>
  <c r="HR64" i="7"/>
  <c r="HS64" i="7"/>
  <c r="HT64" i="7"/>
  <c r="HU64" i="7"/>
  <c r="HV64" i="7"/>
  <c r="HW64" i="7"/>
  <c r="HX64" i="7"/>
  <c r="HY64" i="7"/>
  <c r="HZ64" i="7"/>
  <c r="IA64" i="7"/>
  <c r="IB64" i="7"/>
  <c r="IC64" i="7"/>
  <c r="ID64" i="7"/>
  <c r="IE64" i="7"/>
  <c r="IF64" i="7"/>
  <c r="IG64" i="7"/>
  <c r="IH64" i="7"/>
  <c r="II64" i="7"/>
  <c r="IJ64" i="7"/>
  <c r="IK64" i="7"/>
  <c r="IL64" i="7"/>
  <c r="IM64" i="7"/>
  <c r="IN64" i="7"/>
  <c r="IO64" i="7"/>
  <c r="IP64" i="7"/>
  <c r="IQ64" i="7"/>
  <c r="IR64" i="7"/>
  <c r="IS64" i="7"/>
  <c r="IT64" i="7"/>
  <c r="IU64" i="7"/>
  <c r="IV64" i="7"/>
  <c r="A63" i="7"/>
  <c r="B63" i="7"/>
  <c r="C63" i="7"/>
  <c r="D63" i="7"/>
  <c r="E63" i="7"/>
  <c r="F63" i="7"/>
  <c r="G63" i="7"/>
  <c r="H63" i="7"/>
  <c r="I63" i="7"/>
  <c r="J63" i="7"/>
  <c r="K63" i="7"/>
  <c r="L63" i="7"/>
  <c r="M63" i="7"/>
  <c r="N63" i="7"/>
  <c r="O63" i="7"/>
  <c r="P63" i="7"/>
  <c r="Q63" i="7"/>
  <c r="R63" i="7"/>
  <c r="S63" i="7"/>
  <c r="T63" i="7"/>
  <c r="U63" i="7"/>
  <c r="V63" i="7"/>
  <c r="W63" i="7"/>
  <c r="X63" i="7"/>
  <c r="Y63" i="7"/>
  <c r="Z63" i="7"/>
  <c r="AA63" i="7"/>
  <c r="AB63" i="7"/>
  <c r="AC63" i="7"/>
  <c r="AD63" i="7"/>
  <c r="AE63" i="7"/>
  <c r="AF63" i="7"/>
  <c r="AG63" i="7"/>
  <c r="AH63" i="7"/>
  <c r="AI63" i="7"/>
  <c r="AJ63" i="7"/>
  <c r="AK63" i="7"/>
  <c r="AL63" i="7"/>
  <c r="AM63" i="7"/>
  <c r="AN63" i="7"/>
  <c r="AO63" i="7"/>
  <c r="AP63" i="7"/>
  <c r="AQ63" i="7"/>
  <c r="AR63" i="7"/>
  <c r="AS63" i="7"/>
  <c r="AT63" i="7"/>
  <c r="AU63" i="7"/>
  <c r="AV63" i="7"/>
  <c r="AW63" i="7"/>
  <c r="AX63" i="7"/>
  <c r="AY63" i="7"/>
  <c r="AZ63" i="7"/>
  <c r="BA63" i="7"/>
  <c r="BB63" i="7"/>
  <c r="BC63" i="7"/>
  <c r="BD63" i="7"/>
  <c r="BE63" i="7"/>
  <c r="BF63" i="7"/>
  <c r="BG63" i="7"/>
  <c r="BH63" i="7"/>
  <c r="BI63" i="7"/>
  <c r="BJ63" i="7"/>
  <c r="BK63" i="7"/>
  <c r="BL63" i="7"/>
  <c r="BM63" i="7"/>
  <c r="BN63" i="7"/>
  <c r="BO63" i="7"/>
  <c r="BP63" i="7"/>
  <c r="BQ63" i="7"/>
  <c r="BR63" i="7"/>
  <c r="BS63" i="7"/>
  <c r="BT63" i="7"/>
  <c r="BU63" i="7"/>
  <c r="BV63" i="7"/>
  <c r="BW63" i="7"/>
  <c r="BX63" i="7"/>
  <c r="BY63" i="7"/>
  <c r="BZ63" i="7"/>
  <c r="CA63" i="7"/>
  <c r="CB63" i="7"/>
  <c r="CC63" i="7"/>
  <c r="CD63" i="7"/>
  <c r="CE63" i="7"/>
  <c r="CF63" i="7"/>
  <c r="CG63" i="7"/>
  <c r="CH63" i="7"/>
  <c r="CI63" i="7"/>
  <c r="CJ63" i="7"/>
  <c r="CK63" i="7"/>
  <c r="CL63" i="7"/>
  <c r="CM63" i="7"/>
  <c r="CN63" i="7"/>
  <c r="CO63" i="7"/>
  <c r="CP63" i="7"/>
  <c r="CQ63" i="7"/>
  <c r="CR63" i="7"/>
  <c r="CS63" i="7"/>
  <c r="CT63" i="7"/>
  <c r="CU63" i="7"/>
  <c r="CV63" i="7"/>
  <c r="CW63" i="7"/>
  <c r="CX63" i="7"/>
  <c r="CY63" i="7"/>
  <c r="CZ63" i="7"/>
  <c r="DA63" i="7"/>
  <c r="DB63" i="7"/>
  <c r="DC63" i="7"/>
  <c r="DD63" i="7"/>
  <c r="DE63" i="7"/>
  <c r="DF63" i="7"/>
  <c r="DG63" i="7"/>
  <c r="DH63" i="7"/>
  <c r="DI63" i="7"/>
  <c r="DJ63" i="7"/>
  <c r="DK63" i="7"/>
  <c r="DL63" i="7"/>
  <c r="DM63" i="7"/>
  <c r="DN63" i="7"/>
  <c r="DO63" i="7"/>
  <c r="DP63" i="7"/>
  <c r="DQ63" i="7"/>
  <c r="DR63" i="7"/>
  <c r="DS63" i="7"/>
  <c r="DT63" i="7"/>
  <c r="DU63" i="7"/>
  <c r="DV63" i="7"/>
  <c r="DW63" i="7"/>
  <c r="DX63" i="7"/>
  <c r="DY63" i="7"/>
  <c r="DZ63" i="7"/>
  <c r="EA63" i="7"/>
  <c r="EB63" i="7"/>
  <c r="EC63" i="7"/>
  <c r="ED63" i="7"/>
  <c r="EE63" i="7"/>
  <c r="EF63" i="7"/>
  <c r="EG63" i="7"/>
  <c r="EH63" i="7"/>
  <c r="EI63" i="7"/>
  <c r="EJ63" i="7"/>
  <c r="EK63" i="7"/>
  <c r="EL63" i="7"/>
  <c r="EM63" i="7"/>
  <c r="EN63" i="7"/>
  <c r="EO63" i="7"/>
  <c r="EP63" i="7"/>
  <c r="EQ63" i="7"/>
  <c r="ER63" i="7"/>
  <c r="ES63" i="7"/>
  <c r="ET63" i="7"/>
  <c r="EU63" i="7"/>
  <c r="EV63" i="7"/>
  <c r="EW63" i="7"/>
  <c r="EX63" i="7"/>
  <c r="EY63" i="7"/>
  <c r="EZ63" i="7"/>
  <c r="FA63" i="7"/>
  <c r="FB63" i="7"/>
  <c r="FC63" i="7"/>
  <c r="FD63" i="7"/>
  <c r="FE63" i="7"/>
  <c r="FF63" i="7"/>
  <c r="FG63" i="7"/>
  <c r="FH63" i="7"/>
  <c r="FI63" i="7"/>
  <c r="FJ63" i="7"/>
  <c r="FK63" i="7"/>
  <c r="FL63" i="7"/>
  <c r="FM63" i="7"/>
  <c r="FN63" i="7"/>
  <c r="FO63" i="7"/>
  <c r="FP63" i="7"/>
  <c r="FQ63" i="7"/>
  <c r="FR63" i="7"/>
  <c r="FS63" i="7"/>
  <c r="FT63" i="7"/>
  <c r="FU63" i="7"/>
  <c r="FV63" i="7"/>
  <c r="FW63" i="7"/>
  <c r="FX63" i="7"/>
  <c r="FY63" i="7"/>
  <c r="FZ63" i="7"/>
  <c r="GA63" i="7"/>
  <c r="GB63" i="7"/>
  <c r="GC63" i="7"/>
  <c r="GD63" i="7"/>
  <c r="GE63" i="7"/>
  <c r="GF63" i="7"/>
  <c r="GG63" i="7"/>
  <c r="GH63" i="7"/>
  <c r="GI63" i="7"/>
  <c r="GJ63" i="7"/>
  <c r="GK63" i="7"/>
  <c r="GL63" i="7"/>
  <c r="GM63" i="7"/>
  <c r="GN63" i="7"/>
  <c r="GO63" i="7"/>
  <c r="GP63" i="7"/>
  <c r="GQ63" i="7"/>
  <c r="GR63" i="7"/>
  <c r="GS63" i="7"/>
  <c r="GT63" i="7"/>
  <c r="GU63" i="7"/>
  <c r="GV63" i="7"/>
  <c r="GW63" i="7"/>
  <c r="GX63" i="7"/>
  <c r="GY63" i="7"/>
  <c r="GZ63" i="7"/>
  <c r="HA63" i="7"/>
  <c r="HB63" i="7"/>
  <c r="HC63" i="7"/>
  <c r="HD63" i="7"/>
  <c r="HE63" i="7"/>
  <c r="HF63" i="7"/>
  <c r="HG63" i="7"/>
  <c r="HH63" i="7"/>
  <c r="HI63" i="7"/>
  <c r="HJ63" i="7"/>
  <c r="HK63" i="7"/>
  <c r="HL63" i="7"/>
  <c r="HM63" i="7"/>
  <c r="HN63" i="7"/>
  <c r="HO63" i="7"/>
  <c r="HP63" i="7"/>
  <c r="HQ63" i="7"/>
  <c r="HR63" i="7"/>
  <c r="HS63" i="7"/>
  <c r="HT63" i="7"/>
  <c r="HU63" i="7"/>
  <c r="HV63" i="7"/>
  <c r="HW63" i="7"/>
  <c r="HX63" i="7"/>
  <c r="HY63" i="7"/>
  <c r="HZ63" i="7"/>
  <c r="IA63" i="7"/>
  <c r="IB63" i="7"/>
  <c r="IC63" i="7"/>
  <c r="ID63" i="7"/>
  <c r="IE63" i="7"/>
  <c r="IF63" i="7"/>
  <c r="IG63" i="7"/>
  <c r="IH63" i="7"/>
  <c r="II63" i="7"/>
  <c r="IJ63" i="7"/>
  <c r="IK63" i="7"/>
  <c r="IL63" i="7"/>
  <c r="IM63" i="7"/>
  <c r="IN63" i="7"/>
  <c r="IO63" i="7"/>
  <c r="IP63" i="7"/>
  <c r="IQ63" i="7"/>
  <c r="IR63" i="7"/>
  <c r="IS63" i="7"/>
  <c r="IT63" i="7"/>
  <c r="IU63" i="7"/>
  <c r="IV63" i="7"/>
  <c r="A62" i="7"/>
  <c r="B62" i="7"/>
  <c r="C62" i="7"/>
  <c r="D62" i="7"/>
  <c r="E62" i="7"/>
  <c r="F62" i="7"/>
  <c r="G62" i="7"/>
  <c r="H62" i="7"/>
  <c r="I62" i="7"/>
  <c r="J62" i="7"/>
  <c r="K62" i="7"/>
  <c r="L62" i="7"/>
  <c r="M62" i="7"/>
  <c r="N62" i="7"/>
  <c r="O62" i="7"/>
  <c r="P62" i="7"/>
  <c r="Q62" i="7"/>
  <c r="R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W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B62" i="7"/>
  <c r="CC62" i="7"/>
  <c r="CD62" i="7"/>
  <c r="CE62" i="7"/>
  <c r="CF62" i="7"/>
  <c r="CG62" i="7"/>
  <c r="CH62" i="7"/>
  <c r="CI62" i="7"/>
  <c r="CJ62" i="7"/>
  <c r="CK62" i="7"/>
  <c r="CL62" i="7"/>
  <c r="CM62" i="7"/>
  <c r="CN62" i="7"/>
  <c r="CO62" i="7"/>
  <c r="CP62" i="7"/>
  <c r="CQ62" i="7"/>
  <c r="CR62" i="7"/>
  <c r="CS62" i="7"/>
  <c r="CT62" i="7"/>
  <c r="CU62" i="7"/>
  <c r="CV62" i="7"/>
  <c r="CW62" i="7"/>
  <c r="CX62" i="7"/>
  <c r="CY62" i="7"/>
  <c r="CZ62" i="7"/>
  <c r="DA62" i="7"/>
  <c r="DB62" i="7"/>
  <c r="DC62" i="7"/>
  <c r="DD62" i="7"/>
  <c r="DE62" i="7"/>
  <c r="DF62" i="7"/>
  <c r="DG62" i="7"/>
  <c r="DH62" i="7"/>
  <c r="DI62" i="7"/>
  <c r="DJ62" i="7"/>
  <c r="DK62" i="7"/>
  <c r="DL62" i="7"/>
  <c r="DM62" i="7"/>
  <c r="DN62" i="7"/>
  <c r="DO62" i="7"/>
  <c r="DP62" i="7"/>
  <c r="DQ62" i="7"/>
  <c r="DR62" i="7"/>
  <c r="DS62" i="7"/>
  <c r="DT62" i="7"/>
  <c r="DU62" i="7"/>
  <c r="DV62" i="7"/>
  <c r="DW62" i="7"/>
  <c r="DX62" i="7"/>
  <c r="DY62" i="7"/>
  <c r="DZ62" i="7"/>
  <c r="EA62" i="7"/>
  <c r="EB62" i="7"/>
  <c r="EC62" i="7"/>
  <c r="ED62" i="7"/>
  <c r="EE62" i="7"/>
  <c r="EF62" i="7"/>
  <c r="EG62" i="7"/>
  <c r="EH62" i="7"/>
  <c r="EI62" i="7"/>
  <c r="EJ62" i="7"/>
  <c r="EK62" i="7"/>
  <c r="EL62" i="7"/>
  <c r="EM62" i="7"/>
  <c r="EN62" i="7"/>
  <c r="EO62" i="7"/>
  <c r="EP62" i="7"/>
  <c r="EQ62" i="7"/>
  <c r="ER62" i="7"/>
  <c r="ES62" i="7"/>
  <c r="ET62" i="7"/>
  <c r="EU62" i="7"/>
  <c r="EV62" i="7"/>
  <c r="EW62" i="7"/>
  <c r="EX62" i="7"/>
  <c r="EY62" i="7"/>
  <c r="EZ62" i="7"/>
  <c r="FA62" i="7"/>
  <c r="FB62" i="7"/>
  <c r="FC62" i="7"/>
  <c r="FD62" i="7"/>
  <c r="FE62" i="7"/>
  <c r="FF62" i="7"/>
  <c r="FG62" i="7"/>
  <c r="FH62" i="7"/>
  <c r="FI62" i="7"/>
  <c r="FJ62" i="7"/>
  <c r="FK62" i="7"/>
  <c r="FL62" i="7"/>
  <c r="FM62" i="7"/>
  <c r="FN62" i="7"/>
  <c r="FO62" i="7"/>
  <c r="FP62" i="7"/>
  <c r="FQ62" i="7"/>
  <c r="FR62" i="7"/>
  <c r="FS62" i="7"/>
  <c r="FT62" i="7"/>
  <c r="FU62" i="7"/>
  <c r="FV62" i="7"/>
  <c r="FW62" i="7"/>
  <c r="FX62" i="7"/>
  <c r="FY62" i="7"/>
  <c r="FZ62" i="7"/>
  <c r="GA62" i="7"/>
  <c r="GB62" i="7"/>
  <c r="GC62" i="7"/>
  <c r="GD62" i="7"/>
  <c r="GE62" i="7"/>
  <c r="GF62" i="7"/>
  <c r="GG62" i="7"/>
  <c r="GH62" i="7"/>
  <c r="GI62" i="7"/>
  <c r="GJ62" i="7"/>
  <c r="GK62" i="7"/>
  <c r="GL62" i="7"/>
  <c r="GM62" i="7"/>
  <c r="GN62" i="7"/>
  <c r="GO62" i="7"/>
  <c r="GP62" i="7"/>
  <c r="GQ62" i="7"/>
  <c r="GR62" i="7"/>
  <c r="GS62" i="7"/>
  <c r="GT62" i="7"/>
  <c r="GU62" i="7"/>
  <c r="GV62" i="7"/>
  <c r="GW62" i="7"/>
  <c r="GX62" i="7"/>
  <c r="GY62" i="7"/>
  <c r="GZ62" i="7"/>
  <c r="HA62" i="7"/>
  <c r="HB62" i="7"/>
  <c r="HC62" i="7"/>
  <c r="HD62" i="7"/>
  <c r="HE62" i="7"/>
  <c r="HF62" i="7"/>
  <c r="HG62" i="7"/>
  <c r="HH62" i="7"/>
  <c r="HI62" i="7"/>
  <c r="HJ62" i="7"/>
  <c r="HK62" i="7"/>
  <c r="HL62" i="7"/>
  <c r="HM62" i="7"/>
  <c r="HN62" i="7"/>
  <c r="HO62" i="7"/>
  <c r="HP62" i="7"/>
  <c r="HQ62" i="7"/>
  <c r="HR62" i="7"/>
  <c r="HS62" i="7"/>
  <c r="HT62" i="7"/>
  <c r="HU62" i="7"/>
  <c r="HV62" i="7"/>
  <c r="HW62" i="7"/>
  <c r="HX62" i="7"/>
  <c r="HY62" i="7"/>
  <c r="HZ62" i="7"/>
  <c r="IA62" i="7"/>
  <c r="IB62" i="7"/>
  <c r="IC62" i="7"/>
  <c r="ID62" i="7"/>
  <c r="IE62" i="7"/>
  <c r="IF62" i="7"/>
  <c r="IG62" i="7"/>
  <c r="IH62" i="7"/>
  <c r="II62" i="7"/>
  <c r="IJ62" i="7"/>
  <c r="IK62" i="7"/>
  <c r="IL62" i="7"/>
  <c r="IM62" i="7"/>
  <c r="IN62" i="7"/>
  <c r="IO62" i="7"/>
  <c r="IP62" i="7"/>
  <c r="IQ62" i="7"/>
  <c r="IR62" i="7"/>
  <c r="IS62" i="7"/>
  <c r="IT62" i="7"/>
  <c r="IU62" i="7"/>
  <c r="IV62" i="7"/>
  <c r="A61" i="7"/>
  <c r="B61" i="7"/>
  <c r="C61" i="7"/>
  <c r="D61" i="7"/>
  <c r="E61" i="7"/>
  <c r="F61" i="7"/>
  <c r="G61" i="7"/>
  <c r="H61" i="7"/>
  <c r="I61" i="7"/>
  <c r="J61" i="7"/>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FO61" i="7"/>
  <c r="FP61" i="7"/>
  <c r="FQ61" i="7"/>
  <c r="FR61" i="7"/>
  <c r="FS61" i="7"/>
  <c r="FT61" i="7"/>
  <c r="FU61" i="7"/>
  <c r="FV61" i="7"/>
  <c r="FW61" i="7"/>
  <c r="FX61" i="7"/>
  <c r="FY61" i="7"/>
  <c r="FZ61" i="7"/>
  <c r="GA61" i="7"/>
  <c r="GB61" i="7"/>
  <c r="GC61" i="7"/>
  <c r="GD61" i="7"/>
  <c r="GE61" i="7"/>
  <c r="GF61" i="7"/>
  <c r="GG61" i="7"/>
  <c r="GH61" i="7"/>
  <c r="GI61" i="7"/>
  <c r="GJ61" i="7"/>
  <c r="GK61" i="7"/>
  <c r="GL61" i="7"/>
  <c r="GM61" i="7"/>
  <c r="GN61" i="7"/>
  <c r="GO61" i="7"/>
  <c r="GP61" i="7"/>
  <c r="GQ61" i="7"/>
  <c r="GR61" i="7"/>
  <c r="GS61" i="7"/>
  <c r="GT61" i="7"/>
  <c r="GU61" i="7"/>
  <c r="GV61" i="7"/>
  <c r="GW61" i="7"/>
  <c r="GX61" i="7"/>
  <c r="GY61" i="7"/>
  <c r="GZ61" i="7"/>
  <c r="HA61" i="7"/>
  <c r="HB61" i="7"/>
  <c r="HC61" i="7"/>
  <c r="HD61" i="7"/>
  <c r="HE61" i="7"/>
  <c r="HF61" i="7"/>
  <c r="HG61" i="7"/>
  <c r="HH61" i="7"/>
  <c r="HI61" i="7"/>
  <c r="HJ61" i="7"/>
  <c r="HK61" i="7"/>
  <c r="HL61" i="7"/>
  <c r="HM61" i="7"/>
  <c r="HN61" i="7"/>
  <c r="HO61" i="7"/>
  <c r="HP61" i="7"/>
  <c r="HQ61" i="7"/>
  <c r="HR61" i="7"/>
  <c r="HS61" i="7"/>
  <c r="HT61" i="7"/>
  <c r="HU61" i="7"/>
  <c r="HV61" i="7"/>
  <c r="HW61" i="7"/>
  <c r="HX61" i="7"/>
  <c r="HY61" i="7"/>
  <c r="HZ61" i="7"/>
  <c r="IA61" i="7"/>
  <c r="IB61" i="7"/>
  <c r="IC61" i="7"/>
  <c r="ID61" i="7"/>
  <c r="IE61" i="7"/>
  <c r="IF61" i="7"/>
  <c r="IG61" i="7"/>
  <c r="IH61" i="7"/>
  <c r="II61" i="7"/>
  <c r="IJ61" i="7"/>
  <c r="IK61" i="7"/>
  <c r="IL61" i="7"/>
  <c r="IM61" i="7"/>
  <c r="IN61" i="7"/>
  <c r="IO61" i="7"/>
  <c r="IP61" i="7"/>
  <c r="IQ61" i="7"/>
  <c r="IR61" i="7"/>
  <c r="IS61" i="7"/>
  <c r="IT61" i="7"/>
  <c r="IU61" i="7"/>
  <c r="IV61" i="7"/>
  <c r="A60" i="7"/>
  <c r="B60" i="7"/>
  <c r="C60" i="7"/>
  <c r="D60" i="7"/>
  <c r="E60" i="7"/>
  <c r="F60" i="7"/>
  <c r="G60" i="7"/>
  <c r="H60" i="7"/>
  <c r="I60" i="7"/>
  <c r="J60" i="7"/>
  <c r="K60" i="7"/>
  <c r="L60" i="7"/>
  <c r="M60" i="7"/>
  <c r="N60" i="7"/>
  <c r="O60" i="7"/>
  <c r="P60" i="7"/>
  <c r="Q60" i="7"/>
  <c r="R60" i="7"/>
  <c r="S60" i="7"/>
  <c r="T60" i="7"/>
  <c r="U60" i="7"/>
  <c r="V60" i="7"/>
  <c r="W60" i="7"/>
  <c r="X60" i="7"/>
  <c r="Y60" i="7"/>
  <c r="Z60" i="7"/>
  <c r="AA60" i="7"/>
  <c r="AB60" i="7"/>
  <c r="AC60" i="7"/>
  <c r="AD60" i="7"/>
  <c r="AE60" i="7"/>
  <c r="AF60" i="7"/>
  <c r="AG60" i="7"/>
  <c r="AH60" i="7"/>
  <c r="AI60" i="7"/>
  <c r="AJ60" i="7"/>
  <c r="AK60" i="7"/>
  <c r="AL60" i="7"/>
  <c r="AM60" i="7"/>
  <c r="AN60" i="7"/>
  <c r="AO60" i="7"/>
  <c r="AP60" i="7"/>
  <c r="AQ60" i="7"/>
  <c r="AR60" i="7"/>
  <c r="AS60" i="7"/>
  <c r="AT60" i="7"/>
  <c r="AU60" i="7"/>
  <c r="AV60" i="7"/>
  <c r="AW60" i="7"/>
  <c r="AX60" i="7"/>
  <c r="AY60" i="7"/>
  <c r="AZ60" i="7"/>
  <c r="BA60" i="7"/>
  <c r="BB60" i="7"/>
  <c r="BC60" i="7"/>
  <c r="BD60" i="7"/>
  <c r="BE60" i="7"/>
  <c r="BF60" i="7"/>
  <c r="BG60" i="7"/>
  <c r="BH60" i="7"/>
  <c r="BI60" i="7"/>
  <c r="BJ60" i="7"/>
  <c r="BK60" i="7"/>
  <c r="BL60" i="7"/>
  <c r="BM60" i="7"/>
  <c r="BN60" i="7"/>
  <c r="BO60" i="7"/>
  <c r="BP60" i="7"/>
  <c r="BQ60" i="7"/>
  <c r="BR60" i="7"/>
  <c r="BS60" i="7"/>
  <c r="BT60" i="7"/>
  <c r="BU60" i="7"/>
  <c r="BV60" i="7"/>
  <c r="BW60" i="7"/>
  <c r="BX60" i="7"/>
  <c r="BY60" i="7"/>
  <c r="BZ60" i="7"/>
  <c r="CA60" i="7"/>
  <c r="CB60" i="7"/>
  <c r="CC60" i="7"/>
  <c r="CD60" i="7"/>
  <c r="CE60" i="7"/>
  <c r="CF60" i="7"/>
  <c r="CG60" i="7"/>
  <c r="CH60" i="7"/>
  <c r="CI60" i="7"/>
  <c r="CJ60" i="7"/>
  <c r="CK60" i="7"/>
  <c r="CL60" i="7"/>
  <c r="CM60" i="7"/>
  <c r="CN60" i="7"/>
  <c r="CO60" i="7"/>
  <c r="CP60" i="7"/>
  <c r="CQ60" i="7"/>
  <c r="CR60" i="7"/>
  <c r="CS60" i="7"/>
  <c r="CT60" i="7"/>
  <c r="CU60" i="7"/>
  <c r="CV60" i="7"/>
  <c r="CW60" i="7"/>
  <c r="CX60" i="7"/>
  <c r="CY60" i="7"/>
  <c r="CZ60" i="7"/>
  <c r="DA60" i="7"/>
  <c r="DB60" i="7"/>
  <c r="DC60" i="7"/>
  <c r="DD60" i="7"/>
  <c r="DE60" i="7"/>
  <c r="DF60" i="7"/>
  <c r="DG60" i="7"/>
  <c r="DH60" i="7"/>
  <c r="DI60" i="7"/>
  <c r="DJ60" i="7"/>
  <c r="DK60" i="7"/>
  <c r="DL60" i="7"/>
  <c r="DM60" i="7"/>
  <c r="DN60" i="7"/>
  <c r="DO60" i="7"/>
  <c r="DP60" i="7"/>
  <c r="DQ60" i="7"/>
  <c r="DR60" i="7"/>
  <c r="DS60" i="7"/>
  <c r="DT60" i="7"/>
  <c r="DU60" i="7"/>
  <c r="DV60" i="7"/>
  <c r="DW60" i="7"/>
  <c r="DX60" i="7"/>
  <c r="DY60" i="7"/>
  <c r="DZ60" i="7"/>
  <c r="EA60" i="7"/>
  <c r="EB60" i="7"/>
  <c r="EC60" i="7"/>
  <c r="ED60" i="7"/>
  <c r="EE60" i="7"/>
  <c r="EF60" i="7"/>
  <c r="EG60" i="7"/>
  <c r="EH60" i="7"/>
  <c r="EI60" i="7"/>
  <c r="EJ60" i="7"/>
  <c r="EK60" i="7"/>
  <c r="EL60" i="7"/>
  <c r="EM60" i="7"/>
  <c r="EN60" i="7"/>
  <c r="EO60" i="7"/>
  <c r="EP60" i="7"/>
  <c r="EQ60" i="7"/>
  <c r="ER60" i="7"/>
  <c r="ES60" i="7"/>
  <c r="ET60" i="7"/>
  <c r="EU60" i="7"/>
  <c r="EV60" i="7"/>
  <c r="EW60" i="7"/>
  <c r="EX60" i="7"/>
  <c r="EY60" i="7"/>
  <c r="EZ60" i="7"/>
  <c r="FA60" i="7"/>
  <c r="FB60" i="7"/>
  <c r="FC60" i="7"/>
  <c r="FD60" i="7"/>
  <c r="FE60" i="7"/>
  <c r="FF60" i="7"/>
  <c r="FG60" i="7"/>
  <c r="FH60" i="7"/>
  <c r="FI60" i="7"/>
  <c r="FJ60" i="7"/>
  <c r="FK60" i="7"/>
  <c r="FL60" i="7"/>
  <c r="FM60" i="7"/>
  <c r="FN60" i="7"/>
  <c r="FO60" i="7"/>
  <c r="FP60" i="7"/>
  <c r="FQ60" i="7"/>
  <c r="FR60" i="7"/>
  <c r="FS60" i="7"/>
  <c r="FT60" i="7"/>
  <c r="FU60" i="7"/>
  <c r="FV60" i="7"/>
  <c r="FW60" i="7"/>
  <c r="FX60" i="7"/>
  <c r="FY60" i="7"/>
  <c r="FZ60" i="7"/>
  <c r="GA60" i="7"/>
  <c r="GB60" i="7"/>
  <c r="GC60" i="7"/>
  <c r="GD60" i="7"/>
  <c r="GE60" i="7"/>
  <c r="GF60" i="7"/>
  <c r="GG60" i="7"/>
  <c r="GH60" i="7"/>
  <c r="GI60" i="7"/>
  <c r="GJ60" i="7"/>
  <c r="GK60" i="7"/>
  <c r="GL60" i="7"/>
  <c r="GM60" i="7"/>
  <c r="GN60" i="7"/>
  <c r="GO60" i="7"/>
  <c r="GP60" i="7"/>
  <c r="GQ60" i="7"/>
  <c r="GR60" i="7"/>
  <c r="GS60" i="7"/>
  <c r="GT60" i="7"/>
  <c r="GU60" i="7"/>
  <c r="GV60" i="7"/>
  <c r="GW60" i="7"/>
  <c r="GX60" i="7"/>
  <c r="GY60" i="7"/>
  <c r="GZ60" i="7"/>
  <c r="HA60" i="7"/>
  <c r="HB60" i="7"/>
  <c r="HC60" i="7"/>
  <c r="HD60" i="7"/>
  <c r="HE60" i="7"/>
  <c r="HF60" i="7"/>
  <c r="HG60" i="7"/>
  <c r="HH60" i="7"/>
  <c r="HI60" i="7"/>
  <c r="HJ60" i="7"/>
  <c r="HK60" i="7"/>
  <c r="HL60" i="7"/>
  <c r="HM60" i="7"/>
  <c r="HN60" i="7"/>
  <c r="HO60" i="7"/>
  <c r="HP60" i="7"/>
  <c r="HQ60" i="7"/>
  <c r="HR60" i="7"/>
  <c r="HS60" i="7"/>
  <c r="HT60" i="7"/>
  <c r="HU60" i="7"/>
  <c r="HV60" i="7"/>
  <c r="HW60" i="7"/>
  <c r="HX60" i="7"/>
  <c r="HY60" i="7"/>
  <c r="HZ60" i="7"/>
  <c r="IA60" i="7"/>
  <c r="IB60" i="7"/>
  <c r="IC60" i="7"/>
  <c r="ID60" i="7"/>
  <c r="IE60" i="7"/>
  <c r="IF60" i="7"/>
  <c r="IG60" i="7"/>
  <c r="IH60" i="7"/>
  <c r="II60" i="7"/>
  <c r="IJ60" i="7"/>
  <c r="IK60" i="7"/>
  <c r="IL60" i="7"/>
  <c r="IM60" i="7"/>
  <c r="IN60" i="7"/>
  <c r="IO60" i="7"/>
  <c r="IP60" i="7"/>
  <c r="IQ60" i="7"/>
  <c r="IR60" i="7"/>
  <c r="IS60" i="7"/>
  <c r="IT60" i="7"/>
  <c r="IU60" i="7"/>
  <c r="IV60" i="7"/>
  <c r="A59" i="7"/>
  <c r="B59" i="7"/>
  <c r="C59" i="7"/>
  <c r="D59" i="7"/>
  <c r="E59" i="7"/>
  <c r="F59" i="7"/>
  <c r="G59" i="7"/>
  <c r="H59" i="7"/>
  <c r="I59" i="7"/>
  <c r="J59" i="7"/>
  <c r="K59" i="7"/>
  <c r="L59" i="7"/>
  <c r="M59" i="7"/>
  <c r="N59" i="7"/>
  <c r="O59" i="7"/>
  <c r="P59" i="7"/>
  <c r="Q59" i="7"/>
  <c r="R59" i="7"/>
  <c r="S59" i="7"/>
  <c r="T59" i="7"/>
  <c r="U59" i="7"/>
  <c r="V59" i="7"/>
  <c r="W59" i="7"/>
  <c r="X59" i="7"/>
  <c r="Y59" i="7"/>
  <c r="Z59" i="7"/>
  <c r="AA59" i="7"/>
  <c r="AB59" i="7"/>
  <c r="AC59" i="7"/>
  <c r="AD59" i="7"/>
  <c r="AE59" i="7"/>
  <c r="AF59" i="7"/>
  <c r="AG59" i="7"/>
  <c r="AH59" i="7"/>
  <c r="AI59" i="7"/>
  <c r="AJ59" i="7"/>
  <c r="AK59" i="7"/>
  <c r="AL59" i="7"/>
  <c r="AM59" i="7"/>
  <c r="AN59" i="7"/>
  <c r="AO59" i="7"/>
  <c r="AP59" i="7"/>
  <c r="AQ59" i="7"/>
  <c r="AR59" i="7"/>
  <c r="AS59" i="7"/>
  <c r="AT59" i="7"/>
  <c r="AU59" i="7"/>
  <c r="AV59" i="7"/>
  <c r="AW59" i="7"/>
  <c r="AX59" i="7"/>
  <c r="AY59" i="7"/>
  <c r="AZ59" i="7"/>
  <c r="BA59" i="7"/>
  <c r="BB59" i="7"/>
  <c r="BC59" i="7"/>
  <c r="BD59" i="7"/>
  <c r="BE59" i="7"/>
  <c r="BF59" i="7"/>
  <c r="BG59" i="7"/>
  <c r="BH59" i="7"/>
  <c r="BI59" i="7"/>
  <c r="BJ59" i="7"/>
  <c r="BK59" i="7"/>
  <c r="BL59" i="7"/>
  <c r="BM59" i="7"/>
  <c r="BN59" i="7"/>
  <c r="BO59" i="7"/>
  <c r="BP59" i="7"/>
  <c r="BQ59" i="7"/>
  <c r="BR59" i="7"/>
  <c r="BS59" i="7"/>
  <c r="BT59" i="7"/>
  <c r="BU59" i="7"/>
  <c r="BV59" i="7"/>
  <c r="BW59" i="7"/>
  <c r="BX59" i="7"/>
  <c r="BY59" i="7"/>
  <c r="BZ59" i="7"/>
  <c r="CA59" i="7"/>
  <c r="CB59" i="7"/>
  <c r="CC59" i="7"/>
  <c r="CD59" i="7"/>
  <c r="CE59" i="7"/>
  <c r="CF59" i="7"/>
  <c r="CG59" i="7"/>
  <c r="CH59" i="7"/>
  <c r="CI59" i="7"/>
  <c r="CJ59" i="7"/>
  <c r="CK59" i="7"/>
  <c r="CL59" i="7"/>
  <c r="CM59" i="7"/>
  <c r="CN59" i="7"/>
  <c r="CO59" i="7"/>
  <c r="CP59" i="7"/>
  <c r="CQ59" i="7"/>
  <c r="CR59" i="7"/>
  <c r="CS59" i="7"/>
  <c r="CT59" i="7"/>
  <c r="CU59" i="7"/>
  <c r="CV59" i="7"/>
  <c r="CW59" i="7"/>
  <c r="CX59" i="7"/>
  <c r="CY59" i="7"/>
  <c r="CZ59" i="7"/>
  <c r="DA59" i="7"/>
  <c r="DB59" i="7"/>
  <c r="DC59" i="7"/>
  <c r="DD59" i="7"/>
  <c r="DE59" i="7"/>
  <c r="DF59" i="7"/>
  <c r="DG59" i="7"/>
  <c r="DH59" i="7"/>
  <c r="DI59" i="7"/>
  <c r="DJ59" i="7"/>
  <c r="DK59" i="7"/>
  <c r="DL59" i="7"/>
  <c r="DM59" i="7"/>
  <c r="DN59" i="7"/>
  <c r="DO59" i="7"/>
  <c r="DP59" i="7"/>
  <c r="DQ59" i="7"/>
  <c r="DR59" i="7"/>
  <c r="DS59" i="7"/>
  <c r="DT59" i="7"/>
  <c r="DU59" i="7"/>
  <c r="DV59" i="7"/>
  <c r="DW59" i="7"/>
  <c r="DX59" i="7"/>
  <c r="DY59" i="7"/>
  <c r="DZ59" i="7"/>
  <c r="EA59" i="7"/>
  <c r="EB59" i="7"/>
  <c r="EC59" i="7"/>
  <c r="ED59" i="7"/>
  <c r="EE59" i="7"/>
  <c r="EF59" i="7"/>
  <c r="EG59" i="7"/>
  <c r="EH59" i="7"/>
  <c r="EI59" i="7"/>
  <c r="EJ59" i="7"/>
  <c r="EK59" i="7"/>
  <c r="EL59" i="7"/>
  <c r="EM59" i="7"/>
  <c r="EN59" i="7"/>
  <c r="EO59" i="7"/>
  <c r="EP59" i="7"/>
  <c r="EQ59" i="7"/>
  <c r="ER59" i="7"/>
  <c r="ES59" i="7"/>
  <c r="ET59" i="7"/>
  <c r="EU59" i="7"/>
  <c r="EV59" i="7"/>
  <c r="EW59" i="7"/>
  <c r="EX59" i="7"/>
  <c r="EY59" i="7"/>
  <c r="EZ59" i="7"/>
  <c r="FA59" i="7"/>
  <c r="FB59" i="7"/>
  <c r="FC59" i="7"/>
  <c r="FD59" i="7"/>
  <c r="FE59" i="7"/>
  <c r="FF59" i="7"/>
  <c r="FG59" i="7"/>
  <c r="FH59" i="7"/>
  <c r="FI59" i="7"/>
  <c r="FJ59" i="7"/>
  <c r="FK59" i="7"/>
  <c r="FL59" i="7"/>
  <c r="FM59" i="7"/>
  <c r="FN59" i="7"/>
  <c r="FO59" i="7"/>
  <c r="FP59" i="7"/>
  <c r="FQ59" i="7"/>
  <c r="FR59" i="7"/>
  <c r="FS59" i="7"/>
  <c r="FT59" i="7"/>
  <c r="FU59" i="7"/>
  <c r="FV59" i="7"/>
  <c r="FW59" i="7"/>
  <c r="FX59" i="7"/>
  <c r="FY59" i="7"/>
  <c r="FZ59" i="7"/>
  <c r="GA59" i="7"/>
  <c r="GB59" i="7"/>
  <c r="GC59" i="7"/>
  <c r="GD59" i="7"/>
  <c r="GE59" i="7"/>
  <c r="GF59" i="7"/>
  <c r="GG59" i="7"/>
  <c r="GH59" i="7"/>
  <c r="GI59" i="7"/>
  <c r="GJ59" i="7"/>
  <c r="GK59" i="7"/>
  <c r="GL59" i="7"/>
  <c r="GM59" i="7"/>
  <c r="GN59" i="7"/>
  <c r="GO59" i="7"/>
  <c r="GP59" i="7"/>
  <c r="GQ59" i="7"/>
  <c r="GR59" i="7"/>
  <c r="GS59" i="7"/>
  <c r="GT59" i="7"/>
  <c r="GU59" i="7"/>
  <c r="GV59" i="7"/>
  <c r="GW59" i="7"/>
  <c r="GX59" i="7"/>
  <c r="GY59" i="7"/>
  <c r="GZ59" i="7"/>
  <c r="HA59" i="7"/>
  <c r="HB59" i="7"/>
  <c r="HC59" i="7"/>
  <c r="HD59" i="7"/>
  <c r="HE59" i="7"/>
  <c r="HF59" i="7"/>
  <c r="HG59" i="7"/>
  <c r="HH59" i="7"/>
  <c r="HI59" i="7"/>
  <c r="HJ59" i="7"/>
  <c r="HK59" i="7"/>
  <c r="HL59" i="7"/>
  <c r="HM59" i="7"/>
  <c r="HN59" i="7"/>
  <c r="HO59" i="7"/>
  <c r="HP59" i="7"/>
  <c r="HQ59" i="7"/>
  <c r="HR59" i="7"/>
  <c r="HS59" i="7"/>
  <c r="HT59" i="7"/>
  <c r="HU59" i="7"/>
  <c r="HV59" i="7"/>
  <c r="HW59" i="7"/>
  <c r="HX59" i="7"/>
  <c r="HY59" i="7"/>
  <c r="HZ59" i="7"/>
  <c r="IA59" i="7"/>
  <c r="IB59" i="7"/>
  <c r="IC59" i="7"/>
  <c r="ID59" i="7"/>
  <c r="IE59" i="7"/>
  <c r="IF59" i="7"/>
  <c r="IG59" i="7"/>
  <c r="IH59" i="7"/>
  <c r="II59" i="7"/>
  <c r="IJ59" i="7"/>
  <c r="IK59" i="7"/>
  <c r="IL59" i="7"/>
  <c r="IM59" i="7"/>
  <c r="IN59" i="7"/>
  <c r="IO59" i="7"/>
  <c r="IP59" i="7"/>
  <c r="IQ59" i="7"/>
  <c r="IR59" i="7"/>
  <c r="IS59" i="7"/>
  <c r="IT59" i="7"/>
  <c r="IU59" i="7"/>
  <c r="IV59" i="7"/>
  <c r="A58" i="7"/>
  <c r="B58" i="7"/>
  <c r="C58" i="7"/>
  <c r="D58" i="7"/>
  <c r="E58" i="7"/>
  <c r="F58" i="7"/>
  <c r="G58" i="7"/>
  <c r="H58" i="7"/>
  <c r="I58" i="7"/>
  <c r="J58" i="7"/>
  <c r="K58" i="7"/>
  <c r="L58" i="7"/>
  <c r="M58" i="7"/>
  <c r="N58" i="7"/>
  <c r="O58" i="7"/>
  <c r="P58" i="7"/>
  <c r="Q58" i="7"/>
  <c r="R58" i="7"/>
  <c r="S58" i="7"/>
  <c r="T58" i="7"/>
  <c r="U58" i="7"/>
  <c r="V58" i="7"/>
  <c r="W58" i="7"/>
  <c r="X58" i="7"/>
  <c r="Y58" i="7"/>
  <c r="Z58" i="7"/>
  <c r="AA58" i="7"/>
  <c r="AB58" i="7"/>
  <c r="AC58" i="7"/>
  <c r="AD58" i="7"/>
  <c r="AE58" i="7"/>
  <c r="AF58" i="7"/>
  <c r="AG58" i="7"/>
  <c r="AH58" i="7"/>
  <c r="AI58" i="7"/>
  <c r="AJ58" i="7"/>
  <c r="AK58" i="7"/>
  <c r="AL58" i="7"/>
  <c r="AM58" i="7"/>
  <c r="AN58" i="7"/>
  <c r="AO58" i="7"/>
  <c r="AP58" i="7"/>
  <c r="AQ58" i="7"/>
  <c r="AR58" i="7"/>
  <c r="AS58" i="7"/>
  <c r="AT58" i="7"/>
  <c r="AU58" i="7"/>
  <c r="AV58" i="7"/>
  <c r="AW58" i="7"/>
  <c r="AX58" i="7"/>
  <c r="AY58" i="7"/>
  <c r="AZ58" i="7"/>
  <c r="BA58" i="7"/>
  <c r="BB58" i="7"/>
  <c r="BC58" i="7"/>
  <c r="BD58" i="7"/>
  <c r="BE58" i="7"/>
  <c r="BF58" i="7"/>
  <c r="BG58" i="7"/>
  <c r="BH58" i="7"/>
  <c r="BI58" i="7"/>
  <c r="BJ58" i="7"/>
  <c r="BK58" i="7"/>
  <c r="BL58" i="7"/>
  <c r="BM58" i="7"/>
  <c r="BN58" i="7"/>
  <c r="BO58" i="7"/>
  <c r="BP58" i="7"/>
  <c r="BQ58" i="7"/>
  <c r="BR58" i="7"/>
  <c r="BS58" i="7"/>
  <c r="BT58" i="7"/>
  <c r="BU58" i="7"/>
  <c r="BV58" i="7"/>
  <c r="BW58" i="7"/>
  <c r="BX58" i="7"/>
  <c r="BY58" i="7"/>
  <c r="BZ58" i="7"/>
  <c r="CA58" i="7"/>
  <c r="CB58" i="7"/>
  <c r="CC58" i="7"/>
  <c r="CD58" i="7"/>
  <c r="CE58" i="7"/>
  <c r="CF58" i="7"/>
  <c r="CG58" i="7"/>
  <c r="CH58" i="7"/>
  <c r="CI58" i="7"/>
  <c r="CJ58" i="7"/>
  <c r="CK58" i="7"/>
  <c r="CL58" i="7"/>
  <c r="CM58" i="7"/>
  <c r="CN58" i="7"/>
  <c r="CO58" i="7"/>
  <c r="CP58" i="7"/>
  <c r="CQ58" i="7"/>
  <c r="CR58" i="7"/>
  <c r="CS58" i="7"/>
  <c r="CT58" i="7"/>
  <c r="CU58" i="7"/>
  <c r="CV58" i="7"/>
  <c r="CW58" i="7"/>
  <c r="CX58" i="7"/>
  <c r="CY58" i="7"/>
  <c r="CZ58" i="7"/>
  <c r="DA58" i="7"/>
  <c r="DB58" i="7"/>
  <c r="DC58" i="7"/>
  <c r="DD58" i="7"/>
  <c r="DE58" i="7"/>
  <c r="DF58" i="7"/>
  <c r="DG58" i="7"/>
  <c r="DH58" i="7"/>
  <c r="DI58" i="7"/>
  <c r="DJ58" i="7"/>
  <c r="DK58" i="7"/>
  <c r="DL58" i="7"/>
  <c r="DM58" i="7"/>
  <c r="DN58" i="7"/>
  <c r="DO58" i="7"/>
  <c r="DP58" i="7"/>
  <c r="DQ58" i="7"/>
  <c r="DR58" i="7"/>
  <c r="DS58" i="7"/>
  <c r="DT58" i="7"/>
  <c r="DU58" i="7"/>
  <c r="DV58" i="7"/>
  <c r="DW58" i="7"/>
  <c r="DX58" i="7"/>
  <c r="DY58" i="7"/>
  <c r="DZ58" i="7"/>
  <c r="EA58" i="7"/>
  <c r="EB58" i="7"/>
  <c r="EC58" i="7"/>
  <c r="ED58" i="7"/>
  <c r="EE58" i="7"/>
  <c r="EF58" i="7"/>
  <c r="EG58" i="7"/>
  <c r="EH58" i="7"/>
  <c r="EI58" i="7"/>
  <c r="EJ58" i="7"/>
  <c r="EK58" i="7"/>
  <c r="EL58" i="7"/>
  <c r="EM58" i="7"/>
  <c r="EN58" i="7"/>
  <c r="EO58" i="7"/>
  <c r="EP58" i="7"/>
  <c r="EQ58" i="7"/>
  <c r="ER58" i="7"/>
  <c r="ES58" i="7"/>
  <c r="ET58" i="7"/>
  <c r="EU58" i="7"/>
  <c r="EV58" i="7"/>
  <c r="EW58" i="7"/>
  <c r="EX58" i="7"/>
  <c r="EY58" i="7"/>
  <c r="EZ58" i="7"/>
  <c r="FA58" i="7"/>
  <c r="FB58" i="7"/>
  <c r="FC58" i="7"/>
  <c r="FD58" i="7"/>
  <c r="FE58" i="7"/>
  <c r="FF58" i="7"/>
  <c r="FG58" i="7"/>
  <c r="FH58" i="7"/>
  <c r="FI58" i="7"/>
  <c r="FJ58" i="7"/>
  <c r="FK58" i="7"/>
  <c r="FL58" i="7"/>
  <c r="FM58" i="7"/>
  <c r="FN58" i="7"/>
  <c r="FO58" i="7"/>
  <c r="FP58" i="7"/>
  <c r="FQ58" i="7"/>
  <c r="FR58" i="7"/>
  <c r="FS58" i="7"/>
  <c r="FT58" i="7"/>
  <c r="FU58" i="7"/>
  <c r="FV58" i="7"/>
  <c r="FW58" i="7"/>
  <c r="FX58" i="7"/>
  <c r="FY58" i="7"/>
  <c r="FZ58" i="7"/>
  <c r="GA58" i="7"/>
  <c r="GB58" i="7"/>
  <c r="GC58" i="7"/>
  <c r="GD58" i="7"/>
  <c r="GE58" i="7"/>
  <c r="GF58" i="7"/>
  <c r="GG58" i="7"/>
  <c r="GH58" i="7"/>
  <c r="GI58" i="7"/>
  <c r="GJ58" i="7"/>
  <c r="GK58" i="7"/>
  <c r="GL58" i="7"/>
  <c r="GM58" i="7"/>
  <c r="GN58" i="7"/>
  <c r="GO58" i="7"/>
  <c r="GP58" i="7"/>
  <c r="GQ58" i="7"/>
  <c r="GR58" i="7"/>
  <c r="GS58" i="7"/>
  <c r="GT58" i="7"/>
  <c r="GU58" i="7"/>
  <c r="GV58" i="7"/>
  <c r="GW58" i="7"/>
  <c r="GX58" i="7"/>
  <c r="GY58" i="7"/>
  <c r="GZ58" i="7"/>
  <c r="HA58" i="7"/>
  <c r="HB58" i="7"/>
  <c r="HC58" i="7"/>
  <c r="HD58" i="7"/>
  <c r="HE58" i="7"/>
  <c r="HF58" i="7"/>
  <c r="HG58" i="7"/>
  <c r="HH58" i="7"/>
  <c r="HI58" i="7"/>
  <c r="HJ58" i="7"/>
  <c r="HK58" i="7"/>
  <c r="HL58" i="7"/>
  <c r="HM58" i="7"/>
  <c r="HN58" i="7"/>
  <c r="HO58" i="7"/>
  <c r="HP58" i="7"/>
  <c r="HQ58" i="7"/>
  <c r="HR58" i="7"/>
  <c r="HS58" i="7"/>
  <c r="HT58" i="7"/>
  <c r="HU58" i="7"/>
  <c r="HV58" i="7"/>
  <c r="HW58" i="7"/>
  <c r="HX58" i="7"/>
  <c r="HY58" i="7"/>
  <c r="HZ58" i="7"/>
  <c r="IA58" i="7"/>
  <c r="IB58" i="7"/>
  <c r="IC58" i="7"/>
  <c r="ID58" i="7"/>
  <c r="IE58" i="7"/>
  <c r="IF58" i="7"/>
  <c r="IG58" i="7"/>
  <c r="IH58" i="7"/>
  <c r="II58" i="7"/>
  <c r="IJ58" i="7"/>
  <c r="IK58" i="7"/>
  <c r="IL58" i="7"/>
  <c r="IM58" i="7"/>
  <c r="IN58" i="7"/>
  <c r="IO58" i="7"/>
  <c r="IP58" i="7"/>
  <c r="IQ58" i="7"/>
  <c r="IR58" i="7"/>
  <c r="IS58" i="7"/>
  <c r="IT58" i="7"/>
  <c r="IU58" i="7"/>
  <c r="IV58" i="7"/>
  <c r="A57" i="7"/>
  <c r="B57" i="7"/>
  <c r="C57" i="7"/>
  <c r="D57" i="7"/>
  <c r="E57" i="7"/>
  <c r="F57" i="7"/>
  <c r="G57" i="7"/>
  <c r="H57" i="7"/>
  <c r="I57" i="7"/>
  <c r="J57" i="7"/>
  <c r="K57" i="7"/>
  <c r="L57" i="7"/>
  <c r="M57" i="7"/>
  <c r="N57" i="7"/>
  <c r="O57" i="7"/>
  <c r="P57" i="7"/>
  <c r="Q57" i="7"/>
  <c r="R57" i="7"/>
  <c r="S57" i="7"/>
  <c r="T57" i="7"/>
  <c r="U57" i="7"/>
  <c r="V57" i="7"/>
  <c r="W57" i="7"/>
  <c r="X57" i="7"/>
  <c r="Y57" i="7"/>
  <c r="Z57" i="7"/>
  <c r="AA57" i="7"/>
  <c r="AB57" i="7"/>
  <c r="AC57" i="7"/>
  <c r="AD57" i="7"/>
  <c r="AE57" i="7"/>
  <c r="AF57" i="7"/>
  <c r="AG57" i="7"/>
  <c r="AH57" i="7"/>
  <c r="AI57" i="7"/>
  <c r="AJ57" i="7"/>
  <c r="AK57" i="7"/>
  <c r="AL57" i="7"/>
  <c r="AM57" i="7"/>
  <c r="AN57" i="7"/>
  <c r="AO57" i="7"/>
  <c r="AP57" i="7"/>
  <c r="AQ57" i="7"/>
  <c r="AR57" i="7"/>
  <c r="AS57" i="7"/>
  <c r="AT57" i="7"/>
  <c r="AU57" i="7"/>
  <c r="AV57" i="7"/>
  <c r="AW57" i="7"/>
  <c r="AX57" i="7"/>
  <c r="AY57" i="7"/>
  <c r="AZ57" i="7"/>
  <c r="BA57" i="7"/>
  <c r="BB57" i="7"/>
  <c r="BC57" i="7"/>
  <c r="BD57" i="7"/>
  <c r="BE57" i="7"/>
  <c r="BF57" i="7"/>
  <c r="BG57" i="7"/>
  <c r="BH57" i="7"/>
  <c r="BI57" i="7"/>
  <c r="BJ57" i="7"/>
  <c r="BK57" i="7"/>
  <c r="BL57" i="7"/>
  <c r="BM57" i="7"/>
  <c r="BN57" i="7"/>
  <c r="BO57" i="7"/>
  <c r="BP57" i="7"/>
  <c r="BQ57" i="7"/>
  <c r="BR57" i="7"/>
  <c r="BS57" i="7"/>
  <c r="BT57" i="7"/>
  <c r="BU57" i="7"/>
  <c r="BV57" i="7"/>
  <c r="BW57" i="7"/>
  <c r="BX57" i="7"/>
  <c r="BY57" i="7"/>
  <c r="BZ57" i="7"/>
  <c r="CA57" i="7"/>
  <c r="CB57" i="7"/>
  <c r="CC57" i="7"/>
  <c r="CD57" i="7"/>
  <c r="CE57" i="7"/>
  <c r="CF57" i="7"/>
  <c r="CG57" i="7"/>
  <c r="CH57" i="7"/>
  <c r="CI57" i="7"/>
  <c r="CJ57" i="7"/>
  <c r="CK57" i="7"/>
  <c r="CL57" i="7"/>
  <c r="CM57" i="7"/>
  <c r="CN57" i="7"/>
  <c r="CO57" i="7"/>
  <c r="CP57" i="7"/>
  <c r="CQ57" i="7"/>
  <c r="CR57" i="7"/>
  <c r="CS57" i="7"/>
  <c r="CT57" i="7"/>
  <c r="CU57" i="7"/>
  <c r="CV57" i="7"/>
  <c r="CW57" i="7"/>
  <c r="CX57" i="7"/>
  <c r="CY57" i="7"/>
  <c r="CZ57" i="7"/>
  <c r="DA57" i="7"/>
  <c r="DB57" i="7"/>
  <c r="DC57" i="7"/>
  <c r="DD57" i="7"/>
  <c r="DE57" i="7"/>
  <c r="DF57" i="7"/>
  <c r="DG57" i="7"/>
  <c r="DH57" i="7"/>
  <c r="DI57" i="7"/>
  <c r="DJ57" i="7"/>
  <c r="DK57" i="7"/>
  <c r="DL57" i="7"/>
  <c r="DM57" i="7"/>
  <c r="DN57" i="7"/>
  <c r="DO57" i="7"/>
  <c r="DP57" i="7"/>
  <c r="DQ57" i="7"/>
  <c r="DR57" i="7"/>
  <c r="DS57" i="7"/>
  <c r="DT57" i="7"/>
  <c r="DU57" i="7"/>
  <c r="DV57" i="7"/>
  <c r="DW57" i="7"/>
  <c r="DX57" i="7"/>
  <c r="DY57" i="7"/>
  <c r="DZ57" i="7"/>
  <c r="EA57" i="7"/>
  <c r="EB57" i="7"/>
  <c r="EC57" i="7"/>
  <c r="ED57" i="7"/>
  <c r="EE57" i="7"/>
  <c r="EF57" i="7"/>
  <c r="EG57" i="7"/>
  <c r="EH57" i="7"/>
  <c r="EI57" i="7"/>
  <c r="EJ57" i="7"/>
  <c r="EK57" i="7"/>
  <c r="EL57" i="7"/>
  <c r="EM57" i="7"/>
  <c r="EN57" i="7"/>
  <c r="EO57" i="7"/>
  <c r="EP57" i="7"/>
  <c r="EQ57" i="7"/>
  <c r="ER57" i="7"/>
  <c r="ES57" i="7"/>
  <c r="ET57" i="7"/>
  <c r="EU57" i="7"/>
  <c r="EV57" i="7"/>
  <c r="EW57" i="7"/>
  <c r="EX57" i="7"/>
  <c r="EY57" i="7"/>
  <c r="EZ57" i="7"/>
  <c r="FA57" i="7"/>
  <c r="FB57" i="7"/>
  <c r="FC57" i="7"/>
  <c r="FD57" i="7"/>
  <c r="FE57" i="7"/>
  <c r="FF57" i="7"/>
  <c r="FG57" i="7"/>
  <c r="FH57" i="7"/>
  <c r="FI57" i="7"/>
  <c r="FJ57" i="7"/>
  <c r="FK57" i="7"/>
  <c r="FL57" i="7"/>
  <c r="FM57" i="7"/>
  <c r="FN57" i="7"/>
  <c r="FO57" i="7"/>
  <c r="FP57" i="7"/>
  <c r="FQ57" i="7"/>
  <c r="FR57" i="7"/>
  <c r="FS57" i="7"/>
  <c r="FT57" i="7"/>
  <c r="FU57" i="7"/>
  <c r="FV57" i="7"/>
  <c r="FW57" i="7"/>
  <c r="FX57" i="7"/>
  <c r="FY57" i="7"/>
  <c r="FZ57" i="7"/>
  <c r="GA57" i="7"/>
  <c r="GB57" i="7"/>
  <c r="GC57" i="7"/>
  <c r="GD57" i="7"/>
  <c r="GE57" i="7"/>
  <c r="GF57" i="7"/>
  <c r="GG57" i="7"/>
  <c r="GH57" i="7"/>
  <c r="GI57" i="7"/>
  <c r="GJ57" i="7"/>
  <c r="GK57" i="7"/>
  <c r="GL57" i="7"/>
  <c r="GM57" i="7"/>
  <c r="GN57" i="7"/>
  <c r="GO57" i="7"/>
  <c r="GP57" i="7"/>
  <c r="GQ57" i="7"/>
  <c r="GR57" i="7"/>
  <c r="GS57" i="7"/>
  <c r="GT57" i="7"/>
  <c r="GU57" i="7"/>
  <c r="GV57" i="7"/>
  <c r="GW57" i="7"/>
  <c r="GX57" i="7"/>
  <c r="GY57" i="7"/>
  <c r="GZ57" i="7"/>
  <c r="HA57" i="7"/>
  <c r="HB57" i="7"/>
  <c r="HC57" i="7"/>
  <c r="HD57" i="7"/>
  <c r="HE57" i="7"/>
  <c r="HF57" i="7"/>
  <c r="HG57" i="7"/>
  <c r="HH57" i="7"/>
  <c r="HI57" i="7"/>
  <c r="HJ57" i="7"/>
  <c r="HK57" i="7"/>
  <c r="HL57" i="7"/>
  <c r="HM57" i="7"/>
  <c r="HN57" i="7"/>
  <c r="HO57" i="7"/>
  <c r="HP57" i="7"/>
  <c r="HQ57" i="7"/>
  <c r="HR57" i="7"/>
  <c r="HS57" i="7"/>
  <c r="HT57" i="7"/>
  <c r="HU57" i="7"/>
  <c r="HV57" i="7"/>
  <c r="HW57" i="7"/>
  <c r="HX57" i="7"/>
  <c r="HY57" i="7"/>
  <c r="HZ57" i="7"/>
  <c r="IA57" i="7"/>
  <c r="IB57" i="7"/>
  <c r="IC57" i="7"/>
  <c r="ID57" i="7"/>
  <c r="IE57" i="7"/>
  <c r="IF57" i="7"/>
  <c r="IG57" i="7"/>
  <c r="IH57" i="7"/>
  <c r="II57" i="7"/>
  <c r="IJ57" i="7"/>
  <c r="IK57" i="7"/>
  <c r="IL57" i="7"/>
  <c r="IM57" i="7"/>
  <c r="IN57" i="7"/>
  <c r="IO57" i="7"/>
  <c r="IP57" i="7"/>
  <c r="IQ57" i="7"/>
  <c r="IR57" i="7"/>
  <c r="IS57" i="7"/>
  <c r="IT57" i="7"/>
  <c r="IU57" i="7"/>
  <c r="IV57" i="7"/>
  <c r="A56" i="7"/>
  <c r="B56" i="7"/>
  <c r="C56" i="7"/>
  <c r="D56" i="7"/>
  <c r="E56" i="7"/>
  <c r="F56" i="7"/>
  <c r="G56" i="7"/>
  <c r="H56" i="7"/>
  <c r="I56" i="7"/>
  <c r="J56"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G56" i="7"/>
  <c r="BH56" i="7"/>
  <c r="BI56" i="7"/>
  <c r="BJ56" i="7"/>
  <c r="BK56" i="7"/>
  <c r="BL56" i="7"/>
  <c r="BM56" i="7"/>
  <c r="BN56" i="7"/>
  <c r="BO56" i="7"/>
  <c r="BP56" i="7"/>
  <c r="BQ56" i="7"/>
  <c r="BR56" i="7"/>
  <c r="BS56" i="7"/>
  <c r="BT56" i="7"/>
  <c r="BU56" i="7"/>
  <c r="BV56" i="7"/>
  <c r="BW56" i="7"/>
  <c r="BX56" i="7"/>
  <c r="BY56" i="7"/>
  <c r="BZ56" i="7"/>
  <c r="CA56" i="7"/>
  <c r="CB56" i="7"/>
  <c r="CC56" i="7"/>
  <c r="CD56" i="7"/>
  <c r="CE56" i="7"/>
  <c r="CF56" i="7"/>
  <c r="CG56" i="7"/>
  <c r="CH56" i="7"/>
  <c r="CI56" i="7"/>
  <c r="CJ56" i="7"/>
  <c r="CK56" i="7"/>
  <c r="CL56" i="7"/>
  <c r="CM56" i="7"/>
  <c r="CN56" i="7"/>
  <c r="CO56" i="7"/>
  <c r="CP56" i="7"/>
  <c r="CQ56" i="7"/>
  <c r="CR56" i="7"/>
  <c r="CS56" i="7"/>
  <c r="CT56" i="7"/>
  <c r="CU56" i="7"/>
  <c r="CV56" i="7"/>
  <c r="CW56" i="7"/>
  <c r="CX56" i="7"/>
  <c r="CY56" i="7"/>
  <c r="CZ56" i="7"/>
  <c r="DA56" i="7"/>
  <c r="DB56" i="7"/>
  <c r="DC56" i="7"/>
  <c r="DD56" i="7"/>
  <c r="DE56" i="7"/>
  <c r="DF56" i="7"/>
  <c r="DG56" i="7"/>
  <c r="DH56" i="7"/>
  <c r="DI56" i="7"/>
  <c r="DJ56" i="7"/>
  <c r="DK56" i="7"/>
  <c r="DL56" i="7"/>
  <c r="DM56" i="7"/>
  <c r="DN56" i="7"/>
  <c r="DO56" i="7"/>
  <c r="DP56" i="7"/>
  <c r="DQ56" i="7"/>
  <c r="DR56" i="7"/>
  <c r="DS56" i="7"/>
  <c r="DT56" i="7"/>
  <c r="DU56" i="7"/>
  <c r="DV56" i="7"/>
  <c r="DW56" i="7"/>
  <c r="DX56" i="7"/>
  <c r="DY56" i="7"/>
  <c r="DZ56" i="7"/>
  <c r="EA56" i="7"/>
  <c r="EB56" i="7"/>
  <c r="EC56" i="7"/>
  <c r="ED56" i="7"/>
  <c r="EE56" i="7"/>
  <c r="EF56" i="7"/>
  <c r="EG56" i="7"/>
  <c r="EH56" i="7"/>
  <c r="EI56" i="7"/>
  <c r="EJ56" i="7"/>
  <c r="EK56" i="7"/>
  <c r="EL56" i="7"/>
  <c r="EM56" i="7"/>
  <c r="EN56" i="7"/>
  <c r="EO56" i="7"/>
  <c r="EP56" i="7"/>
  <c r="EQ56" i="7"/>
  <c r="ER56" i="7"/>
  <c r="ES56" i="7"/>
  <c r="ET56" i="7"/>
  <c r="EU56" i="7"/>
  <c r="EV56" i="7"/>
  <c r="EW56" i="7"/>
  <c r="EX56" i="7"/>
  <c r="EY56" i="7"/>
  <c r="EZ56" i="7"/>
  <c r="FA56" i="7"/>
  <c r="FB56" i="7"/>
  <c r="FC56" i="7"/>
  <c r="FD56" i="7"/>
  <c r="FE56" i="7"/>
  <c r="FF56" i="7"/>
  <c r="FG56" i="7"/>
  <c r="FH56" i="7"/>
  <c r="FI56" i="7"/>
  <c r="FJ56" i="7"/>
  <c r="FK56" i="7"/>
  <c r="FL56" i="7"/>
  <c r="FM56" i="7"/>
  <c r="FN56" i="7"/>
  <c r="FO56" i="7"/>
  <c r="FP56" i="7"/>
  <c r="FQ56" i="7"/>
  <c r="FR56" i="7"/>
  <c r="FS56" i="7"/>
  <c r="FT56" i="7"/>
  <c r="FU56" i="7"/>
  <c r="FV56" i="7"/>
  <c r="FW56" i="7"/>
  <c r="FX56" i="7"/>
  <c r="FY56" i="7"/>
  <c r="FZ56" i="7"/>
  <c r="GA56" i="7"/>
  <c r="GB56" i="7"/>
  <c r="GC56" i="7"/>
  <c r="GD56" i="7"/>
  <c r="GE56" i="7"/>
  <c r="GF56" i="7"/>
  <c r="GG56" i="7"/>
  <c r="GH56" i="7"/>
  <c r="GI56" i="7"/>
  <c r="GJ56" i="7"/>
  <c r="GK56" i="7"/>
  <c r="GL56" i="7"/>
  <c r="GM56" i="7"/>
  <c r="GN56" i="7"/>
  <c r="GO56" i="7"/>
  <c r="GP56" i="7"/>
  <c r="GQ56" i="7"/>
  <c r="GR56" i="7"/>
  <c r="GS56" i="7"/>
  <c r="GT56" i="7"/>
  <c r="GU56" i="7"/>
  <c r="GV56" i="7"/>
  <c r="GW56" i="7"/>
  <c r="GX56" i="7"/>
  <c r="GY56" i="7"/>
  <c r="GZ56" i="7"/>
  <c r="HA56" i="7"/>
  <c r="HB56" i="7"/>
  <c r="HC56" i="7"/>
  <c r="HD56" i="7"/>
  <c r="HE56" i="7"/>
  <c r="HF56" i="7"/>
  <c r="HG56" i="7"/>
  <c r="HH56" i="7"/>
  <c r="HI56" i="7"/>
  <c r="HJ56" i="7"/>
  <c r="HK56" i="7"/>
  <c r="HL56" i="7"/>
  <c r="HM56" i="7"/>
  <c r="HN56" i="7"/>
  <c r="HO56" i="7"/>
  <c r="HP56" i="7"/>
  <c r="HQ56" i="7"/>
  <c r="HR56" i="7"/>
  <c r="HS56" i="7"/>
  <c r="HT56" i="7"/>
  <c r="HU56" i="7"/>
  <c r="HV56" i="7"/>
  <c r="HW56" i="7"/>
  <c r="HX56" i="7"/>
  <c r="HY56" i="7"/>
  <c r="HZ56" i="7"/>
  <c r="IA56" i="7"/>
  <c r="IB56" i="7"/>
  <c r="IC56" i="7"/>
  <c r="ID56" i="7"/>
  <c r="IE56" i="7"/>
  <c r="IF56" i="7"/>
  <c r="IG56" i="7"/>
  <c r="IH56" i="7"/>
  <c r="II56" i="7"/>
  <c r="IJ56" i="7"/>
  <c r="IK56" i="7"/>
  <c r="IL56" i="7"/>
  <c r="IM56" i="7"/>
  <c r="IN56" i="7"/>
  <c r="IO56" i="7"/>
  <c r="IP56" i="7"/>
  <c r="IQ56" i="7"/>
  <c r="IR56" i="7"/>
  <c r="IS56" i="7"/>
  <c r="IT56" i="7"/>
  <c r="IU56" i="7"/>
  <c r="IV56" i="7"/>
  <c r="A55" i="7"/>
  <c r="B55" i="7"/>
  <c r="C55" i="7"/>
  <c r="D55" i="7"/>
  <c r="E55" i="7"/>
  <c r="F55" i="7"/>
  <c r="G55" i="7"/>
  <c r="H55" i="7"/>
  <c r="I55" i="7"/>
  <c r="J55" i="7"/>
  <c r="K55" i="7"/>
  <c r="L55" i="7"/>
  <c r="M55" i="7"/>
  <c r="N55" i="7"/>
  <c r="O55" i="7"/>
  <c r="P55" i="7"/>
  <c r="Q55" i="7"/>
  <c r="R55" i="7"/>
  <c r="S55" i="7"/>
  <c r="T55" i="7"/>
  <c r="U55" i="7"/>
  <c r="V55" i="7"/>
  <c r="W55" i="7"/>
  <c r="X55" i="7"/>
  <c r="Y55" i="7"/>
  <c r="Z55" i="7"/>
  <c r="AA55" i="7"/>
  <c r="AB55" i="7"/>
  <c r="AC55" i="7"/>
  <c r="AD55" i="7"/>
  <c r="AE55" i="7"/>
  <c r="AF55" i="7"/>
  <c r="AG55" i="7"/>
  <c r="AH55" i="7"/>
  <c r="AI55" i="7"/>
  <c r="AJ55" i="7"/>
  <c r="AK55" i="7"/>
  <c r="AL55" i="7"/>
  <c r="AM55" i="7"/>
  <c r="AN55" i="7"/>
  <c r="AO55" i="7"/>
  <c r="AP55" i="7"/>
  <c r="AQ55" i="7"/>
  <c r="AR55" i="7"/>
  <c r="AS55" i="7"/>
  <c r="AT55" i="7"/>
  <c r="AU55" i="7"/>
  <c r="AV55" i="7"/>
  <c r="AW55" i="7"/>
  <c r="AX55" i="7"/>
  <c r="AY55" i="7"/>
  <c r="AZ55" i="7"/>
  <c r="BA55" i="7"/>
  <c r="BB55" i="7"/>
  <c r="BC55" i="7"/>
  <c r="BD55" i="7"/>
  <c r="BE55" i="7"/>
  <c r="BF55" i="7"/>
  <c r="BG55" i="7"/>
  <c r="BH55" i="7"/>
  <c r="BI55" i="7"/>
  <c r="BJ55" i="7"/>
  <c r="BK55" i="7"/>
  <c r="BL55" i="7"/>
  <c r="BM55" i="7"/>
  <c r="BN55" i="7"/>
  <c r="BO55" i="7"/>
  <c r="BP55" i="7"/>
  <c r="BQ55" i="7"/>
  <c r="BR55" i="7"/>
  <c r="BS55" i="7"/>
  <c r="BT55" i="7"/>
  <c r="BU55" i="7"/>
  <c r="BV55" i="7"/>
  <c r="BW55" i="7"/>
  <c r="BX55" i="7"/>
  <c r="BY55" i="7"/>
  <c r="BZ55" i="7"/>
  <c r="CA55" i="7"/>
  <c r="CB55" i="7"/>
  <c r="CC55" i="7"/>
  <c r="CD55" i="7"/>
  <c r="CE55" i="7"/>
  <c r="CF55" i="7"/>
  <c r="CG55" i="7"/>
  <c r="CH55" i="7"/>
  <c r="CI55" i="7"/>
  <c r="CJ55" i="7"/>
  <c r="CK55" i="7"/>
  <c r="CL55" i="7"/>
  <c r="CM55" i="7"/>
  <c r="CN55" i="7"/>
  <c r="CO55" i="7"/>
  <c r="CP55" i="7"/>
  <c r="CQ55" i="7"/>
  <c r="CR55" i="7"/>
  <c r="CS55" i="7"/>
  <c r="CT55" i="7"/>
  <c r="CU55" i="7"/>
  <c r="CV55" i="7"/>
  <c r="CW55" i="7"/>
  <c r="CX55" i="7"/>
  <c r="CY55" i="7"/>
  <c r="CZ55" i="7"/>
  <c r="DA55" i="7"/>
  <c r="DB55" i="7"/>
  <c r="DC55" i="7"/>
  <c r="DD55" i="7"/>
  <c r="DE55" i="7"/>
  <c r="DF55" i="7"/>
  <c r="DG55" i="7"/>
  <c r="DH55" i="7"/>
  <c r="DI55" i="7"/>
  <c r="DJ55" i="7"/>
  <c r="DK55" i="7"/>
  <c r="DL55" i="7"/>
  <c r="DM55" i="7"/>
  <c r="DN55" i="7"/>
  <c r="DO55" i="7"/>
  <c r="DP55" i="7"/>
  <c r="DQ55" i="7"/>
  <c r="DR55" i="7"/>
  <c r="DS55" i="7"/>
  <c r="DT55" i="7"/>
  <c r="DU55" i="7"/>
  <c r="DV55" i="7"/>
  <c r="DW55" i="7"/>
  <c r="DX55" i="7"/>
  <c r="DY55" i="7"/>
  <c r="DZ55" i="7"/>
  <c r="EA55" i="7"/>
  <c r="EB55" i="7"/>
  <c r="EC55" i="7"/>
  <c r="ED55" i="7"/>
  <c r="EE55" i="7"/>
  <c r="EF55" i="7"/>
  <c r="EG55" i="7"/>
  <c r="EH55" i="7"/>
  <c r="EI55" i="7"/>
  <c r="EJ55" i="7"/>
  <c r="EK55" i="7"/>
  <c r="EL55" i="7"/>
  <c r="EM55" i="7"/>
  <c r="EN55" i="7"/>
  <c r="EO55" i="7"/>
  <c r="EP55" i="7"/>
  <c r="EQ55" i="7"/>
  <c r="ER55" i="7"/>
  <c r="ES55" i="7"/>
  <c r="ET55" i="7"/>
  <c r="EU55" i="7"/>
  <c r="EV55" i="7"/>
  <c r="EW55" i="7"/>
  <c r="EX55" i="7"/>
  <c r="EY55" i="7"/>
  <c r="EZ55" i="7"/>
  <c r="FA55" i="7"/>
  <c r="FB55" i="7"/>
  <c r="FC55" i="7"/>
  <c r="FD55" i="7"/>
  <c r="FE55" i="7"/>
  <c r="FF55" i="7"/>
  <c r="FG55" i="7"/>
  <c r="FH55" i="7"/>
  <c r="FI55" i="7"/>
  <c r="FJ55" i="7"/>
  <c r="FK55" i="7"/>
  <c r="FL55" i="7"/>
  <c r="FM55" i="7"/>
  <c r="FN55" i="7"/>
  <c r="FO55" i="7"/>
  <c r="FP55" i="7"/>
  <c r="FQ55" i="7"/>
  <c r="FR55" i="7"/>
  <c r="FS55" i="7"/>
  <c r="FT55" i="7"/>
  <c r="FU55" i="7"/>
  <c r="FV55" i="7"/>
  <c r="FW55" i="7"/>
  <c r="FX55" i="7"/>
  <c r="FY55" i="7"/>
  <c r="FZ55" i="7"/>
  <c r="GA55" i="7"/>
  <c r="GB55" i="7"/>
  <c r="GC55" i="7"/>
  <c r="GD55" i="7"/>
  <c r="GE55" i="7"/>
  <c r="GF55" i="7"/>
  <c r="GG55" i="7"/>
  <c r="GH55" i="7"/>
  <c r="GI55" i="7"/>
  <c r="GJ55" i="7"/>
  <c r="GK55" i="7"/>
  <c r="GL55" i="7"/>
  <c r="GM55" i="7"/>
  <c r="GN55" i="7"/>
  <c r="GO55" i="7"/>
  <c r="GP55" i="7"/>
  <c r="GQ55" i="7"/>
  <c r="GR55" i="7"/>
  <c r="GS55" i="7"/>
  <c r="GT55" i="7"/>
  <c r="GU55" i="7"/>
  <c r="GV55" i="7"/>
  <c r="GW55" i="7"/>
  <c r="GX55" i="7"/>
  <c r="GY55" i="7"/>
  <c r="GZ55" i="7"/>
  <c r="HA55" i="7"/>
  <c r="HB55" i="7"/>
  <c r="HC55" i="7"/>
  <c r="HD55" i="7"/>
  <c r="HE55" i="7"/>
  <c r="HF55" i="7"/>
  <c r="HG55" i="7"/>
  <c r="HH55" i="7"/>
  <c r="HI55" i="7"/>
  <c r="HJ55" i="7"/>
  <c r="HK55" i="7"/>
  <c r="HL55" i="7"/>
  <c r="HM55" i="7"/>
  <c r="HN55" i="7"/>
  <c r="HO55" i="7"/>
  <c r="HP55" i="7"/>
  <c r="HQ55" i="7"/>
  <c r="HR55" i="7"/>
  <c r="HS55" i="7"/>
  <c r="HT55" i="7"/>
  <c r="HU55" i="7"/>
  <c r="HV55" i="7"/>
  <c r="HW55" i="7"/>
  <c r="HX55" i="7"/>
  <c r="HY55" i="7"/>
  <c r="HZ55" i="7"/>
  <c r="IA55" i="7"/>
  <c r="IB55" i="7"/>
  <c r="IC55" i="7"/>
  <c r="ID55" i="7"/>
  <c r="IE55" i="7"/>
  <c r="IF55" i="7"/>
  <c r="IG55" i="7"/>
  <c r="IH55" i="7"/>
  <c r="II55" i="7"/>
  <c r="IJ55" i="7"/>
  <c r="IK55" i="7"/>
  <c r="IL55" i="7"/>
  <c r="IM55" i="7"/>
  <c r="IN55" i="7"/>
  <c r="IO55" i="7"/>
  <c r="IP55" i="7"/>
  <c r="IQ55" i="7"/>
  <c r="IR55" i="7"/>
  <c r="IS55" i="7"/>
  <c r="IT55" i="7"/>
  <c r="IU55" i="7"/>
  <c r="IV55" i="7"/>
  <c r="A54" i="7"/>
  <c r="B54" i="7"/>
  <c r="C54" i="7"/>
  <c r="D54" i="7"/>
  <c r="E54" i="7"/>
  <c r="F54" i="7"/>
  <c r="G54" i="7"/>
  <c r="H54" i="7"/>
  <c r="I54" i="7"/>
  <c r="J54" i="7"/>
  <c r="K54" i="7"/>
  <c r="L54" i="7"/>
  <c r="M54" i="7"/>
  <c r="N54" i="7"/>
  <c r="O54" i="7"/>
  <c r="P54" i="7"/>
  <c r="Q54" i="7"/>
  <c r="R54" i="7"/>
  <c r="S54" i="7"/>
  <c r="T54" i="7"/>
  <c r="U54" i="7"/>
  <c r="V54" i="7"/>
  <c r="W54" i="7"/>
  <c r="X54" i="7"/>
  <c r="Y54" i="7"/>
  <c r="Z54" i="7"/>
  <c r="AA54" i="7"/>
  <c r="AB54" i="7"/>
  <c r="AC54" i="7"/>
  <c r="AD54" i="7"/>
  <c r="AE54" i="7"/>
  <c r="AF54" i="7"/>
  <c r="AG54" i="7"/>
  <c r="AH54" i="7"/>
  <c r="AI54" i="7"/>
  <c r="AJ54" i="7"/>
  <c r="AK54" i="7"/>
  <c r="AL54" i="7"/>
  <c r="AM54" i="7"/>
  <c r="AN54" i="7"/>
  <c r="AO54" i="7"/>
  <c r="AP54" i="7"/>
  <c r="AQ54" i="7"/>
  <c r="AR54" i="7"/>
  <c r="AS54" i="7"/>
  <c r="AT54" i="7"/>
  <c r="AU54" i="7"/>
  <c r="AV54" i="7"/>
  <c r="AW54" i="7"/>
  <c r="AX54" i="7"/>
  <c r="AY54" i="7"/>
  <c r="AZ54" i="7"/>
  <c r="BA54" i="7"/>
  <c r="BB54" i="7"/>
  <c r="BC54" i="7"/>
  <c r="BD54" i="7"/>
  <c r="BE54" i="7"/>
  <c r="BF54" i="7"/>
  <c r="BG54" i="7"/>
  <c r="BH54" i="7"/>
  <c r="BI54" i="7"/>
  <c r="BJ54" i="7"/>
  <c r="BK54" i="7"/>
  <c r="BL54" i="7"/>
  <c r="BM54" i="7"/>
  <c r="BN54" i="7"/>
  <c r="BO54" i="7"/>
  <c r="BP54" i="7"/>
  <c r="BQ54" i="7"/>
  <c r="BR54" i="7"/>
  <c r="BS54" i="7"/>
  <c r="BT54" i="7"/>
  <c r="BU54" i="7"/>
  <c r="BV54" i="7"/>
  <c r="BW54" i="7"/>
  <c r="BX54" i="7"/>
  <c r="BY54" i="7"/>
  <c r="BZ54" i="7"/>
  <c r="CA54" i="7"/>
  <c r="CB54" i="7"/>
  <c r="CC54" i="7"/>
  <c r="CD54" i="7"/>
  <c r="CE54" i="7"/>
  <c r="CF54" i="7"/>
  <c r="CG54" i="7"/>
  <c r="CH54" i="7"/>
  <c r="CI54" i="7"/>
  <c r="CJ54" i="7"/>
  <c r="CK54" i="7"/>
  <c r="CL54" i="7"/>
  <c r="CM54" i="7"/>
  <c r="CN54" i="7"/>
  <c r="CO54" i="7"/>
  <c r="CP54" i="7"/>
  <c r="CQ54" i="7"/>
  <c r="CR54" i="7"/>
  <c r="CS54" i="7"/>
  <c r="CT54" i="7"/>
  <c r="CU54" i="7"/>
  <c r="CV54" i="7"/>
  <c r="CW54" i="7"/>
  <c r="CX54" i="7"/>
  <c r="CY54" i="7"/>
  <c r="CZ54" i="7"/>
  <c r="DA54" i="7"/>
  <c r="DB54" i="7"/>
  <c r="DC54" i="7"/>
  <c r="DD54" i="7"/>
  <c r="DE54" i="7"/>
  <c r="DF54" i="7"/>
  <c r="DG54" i="7"/>
  <c r="DH54" i="7"/>
  <c r="DI54" i="7"/>
  <c r="DJ54" i="7"/>
  <c r="DK54" i="7"/>
  <c r="DL54" i="7"/>
  <c r="DM54" i="7"/>
  <c r="DN54" i="7"/>
  <c r="DO54" i="7"/>
  <c r="DP54" i="7"/>
  <c r="DQ54" i="7"/>
  <c r="DR54" i="7"/>
  <c r="DS54" i="7"/>
  <c r="DT54" i="7"/>
  <c r="DU54" i="7"/>
  <c r="DV54" i="7"/>
  <c r="DW54" i="7"/>
  <c r="DX54" i="7"/>
  <c r="DY54" i="7"/>
  <c r="DZ54" i="7"/>
  <c r="EA54" i="7"/>
  <c r="EB54" i="7"/>
  <c r="EC54" i="7"/>
  <c r="ED54" i="7"/>
  <c r="EE54" i="7"/>
  <c r="EF54" i="7"/>
  <c r="EG54" i="7"/>
  <c r="EH54" i="7"/>
  <c r="EI54" i="7"/>
  <c r="EJ54" i="7"/>
  <c r="EK54" i="7"/>
  <c r="EL54" i="7"/>
  <c r="EM54" i="7"/>
  <c r="EN54" i="7"/>
  <c r="EO54" i="7"/>
  <c r="EP54" i="7"/>
  <c r="EQ54" i="7"/>
  <c r="ER54" i="7"/>
  <c r="ES54" i="7"/>
  <c r="ET54" i="7"/>
  <c r="EU54" i="7"/>
  <c r="EV54" i="7"/>
  <c r="EW54" i="7"/>
  <c r="EX54" i="7"/>
  <c r="EY54" i="7"/>
  <c r="EZ54" i="7"/>
  <c r="FA54" i="7"/>
  <c r="FB54" i="7"/>
  <c r="FC54" i="7"/>
  <c r="FD54" i="7"/>
  <c r="FE54" i="7"/>
  <c r="FF54" i="7"/>
  <c r="FG54" i="7"/>
  <c r="FH54" i="7"/>
  <c r="FI54" i="7"/>
  <c r="FJ54" i="7"/>
  <c r="FK54" i="7"/>
  <c r="FL54" i="7"/>
  <c r="FM54" i="7"/>
  <c r="FN54" i="7"/>
  <c r="FO54" i="7"/>
  <c r="FP54" i="7"/>
  <c r="FQ54" i="7"/>
  <c r="FR54" i="7"/>
  <c r="FS54" i="7"/>
  <c r="FT54" i="7"/>
  <c r="FU54" i="7"/>
  <c r="FV54" i="7"/>
  <c r="FW54" i="7"/>
  <c r="FX54" i="7"/>
  <c r="FY54" i="7"/>
  <c r="FZ54" i="7"/>
  <c r="GA54" i="7"/>
  <c r="GB54" i="7"/>
  <c r="GC54" i="7"/>
  <c r="GD54" i="7"/>
  <c r="GE54" i="7"/>
  <c r="GF54" i="7"/>
  <c r="GG54" i="7"/>
  <c r="GH54" i="7"/>
  <c r="GI54" i="7"/>
  <c r="GJ54" i="7"/>
  <c r="GK54" i="7"/>
  <c r="GL54" i="7"/>
  <c r="GM54" i="7"/>
  <c r="GN54" i="7"/>
  <c r="GO54" i="7"/>
  <c r="GP54" i="7"/>
  <c r="GQ54" i="7"/>
  <c r="GR54" i="7"/>
  <c r="GS54" i="7"/>
  <c r="GT54" i="7"/>
  <c r="GU54" i="7"/>
  <c r="GV54" i="7"/>
  <c r="GW54" i="7"/>
  <c r="GX54" i="7"/>
  <c r="GY54" i="7"/>
  <c r="GZ54" i="7"/>
  <c r="HA54" i="7"/>
  <c r="HB54" i="7"/>
  <c r="HC54" i="7"/>
  <c r="HD54" i="7"/>
  <c r="HE54" i="7"/>
  <c r="HF54" i="7"/>
  <c r="HG54" i="7"/>
  <c r="HH54" i="7"/>
  <c r="HI54" i="7"/>
  <c r="HJ54" i="7"/>
  <c r="HK54" i="7"/>
  <c r="HL54" i="7"/>
  <c r="HM54" i="7"/>
  <c r="HN54" i="7"/>
  <c r="HO54" i="7"/>
  <c r="HP54" i="7"/>
  <c r="HQ54" i="7"/>
  <c r="HR54" i="7"/>
  <c r="HS54" i="7"/>
  <c r="HT54" i="7"/>
  <c r="HU54" i="7"/>
  <c r="HV54" i="7"/>
  <c r="HW54" i="7"/>
  <c r="HX54" i="7"/>
  <c r="HY54" i="7"/>
  <c r="HZ54" i="7"/>
  <c r="IA54" i="7"/>
  <c r="IB54" i="7"/>
  <c r="IC54" i="7"/>
  <c r="ID54" i="7"/>
  <c r="IE54" i="7"/>
  <c r="IF54" i="7"/>
  <c r="IG54" i="7"/>
  <c r="IH54" i="7"/>
  <c r="II54" i="7"/>
  <c r="IJ54" i="7"/>
  <c r="IK54" i="7"/>
  <c r="IL54" i="7"/>
  <c r="IM54" i="7"/>
  <c r="IN54" i="7"/>
  <c r="IO54" i="7"/>
  <c r="IP54" i="7"/>
  <c r="IQ54" i="7"/>
  <c r="IR54" i="7"/>
  <c r="IS54" i="7"/>
  <c r="IT54" i="7"/>
  <c r="IU54" i="7"/>
  <c r="IV54" i="7"/>
  <c r="A53" i="7"/>
  <c r="B53" i="7"/>
  <c r="C53" i="7"/>
  <c r="D53" i="7"/>
  <c r="E53" i="7"/>
  <c r="F53" i="7"/>
  <c r="G53" i="7"/>
  <c r="H53" i="7"/>
  <c r="I53" i="7"/>
  <c r="J53"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H53" i="7"/>
  <c r="BI53" i="7"/>
  <c r="BJ53" i="7"/>
  <c r="BK53" i="7"/>
  <c r="BL53" i="7"/>
  <c r="BM53" i="7"/>
  <c r="BN53" i="7"/>
  <c r="BO53" i="7"/>
  <c r="BP53" i="7"/>
  <c r="BQ53" i="7"/>
  <c r="BR53" i="7"/>
  <c r="BS53" i="7"/>
  <c r="BT53" i="7"/>
  <c r="BU53" i="7"/>
  <c r="BV53" i="7"/>
  <c r="BW53" i="7"/>
  <c r="BX53" i="7"/>
  <c r="BY53" i="7"/>
  <c r="BZ53" i="7"/>
  <c r="CA53" i="7"/>
  <c r="CB53" i="7"/>
  <c r="CC53" i="7"/>
  <c r="CD53" i="7"/>
  <c r="CE53" i="7"/>
  <c r="CF53" i="7"/>
  <c r="CG53" i="7"/>
  <c r="CH53" i="7"/>
  <c r="CI53" i="7"/>
  <c r="CJ53" i="7"/>
  <c r="CK53" i="7"/>
  <c r="CL53" i="7"/>
  <c r="CM53" i="7"/>
  <c r="CN53" i="7"/>
  <c r="CO53" i="7"/>
  <c r="CP53" i="7"/>
  <c r="CQ53" i="7"/>
  <c r="CR53" i="7"/>
  <c r="CS53" i="7"/>
  <c r="CT53" i="7"/>
  <c r="CU53" i="7"/>
  <c r="CV53" i="7"/>
  <c r="CW53" i="7"/>
  <c r="CX53" i="7"/>
  <c r="CY53" i="7"/>
  <c r="CZ53" i="7"/>
  <c r="DA53" i="7"/>
  <c r="DB53" i="7"/>
  <c r="DC53" i="7"/>
  <c r="DD53" i="7"/>
  <c r="DE53" i="7"/>
  <c r="DF53" i="7"/>
  <c r="DG53" i="7"/>
  <c r="DH53" i="7"/>
  <c r="DI53" i="7"/>
  <c r="DJ53" i="7"/>
  <c r="DK53" i="7"/>
  <c r="DL53" i="7"/>
  <c r="DM53" i="7"/>
  <c r="DN53" i="7"/>
  <c r="DO53" i="7"/>
  <c r="DP53" i="7"/>
  <c r="DQ53" i="7"/>
  <c r="DR53" i="7"/>
  <c r="DS53" i="7"/>
  <c r="DT53" i="7"/>
  <c r="DU53" i="7"/>
  <c r="DV53" i="7"/>
  <c r="DW53" i="7"/>
  <c r="DX53" i="7"/>
  <c r="DY53" i="7"/>
  <c r="DZ53" i="7"/>
  <c r="EA53" i="7"/>
  <c r="EB53" i="7"/>
  <c r="EC53" i="7"/>
  <c r="ED53" i="7"/>
  <c r="EE53" i="7"/>
  <c r="EF53" i="7"/>
  <c r="EG53" i="7"/>
  <c r="EH53" i="7"/>
  <c r="EI53" i="7"/>
  <c r="EJ53" i="7"/>
  <c r="EK53" i="7"/>
  <c r="EL53" i="7"/>
  <c r="EM53" i="7"/>
  <c r="EN53" i="7"/>
  <c r="EO53" i="7"/>
  <c r="EP53" i="7"/>
  <c r="EQ53" i="7"/>
  <c r="ER53" i="7"/>
  <c r="ES53" i="7"/>
  <c r="ET53" i="7"/>
  <c r="EU53" i="7"/>
  <c r="EV53" i="7"/>
  <c r="EW53" i="7"/>
  <c r="EX53" i="7"/>
  <c r="EY53" i="7"/>
  <c r="EZ53" i="7"/>
  <c r="FA53" i="7"/>
  <c r="FB53" i="7"/>
  <c r="FC53" i="7"/>
  <c r="FD53" i="7"/>
  <c r="FE53" i="7"/>
  <c r="FF53" i="7"/>
  <c r="FG53" i="7"/>
  <c r="FH53" i="7"/>
  <c r="FI53" i="7"/>
  <c r="FJ53" i="7"/>
  <c r="FK53" i="7"/>
  <c r="FL53" i="7"/>
  <c r="FM53" i="7"/>
  <c r="FN53" i="7"/>
  <c r="FO53" i="7"/>
  <c r="FP53" i="7"/>
  <c r="FQ53" i="7"/>
  <c r="FR53" i="7"/>
  <c r="FS53" i="7"/>
  <c r="FT53" i="7"/>
  <c r="FU53" i="7"/>
  <c r="FV53" i="7"/>
  <c r="FW53" i="7"/>
  <c r="FX53" i="7"/>
  <c r="FY53" i="7"/>
  <c r="FZ53" i="7"/>
  <c r="GA53" i="7"/>
  <c r="GB53" i="7"/>
  <c r="GC53" i="7"/>
  <c r="GD53" i="7"/>
  <c r="GE53" i="7"/>
  <c r="GF53" i="7"/>
  <c r="GG53" i="7"/>
  <c r="GH53" i="7"/>
  <c r="GI53" i="7"/>
  <c r="GJ53" i="7"/>
  <c r="GK53" i="7"/>
  <c r="GL53" i="7"/>
  <c r="GM53" i="7"/>
  <c r="GN53" i="7"/>
  <c r="GO53" i="7"/>
  <c r="GP53" i="7"/>
  <c r="GQ53" i="7"/>
  <c r="GR53" i="7"/>
  <c r="GS53" i="7"/>
  <c r="GT53" i="7"/>
  <c r="GU53" i="7"/>
  <c r="GV53" i="7"/>
  <c r="GW53" i="7"/>
  <c r="GX53" i="7"/>
  <c r="GY53" i="7"/>
  <c r="GZ53" i="7"/>
  <c r="HA53" i="7"/>
  <c r="HB53" i="7"/>
  <c r="HC53" i="7"/>
  <c r="HD53" i="7"/>
  <c r="HE53" i="7"/>
  <c r="HF53" i="7"/>
  <c r="HG53" i="7"/>
  <c r="HH53" i="7"/>
  <c r="HI53" i="7"/>
  <c r="HJ53" i="7"/>
  <c r="HK53" i="7"/>
  <c r="HL53" i="7"/>
  <c r="HM53" i="7"/>
  <c r="HN53" i="7"/>
  <c r="HO53" i="7"/>
  <c r="HP53" i="7"/>
  <c r="HQ53" i="7"/>
  <c r="HR53" i="7"/>
  <c r="HS53" i="7"/>
  <c r="HT53" i="7"/>
  <c r="HU53" i="7"/>
  <c r="HV53" i="7"/>
  <c r="HW53" i="7"/>
  <c r="HX53" i="7"/>
  <c r="HY53" i="7"/>
  <c r="HZ53" i="7"/>
  <c r="IA53" i="7"/>
  <c r="IB53" i="7"/>
  <c r="IC53" i="7"/>
  <c r="ID53" i="7"/>
  <c r="IE53" i="7"/>
  <c r="IF53" i="7"/>
  <c r="IG53" i="7"/>
  <c r="IH53" i="7"/>
  <c r="II53" i="7"/>
  <c r="IJ53" i="7"/>
  <c r="IK53" i="7"/>
  <c r="IL53" i="7"/>
  <c r="IM53" i="7"/>
  <c r="IN53" i="7"/>
  <c r="IO53" i="7"/>
  <c r="IP53" i="7"/>
  <c r="IQ53" i="7"/>
  <c r="IR53" i="7"/>
  <c r="IS53" i="7"/>
  <c r="IT53" i="7"/>
  <c r="IU53" i="7"/>
  <c r="IV53" i="7"/>
  <c r="A52" i="7"/>
  <c r="B52" i="7"/>
  <c r="C52" i="7"/>
  <c r="D52" i="7"/>
  <c r="E52" i="7"/>
  <c r="F52" i="7"/>
  <c r="G52" i="7"/>
  <c r="H52" i="7"/>
  <c r="I52" i="7"/>
  <c r="J52" i="7"/>
  <c r="K52" i="7"/>
  <c r="L52" i="7"/>
  <c r="M52" i="7"/>
  <c r="N52" i="7"/>
  <c r="O52" i="7"/>
  <c r="P52" i="7"/>
  <c r="Q52" i="7"/>
  <c r="R52" i="7"/>
  <c r="S52" i="7"/>
  <c r="T52" i="7"/>
  <c r="U52" i="7"/>
  <c r="V52" i="7"/>
  <c r="W52" i="7"/>
  <c r="X52" i="7"/>
  <c r="Y52" i="7"/>
  <c r="Z52" i="7"/>
  <c r="AA52" i="7"/>
  <c r="AB52" i="7"/>
  <c r="AC52" i="7"/>
  <c r="AD52" i="7"/>
  <c r="AE52" i="7"/>
  <c r="AF52" i="7"/>
  <c r="AG52" i="7"/>
  <c r="AH52" i="7"/>
  <c r="AI52" i="7"/>
  <c r="AJ52" i="7"/>
  <c r="AK52" i="7"/>
  <c r="AL52" i="7"/>
  <c r="AM52" i="7"/>
  <c r="AN52" i="7"/>
  <c r="AO52" i="7"/>
  <c r="AP52" i="7"/>
  <c r="AQ52" i="7"/>
  <c r="AR52" i="7"/>
  <c r="AS52" i="7"/>
  <c r="AT52" i="7"/>
  <c r="AU52" i="7"/>
  <c r="AV52" i="7"/>
  <c r="AW52" i="7"/>
  <c r="AX52" i="7"/>
  <c r="AY52" i="7"/>
  <c r="AZ52" i="7"/>
  <c r="BA52" i="7"/>
  <c r="BB52" i="7"/>
  <c r="BC52" i="7"/>
  <c r="BD52" i="7"/>
  <c r="BE52" i="7"/>
  <c r="BF52" i="7"/>
  <c r="BG52" i="7"/>
  <c r="BH52" i="7"/>
  <c r="BI52" i="7"/>
  <c r="BJ52" i="7"/>
  <c r="BK52" i="7"/>
  <c r="BL52" i="7"/>
  <c r="BM52" i="7"/>
  <c r="BN52" i="7"/>
  <c r="BO52" i="7"/>
  <c r="BP52" i="7"/>
  <c r="BQ52" i="7"/>
  <c r="BR52" i="7"/>
  <c r="BS52" i="7"/>
  <c r="BT52" i="7"/>
  <c r="BU52" i="7"/>
  <c r="BV52" i="7"/>
  <c r="BW52" i="7"/>
  <c r="BX52" i="7"/>
  <c r="BY52" i="7"/>
  <c r="BZ52" i="7"/>
  <c r="CA52" i="7"/>
  <c r="CB52" i="7"/>
  <c r="CC52" i="7"/>
  <c r="CD52" i="7"/>
  <c r="CE52" i="7"/>
  <c r="CF52" i="7"/>
  <c r="CG52" i="7"/>
  <c r="CH52" i="7"/>
  <c r="CI52" i="7"/>
  <c r="CJ52" i="7"/>
  <c r="CK52" i="7"/>
  <c r="CL52" i="7"/>
  <c r="CM52" i="7"/>
  <c r="CN52" i="7"/>
  <c r="CO52" i="7"/>
  <c r="CP52" i="7"/>
  <c r="CQ52" i="7"/>
  <c r="CR52" i="7"/>
  <c r="CS52" i="7"/>
  <c r="CT52" i="7"/>
  <c r="CU52" i="7"/>
  <c r="CV52" i="7"/>
  <c r="CW52" i="7"/>
  <c r="CX52" i="7"/>
  <c r="CY52" i="7"/>
  <c r="CZ52" i="7"/>
  <c r="DA52" i="7"/>
  <c r="DB52" i="7"/>
  <c r="DC52" i="7"/>
  <c r="DD52" i="7"/>
  <c r="DE52" i="7"/>
  <c r="DF52" i="7"/>
  <c r="DG52" i="7"/>
  <c r="DH52" i="7"/>
  <c r="DI52" i="7"/>
  <c r="DJ52" i="7"/>
  <c r="DK52" i="7"/>
  <c r="DL52" i="7"/>
  <c r="DM52" i="7"/>
  <c r="DN52" i="7"/>
  <c r="DO52" i="7"/>
  <c r="DP52" i="7"/>
  <c r="DQ52" i="7"/>
  <c r="DR52" i="7"/>
  <c r="DS52" i="7"/>
  <c r="DT52" i="7"/>
  <c r="DU52" i="7"/>
  <c r="DV52" i="7"/>
  <c r="DW52" i="7"/>
  <c r="DX52" i="7"/>
  <c r="DY52" i="7"/>
  <c r="DZ52" i="7"/>
  <c r="EA52" i="7"/>
  <c r="EB52" i="7"/>
  <c r="EC52" i="7"/>
  <c r="ED52" i="7"/>
  <c r="EE52" i="7"/>
  <c r="EF52" i="7"/>
  <c r="EG52" i="7"/>
  <c r="EH52" i="7"/>
  <c r="EI52" i="7"/>
  <c r="EJ52" i="7"/>
  <c r="EK52" i="7"/>
  <c r="EL52" i="7"/>
  <c r="EM52" i="7"/>
  <c r="EN52" i="7"/>
  <c r="EO52" i="7"/>
  <c r="EP52" i="7"/>
  <c r="EQ52" i="7"/>
  <c r="ER52" i="7"/>
  <c r="ES52" i="7"/>
  <c r="ET52" i="7"/>
  <c r="EU52" i="7"/>
  <c r="EV52" i="7"/>
  <c r="EW52" i="7"/>
  <c r="EX52" i="7"/>
  <c r="EY52" i="7"/>
  <c r="EZ52" i="7"/>
  <c r="FA52" i="7"/>
  <c r="FB52" i="7"/>
  <c r="FC52" i="7"/>
  <c r="FD52" i="7"/>
  <c r="FE52" i="7"/>
  <c r="FF52" i="7"/>
  <c r="FG52" i="7"/>
  <c r="FH52" i="7"/>
  <c r="FI52" i="7"/>
  <c r="FJ52" i="7"/>
  <c r="FK52" i="7"/>
  <c r="FL52" i="7"/>
  <c r="FM52" i="7"/>
  <c r="FN52" i="7"/>
  <c r="FO52" i="7"/>
  <c r="FP52" i="7"/>
  <c r="FQ52" i="7"/>
  <c r="FR52" i="7"/>
  <c r="FS52" i="7"/>
  <c r="FT52" i="7"/>
  <c r="FU52" i="7"/>
  <c r="FV52" i="7"/>
  <c r="FW52" i="7"/>
  <c r="FX52" i="7"/>
  <c r="FY52" i="7"/>
  <c r="FZ52" i="7"/>
  <c r="GA52" i="7"/>
  <c r="GB52" i="7"/>
  <c r="GC52" i="7"/>
  <c r="GD52" i="7"/>
  <c r="GE52" i="7"/>
  <c r="GF52" i="7"/>
  <c r="GG52" i="7"/>
  <c r="GH52" i="7"/>
  <c r="GI52" i="7"/>
  <c r="GJ52" i="7"/>
  <c r="GK52" i="7"/>
  <c r="GL52" i="7"/>
  <c r="GM52" i="7"/>
  <c r="GN52" i="7"/>
  <c r="GO52" i="7"/>
  <c r="GP52" i="7"/>
  <c r="GQ52" i="7"/>
  <c r="GR52" i="7"/>
  <c r="GS52" i="7"/>
  <c r="GT52" i="7"/>
  <c r="GU52" i="7"/>
  <c r="GV52" i="7"/>
  <c r="GW52" i="7"/>
  <c r="GX52" i="7"/>
  <c r="GY52" i="7"/>
  <c r="GZ52" i="7"/>
  <c r="HA52" i="7"/>
  <c r="HB52" i="7"/>
  <c r="HC52" i="7"/>
  <c r="HD52" i="7"/>
  <c r="HE52" i="7"/>
  <c r="HF52" i="7"/>
  <c r="HG52" i="7"/>
  <c r="HH52" i="7"/>
  <c r="HI52" i="7"/>
  <c r="HJ52" i="7"/>
  <c r="HK52" i="7"/>
  <c r="HL52" i="7"/>
  <c r="HM52" i="7"/>
  <c r="HN52" i="7"/>
  <c r="HO52" i="7"/>
  <c r="HP52" i="7"/>
  <c r="HQ52" i="7"/>
  <c r="HR52" i="7"/>
  <c r="HS52" i="7"/>
  <c r="HT52" i="7"/>
  <c r="HU52" i="7"/>
  <c r="HV52" i="7"/>
  <c r="HW52" i="7"/>
  <c r="HX52" i="7"/>
  <c r="HY52" i="7"/>
  <c r="HZ52" i="7"/>
  <c r="IA52" i="7"/>
  <c r="IB52" i="7"/>
  <c r="IC52" i="7"/>
  <c r="ID52" i="7"/>
  <c r="IE52" i="7"/>
  <c r="IF52" i="7"/>
  <c r="IG52" i="7"/>
  <c r="IH52" i="7"/>
  <c r="II52" i="7"/>
  <c r="IJ52" i="7"/>
  <c r="IK52" i="7"/>
  <c r="IL52" i="7"/>
  <c r="IM52" i="7"/>
  <c r="IN52" i="7"/>
  <c r="IO52" i="7"/>
  <c r="IP52" i="7"/>
  <c r="IQ52" i="7"/>
  <c r="IR52" i="7"/>
  <c r="IS52" i="7"/>
  <c r="IT52" i="7"/>
  <c r="IU52" i="7"/>
  <c r="IV52" i="7"/>
  <c r="A51" i="7"/>
  <c r="B51" i="7"/>
  <c r="C51" i="7"/>
  <c r="D51" i="7"/>
  <c r="E51" i="7"/>
  <c r="F51" i="7"/>
  <c r="G51" i="7"/>
  <c r="H51" i="7"/>
  <c r="I51" i="7"/>
  <c r="J51"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FO51" i="7"/>
  <c r="FP51" i="7"/>
  <c r="FQ51" i="7"/>
  <c r="FR51" i="7"/>
  <c r="FS51" i="7"/>
  <c r="FT51" i="7"/>
  <c r="FU51" i="7"/>
  <c r="FV51" i="7"/>
  <c r="FW51" i="7"/>
  <c r="FX51" i="7"/>
  <c r="FY51" i="7"/>
  <c r="FZ51" i="7"/>
  <c r="GA51" i="7"/>
  <c r="GB51" i="7"/>
  <c r="GC51" i="7"/>
  <c r="GD51" i="7"/>
  <c r="GE51" i="7"/>
  <c r="GF51" i="7"/>
  <c r="GG51" i="7"/>
  <c r="GH51" i="7"/>
  <c r="GI51" i="7"/>
  <c r="GJ51" i="7"/>
  <c r="GK51" i="7"/>
  <c r="GL51" i="7"/>
  <c r="GM51" i="7"/>
  <c r="GN51" i="7"/>
  <c r="GO51" i="7"/>
  <c r="GP51" i="7"/>
  <c r="GQ51" i="7"/>
  <c r="GR51" i="7"/>
  <c r="GS51" i="7"/>
  <c r="GT51" i="7"/>
  <c r="GU51" i="7"/>
  <c r="GV51" i="7"/>
  <c r="GW51" i="7"/>
  <c r="GX51" i="7"/>
  <c r="GY51" i="7"/>
  <c r="GZ51" i="7"/>
  <c r="HA51" i="7"/>
  <c r="HB51" i="7"/>
  <c r="HC51" i="7"/>
  <c r="HD51" i="7"/>
  <c r="HE51" i="7"/>
  <c r="HF51" i="7"/>
  <c r="HG51" i="7"/>
  <c r="HH51" i="7"/>
  <c r="HI51" i="7"/>
  <c r="HJ51" i="7"/>
  <c r="HK51" i="7"/>
  <c r="HL51" i="7"/>
  <c r="HM51" i="7"/>
  <c r="HN51" i="7"/>
  <c r="HO51" i="7"/>
  <c r="HP51" i="7"/>
  <c r="HQ51" i="7"/>
  <c r="HR51" i="7"/>
  <c r="HS51" i="7"/>
  <c r="HT51" i="7"/>
  <c r="HU51" i="7"/>
  <c r="HV51" i="7"/>
  <c r="HW51" i="7"/>
  <c r="HX51" i="7"/>
  <c r="HY51" i="7"/>
  <c r="HZ51" i="7"/>
  <c r="IA51" i="7"/>
  <c r="IB51" i="7"/>
  <c r="IC51" i="7"/>
  <c r="ID51" i="7"/>
  <c r="IE51" i="7"/>
  <c r="IF51" i="7"/>
  <c r="IG51" i="7"/>
  <c r="IH51" i="7"/>
  <c r="II51" i="7"/>
  <c r="IJ51" i="7"/>
  <c r="IK51" i="7"/>
  <c r="IL51" i="7"/>
  <c r="IM51" i="7"/>
  <c r="IN51" i="7"/>
  <c r="IO51" i="7"/>
  <c r="IP51" i="7"/>
  <c r="IQ51" i="7"/>
  <c r="IR51" i="7"/>
  <c r="IS51" i="7"/>
  <c r="IT51" i="7"/>
  <c r="IU51" i="7"/>
  <c r="IV51" i="7"/>
  <c r="A50" i="7"/>
  <c r="B50" i="7"/>
  <c r="C50" i="7"/>
  <c r="D50" i="7"/>
  <c r="E50" i="7"/>
  <c r="F50" i="7"/>
  <c r="G50" i="7"/>
  <c r="H50" i="7"/>
  <c r="I50" i="7"/>
  <c r="J50" i="7"/>
  <c r="K50" i="7"/>
  <c r="L50" i="7"/>
  <c r="M50" i="7"/>
  <c r="N50" i="7"/>
  <c r="O50" i="7"/>
  <c r="P50" i="7"/>
  <c r="Q50" i="7"/>
  <c r="R50" i="7"/>
  <c r="S50" i="7"/>
  <c r="T50" i="7"/>
  <c r="U50" i="7"/>
  <c r="V50" i="7"/>
  <c r="W50" i="7"/>
  <c r="X50" i="7"/>
  <c r="Y50" i="7"/>
  <c r="Z50" i="7"/>
  <c r="AA50" i="7"/>
  <c r="AB50" i="7"/>
  <c r="AC50" i="7"/>
  <c r="AD50" i="7"/>
  <c r="AE50" i="7"/>
  <c r="AF50" i="7"/>
  <c r="AG50" i="7"/>
  <c r="AH50" i="7"/>
  <c r="AI50" i="7"/>
  <c r="AJ50" i="7"/>
  <c r="AK50" i="7"/>
  <c r="AL50" i="7"/>
  <c r="AM50" i="7"/>
  <c r="AN50" i="7"/>
  <c r="AO50" i="7"/>
  <c r="AP50" i="7"/>
  <c r="AQ50" i="7"/>
  <c r="AR50" i="7"/>
  <c r="AS50" i="7"/>
  <c r="AT50" i="7"/>
  <c r="AU50" i="7"/>
  <c r="AV50" i="7"/>
  <c r="AW50" i="7"/>
  <c r="AX50" i="7"/>
  <c r="AY50" i="7"/>
  <c r="AZ50" i="7"/>
  <c r="BA50" i="7"/>
  <c r="BB50" i="7"/>
  <c r="BC50" i="7"/>
  <c r="BD50" i="7"/>
  <c r="BE50" i="7"/>
  <c r="BF50" i="7"/>
  <c r="BG50" i="7"/>
  <c r="BH50" i="7"/>
  <c r="BI50" i="7"/>
  <c r="BJ50" i="7"/>
  <c r="BK50" i="7"/>
  <c r="BL50" i="7"/>
  <c r="BM50" i="7"/>
  <c r="BN50" i="7"/>
  <c r="BO50" i="7"/>
  <c r="BP50" i="7"/>
  <c r="BQ50" i="7"/>
  <c r="BR50" i="7"/>
  <c r="BS50" i="7"/>
  <c r="BT50" i="7"/>
  <c r="BU50" i="7"/>
  <c r="BV50" i="7"/>
  <c r="BW50" i="7"/>
  <c r="BX50" i="7"/>
  <c r="BY50" i="7"/>
  <c r="BZ50" i="7"/>
  <c r="CA50" i="7"/>
  <c r="CB50" i="7"/>
  <c r="CC50" i="7"/>
  <c r="CD50" i="7"/>
  <c r="CE50" i="7"/>
  <c r="CF50" i="7"/>
  <c r="CG50" i="7"/>
  <c r="CH50" i="7"/>
  <c r="CI50" i="7"/>
  <c r="CJ50" i="7"/>
  <c r="CK50" i="7"/>
  <c r="CL50" i="7"/>
  <c r="CM50" i="7"/>
  <c r="CN50" i="7"/>
  <c r="CO50" i="7"/>
  <c r="CP50" i="7"/>
  <c r="CQ50" i="7"/>
  <c r="CR50" i="7"/>
  <c r="CS50" i="7"/>
  <c r="CT50" i="7"/>
  <c r="CU50" i="7"/>
  <c r="CV50" i="7"/>
  <c r="CW50" i="7"/>
  <c r="CX50" i="7"/>
  <c r="CY50" i="7"/>
  <c r="CZ50" i="7"/>
  <c r="DA50" i="7"/>
  <c r="DB50" i="7"/>
  <c r="DC50" i="7"/>
  <c r="DD50" i="7"/>
  <c r="DE50" i="7"/>
  <c r="DF50" i="7"/>
  <c r="DG50" i="7"/>
  <c r="DH50" i="7"/>
  <c r="DI50" i="7"/>
  <c r="DJ50" i="7"/>
  <c r="DK50" i="7"/>
  <c r="DL50" i="7"/>
  <c r="DM50" i="7"/>
  <c r="DN50" i="7"/>
  <c r="DO50" i="7"/>
  <c r="DP50" i="7"/>
  <c r="DQ50" i="7"/>
  <c r="DR50" i="7"/>
  <c r="DS50" i="7"/>
  <c r="DT50" i="7"/>
  <c r="DU50" i="7"/>
  <c r="DV50" i="7"/>
  <c r="DW50" i="7"/>
  <c r="DX50" i="7"/>
  <c r="DY50" i="7"/>
  <c r="DZ50" i="7"/>
  <c r="EA50" i="7"/>
  <c r="EB50" i="7"/>
  <c r="EC50" i="7"/>
  <c r="ED50" i="7"/>
  <c r="EE50" i="7"/>
  <c r="EF50" i="7"/>
  <c r="EG50" i="7"/>
  <c r="EH50" i="7"/>
  <c r="EI50" i="7"/>
  <c r="EJ50" i="7"/>
  <c r="EK50" i="7"/>
  <c r="EL50" i="7"/>
  <c r="EM50" i="7"/>
  <c r="EN50" i="7"/>
  <c r="EO50" i="7"/>
  <c r="EP50" i="7"/>
  <c r="EQ50" i="7"/>
  <c r="ER50" i="7"/>
  <c r="ES50" i="7"/>
  <c r="ET50" i="7"/>
  <c r="EU50" i="7"/>
  <c r="EV50" i="7"/>
  <c r="EW50" i="7"/>
  <c r="EX50" i="7"/>
  <c r="EY50" i="7"/>
  <c r="EZ50" i="7"/>
  <c r="FA50" i="7"/>
  <c r="FB50" i="7"/>
  <c r="FC50" i="7"/>
  <c r="FD50" i="7"/>
  <c r="FE50" i="7"/>
  <c r="FF50" i="7"/>
  <c r="FG50" i="7"/>
  <c r="FH50" i="7"/>
  <c r="FI50" i="7"/>
  <c r="FJ50" i="7"/>
  <c r="FK50" i="7"/>
  <c r="FL50" i="7"/>
  <c r="FM50" i="7"/>
  <c r="FN50" i="7"/>
  <c r="FO50" i="7"/>
  <c r="FP50" i="7"/>
  <c r="FQ50" i="7"/>
  <c r="FR50" i="7"/>
  <c r="FS50" i="7"/>
  <c r="FT50" i="7"/>
  <c r="FU50" i="7"/>
  <c r="FV50" i="7"/>
  <c r="FW50" i="7"/>
  <c r="FX50" i="7"/>
  <c r="FY50" i="7"/>
  <c r="FZ50" i="7"/>
  <c r="GA50" i="7"/>
  <c r="GB50" i="7"/>
  <c r="GC50" i="7"/>
  <c r="GD50" i="7"/>
  <c r="GE50" i="7"/>
  <c r="GF50" i="7"/>
  <c r="GG50" i="7"/>
  <c r="GH50" i="7"/>
  <c r="GI50" i="7"/>
  <c r="GJ50" i="7"/>
  <c r="GK50" i="7"/>
  <c r="GL50" i="7"/>
  <c r="GM50" i="7"/>
  <c r="GN50" i="7"/>
  <c r="GO50" i="7"/>
  <c r="GP50" i="7"/>
  <c r="GQ50" i="7"/>
  <c r="GR50" i="7"/>
  <c r="GS50" i="7"/>
  <c r="GT50" i="7"/>
  <c r="GU50" i="7"/>
  <c r="GV50" i="7"/>
  <c r="GW50" i="7"/>
  <c r="GX50" i="7"/>
  <c r="GY50" i="7"/>
  <c r="GZ50" i="7"/>
  <c r="HA50" i="7"/>
  <c r="HB50" i="7"/>
  <c r="HC50" i="7"/>
  <c r="HD50" i="7"/>
  <c r="HE50" i="7"/>
  <c r="HF50" i="7"/>
  <c r="HG50" i="7"/>
  <c r="HH50" i="7"/>
  <c r="HI50" i="7"/>
  <c r="HJ50" i="7"/>
  <c r="HK50" i="7"/>
  <c r="HL50" i="7"/>
  <c r="HM50" i="7"/>
  <c r="HN50" i="7"/>
  <c r="HO50" i="7"/>
  <c r="HP50" i="7"/>
  <c r="HQ50" i="7"/>
  <c r="HR50" i="7"/>
  <c r="HS50" i="7"/>
  <c r="HT50" i="7"/>
  <c r="HU50" i="7"/>
  <c r="HV50" i="7"/>
  <c r="HW50" i="7"/>
  <c r="HX50" i="7"/>
  <c r="HY50" i="7"/>
  <c r="HZ50" i="7"/>
  <c r="IA50" i="7"/>
  <c r="IB50" i="7"/>
  <c r="IC50" i="7"/>
  <c r="ID50" i="7"/>
  <c r="IE50" i="7"/>
  <c r="IF50" i="7"/>
  <c r="IG50" i="7"/>
  <c r="IH50" i="7"/>
  <c r="II50" i="7"/>
  <c r="IJ50" i="7"/>
  <c r="IK50" i="7"/>
  <c r="IL50" i="7"/>
  <c r="IM50" i="7"/>
  <c r="IN50" i="7"/>
  <c r="IO50" i="7"/>
  <c r="IP50" i="7"/>
  <c r="IQ50" i="7"/>
  <c r="IR50" i="7"/>
  <c r="IS50" i="7"/>
  <c r="IT50" i="7"/>
  <c r="IU50" i="7"/>
  <c r="IV50" i="7"/>
  <c r="A49" i="7"/>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I49" i="7"/>
  <c r="GJ49" i="7"/>
  <c r="GK49" i="7"/>
  <c r="GL49" i="7"/>
  <c r="GM49" i="7"/>
  <c r="GN49" i="7"/>
  <c r="GO49" i="7"/>
  <c r="GP49" i="7"/>
  <c r="GQ49" i="7"/>
  <c r="GR49" i="7"/>
  <c r="GS49" i="7"/>
  <c r="GT49" i="7"/>
  <c r="GU49" i="7"/>
  <c r="GV49" i="7"/>
  <c r="GW49" i="7"/>
  <c r="GX49" i="7"/>
  <c r="GY49" i="7"/>
  <c r="GZ49" i="7"/>
  <c r="HA49" i="7"/>
  <c r="HB49" i="7"/>
  <c r="HC49" i="7"/>
  <c r="HD49" i="7"/>
  <c r="HE49" i="7"/>
  <c r="HF49" i="7"/>
  <c r="HG49" i="7"/>
  <c r="HH49" i="7"/>
  <c r="HI49" i="7"/>
  <c r="HJ49" i="7"/>
  <c r="HK49" i="7"/>
  <c r="HL49" i="7"/>
  <c r="HM49" i="7"/>
  <c r="HN49" i="7"/>
  <c r="HO49" i="7"/>
  <c r="HP49" i="7"/>
  <c r="HQ49" i="7"/>
  <c r="HR49" i="7"/>
  <c r="HS49" i="7"/>
  <c r="HT49" i="7"/>
  <c r="HU49" i="7"/>
  <c r="HV49" i="7"/>
  <c r="HW49" i="7"/>
  <c r="HX49" i="7"/>
  <c r="HY49" i="7"/>
  <c r="HZ49" i="7"/>
  <c r="IA49" i="7"/>
  <c r="IB49" i="7"/>
  <c r="IC49" i="7"/>
  <c r="ID49" i="7"/>
  <c r="IE49" i="7"/>
  <c r="IF49" i="7"/>
  <c r="IG49" i="7"/>
  <c r="IH49" i="7"/>
  <c r="II49" i="7"/>
  <c r="IJ49" i="7"/>
  <c r="IK49" i="7"/>
  <c r="IL49" i="7"/>
  <c r="IM49" i="7"/>
  <c r="IN49" i="7"/>
  <c r="IO49" i="7"/>
  <c r="IP49" i="7"/>
  <c r="IQ49" i="7"/>
  <c r="IR49" i="7"/>
  <c r="IS49" i="7"/>
  <c r="IT49" i="7"/>
  <c r="IU49" i="7"/>
  <c r="IV49" i="7"/>
  <c r="A48" i="7"/>
  <c r="B48" i="7"/>
  <c r="C48" i="7"/>
  <c r="D48" i="7"/>
  <c r="E48" i="7"/>
  <c r="F48" i="7"/>
  <c r="G48" i="7"/>
  <c r="H48" i="7"/>
  <c r="I48" i="7"/>
  <c r="J48" i="7"/>
  <c r="K48" i="7"/>
  <c r="L48" i="7"/>
  <c r="M48" i="7"/>
  <c r="N48" i="7"/>
  <c r="O48" i="7"/>
  <c r="P48" i="7"/>
  <c r="Q48" i="7"/>
  <c r="R48" i="7"/>
  <c r="S48" i="7"/>
  <c r="T48" i="7"/>
  <c r="U48" i="7"/>
  <c r="V48" i="7"/>
  <c r="W48" i="7"/>
  <c r="X48" i="7"/>
  <c r="Y48" i="7"/>
  <c r="Z48" i="7"/>
  <c r="AA48" i="7"/>
  <c r="AB48" i="7"/>
  <c r="AC48" i="7"/>
  <c r="AD48" i="7"/>
  <c r="AE48" i="7"/>
  <c r="AF48" i="7"/>
  <c r="AG48" i="7"/>
  <c r="AH48" i="7"/>
  <c r="AI48" i="7"/>
  <c r="AJ48" i="7"/>
  <c r="AK48" i="7"/>
  <c r="AL48" i="7"/>
  <c r="AM48" i="7"/>
  <c r="AN48" i="7"/>
  <c r="AO48" i="7"/>
  <c r="AP48" i="7"/>
  <c r="AQ48" i="7"/>
  <c r="AR48" i="7"/>
  <c r="AS48" i="7"/>
  <c r="AT48" i="7"/>
  <c r="AU48" i="7"/>
  <c r="AV48" i="7"/>
  <c r="AW48" i="7"/>
  <c r="AX48" i="7"/>
  <c r="AY48" i="7"/>
  <c r="AZ48" i="7"/>
  <c r="BA48" i="7"/>
  <c r="BB48" i="7"/>
  <c r="BC48" i="7"/>
  <c r="BD48" i="7"/>
  <c r="BE48" i="7"/>
  <c r="BF48" i="7"/>
  <c r="BG48" i="7"/>
  <c r="BH48" i="7"/>
  <c r="BI48" i="7"/>
  <c r="BJ48" i="7"/>
  <c r="BK48" i="7"/>
  <c r="BL48" i="7"/>
  <c r="BM48" i="7"/>
  <c r="BN48" i="7"/>
  <c r="BO48" i="7"/>
  <c r="BP48" i="7"/>
  <c r="BQ48" i="7"/>
  <c r="BR48" i="7"/>
  <c r="BS48" i="7"/>
  <c r="BT48" i="7"/>
  <c r="BU48" i="7"/>
  <c r="BV48" i="7"/>
  <c r="BW48" i="7"/>
  <c r="BX48" i="7"/>
  <c r="BY48" i="7"/>
  <c r="BZ48" i="7"/>
  <c r="CA48" i="7"/>
  <c r="CB48" i="7"/>
  <c r="CC48" i="7"/>
  <c r="CD48" i="7"/>
  <c r="CE48" i="7"/>
  <c r="CF48" i="7"/>
  <c r="CG48" i="7"/>
  <c r="CH48" i="7"/>
  <c r="CI48" i="7"/>
  <c r="CJ48" i="7"/>
  <c r="CK48" i="7"/>
  <c r="CL48" i="7"/>
  <c r="CM48" i="7"/>
  <c r="CN48" i="7"/>
  <c r="CO48" i="7"/>
  <c r="CP48" i="7"/>
  <c r="CQ48" i="7"/>
  <c r="CR48" i="7"/>
  <c r="CS48" i="7"/>
  <c r="CT48" i="7"/>
  <c r="CU48" i="7"/>
  <c r="CV48" i="7"/>
  <c r="CW48" i="7"/>
  <c r="CX48" i="7"/>
  <c r="CY48" i="7"/>
  <c r="CZ48" i="7"/>
  <c r="DA48" i="7"/>
  <c r="DB48" i="7"/>
  <c r="DC48" i="7"/>
  <c r="DD48" i="7"/>
  <c r="DE48" i="7"/>
  <c r="DF48" i="7"/>
  <c r="DG48" i="7"/>
  <c r="DH48" i="7"/>
  <c r="DI48" i="7"/>
  <c r="DJ48" i="7"/>
  <c r="DK48" i="7"/>
  <c r="DL48" i="7"/>
  <c r="DM48" i="7"/>
  <c r="DN48" i="7"/>
  <c r="DO48" i="7"/>
  <c r="DP48" i="7"/>
  <c r="DQ48" i="7"/>
  <c r="DR48" i="7"/>
  <c r="DS48" i="7"/>
  <c r="DT48" i="7"/>
  <c r="DU48" i="7"/>
  <c r="DV48" i="7"/>
  <c r="DW48" i="7"/>
  <c r="DX48" i="7"/>
  <c r="DY48" i="7"/>
  <c r="DZ48" i="7"/>
  <c r="EA48" i="7"/>
  <c r="EB48" i="7"/>
  <c r="EC48" i="7"/>
  <c r="ED48" i="7"/>
  <c r="EE48" i="7"/>
  <c r="EF48" i="7"/>
  <c r="EG48" i="7"/>
  <c r="EH48" i="7"/>
  <c r="EI48" i="7"/>
  <c r="EJ48" i="7"/>
  <c r="EK48" i="7"/>
  <c r="EL48" i="7"/>
  <c r="EM48" i="7"/>
  <c r="EN48" i="7"/>
  <c r="EO48" i="7"/>
  <c r="EP48" i="7"/>
  <c r="EQ48" i="7"/>
  <c r="ER48" i="7"/>
  <c r="ES48" i="7"/>
  <c r="ET48" i="7"/>
  <c r="EU48" i="7"/>
  <c r="EV48" i="7"/>
  <c r="EW48" i="7"/>
  <c r="EX48" i="7"/>
  <c r="EY48" i="7"/>
  <c r="EZ48" i="7"/>
  <c r="FA48" i="7"/>
  <c r="FB48" i="7"/>
  <c r="FC48" i="7"/>
  <c r="FD48" i="7"/>
  <c r="FE48" i="7"/>
  <c r="FF48" i="7"/>
  <c r="FG48" i="7"/>
  <c r="FH48" i="7"/>
  <c r="FI48" i="7"/>
  <c r="FJ48" i="7"/>
  <c r="FK48" i="7"/>
  <c r="FL48" i="7"/>
  <c r="FM48" i="7"/>
  <c r="FN48" i="7"/>
  <c r="FO48" i="7"/>
  <c r="FP48" i="7"/>
  <c r="FQ48" i="7"/>
  <c r="FR48" i="7"/>
  <c r="FS48" i="7"/>
  <c r="FT48" i="7"/>
  <c r="FU48" i="7"/>
  <c r="FV48" i="7"/>
  <c r="FW48" i="7"/>
  <c r="FX48" i="7"/>
  <c r="FY48" i="7"/>
  <c r="FZ48" i="7"/>
  <c r="GA48" i="7"/>
  <c r="GB48" i="7"/>
  <c r="GC48" i="7"/>
  <c r="GD48" i="7"/>
  <c r="GE48" i="7"/>
  <c r="GF48" i="7"/>
  <c r="GG48" i="7"/>
  <c r="GH48" i="7"/>
  <c r="GI48" i="7"/>
  <c r="GJ48" i="7"/>
  <c r="GK48" i="7"/>
  <c r="GL48" i="7"/>
  <c r="GM48" i="7"/>
  <c r="GN48" i="7"/>
  <c r="GO48" i="7"/>
  <c r="GP48" i="7"/>
  <c r="GQ48" i="7"/>
  <c r="GR48" i="7"/>
  <c r="GS48" i="7"/>
  <c r="GT48" i="7"/>
  <c r="GU48" i="7"/>
  <c r="GV48" i="7"/>
  <c r="GW48" i="7"/>
  <c r="GX48" i="7"/>
  <c r="GY48" i="7"/>
  <c r="GZ48" i="7"/>
  <c r="HA48" i="7"/>
  <c r="HB48" i="7"/>
  <c r="HC48" i="7"/>
  <c r="HD48" i="7"/>
  <c r="HE48" i="7"/>
  <c r="HF48" i="7"/>
  <c r="HG48" i="7"/>
  <c r="HH48" i="7"/>
  <c r="HI48" i="7"/>
  <c r="HJ48" i="7"/>
  <c r="HK48" i="7"/>
  <c r="HL48" i="7"/>
  <c r="HM48" i="7"/>
  <c r="HN48" i="7"/>
  <c r="HO48" i="7"/>
  <c r="HP48" i="7"/>
  <c r="HQ48" i="7"/>
  <c r="HR48" i="7"/>
  <c r="HS48" i="7"/>
  <c r="HT48" i="7"/>
  <c r="HU48" i="7"/>
  <c r="HV48" i="7"/>
  <c r="HW48" i="7"/>
  <c r="HX48" i="7"/>
  <c r="HY48" i="7"/>
  <c r="HZ48" i="7"/>
  <c r="IA48" i="7"/>
  <c r="IB48" i="7"/>
  <c r="IC48" i="7"/>
  <c r="ID48" i="7"/>
  <c r="IE48" i="7"/>
  <c r="IF48" i="7"/>
  <c r="IG48" i="7"/>
  <c r="IH48" i="7"/>
  <c r="II48" i="7"/>
  <c r="IJ48" i="7"/>
  <c r="IK48" i="7"/>
  <c r="IL48" i="7"/>
  <c r="IM48" i="7"/>
  <c r="IN48" i="7"/>
  <c r="IO48" i="7"/>
  <c r="IP48" i="7"/>
  <c r="IQ48" i="7"/>
  <c r="IR48" i="7"/>
  <c r="IS48" i="7"/>
  <c r="IT48" i="7"/>
  <c r="IU48" i="7"/>
  <c r="IV48" i="7"/>
  <c r="A47" i="7"/>
  <c r="B47" i="7"/>
  <c r="C47" i="7"/>
  <c r="D47" i="7"/>
  <c r="E47" i="7"/>
  <c r="F47" i="7"/>
  <c r="G47" i="7"/>
  <c r="H47" i="7"/>
  <c r="I47" i="7"/>
  <c r="J47" i="7"/>
  <c r="K47" i="7"/>
  <c r="L47" i="7"/>
  <c r="M47" i="7"/>
  <c r="N47" i="7"/>
  <c r="O47" i="7"/>
  <c r="P47" i="7"/>
  <c r="Q47" i="7"/>
  <c r="R47" i="7"/>
  <c r="S47" i="7"/>
  <c r="T47" i="7"/>
  <c r="U47" i="7"/>
  <c r="V47" i="7"/>
  <c r="W47" i="7"/>
  <c r="X47" i="7"/>
  <c r="Y47" i="7"/>
  <c r="Z47" i="7"/>
  <c r="AA47" i="7"/>
  <c r="AB47" i="7"/>
  <c r="AC47" i="7"/>
  <c r="AD47" i="7"/>
  <c r="AE47" i="7"/>
  <c r="AF47" i="7"/>
  <c r="AG47" i="7"/>
  <c r="AH47" i="7"/>
  <c r="AI47" i="7"/>
  <c r="AJ47" i="7"/>
  <c r="AK47" i="7"/>
  <c r="AL47" i="7"/>
  <c r="AM47" i="7"/>
  <c r="AN47" i="7"/>
  <c r="AO47" i="7"/>
  <c r="AP47" i="7"/>
  <c r="AQ47" i="7"/>
  <c r="AR47" i="7"/>
  <c r="AS47" i="7"/>
  <c r="AT47" i="7"/>
  <c r="AU47" i="7"/>
  <c r="AV47" i="7"/>
  <c r="AW47" i="7"/>
  <c r="AX47" i="7"/>
  <c r="AY47" i="7"/>
  <c r="AZ47" i="7"/>
  <c r="BA47" i="7"/>
  <c r="BB47" i="7"/>
  <c r="BC47" i="7"/>
  <c r="BD47" i="7"/>
  <c r="BE47" i="7"/>
  <c r="BF47" i="7"/>
  <c r="BG47" i="7"/>
  <c r="BH47" i="7"/>
  <c r="BI47" i="7"/>
  <c r="BJ47" i="7"/>
  <c r="BK47" i="7"/>
  <c r="BL47" i="7"/>
  <c r="BM47" i="7"/>
  <c r="BN47" i="7"/>
  <c r="BO47" i="7"/>
  <c r="BP47" i="7"/>
  <c r="BQ47" i="7"/>
  <c r="BR47" i="7"/>
  <c r="BS47" i="7"/>
  <c r="BT47" i="7"/>
  <c r="BU47" i="7"/>
  <c r="BV47" i="7"/>
  <c r="BW47" i="7"/>
  <c r="BX47" i="7"/>
  <c r="BY47" i="7"/>
  <c r="BZ47" i="7"/>
  <c r="CA47" i="7"/>
  <c r="CB47" i="7"/>
  <c r="CC47" i="7"/>
  <c r="CD47" i="7"/>
  <c r="CE47" i="7"/>
  <c r="CF47" i="7"/>
  <c r="CG47" i="7"/>
  <c r="CH47" i="7"/>
  <c r="CI47" i="7"/>
  <c r="CJ47" i="7"/>
  <c r="CK47" i="7"/>
  <c r="CL47" i="7"/>
  <c r="CM47" i="7"/>
  <c r="CN47" i="7"/>
  <c r="CO47" i="7"/>
  <c r="CP47" i="7"/>
  <c r="CQ47" i="7"/>
  <c r="CR47" i="7"/>
  <c r="CS47" i="7"/>
  <c r="CT47" i="7"/>
  <c r="CU47" i="7"/>
  <c r="CV47" i="7"/>
  <c r="CW47" i="7"/>
  <c r="CX47" i="7"/>
  <c r="CY47" i="7"/>
  <c r="CZ47" i="7"/>
  <c r="DA47" i="7"/>
  <c r="DB47" i="7"/>
  <c r="DC47" i="7"/>
  <c r="DD47" i="7"/>
  <c r="DE47" i="7"/>
  <c r="DF47" i="7"/>
  <c r="DG47" i="7"/>
  <c r="DH47" i="7"/>
  <c r="DI47" i="7"/>
  <c r="DJ47" i="7"/>
  <c r="DK47" i="7"/>
  <c r="DL47" i="7"/>
  <c r="DM47" i="7"/>
  <c r="DN47" i="7"/>
  <c r="DO47" i="7"/>
  <c r="DP47" i="7"/>
  <c r="DQ47" i="7"/>
  <c r="DR47" i="7"/>
  <c r="DS47" i="7"/>
  <c r="DT47" i="7"/>
  <c r="DU47" i="7"/>
  <c r="DV47" i="7"/>
  <c r="DW47" i="7"/>
  <c r="DX47" i="7"/>
  <c r="DY47" i="7"/>
  <c r="DZ47" i="7"/>
  <c r="EA47" i="7"/>
  <c r="EB47" i="7"/>
  <c r="EC47" i="7"/>
  <c r="ED47" i="7"/>
  <c r="EE47" i="7"/>
  <c r="EF47" i="7"/>
  <c r="EG47" i="7"/>
  <c r="EH47" i="7"/>
  <c r="EI47" i="7"/>
  <c r="EJ47" i="7"/>
  <c r="EK47" i="7"/>
  <c r="EL47" i="7"/>
  <c r="EM47" i="7"/>
  <c r="EN47" i="7"/>
  <c r="EO47" i="7"/>
  <c r="EP47" i="7"/>
  <c r="EQ47" i="7"/>
  <c r="ER47" i="7"/>
  <c r="ES47" i="7"/>
  <c r="ET47" i="7"/>
  <c r="EU47" i="7"/>
  <c r="EV47" i="7"/>
  <c r="EW47" i="7"/>
  <c r="EX47" i="7"/>
  <c r="EY47" i="7"/>
  <c r="EZ47" i="7"/>
  <c r="FA47" i="7"/>
  <c r="FB47" i="7"/>
  <c r="FC47" i="7"/>
  <c r="FD47" i="7"/>
  <c r="FE47" i="7"/>
  <c r="FF47" i="7"/>
  <c r="FG47" i="7"/>
  <c r="FH47" i="7"/>
  <c r="FI47" i="7"/>
  <c r="FJ47" i="7"/>
  <c r="FK47" i="7"/>
  <c r="FL47" i="7"/>
  <c r="FM47" i="7"/>
  <c r="FN47" i="7"/>
  <c r="FO47" i="7"/>
  <c r="FP47" i="7"/>
  <c r="FQ47" i="7"/>
  <c r="FR47" i="7"/>
  <c r="FS47" i="7"/>
  <c r="FT47" i="7"/>
  <c r="FU47" i="7"/>
  <c r="FV47" i="7"/>
  <c r="FW47" i="7"/>
  <c r="FX47" i="7"/>
  <c r="FY47" i="7"/>
  <c r="FZ47" i="7"/>
  <c r="GA47" i="7"/>
  <c r="GB47" i="7"/>
  <c r="GC47" i="7"/>
  <c r="GD47" i="7"/>
  <c r="GE47" i="7"/>
  <c r="GF47" i="7"/>
  <c r="GG47" i="7"/>
  <c r="GH47" i="7"/>
  <c r="GI47" i="7"/>
  <c r="GJ47" i="7"/>
  <c r="GK47" i="7"/>
  <c r="GL47" i="7"/>
  <c r="GM47" i="7"/>
  <c r="GN47" i="7"/>
  <c r="GO47" i="7"/>
  <c r="GP47" i="7"/>
  <c r="GQ47" i="7"/>
  <c r="GR47" i="7"/>
  <c r="GS47" i="7"/>
  <c r="GT47" i="7"/>
  <c r="GU47" i="7"/>
  <c r="GV47" i="7"/>
  <c r="GW47" i="7"/>
  <c r="GX47" i="7"/>
  <c r="GY47" i="7"/>
  <c r="GZ47" i="7"/>
  <c r="HA47" i="7"/>
  <c r="HB47" i="7"/>
  <c r="HC47" i="7"/>
  <c r="HD47" i="7"/>
  <c r="HE47" i="7"/>
  <c r="HF47" i="7"/>
  <c r="HG47" i="7"/>
  <c r="HH47" i="7"/>
  <c r="HI47" i="7"/>
  <c r="HJ47" i="7"/>
  <c r="HK47" i="7"/>
  <c r="HL47" i="7"/>
  <c r="HM47" i="7"/>
  <c r="HN47" i="7"/>
  <c r="HO47" i="7"/>
  <c r="HP47" i="7"/>
  <c r="HQ47" i="7"/>
  <c r="HR47" i="7"/>
  <c r="HS47" i="7"/>
  <c r="HT47" i="7"/>
  <c r="HU47" i="7"/>
  <c r="HV47" i="7"/>
  <c r="HW47" i="7"/>
  <c r="HX47" i="7"/>
  <c r="HY47" i="7"/>
  <c r="HZ47" i="7"/>
  <c r="IA47" i="7"/>
  <c r="IB47" i="7"/>
  <c r="IC47" i="7"/>
  <c r="ID47" i="7"/>
  <c r="IE47" i="7"/>
  <c r="IF47" i="7"/>
  <c r="IG47" i="7"/>
  <c r="IH47" i="7"/>
  <c r="II47" i="7"/>
  <c r="IJ47" i="7"/>
  <c r="IK47" i="7"/>
  <c r="IL47" i="7"/>
  <c r="IM47" i="7"/>
  <c r="IN47" i="7"/>
  <c r="IO47" i="7"/>
  <c r="IP47" i="7"/>
  <c r="IQ47" i="7"/>
  <c r="IR47" i="7"/>
  <c r="IS47" i="7"/>
  <c r="IT47" i="7"/>
  <c r="IU47" i="7"/>
  <c r="IV47" i="7"/>
  <c r="A46" i="7"/>
  <c r="B46" i="7"/>
  <c r="C46" i="7"/>
  <c r="D46" i="7"/>
  <c r="E46" i="7"/>
  <c r="F46" i="7"/>
  <c r="G46" i="7"/>
  <c r="H46" i="7"/>
  <c r="I46" i="7"/>
  <c r="J46"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FO46" i="7"/>
  <c r="FP46" i="7"/>
  <c r="FQ46" i="7"/>
  <c r="FR46" i="7"/>
  <c r="FS46" i="7"/>
  <c r="FT46" i="7"/>
  <c r="FU46" i="7"/>
  <c r="FV46" i="7"/>
  <c r="FW46" i="7"/>
  <c r="FX46" i="7"/>
  <c r="FY46" i="7"/>
  <c r="FZ46" i="7"/>
  <c r="GA46" i="7"/>
  <c r="GB46" i="7"/>
  <c r="GC46" i="7"/>
  <c r="GD46" i="7"/>
  <c r="GE46" i="7"/>
  <c r="GF46" i="7"/>
  <c r="GG46" i="7"/>
  <c r="GH46" i="7"/>
  <c r="GI46" i="7"/>
  <c r="GJ46" i="7"/>
  <c r="GK46" i="7"/>
  <c r="GL46" i="7"/>
  <c r="GM46" i="7"/>
  <c r="GN46" i="7"/>
  <c r="GO46" i="7"/>
  <c r="GP46" i="7"/>
  <c r="GQ46" i="7"/>
  <c r="GR46" i="7"/>
  <c r="GS46" i="7"/>
  <c r="GT46" i="7"/>
  <c r="GU46" i="7"/>
  <c r="GV46" i="7"/>
  <c r="GW46" i="7"/>
  <c r="GX46" i="7"/>
  <c r="GY46" i="7"/>
  <c r="GZ46" i="7"/>
  <c r="HA46" i="7"/>
  <c r="HB46" i="7"/>
  <c r="HC46" i="7"/>
  <c r="HD46" i="7"/>
  <c r="HE46" i="7"/>
  <c r="HF46" i="7"/>
  <c r="HG46" i="7"/>
  <c r="HH46" i="7"/>
  <c r="HI46" i="7"/>
  <c r="HJ46" i="7"/>
  <c r="HK46" i="7"/>
  <c r="HL46" i="7"/>
  <c r="HM46" i="7"/>
  <c r="HN46" i="7"/>
  <c r="HO46" i="7"/>
  <c r="HP46" i="7"/>
  <c r="HQ46" i="7"/>
  <c r="HR46" i="7"/>
  <c r="HS46" i="7"/>
  <c r="HT46" i="7"/>
  <c r="HU46" i="7"/>
  <c r="HV46" i="7"/>
  <c r="HW46" i="7"/>
  <c r="HX46" i="7"/>
  <c r="HY46" i="7"/>
  <c r="HZ46" i="7"/>
  <c r="IA46" i="7"/>
  <c r="IB46" i="7"/>
  <c r="IC46" i="7"/>
  <c r="ID46" i="7"/>
  <c r="IE46" i="7"/>
  <c r="IF46" i="7"/>
  <c r="IG46" i="7"/>
  <c r="IH46" i="7"/>
  <c r="II46" i="7"/>
  <c r="IJ46" i="7"/>
  <c r="IK46" i="7"/>
  <c r="IL46" i="7"/>
  <c r="IM46" i="7"/>
  <c r="IN46" i="7"/>
  <c r="IO46" i="7"/>
  <c r="IP46" i="7"/>
  <c r="IQ46" i="7"/>
  <c r="IR46" i="7"/>
  <c r="IS46" i="7"/>
  <c r="IT46" i="7"/>
  <c r="IU46" i="7"/>
  <c r="IV46" i="7"/>
  <c r="A45" i="7"/>
  <c r="B45" i="7"/>
  <c r="C45" i="7"/>
  <c r="D45" i="7"/>
  <c r="E45" i="7"/>
  <c r="F45" i="7"/>
  <c r="G45" i="7"/>
  <c r="H45" i="7"/>
  <c r="I45" i="7"/>
  <c r="J45" i="7"/>
  <c r="K45" i="7"/>
  <c r="L45" i="7"/>
  <c r="M45" i="7"/>
  <c r="N45" i="7"/>
  <c r="O45" i="7"/>
  <c r="P45" i="7"/>
  <c r="Q45" i="7"/>
  <c r="R45" i="7"/>
  <c r="S45" i="7"/>
  <c r="T45" i="7"/>
  <c r="U45" i="7"/>
  <c r="V45" i="7"/>
  <c r="W45" i="7"/>
  <c r="X45" i="7"/>
  <c r="Y45" i="7"/>
  <c r="Z45" i="7"/>
  <c r="AA45" i="7"/>
  <c r="AB45" i="7"/>
  <c r="AC45" i="7"/>
  <c r="AD45" i="7"/>
  <c r="AE45" i="7"/>
  <c r="AF45" i="7"/>
  <c r="AG45" i="7"/>
  <c r="AH45" i="7"/>
  <c r="AI45" i="7"/>
  <c r="AJ45" i="7"/>
  <c r="AK45" i="7"/>
  <c r="AL45" i="7"/>
  <c r="AM45" i="7"/>
  <c r="AN45" i="7"/>
  <c r="AO45" i="7"/>
  <c r="AP45" i="7"/>
  <c r="AQ45" i="7"/>
  <c r="AR45" i="7"/>
  <c r="AS45" i="7"/>
  <c r="AT45" i="7"/>
  <c r="AU45" i="7"/>
  <c r="AV45" i="7"/>
  <c r="AW45" i="7"/>
  <c r="AX45" i="7"/>
  <c r="AY45" i="7"/>
  <c r="AZ45" i="7"/>
  <c r="BA45" i="7"/>
  <c r="BB45" i="7"/>
  <c r="BC45" i="7"/>
  <c r="BD45" i="7"/>
  <c r="BE45" i="7"/>
  <c r="BF45" i="7"/>
  <c r="BG45" i="7"/>
  <c r="BH45" i="7"/>
  <c r="BI45" i="7"/>
  <c r="BJ45" i="7"/>
  <c r="BK45" i="7"/>
  <c r="BL45" i="7"/>
  <c r="BM45" i="7"/>
  <c r="BN45" i="7"/>
  <c r="BO45" i="7"/>
  <c r="BP45" i="7"/>
  <c r="BQ45" i="7"/>
  <c r="BR45" i="7"/>
  <c r="BS45" i="7"/>
  <c r="BT45" i="7"/>
  <c r="BU45" i="7"/>
  <c r="BV45" i="7"/>
  <c r="BW45" i="7"/>
  <c r="BX45" i="7"/>
  <c r="BY45" i="7"/>
  <c r="BZ45" i="7"/>
  <c r="CA45" i="7"/>
  <c r="CB45" i="7"/>
  <c r="CC45" i="7"/>
  <c r="CD45" i="7"/>
  <c r="CE45" i="7"/>
  <c r="CF45" i="7"/>
  <c r="CG45" i="7"/>
  <c r="CH45" i="7"/>
  <c r="CI45" i="7"/>
  <c r="CJ45" i="7"/>
  <c r="CK45" i="7"/>
  <c r="CL45" i="7"/>
  <c r="CM45" i="7"/>
  <c r="CN45" i="7"/>
  <c r="CO45" i="7"/>
  <c r="CP45" i="7"/>
  <c r="CQ45" i="7"/>
  <c r="CR45" i="7"/>
  <c r="CS45" i="7"/>
  <c r="CT45" i="7"/>
  <c r="CU45" i="7"/>
  <c r="CV45" i="7"/>
  <c r="CW45" i="7"/>
  <c r="CX45" i="7"/>
  <c r="CY45" i="7"/>
  <c r="CZ45" i="7"/>
  <c r="DA45" i="7"/>
  <c r="DB45" i="7"/>
  <c r="DC45" i="7"/>
  <c r="DD45" i="7"/>
  <c r="DE45" i="7"/>
  <c r="DF45" i="7"/>
  <c r="DG45" i="7"/>
  <c r="DH45" i="7"/>
  <c r="DI45" i="7"/>
  <c r="DJ45" i="7"/>
  <c r="DK45" i="7"/>
  <c r="DL45" i="7"/>
  <c r="DM45" i="7"/>
  <c r="DN45" i="7"/>
  <c r="DO45" i="7"/>
  <c r="DP45" i="7"/>
  <c r="DQ45" i="7"/>
  <c r="DR45" i="7"/>
  <c r="DS45" i="7"/>
  <c r="DT45" i="7"/>
  <c r="DU45" i="7"/>
  <c r="DV45" i="7"/>
  <c r="DW45" i="7"/>
  <c r="DX45" i="7"/>
  <c r="DY45" i="7"/>
  <c r="DZ45" i="7"/>
  <c r="EA45" i="7"/>
  <c r="EB45" i="7"/>
  <c r="EC45" i="7"/>
  <c r="ED45" i="7"/>
  <c r="EE45" i="7"/>
  <c r="EF45" i="7"/>
  <c r="EG45" i="7"/>
  <c r="EH45" i="7"/>
  <c r="EI45" i="7"/>
  <c r="EJ45" i="7"/>
  <c r="EK45" i="7"/>
  <c r="EL45" i="7"/>
  <c r="EM45" i="7"/>
  <c r="EN45" i="7"/>
  <c r="EO45" i="7"/>
  <c r="EP45" i="7"/>
  <c r="EQ45" i="7"/>
  <c r="ER45" i="7"/>
  <c r="ES45" i="7"/>
  <c r="ET45" i="7"/>
  <c r="EU45" i="7"/>
  <c r="EV45" i="7"/>
  <c r="EW45" i="7"/>
  <c r="EX45" i="7"/>
  <c r="EY45" i="7"/>
  <c r="EZ45" i="7"/>
  <c r="FA45" i="7"/>
  <c r="FB45" i="7"/>
  <c r="FC45" i="7"/>
  <c r="FD45" i="7"/>
  <c r="FE45" i="7"/>
  <c r="FF45" i="7"/>
  <c r="FG45" i="7"/>
  <c r="FH45" i="7"/>
  <c r="FI45" i="7"/>
  <c r="FJ45" i="7"/>
  <c r="FK45" i="7"/>
  <c r="FL45" i="7"/>
  <c r="FM45" i="7"/>
  <c r="FN45" i="7"/>
  <c r="FO45" i="7"/>
  <c r="FP45" i="7"/>
  <c r="FQ45" i="7"/>
  <c r="FR45" i="7"/>
  <c r="FS45" i="7"/>
  <c r="FT45" i="7"/>
  <c r="FU45" i="7"/>
  <c r="FV45" i="7"/>
  <c r="FW45" i="7"/>
  <c r="FX45" i="7"/>
  <c r="FY45" i="7"/>
  <c r="FZ45" i="7"/>
  <c r="GA45" i="7"/>
  <c r="GB45" i="7"/>
  <c r="GC45" i="7"/>
  <c r="GD45" i="7"/>
  <c r="GE45" i="7"/>
  <c r="GF45" i="7"/>
  <c r="GG45" i="7"/>
  <c r="GH45" i="7"/>
  <c r="GI45" i="7"/>
  <c r="GJ45" i="7"/>
  <c r="GK45" i="7"/>
  <c r="GL45" i="7"/>
  <c r="GM45" i="7"/>
  <c r="GN45" i="7"/>
  <c r="GO45" i="7"/>
  <c r="GP45" i="7"/>
  <c r="GQ45" i="7"/>
  <c r="GR45" i="7"/>
  <c r="GS45" i="7"/>
  <c r="GT45" i="7"/>
  <c r="GU45" i="7"/>
  <c r="GV45" i="7"/>
  <c r="GW45" i="7"/>
  <c r="GX45" i="7"/>
  <c r="GY45" i="7"/>
  <c r="GZ45" i="7"/>
  <c r="HA45" i="7"/>
  <c r="HB45" i="7"/>
  <c r="HC45" i="7"/>
  <c r="HD45" i="7"/>
  <c r="HE45" i="7"/>
  <c r="HF45" i="7"/>
  <c r="HG45" i="7"/>
  <c r="HH45" i="7"/>
  <c r="HI45" i="7"/>
  <c r="HJ45" i="7"/>
  <c r="HK45" i="7"/>
  <c r="HL45" i="7"/>
  <c r="HM45" i="7"/>
  <c r="HN45" i="7"/>
  <c r="HO45" i="7"/>
  <c r="HP45" i="7"/>
  <c r="HQ45" i="7"/>
  <c r="HR45" i="7"/>
  <c r="HS45" i="7"/>
  <c r="HT45" i="7"/>
  <c r="HU45" i="7"/>
  <c r="HV45" i="7"/>
  <c r="HW45" i="7"/>
  <c r="HX45" i="7"/>
  <c r="HY45" i="7"/>
  <c r="HZ45" i="7"/>
  <c r="IA45" i="7"/>
  <c r="IB45" i="7"/>
  <c r="IC45" i="7"/>
  <c r="ID45" i="7"/>
  <c r="IE45" i="7"/>
  <c r="IF45" i="7"/>
  <c r="IG45" i="7"/>
  <c r="IH45" i="7"/>
  <c r="II45" i="7"/>
  <c r="IJ45" i="7"/>
  <c r="IK45" i="7"/>
  <c r="IL45" i="7"/>
  <c r="IM45" i="7"/>
  <c r="IN45" i="7"/>
  <c r="IO45" i="7"/>
  <c r="IP45" i="7"/>
  <c r="IQ45" i="7"/>
  <c r="IR45" i="7"/>
  <c r="IS45" i="7"/>
  <c r="IT45" i="7"/>
  <c r="IU45" i="7"/>
  <c r="IV45" i="7"/>
  <c r="A44" i="7"/>
  <c r="B44" i="7"/>
  <c r="C44" i="7"/>
  <c r="D44" i="7"/>
  <c r="E44" i="7"/>
  <c r="F44" i="7"/>
  <c r="G44" i="7"/>
  <c r="H44" i="7"/>
  <c r="I44" i="7"/>
  <c r="J44" i="7"/>
  <c r="K44" i="7"/>
  <c r="L44" i="7"/>
  <c r="M44" i="7"/>
  <c r="N44" i="7"/>
  <c r="O44" i="7"/>
  <c r="P44" i="7"/>
  <c r="A43" i="7"/>
  <c r="B43" i="7"/>
  <c r="C43" i="7"/>
  <c r="D43" i="7"/>
  <c r="E43" i="7"/>
  <c r="F43" i="7"/>
  <c r="G43" i="7"/>
  <c r="H43" i="7"/>
  <c r="I43" i="7"/>
  <c r="J43" i="7"/>
  <c r="A42" i="7"/>
  <c r="B42" i="7"/>
  <c r="C42" i="7"/>
  <c r="D42" i="7"/>
  <c r="E42" i="7"/>
  <c r="F42" i="7"/>
  <c r="G42" i="7"/>
  <c r="H42" i="7"/>
  <c r="I42" i="7"/>
  <c r="J42" i="7"/>
  <c r="K42" i="7"/>
  <c r="L42" i="7"/>
  <c r="M42" i="7"/>
  <c r="N42" i="7"/>
  <c r="O42" i="7"/>
  <c r="P42" i="7"/>
  <c r="Q42" i="7"/>
  <c r="R42" i="7"/>
  <c r="S42" i="7"/>
  <c r="T42" i="7"/>
  <c r="U42" i="7"/>
  <c r="V42" i="7"/>
  <c r="W42" i="7"/>
  <c r="X42" i="7"/>
  <c r="Y42" i="7"/>
  <c r="Z42" i="7"/>
  <c r="AA42" i="7"/>
  <c r="AB42" i="7"/>
  <c r="AC42" i="7"/>
  <c r="AD42" i="7"/>
  <c r="AE42" i="7"/>
  <c r="AF42" i="7"/>
  <c r="AG42" i="7"/>
  <c r="AH42" i="7"/>
  <c r="AI42" i="7"/>
  <c r="AJ42" i="7"/>
  <c r="AK42" i="7"/>
  <c r="AL42" i="7"/>
  <c r="AM42" i="7"/>
  <c r="AN42" i="7"/>
  <c r="AO42" i="7"/>
  <c r="AP42" i="7"/>
  <c r="AQ42" i="7"/>
  <c r="AR42" i="7"/>
  <c r="AS42" i="7"/>
  <c r="AT42" i="7"/>
  <c r="AU42" i="7"/>
  <c r="AV42" i="7"/>
  <c r="AW42" i="7"/>
  <c r="AX42" i="7"/>
  <c r="AY42" i="7"/>
  <c r="AZ42" i="7"/>
  <c r="BA42" i="7"/>
  <c r="BB42" i="7"/>
  <c r="BC42" i="7"/>
  <c r="BD42" i="7"/>
  <c r="BE42" i="7"/>
  <c r="BF42" i="7"/>
  <c r="BG42" i="7"/>
  <c r="BH42" i="7"/>
  <c r="BI42" i="7"/>
  <c r="BJ42" i="7"/>
  <c r="BK42" i="7"/>
  <c r="BL42" i="7"/>
  <c r="BM42" i="7"/>
  <c r="BN42" i="7"/>
  <c r="BO42" i="7"/>
  <c r="BP42" i="7"/>
  <c r="BQ42" i="7"/>
  <c r="BR42" i="7"/>
  <c r="BS42" i="7"/>
  <c r="BT42" i="7"/>
  <c r="BU42" i="7"/>
  <c r="BV42" i="7"/>
  <c r="BW42" i="7"/>
  <c r="BX42" i="7"/>
  <c r="BY42" i="7"/>
  <c r="BZ42" i="7"/>
  <c r="CA42" i="7"/>
  <c r="CB42" i="7"/>
  <c r="CC42" i="7"/>
  <c r="CD42" i="7"/>
  <c r="CE42" i="7"/>
  <c r="CF42" i="7"/>
  <c r="CG42" i="7"/>
  <c r="CH42" i="7"/>
  <c r="CI42" i="7"/>
  <c r="CJ42" i="7"/>
  <c r="CK42" i="7"/>
  <c r="CL42" i="7"/>
  <c r="CM42" i="7"/>
  <c r="CN42" i="7"/>
  <c r="CO42" i="7"/>
  <c r="CP42" i="7"/>
  <c r="CQ42" i="7"/>
  <c r="CR42" i="7"/>
  <c r="CS42" i="7"/>
  <c r="CT42" i="7"/>
  <c r="CU42" i="7"/>
  <c r="CV42" i="7"/>
  <c r="CW42" i="7"/>
  <c r="CX42" i="7"/>
  <c r="CY42" i="7"/>
  <c r="CZ42" i="7"/>
  <c r="DA42" i="7"/>
  <c r="DB42" i="7"/>
  <c r="DC42" i="7"/>
  <c r="DD42" i="7"/>
  <c r="DE42" i="7"/>
  <c r="DF42" i="7"/>
  <c r="DG42" i="7"/>
  <c r="DH42" i="7"/>
  <c r="DI42" i="7"/>
  <c r="DJ42" i="7"/>
  <c r="DK42" i="7"/>
  <c r="DL42" i="7"/>
  <c r="DM42" i="7"/>
  <c r="DN42" i="7"/>
  <c r="DO42" i="7"/>
  <c r="DP42" i="7"/>
  <c r="DQ42" i="7"/>
  <c r="DR42" i="7"/>
  <c r="DS42" i="7"/>
  <c r="DT42" i="7"/>
  <c r="DU42" i="7"/>
  <c r="DV42" i="7"/>
  <c r="DY42" i="7"/>
  <c r="DZ42" i="7"/>
  <c r="EA42" i="7"/>
  <c r="EB42" i="7"/>
  <c r="A41" i="7"/>
  <c r="B41" i="7"/>
  <c r="C41" i="7"/>
  <c r="D41" i="7"/>
  <c r="E41" i="7"/>
  <c r="F41" i="7"/>
  <c r="G41" i="7"/>
  <c r="H41" i="7"/>
  <c r="I41" i="7"/>
  <c r="J41" i="7"/>
  <c r="K41" i="7"/>
  <c r="L41" i="7"/>
  <c r="M41" i="7"/>
  <c r="N41" i="7"/>
  <c r="O41" i="7"/>
  <c r="P41" i="7"/>
  <c r="Q41" i="7"/>
  <c r="R41" i="7"/>
  <c r="S41" i="7"/>
  <c r="T41" i="7"/>
  <c r="U41" i="7"/>
  <c r="V41" i="7"/>
  <c r="W41" i="7"/>
  <c r="X41" i="7"/>
  <c r="Y41" i="7"/>
  <c r="Z41" i="7"/>
  <c r="AA41" i="7"/>
  <c r="AB41" i="7"/>
  <c r="AC41" i="7"/>
  <c r="AD41" i="7"/>
  <c r="AE41" i="7"/>
  <c r="AF41" i="7"/>
  <c r="AG41" i="7"/>
  <c r="AH41" i="7"/>
  <c r="AI41" i="7"/>
  <c r="AJ41" i="7"/>
  <c r="AK41" i="7"/>
  <c r="AL41" i="7"/>
  <c r="AM41" i="7"/>
  <c r="AN41" i="7"/>
  <c r="AO41" i="7"/>
  <c r="AP41" i="7"/>
  <c r="AQ41" i="7"/>
  <c r="AR41" i="7"/>
  <c r="AS41" i="7"/>
  <c r="AT41" i="7"/>
  <c r="AU41" i="7"/>
  <c r="AV41" i="7"/>
  <c r="AW41" i="7"/>
  <c r="AX41" i="7"/>
  <c r="AY41" i="7"/>
  <c r="AZ41" i="7"/>
  <c r="BA41" i="7"/>
  <c r="BB41" i="7"/>
  <c r="BC41" i="7"/>
  <c r="BD41" i="7"/>
  <c r="BE41" i="7"/>
  <c r="BF41" i="7"/>
  <c r="BG41" i="7"/>
  <c r="BH41" i="7"/>
  <c r="BI41" i="7"/>
  <c r="BJ41" i="7"/>
  <c r="BK41" i="7"/>
  <c r="BL41" i="7"/>
  <c r="BM41" i="7"/>
  <c r="BN41" i="7"/>
  <c r="BO41" i="7"/>
  <c r="BP41" i="7"/>
  <c r="BQ41" i="7"/>
  <c r="BR41" i="7"/>
  <c r="BS41" i="7"/>
  <c r="BT41" i="7"/>
  <c r="BU41" i="7"/>
  <c r="BV41" i="7"/>
  <c r="BW41" i="7"/>
  <c r="BX41" i="7"/>
  <c r="BY41" i="7"/>
  <c r="BZ41" i="7"/>
  <c r="CA41" i="7"/>
  <c r="CB41" i="7"/>
  <c r="CC41" i="7"/>
  <c r="CD41" i="7"/>
  <c r="CE41" i="7"/>
  <c r="CF41" i="7"/>
  <c r="CG41" i="7"/>
  <c r="CH41" i="7"/>
  <c r="CI41" i="7"/>
  <c r="CJ41" i="7"/>
  <c r="CK41" i="7"/>
  <c r="CL41" i="7"/>
  <c r="CM41" i="7"/>
  <c r="CN41" i="7"/>
  <c r="CO41" i="7"/>
  <c r="CP41" i="7"/>
  <c r="CQ41" i="7"/>
  <c r="CR41" i="7"/>
  <c r="CS41" i="7"/>
  <c r="CT41" i="7"/>
  <c r="CU41" i="7"/>
  <c r="CV41" i="7"/>
  <c r="CW41" i="7"/>
  <c r="CX41" i="7"/>
  <c r="CY41" i="7"/>
  <c r="CZ41" i="7"/>
  <c r="DA41" i="7"/>
  <c r="DB41" i="7"/>
  <c r="DC41" i="7"/>
  <c r="DD41" i="7"/>
  <c r="DE41" i="7"/>
  <c r="DF41" i="7"/>
  <c r="DG41" i="7"/>
  <c r="DH41" i="7"/>
  <c r="DI41" i="7"/>
  <c r="DJ41" i="7"/>
  <c r="DK41" i="7"/>
  <c r="DL41" i="7"/>
  <c r="DM41" i="7"/>
  <c r="DN41" i="7"/>
  <c r="DO41" i="7"/>
  <c r="DP41" i="7"/>
  <c r="DQ41" i="7"/>
  <c r="DR41" i="7"/>
  <c r="DS41" i="7"/>
  <c r="DT41" i="7"/>
  <c r="DU41" i="7"/>
  <c r="DV41" i="7"/>
  <c r="DW41" i="7"/>
  <c r="DX41" i="7"/>
  <c r="DY41" i="7"/>
  <c r="DZ41" i="7"/>
  <c r="EA41" i="7"/>
  <c r="EB41" i="7"/>
  <c r="EC41" i="7"/>
  <c r="ED41" i="7"/>
  <c r="EE41" i="7"/>
  <c r="EF41" i="7"/>
  <c r="EG41" i="7"/>
  <c r="EH41" i="7"/>
  <c r="EI41" i="7"/>
  <c r="EJ41" i="7"/>
  <c r="EK41" i="7"/>
  <c r="EL41" i="7"/>
  <c r="EM41" i="7"/>
  <c r="EN41" i="7"/>
  <c r="EO41" i="7"/>
  <c r="EP41" i="7"/>
  <c r="EQ41" i="7"/>
  <c r="ER41" i="7"/>
  <c r="ES41" i="7"/>
  <c r="ET41" i="7"/>
  <c r="EU41" i="7"/>
  <c r="EV41" i="7"/>
  <c r="EW41" i="7"/>
  <c r="EX41" i="7"/>
  <c r="EY41" i="7"/>
  <c r="EZ41" i="7"/>
  <c r="FA41" i="7"/>
  <c r="FB41" i="7"/>
  <c r="FC41" i="7"/>
  <c r="FD41" i="7"/>
  <c r="FE41" i="7"/>
  <c r="FF41" i="7"/>
  <c r="FG41" i="7"/>
  <c r="FH41" i="7"/>
  <c r="FI41" i="7"/>
  <c r="FJ41" i="7"/>
  <c r="FK41" i="7"/>
  <c r="FL41" i="7"/>
  <c r="FM41" i="7"/>
  <c r="FN41" i="7"/>
  <c r="FO41" i="7"/>
  <c r="FP41" i="7"/>
  <c r="FQ41" i="7"/>
  <c r="FR41" i="7"/>
  <c r="FS41" i="7"/>
  <c r="FT41" i="7"/>
  <c r="FU41" i="7"/>
  <c r="FV41" i="7"/>
  <c r="FW41" i="7"/>
  <c r="FX41" i="7"/>
  <c r="FY41" i="7"/>
  <c r="FZ41" i="7"/>
  <c r="GA41" i="7"/>
  <c r="GB41" i="7"/>
  <c r="GC41" i="7"/>
  <c r="GD41" i="7"/>
  <c r="GE41" i="7"/>
  <c r="GF41" i="7"/>
  <c r="GG41" i="7"/>
  <c r="GH41" i="7"/>
  <c r="GI41" i="7"/>
  <c r="GJ41" i="7"/>
  <c r="GK41" i="7"/>
  <c r="GL41" i="7"/>
  <c r="GM41" i="7"/>
  <c r="GN41" i="7"/>
  <c r="GO41" i="7"/>
  <c r="GP41" i="7"/>
  <c r="GQ41" i="7"/>
  <c r="GT41" i="7"/>
  <c r="GV41" i="7"/>
  <c r="GW41" i="7"/>
  <c r="GX41" i="7"/>
  <c r="GY41" i="7"/>
  <c r="GZ41" i="7"/>
  <c r="HA41" i="7"/>
  <c r="HB41" i="7"/>
  <c r="HC41" i="7"/>
  <c r="HD41" i="7"/>
  <c r="HE41" i="7"/>
  <c r="HF41" i="7"/>
  <c r="HG41" i="7"/>
  <c r="HH41" i="7"/>
  <c r="HI41" i="7"/>
  <c r="HJ41" i="7"/>
  <c r="HK41" i="7"/>
  <c r="HL41" i="7"/>
  <c r="HM41" i="7"/>
  <c r="HN41" i="7"/>
  <c r="HO41" i="7"/>
  <c r="HP41" i="7"/>
  <c r="HQ41" i="7"/>
  <c r="HR41" i="7"/>
  <c r="HS41" i="7"/>
  <c r="HT41" i="7"/>
  <c r="HU41" i="7"/>
  <c r="HV41" i="7"/>
  <c r="HW41" i="7"/>
  <c r="HX41" i="7"/>
  <c r="HY41" i="7"/>
  <c r="HZ41" i="7"/>
  <c r="IA41" i="7"/>
  <c r="IB41" i="7"/>
  <c r="IC41" i="7"/>
  <c r="ID41" i="7"/>
  <c r="IE41" i="7"/>
  <c r="IF41" i="7"/>
  <c r="IG41" i="7"/>
  <c r="IH41" i="7"/>
  <c r="II41" i="7"/>
  <c r="IJ41" i="7"/>
  <c r="IK41" i="7"/>
  <c r="IL41" i="7"/>
  <c r="IM41" i="7"/>
  <c r="IN41" i="7"/>
  <c r="IO41" i="7"/>
  <c r="IP41" i="7"/>
  <c r="IQ41" i="7"/>
  <c r="IR41" i="7"/>
  <c r="IS41" i="7"/>
  <c r="IT41" i="7"/>
  <c r="IU41" i="7"/>
  <c r="IV41" i="7"/>
  <c r="A40"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BE40" i="7"/>
  <c r="BF40" i="7"/>
  <c r="BG40" i="7"/>
  <c r="BH40" i="7"/>
  <c r="BI40" i="7"/>
  <c r="BJ40" i="7"/>
  <c r="BK40" i="7"/>
  <c r="BL40" i="7"/>
  <c r="BM40" i="7"/>
  <c r="BN40" i="7"/>
  <c r="BO40" i="7"/>
  <c r="BP40" i="7"/>
  <c r="BQ40" i="7"/>
  <c r="BR40" i="7"/>
  <c r="BS40" i="7"/>
  <c r="BT40" i="7"/>
  <c r="BU40" i="7"/>
  <c r="BV40" i="7"/>
  <c r="BW40" i="7"/>
  <c r="BX40" i="7"/>
  <c r="BY40" i="7"/>
  <c r="BZ40" i="7"/>
  <c r="CA40" i="7"/>
  <c r="CB40" i="7"/>
  <c r="CC40" i="7"/>
  <c r="CD40" i="7"/>
  <c r="CE40" i="7"/>
  <c r="CF40" i="7"/>
  <c r="CG40" i="7"/>
  <c r="CH40" i="7"/>
  <c r="CI40" i="7"/>
  <c r="CJ40" i="7"/>
  <c r="CK40" i="7"/>
  <c r="CL40" i="7"/>
  <c r="CM40" i="7"/>
  <c r="CN40" i="7"/>
  <c r="CO40" i="7"/>
  <c r="CP40" i="7"/>
  <c r="CQ40" i="7"/>
  <c r="CR40" i="7"/>
  <c r="CS40" i="7"/>
  <c r="CT40" i="7"/>
  <c r="CU40" i="7"/>
  <c r="CV40" i="7"/>
  <c r="CW40" i="7"/>
  <c r="CX40" i="7"/>
  <c r="CY40" i="7"/>
  <c r="CZ40" i="7"/>
  <c r="DA40" i="7"/>
  <c r="DB40" i="7"/>
  <c r="DC40" i="7"/>
  <c r="DD40" i="7"/>
  <c r="DE40" i="7"/>
  <c r="DF40" i="7"/>
  <c r="DG40" i="7"/>
  <c r="DH40" i="7"/>
  <c r="DI40" i="7"/>
  <c r="DJ40" i="7"/>
  <c r="DK40" i="7"/>
  <c r="DL40" i="7"/>
  <c r="DM40" i="7"/>
  <c r="DN40" i="7"/>
  <c r="DO40" i="7"/>
  <c r="DP40" i="7"/>
  <c r="DQ40" i="7"/>
  <c r="DR40" i="7"/>
  <c r="DS40" i="7"/>
  <c r="DT40" i="7"/>
  <c r="DU40" i="7"/>
  <c r="DV40" i="7"/>
  <c r="DW40" i="7"/>
  <c r="DX40" i="7"/>
  <c r="DY40" i="7"/>
  <c r="DZ40" i="7"/>
  <c r="EA40" i="7"/>
  <c r="EB40" i="7"/>
  <c r="EC40" i="7"/>
  <c r="ED40" i="7"/>
  <c r="EE40" i="7"/>
  <c r="EF40" i="7"/>
  <c r="EG40" i="7"/>
  <c r="EH40" i="7"/>
  <c r="EI40" i="7"/>
  <c r="EJ40" i="7"/>
  <c r="EK40" i="7"/>
  <c r="EL40" i="7"/>
  <c r="EM40" i="7"/>
  <c r="EN40" i="7"/>
  <c r="EO40" i="7"/>
  <c r="EP40" i="7"/>
  <c r="EQ40" i="7"/>
  <c r="ER40" i="7"/>
  <c r="ES40" i="7"/>
  <c r="ET40" i="7"/>
  <c r="EU40" i="7"/>
  <c r="EV40" i="7"/>
  <c r="EW40" i="7"/>
  <c r="EX40" i="7"/>
  <c r="EY40" i="7"/>
  <c r="EZ40" i="7"/>
  <c r="FA40" i="7"/>
  <c r="FB40" i="7"/>
  <c r="FC40" i="7"/>
  <c r="FD40" i="7"/>
  <c r="FE40" i="7"/>
  <c r="FF40" i="7"/>
  <c r="FG40" i="7"/>
  <c r="FH40" i="7"/>
  <c r="FI40" i="7"/>
  <c r="FJ40" i="7"/>
  <c r="FK40" i="7"/>
  <c r="FL40" i="7"/>
  <c r="FM40" i="7"/>
  <c r="FN40" i="7"/>
  <c r="FO40" i="7"/>
  <c r="FP40" i="7"/>
  <c r="FQ40" i="7"/>
  <c r="FR40" i="7"/>
  <c r="FS40" i="7"/>
  <c r="FT40" i="7"/>
  <c r="FU40" i="7"/>
  <c r="FV40" i="7"/>
  <c r="FW40" i="7"/>
  <c r="FX40" i="7"/>
  <c r="FY40" i="7"/>
  <c r="FZ40" i="7"/>
  <c r="GA40" i="7"/>
  <c r="GB40" i="7"/>
  <c r="GC40" i="7"/>
  <c r="GD40" i="7"/>
  <c r="GE40" i="7"/>
  <c r="GF40" i="7"/>
  <c r="GG40" i="7"/>
  <c r="GH40" i="7"/>
  <c r="GI40" i="7"/>
  <c r="GJ40" i="7"/>
  <c r="GK40" i="7"/>
  <c r="GL40" i="7"/>
  <c r="GM40" i="7"/>
  <c r="GN40" i="7"/>
  <c r="GO40" i="7"/>
  <c r="GP40" i="7"/>
  <c r="GQ40" i="7"/>
  <c r="GR40" i="7"/>
  <c r="GS40" i="7"/>
  <c r="GT40" i="7"/>
  <c r="GU40" i="7"/>
  <c r="GV40" i="7"/>
  <c r="GW40" i="7"/>
  <c r="GX40" i="7"/>
  <c r="GY40" i="7"/>
  <c r="GZ40" i="7"/>
  <c r="HA40" i="7"/>
  <c r="HB40" i="7"/>
  <c r="HC40" i="7"/>
  <c r="HD40" i="7"/>
  <c r="HE40" i="7"/>
  <c r="HF40" i="7"/>
  <c r="HG40" i="7"/>
  <c r="HH40" i="7"/>
  <c r="HI40" i="7"/>
  <c r="HJ40" i="7"/>
  <c r="HK40" i="7"/>
  <c r="HL40" i="7"/>
  <c r="HM40" i="7"/>
  <c r="HN40" i="7"/>
  <c r="HO40" i="7"/>
  <c r="HP40" i="7"/>
  <c r="HQ40" i="7"/>
  <c r="HR40" i="7"/>
  <c r="HS40" i="7"/>
  <c r="HT40" i="7"/>
  <c r="HU40" i="7"/>
  <c r="HV40" i="7"/>
  <c r="HW40" i="7"/>
  <c r="HX40" i="7"/>
  <c r="HY40" i="7"/>
  <c r="HZ40" i="7"/>
  <c r="IA40" i="7"/>
  <c r="IB40" i="7"/>
  <c r="IC40" i="7"/>
  <c r="ID40" i="7"/>
  <c r="IE40" i="7"/>
  <c r="IF40" i="7"/>
  <c r="IG40" i="7"/>
  <c r="IH40" i="7"/>
  <c r="II40" i="7"/>
  <c r="IJ40" i="7"/>
  <c r="IK40" i="7"/>
  <c r="IL40" i="7"/>
  <c r="IM40" i="7"/>
  <c r="IN40" i="7"/>
  <c r="IO40" i="7"/>
  <c r="IP40" i="7"/>
  <c r="IQ40" i="7"/>
  <c r="IR40" i="7"/>
  <c r="IS40" i="7"/>
  <c r="IT40" i="7"/>
  <c r="IU40" i="7"/>
  <c r="IV40" i="7"/>
  <c r="A39"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E39" i="7"/>
  <c r="BF39" i="7"/>
  <c r="BG39" i="7"/>
  <c r="BH39" i="7"/>
  <c r="BI39" i="7"/>
  <c r="BJ39" i="7"/>
  <c r="BK39" i="7"/>
  <c r="BL39" i="7"/>
  <c r="BM39" i="7"/>
  <c r="BN39" i="7"/>
  <c r="BO39" i="7"/>
  <c r="BP39" i="7"/>
  <c r="BQ39" i="7"/>
  <c r="BR39" i="7"/>
  <c r="BS39" i="7"/>
  <c r="BT39" i="7"/>
  <c r="BU39" i="7"/>
  <c r="BV39" i="7"/>
  <c r="BW39" i="7"/>
  <c r="BX39" i="7"/>
  <c r="BY39" i="7"/>
  <c r="BZ39" i="7"/>
  <c r="CA39" i="7"/>
  <c r="CB39" i="7"/>
  <c r="CC39" i="7"/>
  <c r="CD39" i="7"/>
  <c r="CE39" i="7"/>
  <c r="CF39" i="7"/>
  <c r="CG39" i="7"/>
  <c r="CH39" i="7"/>
  <c r="CI39" i="7"/>
  <c r="CJ39" i="7"/>
  <c r="CK39" i="7"/>
  <c r="CL39" i="7"/>
  <c r="CM39" i="7"/>
  <c r="CN39" i="7"/>
  <c r="CO39" i="7"/>
  <c r="CP39" i="7"/>
  <c r="CQ39" i="7"/>
  <c r="CR39" i="7"/>
  <c r="CS39" i="7"/>
  <c r="CT39" i="7"/>
  <c r="CU39" i="7"/>
  <c r="CV39" i="7"/>
  <c r="CW39" i="7"/>
  <c r="CX39" i="7"/>
  <c r="CY39" i="7"/>
  <c r="CZ39" i="7"/>
  <c r="DA39" i="7"/>
  <c r="DB39" i="7"/>
  <c r="DC39" i="7"/>
  <c r="DD39" i="7"/>
  <c r="DE39" i="7"/>
  <c r="DF39" i="7"/>
  <c r="DG39" i="7"/>
  <c r="DH39" i="7"/>
  <c r="DI39" i="7"/>
  <c r="DJ39" i="7"/>
  <c r="DK39" i="7"/>
  <c r="DL39" i="7"/>
  <c r="DM39" i="7"/>
  <c r="DN39" i="7"/>
  <c r="DO39" i="7"/>
  <c r="DP39" i="7"/>
  <c r="DQ39" i="7"/>
  <c r="DR39" i="7"/>
  <c r="DS39" i="7"/>
  <c r="DT39" i="7"/>
  <c r="DU39" i="7"/>
  <c r="DV39" i="7"/>
  <c r="DW39" i="7"/>
  <c r="DX39" i="7"/>
  <c r="DY39" i="7"/>
  <c r="DZ39" i="7"/>
  <c r="EA39" i="7"/>
  <c r="EB39" i="7"/>
  <c r="EC39" i="7"/>
  <c r="ED39" i="7"/>
  <c r="EE39" i="7"/>
  <c r="EF39" i="7"/>
  <c r="EG39" i="7"/>
  <c r="EH39" i="7"/>
  <c r="EI39" i="7"/>
  <c r="EJ39" i="7"/>
  <c r="EK39" i="7"/>
  <c r="EL39" i="7"/>
  <c r="EM39" i="7"/>
  <c r="EN39" i="7"/>
  <c r="EO39" i="7"/>
  <c r="EP39" i="7"/>
  <c r="EQ39" i="7"/>
  <c r="ER39" i="7"/>
  <c r="ES39" i="7"/>
  <c r="ET39" i="7"/>
  <c r="EU39" i="7"/>
  <c r="EV39" i="7"/>
  <c r="EW39" i="7"/>
  <c r="EX39" i="7"/>
  <c r="EY39" i="7"/>
  <c r="EZ39" i="7"/>
  <c r="FA39" i="7"/>
  <c r="FB39" i="7"/>
  <c r="FC39" i="7"/>
  <c r="FD39" i="7"/>
  <c r="FE39" i="7"/>
  <c r="FF39" i="7"/>
  <c r="FG39" i="7"/>
  <c r="FH39" i="7"/>
  <c r="FI39" i="7"/>
  <c r="FJ39" i="7"/>
  <c r="FK39" i="7"/>
  <c r="FL39" i="7"/>
  <c r="FM39" i="7"/>
  <c r="FN39" i="7"/>
  <c r="FO39" i="7"/>
  <c r="FP39" i="7"/>
  <c r="FQ39" i="7"/>
  <c r="FR39" i="7"/>
  <c r="FS39" i="7"/>
  <c r="FT39" i="7"/>
  <c r="FU39" i="7"/>
  <c r="FV39" i="7"/>
  <c r="FW39" i="7"/>
  <c r="FX39" i="7"/>
  <c r="FY39" i="7"/>
  <c r="FZ39" i="7"/>
  <c r="GA39" i="7"/>
  <c r="GB39" i="7"/>
  <c r="GC39" i="7"/>
  <c r="GD39" i="7"/>
  <c r="GE39" i="7"/>
  <c r="GF39" i="7"/>
  <c r="GG39" i="7"/>
  <c r="GH39" i="7"/>
  <c r="GI39" i="7"/>
  <c r="GJ39" i="7"/>
  <c r="GK39" i="7"/>
  <c r="GL39" i="7"/>
  <c r="GM39" i="7"/>
  <c r="GN39" i="7"/>
  <c r="GO39" i="7"/>
  <c r="GP39" i="7"/>
  <c r="GQ39" i="7"/>
  <c r="GR39" i="7"/>
  <c r="GS39" i="7"/>
  <c r="GT39" i="7"/>
  <c r="GU39" i="7"/>
  <c r="GV39" i="7"/>
  <c r="GW39" i="7"/>
  <c r="GX39" i="7"/>
  <c r="GY39" i="7"/>
  <c r="GZ39" i="7"/>
  <c r="HA39" i="7"/>
  <c r="HB39" i="7"/>
  <c r="HC39" i="7"/>
  <c r="HD39" i="7"/>
  <c r="HE39" i="7"/>
  <c r="HF39" i="7"/>
  <c r="HG39" i="7"/>
  <c r="HH39" i="7"/>
  <c r="HI39" i="7"/>
  <c r="HJ39" i="7"/>
  <c r="HK39" i="7"/>
  <c r="HL39" i="7"/>
  <c r="HM39" i="7"/>
  <c r="HN39" i="7"/>
  <c r="HO39" i="7"/>
  <c r="HP39" i="7"/>
  <c r="HQ39" i="7"/>
  <c r="HR39" i="7"/>
  <c r="HS39" i="7"/>
  <c r="HT39" i="7"/>
  <c r="HU39" i="7"/>
  <c r="HV39" i="7"/>
  <c r="HW39" i="7"/>
  <c r="HX39" i="7"/>
  <c r="HY39" i="7"/>
  <c r="HZ39" i="7"/>
  <c r="IA39" i="7"/>
  <c r="IB39" i="7"/>
  <c r="IC39" i="7"/>
  <c r="ID39" i="7"/>
  <c r="IE39" i="7"/>
  <c r="IF39" i="7"/>
  <c r="IG39" i="7"/>
  <c r="IH39" i="7"/>
  <c r="II39" i="7"/>
  <c r="IJ39" i="7"/>
  <c r="IK39" i="7"/>
  <c r="IL39" i="7"/>
  <c r="IM39" i="7"/>
  <c r="IN39" i="7"/>
  <c r="IO39" i="7"/>
  <c r="IP39" i="7"/>
  <c r="IQ39" i="7"/>
  <c r="IR39" i="7"/>
  <c r="IS39" i="7"/>
  <c r="IT39" i="7"/>
  <c r="IU39" i="7"/>
  <c r="IV39" i="7"/>
  <c r="A38" i="7"/>
  <c r="B38" i="7"/>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E38" i="7"/>
  <c r="BF38" i="7"/>
  <c r="BG38" i="7"/>
  <c r="BH38" i="7"/>
  <c r="BI38" i="7"/>
  <c r="BJ38" i="7"/>
  <c r="BK38" i="7"/>
  <c r="BL38" i="7"/>
  <c r="BM38" i="7"/>
  <c r="BN38" i="7"/>
  <c r="BO38" i="7"/>
  <c r="BP38" i="7"/>
  <c r="BQ38" i="7"/>
  <c r="BR38" i="7"/>
  <c r="BS38" i="7"/>
  <c r="BT38" i="7"/>
  <c r="BU38" i="7"/>
  <c r="BV38" i="7"/>
  <c r="BW38" i="7"/>
  <c r="BX38" i="7"/>
  <c r="BY38" i="7"/>
  <c r="BZ38" i="7"/>
  <c r="CA38" i="7"/>
  <c r="CB38" i="7"/>
  <c r="CC38" i="7"/>
  <c r="CD38" i="7"/>
  <c r="CE38" i="7"/>
  <c r="CF38" i="7"/>
  <c r="CG38" i="7"/>
  <c r="CH38" i="7"/>
  <c r="CI38" i="7"/>
  <c r="CJ38" i="7"/>
  <c r="CK38" i="7"/>
  <c r="CL38" i="7"/>
  <c r="CM38" i="7"/>
  <c r="CN38" i="7"/>
  <c r="CO38" i="7"/>
  <c r="CP38" i="7"/>
  <c r="CQ38" i="7"/>
  <c r="CR38" i="7"/>
  <c r="CS38" i="7"/>
  <c r="CT38" i="7"/>
  <c r="CU38" i="7"/>
  <c r="CV38" i="7"/>
  <c r="CW38" i="7"/>
  <c r="CX38" i="7"/>
  <c r="CY38" i="7"/>
  <c r="CZ38" i="7"/>
  <c r="DA38" i="7"/>
  <c r="DB38" i="7"/>
  <c r="DC38" i="7"/>
  <c r="DD38" i="7"/>
  <c r="DE38" i="7"/>
  <c r="DF38" i="7"/>
  <c r="DG38" i="7"/>
  <c r="DH38" i="7"/>
  <c r="DI38" i="7"/>
  <c r="DJ38" i="7"/>
  <c r="DK38" i="7"/>
  <c r="DL38" i="7"/>
  <c r="DM38" i="7"/>
  <c r="DN38" i="7"/>
  <c r="DO38" i="7"/>
  <c r="DP38" i="7"/>
  <c r="DQ38" i="7"/>
  <c r="DR38" i="7"/>
  <c r="DS38" i="7"/>
  <c r="DT38" i="7"/>
  <c r="DU38" i="7"/>
  <c r="DV38" i="7"/>
  <c r="DW38" i="7"/>
  <c r="DX38" i="7"/>
  <c r="DY38" i="7"/>
  <c r="DZ38" i="7"/>
  <c r="EA38" i="7"/>
  <c r="EB38" i="7"/>
  <c r="EC38" i="7"/>
  <c r="ED38" i="7"/>
  <c r="EE38" i="7"/>
  <c r="EF38" i="7"/>
  <c r="EG38" i="7"/>
  <c r="EH38" i="7"/>
  <c r="EI38" i="7"/>
  <c r="EJ38" i="7"/>
  <c r="EK38" i="7"/>
  <c r="EL38" i="7"/>
  <c r="EM38" i="7"/>
  <c r="EN38" i="7"/>
  <c r="EO38" i="7"/>
  <c r="EP38" i="7"/>
  <c r="EQ38" i="7"/>
  <c r="ER38" i="7"/>
  <c r="ES38" i="7"/>
  <c r="ET38" i="7"/>
  <c r="EU38" i="7"/>
  <c r="EV38" i="7"/>
  <c r="EW38" i="7"/>
  <c r="EX38" i="7"/>
  <c r="EY38" i="7"/>
  <c r="EZ38" i="7"/>
  <c r="FA38" i="7"/>
  <c r="FB38" i="7"/>
  <c r="FC38" i="7"/>
  <c r="FD38" i="7"/>
  <c r="FE38" i="7"/>
  <c r="FF38" i="7"/>
  <c r="FG38" i="7"/>
  <c r="FH38" i="7"/>
  <c r="FI38" i="7"/>
  <c r="FJ38" i="7"/>
  <c r="FK38" i="7"/>
  <c r="FL38" i="7"/>
  <c r="FM38" i="7"/>
  <c r="FN38" i="7"/>
  <c r="FO38" i="7"/>
  <c r="FP38" i="7"/>
  <c r="FQ38" i="7"/>
  <c r="FR38" i="7"/>
  <c r="FS38" i="7"/>
  <c r="FT38" i="7"/>
  <c r="FU38" i="7"/>
  <c r="FV38" i="7"/>
  <c r="FW38" i="7"/>
  <c r="FX38" i="7"/>
  <c r="FY38" i="7"/>
  <c r="FZ38" i="7"/>
  <c r="GA38" i="7"/>
  <c r="GB38" i="7"/>
  <c r="GC38" i="7"/>
  <c r="GD38" i="7"/>
  <c r="GE38" i="7"/>
  <c r="GF38" i="7"/>
  <c r="GG38" i="7"/>
  <c r="GH38" i="7"/>
  <c r="GI38" i="7"/>
  <c r="GJ38" i="7"/>
  <c r="GK38" i="7"/>
  <c r="GL38" i="7"/>
  <c r="GM38" i="7"/>
  <c r="GN38" i="7"/>
  <c r="GO38" i="7"/>
  <c r="GP38" i="7"/>
  <c r="GQ38" i="7"/>
  <c r="GR38" i="7"/>
  <c r="GS38" i="7"/>
  <c r="GT38" i="7"/>
  <c r="GU38" i="7"/>
  <c r="GV38" i="7"/>
  <c r="GW38" i="7"/>
  <c r="GX38" i="7"/>
  <c r="GY38" i="7"/>
  <c r="GZ38" i="7"/>
  <c r="HA38" i="7"/>
  <c r="HB38" i="7"/>
  <c r="HC38" i="7"/>
  <c r="HD38" i="7"/>
  <c r="HE38" i="7"/>
  <c r="HF38" i="7"/>
  <c r="HG38" i="7"/>
  <c r="HH38" i="7"/>
  <c r="HI38" i="7"/>
  <c r="HJ38" i="7"/>
  <c r="HK38" i="7"/>
  <c r="HL38" i="7"/>
  <c r="HM38" i="7"/>
  <c r="HN38" i="7"/>
  <c r="HO38" i="7"/>
  <c r="HP38" i="7"/>
  <c r="HQ38" i="7"/>
  <c r="HR38" i="7"/>
  <c r="HS38" i="7"/>
  <c r="HT38" i="7"/>
  <c r="HU38" i="7"/>
  <c r="HV38" i="7"/>
  <c r="HW38" i="7"/>
  <c r="HX38" i="7"/>
  <c r="HY38" i="7"/>
  <c r="HZ38" i="7"/>
  <c r="IA38" i="7"/>
  <c r="IB38" i="7"/>
  <c r="IC38" i="7"/>
  <c r="ID38" i="7"/>
  <c r="IE38" i="7"/>
  <c r="IF38" i="7"/>
  <c r="IG38" i="7"/>
  <c r="IH38" i="7"/>
  <c r="II38" i="7"/>
  <c r="IJ38" i="7"/>
  <c r="IK38" i="7"/>
  <c r="IL38" i="7"/>
  <c r="IM38" i="7"/>
  <c r="IN38" i="7"/>
  <c r="IO38" i="7"/>
  <c r="IP38" i="7"/>
  <c r="IQ38" i="7"/>
  <c r="IR38" i="7"/>
  <c r="IS38" i="7"/>
  <c r="IT38" i="7"/>
  <c r="IU38" i="7"/>
  <c r="IV38" i="7"/>
  <c r="A37" i="7"/>
  <c r="B37" i="7"/>
  <c r="C37"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B37" i="7"/>
  <c r="CC37" i="7"/>
  <c r="CD37" i="7"/>
  <c r="CE37" i="7"/>
  <c r="CF37" i="7"/>
  <c r="CG37" i="7"/>
  <c r="CH37" i="7"/>
  <c r="CI37" i="7"/>
  <c r="CJ37" i="7"/>
  <c r="CK37" i="7"/>
  <c r="CL37" i="7"/>
  <c r="CM37" i="7"/>
  <c r="CN37" i="7"/>
  <c r="CO37" i="7"/>
  <c r="CP37" i="7"/>
  <c r="CQ37" i="7"/>
  <c r="CR37" i="7"/>
  <c r="CS37" i="7"/>
  <c r="CT37" i="7"/>
  <c r="CU37" i="7"/>
  <c r="CV37" i="7"/>
  <c r="CW37" i="7"/>
  <c r="CX37" i="7"/>
  <c r="CY37" i="7"/>
  <c r="CZ37" i="7"/>
  <c r="DA37" i="7"/>
  <c r="DB37" i="7"/>
  <c r="DC37" i="7"/>
  <c r="DD37" i="7"/>
  <c r="DE37" i="7"/>
  <c r="DF37" i="7"/>
  <c r="DG37" i="7"/>
  <c r="DH37" i="7"/>
  <c r="DI37" i="7"/>
  <c r="DJ37" i="7"/>
  <c r="DK37" i="7"/>
  <c r="DL37" i="7"/>
  <c r="DM37" i="7"/>
  <c r="DN37" i="7"/>
  <c r="DO37" i="7"/>
  <c r="DP37" i="7"/>
  <c r="DQ37" i="7"/>
  <c r="DR37" i="7"/>
  <c r="DS37" i="7"/>
  <c r="DT37" i="7"/>
  <c r="DU37" i="7"/>
  <c r="DV37" i="7"/>
  <c r="DW37" i="7"/>
  <c r="DX37" i="7"/>
  <c r="DY37" i="7"/>
  <c r="DZ37" i="7"/>
  <c r="EA37" i="7"/>
  <c r="EB37" i="7"/>
  <c r="EC37" i="7"/>
  <c r="ED37" i="7"/>
  <c r="EE37" i="7"/>
  <c r="EF37" i="7"/>
  <c r="EG37" i="7"/>
  <c r="EH37" i="7"/>
  <c r="EI37" i="7"/>
  <c r="EJ37" i="7"/>
  <c r="EK37" i="7"/>
  <c r="EL37" i="7"/>
  <c r="EM37" i="7"/>
  <c r="EN37" i="7"/>
  <c r="EO37" i="7"/>
  <c r="EP37" i="7"/>
  <c r="EQ37" i="7"/>
  <c r="ER37" i="7"/>
  <c r="ES37" i="7"/>
  <c r="ET37" i="7"/>
  <c r="EU37" i="7"/>
  <c r="EV37" i="7"/>
  <c r="EW37" i="7"/>
  <c r="EX37" i="7"/>
  <c r="EY37" i="7"/>
  <c r="EZ37" i="7"/>
  <c r="FA37" i="7"/>
  <c r="FB37" i="7"/>
  <c r="FC37" i="7"/>
  <c r="FD37" i="7"/>
  <c r="FE37" i="7"/>
  <c r="FF37" i="7"/>
  <c r="FG37" i="7"/>
  <c r="FH37" i="7"/>
  <c r="FI37" i="7"/>
  <c r="FJ37" i="7"/>
  <c r="FK37" i="7"/>
  <c r="FL37" i="7"/>
  <c r="FM37" i="7"/>
  <c r="FN37" i="7"/>
  <c r="FO37" i="7"/>
  <c r="FP37" i="7"/>
  <c r="FQ37" i="7"/>
  <c r="FR37" i="7"/>
  <c r="FS37" i="7"/>
  <c r="FT37" i="7"/>
  <c r="FU37" i="7"/>
  <c r="FV37" i="7"/>
  <c r="FW37" i="7"/>
  <c r="FX37" i="7"/>
  <c r="FY37" i="7"/>
  <c r="FZ37" i="7"/>
  <c r="GA37" i="7"/>
  <c r="GB37" i="7"/>
  <c r="GC37" i="7"/>
  <c r="GD37" i="7"/>
  <c r="GE37" i="7"/>
  <c r="GF37" i="7"/>
  <c r="GG37" i="7"/>
  <c r="GH37" i="7"/>
  <c r="GI37" i="7"/>
  <c r="GJ37" i="7"/>
  <c r="GK37" i="7"/>
  <c r="GL37" i="7"/>
  <c r="GM37" i="7"/>
  <c r="GN37" i="7"/>
  <c r="GO37" i="7"/>
  <c r="GP37" i="7"/>
  <c r="GQ37" i="7"/>
  <c r="GR37" i="7"/>
  <c r="GS37" i="7"/>
  <c r="GT37" i="7"/>
  <c r="GU37" i="7"/>
  <c r="GV37" i="7"/>
  <c r="GW37" i="7"/>
  <c r="GX37" i="7"/>
  <c r="GY37" i="7"/>
  <c r="GZ37" i="7"/>
  <c r="HA37" i="7"/>
  <c r="HB37" i="7"/>
  <c r="HC37" i="7"/>
  <c r="HD37" i="7"/>
  <c r="HE37" i="7"/>
  <c r="HF37" i="7"/>
  <c r="HG37" i="7"/>
  <c r="HH37" i="7"/>
  <c r="HI37" i="7"/>
  <c r="HJ37" i="7"/>
  <c r="HK37" i="7"/>
  <c r="HL37" i="7"/>
  <c r="HM37" i="7"/>
  <c r="HN37" i="7"/>
  <c r="HO37" i="7"/>
  <c r="HP37" i="7"/>
  <c r="HQ37" i="7"/>
  <c r="HR37" i="7"/>
  <c r="HS37" i="7"/>
  <c r="HT37" i="7"/>
  <c r="HU37" i="7"/>
  <c r="HV37" i="7"/>
  <c r="HW37" i="7"/>
  <c r="HX37" i="7"/>
  <c r="HY37" i="7"/>
  <c r="HZ37" i="7"/>
  <c r="IA37" i="7"/>
  <c r="IB37" i="7"/>
  <c r="IC37" i="7"/>
  <c r="ID37" i="7"/>
  <c r="IE37" i="7"/>
  <c r="IF37" i="7"/>
  <c r="IG37" i="7"/>
  <c r="IH37" i="7"/>
  <c r="II37" i="7"/>
  <c r="IJ37" i="7"/>
  <c r="IK37" i="7"/>
  <c r="IL37" i="7"/>
  <c r="IM37" i="7"/>
  <c r="IN37" i="7"/>
  <c r="IO37" i="7"/>
  <c r="IP37" i="7"/>
  <c r="IQ37" i="7"/>
  <c r="IR37" i="7"/>
  <c r="IS37" i="7"/>
  <c r="IT37" i="7"/>
  <c r="IU37" i="7"/>
  <c r="IV37" i="7"/>
  <c r="A36" i="7"/>
  <c r="B36" i="7"/>
  <c r="C36" i="7"/>
  <c r="D36" i="7"/>
  <c r="E36" i="7"/>
  <c r="F36" i="7"/>
  <c r="G36" i="7"/>
  <c r="H36" i="7"/>
  <c r="I36" i="7"/>
  <c r="J36" i="7"/>
  <c r="K36" i="7"/>
  <c r="L36" i="7"/>
  <c r="M36" i="7"/>
  <c r="N36" i="7"/>
  <c r="O36" i="7"/>
  <c r="P36" i="7"/>
  <c r="Q36" i="7"/>
  <c r="R36" i="7"/>
  <c r="S36" i="7"/>
  <c r="T36" i="7"/>
  <c r="U36" i="7"/>
  <c r="V36" i="7"/>
  <c r="W36" i="7"/>
  <c r="X36" i="7"/>
  <c r="Y36" i="7"/>
  <c r="Z36" i="7"/>
  <c r="AA36" i="7"/>
  <c r="AB36" i="7"/>
  <c r="AC36" i="7"/>
  <c r="AD36" i="7"/>
  <c r="AE36" i="7"/>
  <c r="AF36" i="7"/>
  <c r="AG36" i="7"/>
  <c r="AH36" i="7"/>
  <c r="AI36" i="7"/>
  <c r="AJ36" i="7"/>
  <c r="AK36" i="7"/>
  <c r="AL36" i="7"/>
  <c r="AM36" i="7"/>
  <c r="AN36" i="7"/>
  <c r="AO36" i="7"/>
  <c r="AP36" i="7"/>
  <c r="AQ36" i="7"/>
  <c r="AR36" i="7"/>
  <c r="AS36" i="7"/>
  <c r="AT36" i="7"/>
  <c r="AU36" i="7"/>
  <c r="AV36" i="7"/>
  <c r="AW36" i="7"/>
  <c r="AX36" i="7"/>
  <c r="AY36" i="7"/>
  <c r="AZ36" i="7"/>
  <c r="BA36" i="7"/>
  <c r="BB36" i="7"/>
  <c r="BC36" i="7"/>
  <c r="BD36" i="7"/>
  <c r="BE36" i="7"/>
  <c r="BF36" i="7"/>
  <c r="BG36" i="7"/>
  <c r="BH36" i="7"/>
  <c r="BI36" i="7"/>
  <c r="BJ36" i="7"/>
  <c r="BK36" i="7"/>
  <c r="BL36" i="7"/>
  <c r="BM36" i="7"/>
  <c r="BN36" i="7"/>
  <c r="BO36" i="7"/>
  <c r="BP36" i="7"/>
  <c r="BQ36" i="7"/>
  <c r="BR36" i="7"/>
  <c r="BS36" i="7"/>
  <c r="BT36" i="7"/>
  <c r="BU36" i="7"/>
  <c r="BV36" i="7"/>
  <c r="BW36" i="7"/>
  <c r="BX36" i="7"/>
  <c r="BY36" i="7"/>
  <c r="BZ36" i="7"/>
  <c r="CA36" i="7"/>
  <c r="CB36" i="7"/>
  <c r="CC36" i="7"/>
  <c r="CD36" i="7"/>
  <c r="CE36" i="7"/>
  <c r="CF36" i="7"/>
  <c r="CG36" i="7"/>
  <c r="CH36" i="7"/>
  <c r="CI36" i="7"/>
  <c r="CJ36" i="7"/>
  <c r="CK36" i="7"/>
  <c r="CL36" i="7"/>
  <c r="CM36" i="7"/>
  <c r="CN36" i="7"/>
  <c r="CO36" i="7"/>
  <c r="CP36" i="7"/>
  <c r="CQ36" i="7"/>
  <c r="CR36" i="7"/>
  <c r="CS36" i="7"/>
  <c r="CT36" i="7"/>
  <c r="CU36" i="7"/>
  <c r="CV36" i="7"/>
  <c r="CW36" i="7"/>
  <c r="CX36" i="7"/>
  <c r="CY36" i="7"/>
  <c r="CZ36" i="7"/>
  <c r="DA36" i="7"/>
  <c r="DB36" i="7"/>
  <c r="DC36" i="7"/>
  <c r="DD36" i="7"/>
  <c r="DE36" i="7"/>
  <c r="DF36" i="7"/>
  <c r="DG36" i="7"/>
  <c r="DH36" i="7"/>
  <c r="DI36" i="7"/>
  <c r="DJ36" i="7"/>
  <c r="DK36" i="7"/>
  <c r="DL36" i="7"/>
  <c r="DM36" i="7"/>
  <c r="DN36" i="7"/>
  <c r="DO36" i="7"/>
  <c r="DP36" i="7"/>
  <c r="DQ36" i="7"/>
  <c r="DR36" i="7"/>
  <c r="DS36" i="7"/>
  <c r="DT36" i="7"/>
  <c r="DU36" i="7"/>
  <c r="DV36" i="7"/>
  <c r="DW36" i="7"/>
  <c r="DX36" i="7"/>
  <c r="DY36" i="7"/>
  <c r="DZ36" i="7"/>
  <c r="EA36" i="7"/>
  <c r="EB36" i="7"/>
  <c r="EC36" i="7"/>
  <c r="ED36" i="7"/>
  <c r="EE36" i="7"/>
  <c r="EF36" i="7"/>
  <c r="EG36" i="7"/>
  <c r="EH36" i="7"/>
  <c r="EI36" i="7"/>
  <c r="EJ36" i="7"/>
  <c r="EK36" i="7"/>
  <c r="EL36" i="7"/>
  <c r="EM36" i="7"/>
  <c r="EN36" i="7"/>
  <c r="EO36" i="7"/>
  <c r="EP36" i="7"/>
  <c r="EQ36" i="7"/>
  <c r="ER36" i="7"/>
  <c r="ES36" i="7"/>
  <c r="ET36" i="7"/>
  <c r="EU36" i="7"/>
  <c r="EV36" i="7"/>
  <c r="EW36" i="7"/>
  <c r="EX36" i="7"/>
  <c r="EY36" i="7"/>
  <c r="EZ36" i="7"/>
  <c r="FA36" i="7"/>
  <c r="FB36" i="7"/>
  <c r="FC36" i="7"/>
  <c r="FD36" i="7"/>
  <c r="FE36" i="7"/>
  <c r="FF36" i="7"/>
  <c r="FG36" i="7"/>
  <c r="FH36" i="7"/>
  <c r="FI36" i="7"/>
  <c r="FJ36" i="7"/>
  <c r="FK36" i="7"/>
  <c r="FL36" i="7"/>
  <c r="FM36" i="7"/>
  <c r="FN36" i="7"/>
  <c r="FO36" i="7"/>
  <c r="FP36" i="7"/>
  <c r="FQ36" i="7"/>
  <c r="FR36" i="7"/>
  <c r="FS36" i="7"/>
  <c r="FT36" i="7"/>
  <c r="FU36" i="7"/>
  <c r="FV36" i="7"/>
  <c r="FW36" i="7"/>
  <c r="FX36" i="7"/>
  <c r="FY36" i="7"/>
  <c r="FZ36" i="7"/>
  <c r="GA36" i="7"/>
  <c r="GB36" i="7"/>
  <c r="GC36" i="7"/>
  <c r="GD36" i="7"/>
  <c r="GE36" i="7"/>
  <c r="GF36" i="7"/>
  <c r="GG36" i="7"/>
  <c r="GH36" i="7"/>
  <c r="GI36" i="7"/>
  <c r="GJ36" i="7"/>
  <c r="GK36" i="7"/>
  <c r="GL36" i="7"/>
  <c r="GM36" i="7"/>
  <c r="GN36" i="7"/>
  <c r="GO36" i="7"/>
  <c r="GP36" i="7"/>
  <c r="GQ36" i="7"/>
  <c r="GR36" i="7"/>
  <c r="GS36" i="7"/>
  <c r="GT36" i="7"/>
  <c r="GU36" i="7"/>
  <c r="GV36" i="7"/>
  <c r="GW36" i="7"/>
  <c r="GX36" i="7"/>
  <c r="GY36" i="7"/>
  <c r="GZ36" i="7"/>
  <c r="HA36" i="7"/>
  <c r="HB36" i="7"/>
  <c r="HC36" i="7"/>
  <c r="HD36" i="7"/>
  <c r="HE36" i="7"/>
  <c r="HF36" i="7"/>
  <c r="HG36" i="7"/>
  <c r="HH36" i="7"/>
  <c r="HI36" i="7"/>
  <c r="HJ36" i="7"/>
  <c r="HK36" i="7"/>
  <c r="HL36" i="7"/>
  <c r="HM36" i="7"/>
  <c r="HN36" i="7"/>
  <c r="HO36" i="7"/>
  <c r="HP36" i="7"/>
  <c r="HQ36" i="7"/>
  <c r="HR36" i="7"/>
  <c r="HS36" i="7"/>
  <c r="HT36" i="7"/>
  <c r="HU36" i="7"/>
  <c r="HV36" i="7"/>
  <c r="HW36" i="7"/>
  <c r="HX36" i="7"/>
  <c r="HY36" i="7"/>
  <c r="HZ36" i="7"/>
  <c r="IA36" i="7"/>
  <c r="IB36" i="7"/>
  <c r="IC36" i="7"/>
  <c r="ID36" i="7"/>
  <c r="IE36" i="7"/>
  <c r="IF36" i="7"/>
  <c r="IG36" i="7"/>
  <c r="IH36" i="7"/>
  <c r="II36" i="7"/>
  <c r="IJ36" i="7"/>
  <c r="IK36" i="7"/>
  <c r="IL36" i="7"/>
  <c r="IM36" i="7"/>
  <c r="IN36" i="7"/>
  <c r="IO36" i="7"/>
  <c r="IP36" i="7"/>
  <c r="IQ36" i="7"/>
  <c r="IR36" i="7"/>
  <c r="IS36" i="7"/>
  <c r="IT36" i="7"/>
  <c r="IU36" i="7"/>
  <c r="IV36" i="7"/>
  <c r="A35" i="7"/>
  <c r="B35" i="7"/>
  <c r="C35"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AX35" i="7"/>
  <c r="AY35" i="7"/>
  <c r="AZ35" i="7"/>
  <c r="BA35" i="7"/>
  <c r="BB35" i="7"/>
  <c r="BC35" i="7"/>
  <c r="BD35" i="7"/>
  <c r="BE35" i="7"/>
  <c r="BF35" i="7"/>
  <c r="BG35" i="7"/>
  <c r="BH35" i="7"/>
  <c r="BI35" i="7"/>
  <c r="BJ35" i="7"/>
  <c r="BK35" i="7"/>
  <c r="BL35" i="7"/>
  <c r="BM35" i="7"/>
  <c r="BN35" i="7"/>
  <c r="BO35" i="7"/>
  <c r="BP35" i="7"/>
  <c r="BQ35" i="7"/>
  <c r="BR35" i="7"/>
  <c r="BS35" i="7"/>
  <c r="BT35" i="7"/>
  <c r="BU35" i="7"/>
  <c r="BV35" i="7"/>
  <c r="BW35" i="7"/>
  <c r="BX35" i="7"/>
  <c r="BY35" i="7"/>
  <c r="BZ35" i="7"/>
  <c r="CA35" i="7"/>
  <c r="CB35" i="7"/>
  <c r="CC35" i="7"/>
  <c r="CD35" i="7"/>
  <c r="CE35" i="7"/>
  <c r="CF35" i="7"/>
  <c r="CG35" i="7"/>
  <c r="CH35" i="7"/>
  <c r="CI35" i="7"/>
  <c r="CJ35" i="7"/>
  <c r="CK35" i="7"/>
  <c r="CL35" i="7"/>
  <c r="CM35" i="7"/>
  <c r="CN35" i="7"/>
  <c r="CO35" i="7"/>
  <c r="CP35" i="7"/>
  <c r="CQ35" i="7"/>
  <c r="CR35" i="7"/>
  <c r="CS35" i="7"/>
  <c r="CT35" i="7"/>
  <c r="CU35" i="7"/>
  <c r="CV35" i="7"/>
  <c r="CW35" i="7"/>
  <c r="CX35" i="7"/>
  <c r="CY35" i="7"/>
  <c r="CZ35" i="7"/>
  <c r="DA35" i="7"/>
  <c r="DB35" i="7"/>
  <c r="DC35" i="7"/>
  <c r="DD35" i="7"/>
  <c r="DE35" i="7"/>
  <c r="DF35" i="7"/>
  <c r="DG35" i="7"/>
  <c r="DH35" i="7"/>
  <c r="DI35" i="7"/>
  <c r="DJ35" i="7"/>
  <c r="DK35" i="7"/>
  <c r="DL35" i="7"/>
  <c r="DM35" i="7"/>
  <c r="DN35" i="7"/>
  <c r="DO35" i="7"/>
  <c r="DP35" i="7"/>
  <c r="DQ35" i="7"/>
  <c r="DR35" i="7"/>
  <c r="DS35" i="7"/>
  <c r="DT35" i="7"/>
  <c r="DU35" i="7"/>
  <c r="DV35" i="7"/>
  <c r="DW35" i="7"/>
  <c r="DX35" i="7"/>
  <c r="DY35" i="7"/>
  <c r="DZ35" i="7"/>
  <c r="EA35" i="7"/>
  <c r="EB35" i="7"/>
  <c r="EC35" i="7"/>
  <c r="ED35" i="7"/>
  <c r="EE35" i="7"/>
  <c r="EF35" i="7"/>
  <c r="EG35" i="7"/>
  <c r="EH35" i="7"/>
  <c r="EI35" i="7"/>
  <c r="EJ35" i="7"/>
  <c r="EK35" i="7"/>
  <c r="EL35" i="7"/>
  <c r="EM35" i="7"/>
  <c r="EN35" i="7"/>
  <c r="EO35" i="7"/>
  <c r="EP35" i="7"/>
  <c r="EQ35" i="7"/>
  <c r="ER35" i="7"/>
  <c r="ES35" i="7"/>
  <c r="ET35" i="7"/>
  <c r="EU35" i="7"/>
  <c r="EV35" i="7"/>
  <c r="EW35" i="7"/>
  <c r="EX35" i="7"/>
  <c r="EY35" i="7"/>
  <c r="EZ35" i="7"/>
  <c r="FA35" i="7"/>
  <c r="FB35" i="7"/>
  <c r="FC35" i="7"/>
  <c r="FD35" i="7"/>
  <c r="FE35" i="7"/>
  <c r="FF35" i="7"/>
  <c r="FG35" i="7"/>
  <c r="FH35" i="7"/>
  <c r="FI35" i="7"/>
  <c r="FJ35" i="7"/>
  <c r="FK35" i="7"/>
  <c r="FL35" i="7"/>
  <c r="FM35" i="7"/>
  <c r="FN35" i="7"/>
  <c r="FO35" i="7"/>
  <c r="FP35" i="7"/>
  <c r="FQ35" i="7"/>
  <c r="FR35" i="7"/>
  <c r="FS35" i="7"/>
  <c r="FT35" i="7"/>
  <c r="FU35" i="7"/>
  <c r="FV35" i="7"/>
  <c r="FW35" i="7"/>
  <c r="FX35" i="7"/>
  <c r="FY35" i="7"/>
  <c r="FZ35" i="7"/>
  <c r="GA35" i="7"/>
  <c r="GB35" i="7"/>
  <c r="GC35" i="7"/>
  <c r="GD35" i="7"/>
  <c r="GE35" i="7"/>
  <c r="GF35" i="7"/>
  <c r="GG35" i="7"/>
  <c r="GH35" i="7"/>
  <c r="GI35" i="7"/>
  <c r="GJ35" i="7"/>
  <c r="GK35" i="7"/>
  <c r="GL35" i="7"/>
  <c r="GM35" i="7"/>
  <c r="GN35" i="7"/>
  <c r="GO35" i="7"/>
  <c r="GP35" i="7"/>
  <c r="GQ35" i="7"/>
  <c r="GR35" i="7"/>
  <c r="GS35" i="7"/>
  <c r="GT35" i="7"/>
  <c r="GU35" i="7"/>
  <c r="GV35" i="7"/>
  <c r="GW35" i="7"/>
  <c r="GX35" i="7"/>
  <c r="GY35" i="7"/>
  <c r="GZ35" i="7"/>
  <c r="HA35" i="7"/>
  <c r="HB35" i="7"/>
  <c r="HC35" i="7"/>
  <c r="HD35" i="7"/>
  <c r="HE35" i="7"/>
  <c r="HF35" i="7"/>
  <c r="HG35" i="7"/>
  <c r="HH35" i="7"/>
  <c r="HI35" i="7"/>
  <c r="HJ35" i="7"/>
  <c r="HK35" i="7"/>
  <c r="HL35" i="7"/>
  <c r="HM35" i="7"/>
  <c r="HN35" i="7"/>
  <c r="HO35" i="7"/>
  <c r="HP35" i="7"/>
  <c r="HQ35" i="7"/>
  <c r="HR35" i="7"/>
  <c r="HS35" i="7"/>
  <c r="HT35" i="7"/>
  <c r="HU35" i="7"/>
  <c r="HV35" i="7"/>
  <c r="HW35" i="7"/>
  <c r="HX35" i="7"/>
  <c r="HY35" i="7"/>
  <c r="HZ35" i="7"/>
  <c r="IA35" i="7"/>
  <c r="IB35" i="7"/>
  <c r="IC35" i="7"/>
  <c r="ID35" i="7"/>
  <c r="IE35" i="7"/>
  <c r="IF35" i="7"/>
  <c r="IG35" i="7"/>
  <c r="IH35" i="7"/>
  <c r="II35" i="7"/>
  <c r="IJ35" i="7"/>
  <c r="IK35" i="7"/>
  <c r="IL35" i="7"/>
  <c r="IM35" i="7"/>
  <c r="IN35" i="7"/>
  <c r="IO35" i="7"/>
  <c r="IP35" i="7"/>
  <c r="IQ35" i="7"/>
  <c r="IR35" i="7"/>
  <c r="IS35" i="7"/>
  <c r="IT35" i="7"/>
  <c r="IU35" i="7"/>
  <c r="IV35" i="7"/>
  <c r="A34" i="7"/>
  <c r="B34" i="7"/>
  <c r="C34" i="7"/>
  <c r="D34" i="7"/>
  <c r="E34" i="7"/>
  <c r="F34" i="7"/>
  <c r="G34" i="7"/>
  <c r="H34" i="7"/>
  <c r="I34" i="7"/>
  <c r="J34" i="7"/>
  <c r="K34" i="7"/>
  <c r="L34" i="7"/>
  <c r="M34" i="7"/>
  <c r="N34" i="7"/>
  <c r="O34" i="7"/>
  <c r="P34" i="7"/>
  <c r="Q34" i="7"/>
  <c r="R34" i="7"/>
  <c r="S34" i="7"/>
  <c r="T34" i="7"/>
  <c r="U34" i="7"/>
  <c r="V34" i="7"/>
  <c r="W34" i="7"/>
  <c r="X34" i="7"/>
  <c r="Y34" i="7"/>
  <c r="Z34" i="7"/>
  <c r="AA34" i="7"/>
  <c r="AB34" i="7"/>
  <c r="AC34" i="7"/>
  <c r="AD34" i="7"/>
  <c r="AE34" i="7"/>
  <c r="AF34" i="7"/>
  <c r="AG34" i="7"/>
  <c r="AH34" i="7"/>
  <c r="AI34" i="7"/>
  <c r="AJ34" i="7"/>
  <c r="AK34" i="7"/>
  <c r="AL34" i="7"/>
  <c r="AM34" i="7"/>
  <c r="AN34" i="7"/>
  <c r="AO34" i="7"/>
  <c r="AP34" i="7"/>
  <c r="AQ34" i="7"/>
  <c r="AR34" i="7"/>
  <c r="AS34" i="7"/>
  <c r="AT34" i="7"/>
  <c r="AU34" i="7"/>
  <c r="AV34" i="7"/>
  <c r="AW34" i="7"/>
  <c r="AX34" i="7"/>
  <c r="AY34" i="7"/>
  <c r="AZ34" i="7"/>
  <c r="BA34" i="7"/>
  <c r="BB34" i="7"/>
  <c r="BC34" i="7"/>
  <c r="BD34" i="7"/>
  <c r="BE34" i="7"/>
  <c r="BF34" i="7"/>
  <c r="BG34" i="7"/>
  <c r="BH34" i="7"/>
  <c r="BI34" i="7"/>
  <c r="BJ34" i="7"/>
  <c r="BK34" i="7"/>
  <c r="BL34" i="7"/>
  <c r="BM34" i="7"/>
  <c r="BN34" i="7"/>
  <c r="BO34" i="7"/>
  <c r="BP34" i="7"/>
  <c r="BQ34" i="7"/>
  <c r="BR34" i="7"/>
  <c r="BS34" i="7"/>
  <c r="BT34" i="7"/>
  <c r="BU34" i="7"/>
  <c r="BV34" i="7"/>
  <c r="BW34" i="7"/>
  <c r="BX34" i="7"/>
  <c r="BY34" i="7"/>
  <c r="BZ34" i="7"/>
  <c r="CA34" i="7"/>
  <c r="CB34" i="7"/>
  <c r="CC34" i="7"/>
  <c r="CD34" i="7"/>
  <c r="CE34" i="7"/>
  <c r="CF34" i="7"/>
  <c r="CG34" i="7"/>
  <c r="CH34" i="7"/>
  <c r="CI34" i="7"/>
  <c r="CJ34" i="7"/>
  <c r="CK34" i="7"/>
  <c r="CL34" i="7"/>
  <c r="CM34" i="7"/>
  <c r="CN34" i="7"/>
  <c r="CO34" i="7"/>
  <c r="CP34" i="7"/>
  <c r="CQ34" i="7"/>
  <c r="CR34" i="7"/>
  <c r="CS34" i="7"/>
  <c r="CT34" i="7"/>
  <c r="CU34" i="7"/>
  <c r="CV34" i="7"/>
  <c r="CW34" i="7"/>
  <c r="CX34" i="7"/>
  <c r="CY34" i="7"/>
  <c r="CZ34" i="7"/>
  <c r="DA34" i="7"/>
  <c r="DB34" i="7"/>
  <c r="DC34" i="7"/>
  <c r="DD34" i="7"/>
  <c r="DE34" i="7"/>
  <c r="DF34" i="7"/>
  <c r="DG34" i="7"/>
  <c r="DH34" i="7"/>
  <c r="DI34" i="7"/>
  <c r="DJ34" i="7"/>
  <c r="DK34" i="7"/>
  <c r="DL34" i="7"/>
  <c r="DM34" i="7"/>
  <c r="DN34" i="7"/>
  <c r="DO34" i="7"/>
  <c r="DP34" i="7"/>
  <c r="DQ34" i="7"/>
  <c r="DR34" i="7"/>
  <c r="DS34" i="7"/>
  <c r="DT34" i="7"/>
  <c r="DU34" i="7"/>
  <c r="DV34" i="7"/>
  <c r="DW34" i="7"/>
  <c r="DX34" i="7"/>
  <c r="DY34" i="7"/>
  <c r="DZ34" i="7"/>
  <c r="EA34" i="7"/>
  <c r="EB34" i="7"/>
  <c r="EC34" i="7"/>
  <c r="ED34" i="7"/>
  <c r="EE34" i="7"/>
  <c r="EF34" i="7"/>
  <c r="EG34" i="7"/>
  <c r="EH34" i="7"/>
  <c r="EI34" i="7"/>
  <c r="EJ34" i="7"/>
  <c r="EK34" i="7"/>
  <c r="EL34" i="7"/>
  <c r="EM34" i="7"/>
  <c r="EN34" i="7"/>
  <c r="EO34" i="7"/>
  <c r="EP34" i="7"/>
  <c r="EQ34" i="7"/>
  <c r="ER34" i="7"/>
  <c r="ES34" i="7"/>
  <c r="ET34" i="7"/>
  <c r="EU34" i="7"/>
  <c r="EV34" i="7"/>
  <c r="EW34" i="7"/>
  <c r="EX34" i="7"/>
  <c r="EY34" i="7"/>
  <c r="EZ34" i="7"/>
  <c r="FA34" i="7"/>
  <c r="FB34" i="7"/>
  <c r="FC34" i="7"/>
  <c r="FD34" i="7"/>
  <c r="FE34" i="7"/>
  <c r="FF34" i="7"/>
  <c r="FG34" i="7"/>
  <c r="FH34" i="7"/>
  <c r="FI34" i="7"/>
  <c r="FJ34" i="7"/>
  <c r="FK34" i="7"/>
  <c r="FL34" i="7"/>
  <c r="FM34" i="7"/>
  <c r="FN34" i="7"/>
  <c r="FO34" i="7"/>
  <c r="FP34" i="7"/>
  <c r="FQ34" i="7"/>
  <c r="FR34" i="7"/>
  <c r="FS34" i="7"/>
  <c r="FT34" i="7"/>
  <c r="FU34" i="7"/>
  <c r="FV34" i="7"/>
  <c r="FW34" i="7"/>
  <c r="FX34" i="7"/>
  <c r="FY34" i="7"/>
  <c r="FZ34" i="7"/>
  <c r="GA34" i="7"/>
  <c r="GB34" i="7"/>
  <c r="GC34" i="7"/>
  <c r="GD34" i="7"/>
  <c r="GE34" i="7"/>
  <c r="GF34" i="7"/>
  <c r="GG34" i="7"/>
  <c r="GH34" i="7"/>
  <c r="GI34" i="7"/>
  <c r="GJ34" i="7"/>
  <c r="GK34" i="7"/>
  <c r="GL34" i="7"/>
  <c r="GM34" i="7"/>
  <c r="GN34" i="7"/>
  <c r="GO34" i="7"/>
  <c r="GP34" i="7"/>
  <c r="GQ34" i="7"/>
  <c r="GR34" i="7"/>
  <c r="GS34" i="7"/>
  <c r="GT34" i="7"/>
  <c r="GU34" i="7"/>
  <c r="GV34" i="7"/>
  <c r="GW34" i="7"/>
  <c r="GX34" i="7"/>
  <c r="GY34" i="7"/>
  <c r="GZ34" i="7"/>
  <c r="HA34" i="7"/>
  <c r="HB34" i="7"/>
  <c r="HC34" i="7"/>
  <c r="HD34" i="7"/>
  <c r="HE34" i="7"/>
  <c r="HF34" i="7"/>
  <c r="HG34" i="7"/>
  <c r="HH34" i="7"/>
  <c r="HI34" i="7"/>
  <c r="HJ34" i="7"/>
  <c r="HK34" i="7"/>
  <c r="HL34" i="7"/>
  <c r="HM34" i="7"/>
  <c r="HN34" i="7"/>
  <c r="HO34" i="7"/>
  <c r="HP34" i="7"/>
  <c r="HQ34" i="7"/>
  <c r="HR34" i="7"/>
  <c r="HS34" i="7"/>
  <c r="HT34" i="7"/>
  <c r="HU34" i="7"/>
  <c r="HV34" i="7"/>
  <c r="HW34" i="7"/>
  <c r="HX34" i="7"/>
  <c r="HY34" i="7"/>
  <c r="HZ34" i="7"/>
  <c r="IA34" i="7"/>
  <c r="IB34" i="7"/>
  <c r="IC34" i="7"/>
  <c r="ID34" i="7"/>
  <c r="IE34" i="7"/>
  <c r="IF34" i="7"/>
  <c r="IG34" i="7"/>
  <c r="IH34" i="7"/>
  <c r="II34" i="7"/>
  <c r="IJ34" i="7"/>
  <c r="IK34" i="7"/>
  <c r="IL34" i="7"/>
  <c r="IM34" i="7"/>
  <c r="IN34" i="7"/>
  <c r="IO34" i="7"/>
  <c r="IP34" i="7"/>
  <c r="IQ34" i="7"/>
  <c r="IR34" i="7"/>
  <c r="IS34" i="7"/>
  <c r="IT34" i="7"/>
  <c r="IU34" i="7"/>
  <c r="IV34" i="7"/>
  <c r="A33" i="7"/>
  <c r="B33" i="7"/>
  <c r="C33" i="7"/>
  <c r="D33" i="7"/>
  <c r="E33" i="7"/>
  <c r="F33" i="7"/>
  <c r="G33" i="7"/>
  <c r="H33" i="7"/>
  <c r="I33" i="7"/>
  <c r="J33"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FO33" i="7"/>
  <c r="FP33" i="7"/>
  <c r="FQ33" i="7"/>
  <c r="FR33" i="7"/>
  <c r="FS33" i="7"/>
  <c r="FT33" i="7"/>
  <c r="FU33" i="7"/>
  <c r="FV33" i="7"/>
  <c r="FW33" i="7"/>
  <c r="FX33" i="7"/>
  <c r="FY33" i="7"/>
  <c r="FZ33" i="7"/>
  <c r="GA33" i="7"/>
  <c r="GB33" i="7"/>
  <c r="GC33" i="7"/>
  <c r="GD33" i="7"/>
  <c r="GE33" i="7"/>
  <c r="GF33" i="7"/>
  <c r="GG33" i="7"/>
  <c r="GH33" i="7"/>
  <c r="GI33" i="7"/>
  <c r="GJ33" i="7"/>
  <c r="GK33" i="7"/>
  <c r="GL33" i="7"/>
  <c r="GM33" i="7"/>
  <c r="GN33" i="7"/>
  <c r="GO33" i="7"/>
  <c r="GP33" i="7"/>
  <c r="GQ33" i="7"/>
  <c r="GR33" i="7"/>
  <c r="GS33" i="7"/>
  <c r="GT33" i="7"/>
  <c r="GU33" i="7"/>
  <c r="GV33" i="7"/>
  <c r="GW33" i="7"/>
  <c r="GX33" i="7"/>
  <c r="GY33" i="7"/>
  <c r="GZ33" i="7"/>
  <c r="HA33" i="7"/>
  <c r="HB33" i="7"/>
  <c r="HC33" i="7"/>
  <c r="HD33" i="7"/>
  <c r="HE33" i="7"/>
  <c r="HF33" i="7"/>
  <c r="HG33" i="7"/>
  <c r="HH33" i="7"/>
  <c r="HI33" i="7"/>
  <c r="HJ33" i="7"/>
  <c r="HK33" i="7"/>
  <c r="HL33" i="7"/>
  <c r="HM33" i="7"/>
  <c r="HN33" i="7"/>
  <c r="HO33" i="7"/>
  <c r="HP33" i="7"/>
  <c r="HQ33" i="7"/>
  <c r="HR33" i="7"/>
  <c r="HS33" i="7"/>
  <c r="HT33" i="7"/>
  <c r="HU33" i="7"/>
  <c r="HV33" i="7"/>
  <c r="HW33" i="7"/>
  <c r="HX33" i="7"/>
  <c r="HY33" i="7"/>
  <c r="HZ33" i="7"/>
  <c r="IA33" i="7"/>
  <c r="IB33" i="7"/>
  <c r="IC33" i="7"/>
  <c r="ID33" i="7"/>
  <c r="IE33" i="7"/>
  <c r="IF33" i="7"/>
  <c r="IG33" i="7"/>
  <c r="IH33" i="7"/>
  <c r="II33" i="7"/>
  <c r="IJ33" i="7"/>
  <c r="IK33" i="7"/>
  <c r="IL33" i="7"/>
  <c r="IM33" i="7"/>
  <c r="IN33" i="7"/>
  <c r="IO33" i="7"/>
  <c r="IP33" i="7"/>
  <c r="IQ33" i="7"/>
  <c r="IR33" i="7"/>
  <c r="IS33" i="7"/>
  <c r="IT33" i="7"/>
  <c r="IU33" i="7"/>
  <c r="IV33" i="7"/>
  <c r="A32" i="7"/>
  <c r="B32" i="7"/>
  <c r="C32" i="7"/>
  <c r="D32" i="7"/>
  <c r="E32" i="7"/>
  <c r="F32" i="7"/>
  <c r="G32" i="7"/>
  <c r="H32" i="7"/>
  <c r="I32" i="7"/>
  <c r="J32" i="7"/>
  <c r="K32" i="7"/>
  <c r="L32" i="7"/>
  <c r="M32" i="7"/>
  <c r="N32" i="7"/>
  <c r="O32" i="7"/>
  <c r="P32" i="7"/>
  <c r="Q32" i="7"/>
  <c r="R32" i="7"/>
  <c r="S32" i="7"/>
  <c r="T32" i="7"/>
  <c r="U32" i="7"/>
  <c r="V32" i="7"/>
  <c r="W32" i="7"/>
  <c r="X32" i="7"/>
  <c r="Y32" i="7"/>
  <c r="Z32" i="7"/>
  <c r="AA32" i="7"/>
  <c r="AB32" i="7"/>
  <c r="AC32" i="7"/>
  <c r="AD32" i="7"/>
  <c r="AE32" i="7"/>
  <c r="AF32" i="7"/>
  <c r="AG32" i="7"/>
  <c r="AH32" i="7"/>
  <c r="AI32" i="7"/>
  <c r="AJ32" i="7"/>
  <c r="AK32" i="7"/>
  <c r="AL32" i="7"/>
  <c r="AM32" i="7"/>
  <c r="AN32" i="7"/>
  <c r="AO32" i="7"/>
  <c r="AP32" i="7"/>
  <c r="AQ32" i="7"/>
  <c r="AR32" i="7"/>
  <c r="AS32" i="7"/>
  <c r="AT32" i="7"/>
  <c r="AU32" i="7"/>
  <c r="AV32" i="7"/>
  <c r="AW32" i="7"/>
  <c r="AX32" i="7"/>
  <c r="AY32" i="7"/>
  <c r="AZ32" i="7"/>
  <c r="BA32" i="7"/>
  <c r="BB32" i="7"/>
  <c r="BC32" i="7"/>
  <c r="BD32" i="7"/>
  <c r="BE32" i="7"/>
  <c r="BF32" i="7"/>
  <c r="BG32" i="7"/>
  <c r="BH32" i="7"/>
  <c r="BI32" i="7"/>
  <c r="BJ32" i="7"/>
  <c r="BK32" i="7"/>
  <c r="BL32" i="7"/>
  <c r="BM32" i="7"/>
  <c r="BN32" i="7"/>
  <c r="BO32" i="7"/>
  <c r="BP32" i="7"/>
  <c r="BQ32" i="7"/>
  <c r="BR32" i="7"/>
  <c r="BS32" i="7"/>
  <c r="BT32" i="7"/>
  <c r="BU32" i="7"/>
  <c r="BV32" i="7"/>
  <c r="BW32" i="7"/>
  <c r="BX32" i="7"/>
  <c r="BY32" i="7"/>
  <c r="BZ32" i="7"/>
  <c r="CA32" i="7"/>
  <c r="CB32" i="7"/>
  <c r="CC32" i="7"/>
  <c r="CD32" i="7"/>
  <c r="CE32" i="7"/>
  <c r="CF32" i="7"/>
  <c r="CG32" i="7"/>
  <c r="CH32" i="7"/>
  <c r="CI32" i="7"/>
  <c r="CJ32" i="7"/>
  <c r="CK32" i="7"/>
  <c r="CL32" i="7"/>
  <c r="CM32" i="7"/>
  <c r="CN32" i="7"/>
  <c r="CO32" i="7"/>
  <c r="CP32" i="7"/>
  <c r="CQ32" i="7"/>
  <c r="CR32" i="7"/>
  <c r="CS32" i="7"/>
  <c r="CT32" i="7"/>
  <c r="CU32" i="7"/>
  <c r="CV32" i="7"/>
  <c r="CW32" i="7"/>
  <c r="CX32" i="7"/>
  <c r="CY32" i="7"/>
  <c r="CZ32" i="7"/>
  <c r="DA32" i="7"/>
  <c r="DB32" i="7"/>
  <c r="DC32" i="7"/>
  <c r="DD32" i="7"/>
  <c r="DE32" i="7"/>
  <c r="DF32" i="7"/>
  <c r="DG32" i="7"/>
  <c r="DH32" i="7"/>
  <c r="DI32" i="7"/>
  <c r="DJ32" i="7"/>
  <c r="DK32" i="7"/>
  <c r="DL32" i="7"/>
  <c r="DM32" i="7"/>
  <c r="DN32" i="7"/>
  <c r="DO32" i="7"/>
  <c r="DP32" i="7"/>
  <c r="DQ32" i="7"/>
  <c r="DR32" i="7"/>
  <c r="DS32" i="7"/>
  <c r="DT32" i="7"/>
  <c r="DU32" i="7"/>
  <c r="DV32" i="7"/>
  <c r="DW32" i="7"/>
  <c r="DX32" i="7"/>
  <c r="DY32" i="7"/>
  <c r="DZ32" i="7"/>
  <c r="EA32" i="7"/>
  <c r="EB32" i="7"/>
  <c r="EC32" i="7"/>
  <c r="ED32" i="7"/>
  <c r="EE32" i="7"/>
  <c r="EF32" i="7"/>
  <c r="EG32" i="7"/>
  <c r="EH32" i="7"/>
  <c r="EI32" i="7"/>
  <c r="EJ32" i="7"/>
  <c r="EK32" i="7"/>
  <c r="EL32" i="7"/>
  <c r="EM32" i="7"/>
  <c r="EN32" i="7"/>
  <c r="EO32" i="7"/>
  <c r="EP32" i="7"/>
  <c r="EQ32" i="7"/>
  <c r="ER32" i="7"/>
  <c r="ES32" i="7"/>
  <c r="ET32" i="7"/>
  <c r="EU32" i="7"/>
  <c r="EV32" i="7"/>
  <c r="EW32" i="7"/>
  <c r="EX32" i="7"/>
  <c r="EY32" i="7"/>
  <c r="EZ32" i="7"/>
  <c r="FA32" i="7"/>
  <c r="FB32" i="7"/>
  <c r="FC32" i="7"/>
  <c r="FD32" i="7"/>
  <c r="FE32" i="7"/>
  <c r="FF32" i="7"/>
  <c r="FG32" i="7"/>
  <c r="FH32" i="7"/>
  <c r="FI32" i="7"/>
  <c r="FJ32" i="7"/>
  <c r="FK32" i="7"/>
  <c r="FL32" i="7"/>
  <c r="FM32" i="7"/>
  <c r="FN32" i="7"/>
  <c r="FO32" i="7"/>
  <c r="FP32" i="7"/>
  <c r="FQ32" i="7"/>
  <c r="FR32" i="7"/>
  <c r="FS32" i="7"/>
  <c r="FT32" i="7"/>
  <c r="FU32" i="7"/>
  <c r="FV32" i="7"/>
  <c r="FW32" i="7"/>
  <c r="FX32" i="7"/>
  <c r="FY32" i="7"/>
  <c r="FZ32" i="7"/>
  <c r="GA32" i="7"/>
  <c r="GB32" i="7"/>
  <c r="GC32" i="7"/>
  <c r="GD32" i="7"/>
  <c r="GE32" i="7"/>
  <c r="GF32" i="7"/>
  <c r="GG32" i="7"/>
  <c r="GH32" i="7"/>
  <c r="GI32" i="7"/>
  <c r="GJ32" i="7"/>
  <c r="GK32" i="7"/>
  <c r="GL32" i="7"/>
  <c r="GM32" i="7"/>
  <c r="GN32" i="7"/>
  <c r="GO32" i="7"/>
  <c r="GP32" i="7"/>
  <c r="GQ32" i="7"/>
  <c r="GR32" i="7"/>
  <c r="GS32" i="7"/>
  <c r="GT32" i="7"/>
  <c r="GU32" i="7"/>
  <c r="GV32" i="7"/>
  <c r="GW32" i="7"/>
  <c r="GX32" i="7"/>
  <c r="GY32" i="7"/>
  <c r="GZ32" i="7"/>
  <c r="HA32" i="7"/>
  <c r="HB32" i="7"/>
  <c r="HC32" i="7"/>
  <c r="HD32" i="7"/>
  <c r="HE32" i="7"/>
  <c r="HF32" i="7"/>
  <c r="HG32" i="7"/>
  <c r="HH32" i="7"/>
  <c r="HI32" i="7"/>
  <c r="HJ32" i="7"/>
  <c r="HK32" i="7"/>
  <c r="HL32" i="7"/>
  <c r="HM32" i="7"/>
  <c r="HN32" i="7"/>
  <c r="HO32" i="7"/>
  <c r="HP32" i="7"/>
  <c r="HQ32" i="7"/>
  <c r="HR32" i="7"/>
  <c r="HS32" i="7"/>
  <c r="HT32" i="7"/>
  <c r="HU32" i="7"/>
  <c r="HV32" i="7"/>
  <c r="HW32" i="7"/>
  <c r="HX32" i="7"/>
  <c r="HY32" i="7"/>
  <c r="HZ32" i="7"/>
  <c r="IA32" i="7"/>
  <c r="IB32" i="7"/>
  <c r="IC32" i="7"/>
  <c r="ID32" i="7"/>
  <c r="IE32" i="7"/>
  <c r="IF32" i="7"/>
  <c r="IG32" i="7"/>
  <c r="IH32" i="7"/>
  <c r="II32" i="7"/>
  <c r="IJ32" i="7"/>
  <c r="IK32" i="7"/>
  <c r="IL32" i="7"/>
  <c r="IM32" i="7"/>
  <c r="IN32" i="7"/>
  <c r="IO32" i="7"/>
  <c r="IP32" i="7"/>
  <c r="IQ32" i="7"/>
  <c r="IR32" i="7"/>
  <c r="IS32" i="7"/>
  <c r="IT32" i="7"/>
  <c r="IU32" i="7"/>
  <c r="IV32" i="7"/>
  <c r="A31" i="7"/>
  <c r="B31" i="7"/>
  <c r="C31" i="7"/>
  <c r="D31" i="7"/>
  <c r="E31" i="7"/>
  <c r="F31" i="7"/>
  <c r="G31" i="7"/>
  <c r="H31" i="7"/>
  <c r="I31" i="7"/>
  <c r="J31" i="7"/>
  <c r="K31" i="7"/>
  <c r="L31" i="7"/>
  <c r="M31" i="7"/>
  <c r="N31" i="7"/>
  <c r="O31" i="7"/>
  <c r="P31" i="7"/>
  <c r="Q31" i="7"/>
  <c r="R31" i="7"/>
  <c r="S31" i="7"/>
  <c r="T31" i="7"/>
  <c r="U31" i="7"/>
  <c r="V31" i="7"/>
  <c r="W31" i="7"/>
  <c r="X31" i="7"/>
  <c r="Y31" i="7"/>
  <c r="Z31" i="7"/>
  <c r="AA31" i="7"/>
  <c r="AB31" i="7"/>
  <c r="AC31" i="7"/>
  <c r="AD31" i="7"/>
  <c r="AE31" i="7"/>
  <c r="AF31" i="7"/>
  <c r="AG31" i="7"/>
  <c r="AH31" i="7"/>
  <c r="AI31" i="7"/>
  <c r="AJ31" i="7"/>
  <c r="AK31" i="7"/>
  <c r="AL31" i="7"/>
  <c r="AM31" i="7"/>
  <c r="AN31" i="7"/>
  <c r="AO31" i="7"/>
  <c r="AP31" i="7"/>
  <c r="AQ31" i="7"/>
  <c r="AR31" i="7"/>
  <c r="AS31" i="7"/>
  <c r="AT31" i="7"/>
  <c r="AU31" i="7"/>
  <c r="AV31" i="7"/>
  <c r="AW31" i="7"/>
  <c r="AX31" i="7"/>
  <c r="AY31" i="7"/>
  <c r="AZ31" i="7"/>
  <c r="BA31" i="7"/>
  <c r="BB31" i="7"/>
  <c r="BC31" i="7"/>
  <c r="BD31" i="7"/>
  <c r="BE31" i="7"/>
  <c r="BF31" i="7"/>
  <c r="BG31" i="7"/>
  <c r="BH31" i="7"/>
  <c r="BI31" i="7"/>
  <c r="BJ31" i="7"/>
  <c r="BK31" i="7"/>
  <c r="BL31" i="7"/>
  <c r="BM31" i="7"/>
  <c r="BN31" i="7"/>
  <c r="BO31" i="7"/>
  <c r="BP31" i="7"/>
  <c r="BQ31" i="7"/>
  <c r="BR31" i="7"/>
  <c r="BS31" i="7"/>
  <c r="BT31" i="7"/>
  <c r="BU31" i="7"/>
  <c r="BV31" i="7"/>
  <c r="BW31" i="7"/>
  <c r="BX31" i="7"/>
  <c r="BY31" i="7"/>
  <c r="BZ31" i="7"/>
  <c r="CA31" i="7"/>
  <c r="CB31" i="7"/>
  <c r="CC31" i="7"/>
  <c r="CD31" i="7"/>
  <c r="CE31" i="7"/>
  <c r="CF31" i="7"/>
  <c r="CG31" i="7"/>
  <c r="CH31" i="7"/>
  <c r="CI31" i="7"/>
  <c r="CJ31" i="7"/>
  <c r="CK31" i="7"/>
  <c r="CL31" i="7"/>
  <c r="CM31" i="7"/>
  <c r="CN31" i="7"/>
  <c r="CO31" i="7"/>
  <c r="CP31" i="7"/>
  <c r="CQ31" i="7"/>
  <c r="CR31" i="7"/>
  <c r="CS31" i="7"/>
  <c r="CT31" i="7"/>
  <c r="CU31" i="7"/>
  <c r="CV31" i="7"/>
  <c r="CW31" i="7"/>
  <c r="CX31" i="7"/>
  <c r="CY31" i="7"/>
  <c r="CZ31" i="7"/>
  <c r="DA31" i="7"/>
  <c r="DB31" i="7"/>
  <c r="DC31" i="7"/>
  <c r="DD31" i="7"/>
  <c r="DE31" i="7"/>
  <c r="DF31" i="7"/>
  <c r="DG31" i="7"/>
  <c r="DH31" i="7"/>
  <c r="DI31" i="7"/>
  <c r="DJ31" i="7"/>
  <c r="DK31" i="7"/>
  <c r="DL31" i="7"/>
  <c r="DM31" i="7"/>
  <c r="DN31" i="7"/>
  <c r="DO31" i="7"/>
  <c r="DP31" i="7"/>
  <c r="DQ31" i="7"/>
  <c r="DR31" i="7"/>
  <c r="DS31" i="7"/>
  <c r="DT31" i="7"/>
  <c r="DU31" i="7"/>
  <c r="DV31" i="7"/>
  <c r="DW31" i="7"/>
  <c r="DX31" i="7"/>
  <c r="DY31" i="7"/>
  <c r="DZ31" i="7"/>
  <c r="EA31" i="7"/>
  <c r="EB31" i="7"/>
  <c r="EC31" i="7"/>
  <c r="ED31" i="7"/>
  <c r="EE31" i="7"/>
  <c r="EF31" i="7"/>
  <c r="EG31" i="7"/>
  <c r="EH31" i="7"/>
  <c r="EI31" i="7"/>
  <c r="EJ31" i="7"/>
  <c r="EK31" i="7"/>
  <c r="EL31" i="7"/>
  <c r="EM31" i="7"/>
  <c r="EN31" i="7"/>
  <c r="EO31" i="7"/>
  <c r="EP31" i="7"/>
  <c r="EQ31" i="7"/>
  <c r="ER31" i="7"/>
  <c r="ES31" i="7"/>
  <c r="ET31" i="7"/>
  <c r="EU31" i="7"/>
  <c r="EV31" i="7"/>
  <c r="EW31" i="7"/>
  <c r="EX31" i="7"/>
  <c r="EY31" i="7"/>
  <c r="EZ31" i="7"/>
  <c r="FA31" i="7"/>
  <c r="FB31" i="7"/>
  <c r="FC31" i="7"/>
  <c r="FD31" i="7"/>
  <c r="FE31" i="7"/>
  <c r="FF31" i="7"/>
  <c r="FG31" i="7"/>
  <c r="FH31" i="7"/>
  <c r="FI31" i="7"/>
  <c r="FJ31" i="7"/>
  <c r="FK31" i="7"/>
  <c r="FL31" i="7"/>
  <c r="FM31" i="7"/>
  <c r="FN31" i="7"/>
  <c r="FO31" i="7"/>
  <c r="FP31" i="7"/>
  <c r="FQ31" i="7"/>
  <c r="FR31" i="7"/>
  <c r="FS31" i="7"/>
  <c r="FT31" i="7"/>
  <c r="FU31" i="7"/>
  <c r="FV31" i="7"/>
  <c r="FW31" i="7"/>
  <c r="FX31" i="7"/>
  <c r="FY31" i="7"/>
  <c r="FZ31" i="7"/>
  <c r="GA31" i="7"/>
  <c r="GB31" i="7"/>
  <c r="GC31" i="7"/>
  <c r="GD31" i="7"/>
  <c r="GE31" i="7"/>
  <c r="GF31" i="7"/>
  <c r="GG31" i="7"/>
  <c r="GH31" i="7"/>
  <c r="GI31" i="7"/>
  <c r="GJ31" i="7"/>
  <c r="GK31" i="7"/>
  <c r="GL31" i="7"/>
  <c r="GM31" i="7"/>
  <c r="GN31" i="7"/>
  <c r="GO31" i="7"/>
  <c r="GP31" i="7"/>
  <c r="GQ31" i="7"/>
  <c r="GR31" i="7"/>
  <c r="GS31" i="7"/>
  <c r="GT31" i="7"/>
  <c r="GU31" i="7"/>
  <c r="GV31" i="7"/>
  <c r="GW31" i="7"/>
  <c r="GX31" i="7"/>
  <c r="GY31" i="7"/>
  <c r="GZ31" i="7"/>
  <c r="HA31" i="7"/>
  <c r="HB31" i="7"/>
  <c r="HC31" i="7"/>
  <c r="HD31" i="7"/>
  <c r="HE31" i="7"/>
  <c r="HF31" i="7"/>
  <c r="HG31" i="7"/>
  <c r="HH31" i="7"/>
  <c r="HI31" i="7"/>
  <c r="HJ31" i="7"/>
  <c r="HK31" i="7"/>
  <c r="HL31" i="7"/>
  <c r="HM31" i="7"/>
  <c r="HN31" i="7"/>
  <c r="HO31" i="7"/>
  <c r="HP31" i="7"/>
  <c r="HQ31" i="7"/>
  <c r="HR31" i="7"/>
  <c r="HS31" i="7"/>
  <c r="HT31" i="7"/>
  <c r="HU31" i="7"/>
  <c r="HV31" i="7"/>
  <c r="HW31" i="7"/>
  <c r="HX31" i="7"/>
  <c r="HY31" i="7"/>
  <c r="HZ31" i="7"/>
  <c r="IA31" i="7"/>
  <c r="IB31" i="7"/>
  <c r="IC31" i="7"/>
  <c r="ID31" i="7"/>
  <c r="IE31" i="7"/>
  <c r="IF31" i="7"/>
  <c r="IG31" i="7"/>
  <c r="IH31" i="7"/>
  <c r="II31" i="7"/>
  <c r="IJ31" i="7"/>
  <c r="IK31" i="7"/>
  <c r="IL31" i="7"/>
  <c r="IM31" i="7"/>
  <c r="IN31" i="7"/>
  <c r="IO31" i="7"/>
  <c r="IP31" i="7"/>
  <c r="IQ31" i="7"/>
  <c r="IR31" i="7"/>
  <c r="IS31" i="7"/>
  <c r="IT31" i="7"/>
  <c r="IU31" i="7"/>
  <c r="IV31" i="7"/>
  <c r="A30" i="7"/>
  <c r="B30" i="7"/>
  <c r="C30" i="7"/>
  <c r="D30" i="7"/>
  <c r="E30" i="7"/>
  <c r="F30" i="7"/>
  <c r="G30" i="7"/>
  <c r="H30" i="7"/>
  <c r="I30" i="7"/>
  <c r="J30" i="7"/>
  <c r="K30" i="7"/>
  <c r="L30" i="7"/>
  <c r="M30" i="7"/>
  <c r="N30" i="7"/>
  <c r="O30" i="7"/>
  <c r="P30" i="7"/>
  <c r="Q30" i="7"/>
  <c r="R30" i="7"/>
  <c r="S30" i="7"/>
  <c r="T30" i="7"/>
  <c r="U30" i="7"/>
  <c r="V30" i="7"/>
  <c r="W30" i="7"/>
  <c r="X30" i="7"/>
  <c r="Y30" i="7"/>
  <c r="Z30" i="7"/>
  <c r="AA30" i="7"/>
  <c r="AB30" i="7"/>
  <c r="AC30" i="7"/>
  <c r="AD30" i="7"/>
  <c r="AE30" i="7"/>
  <c r="AF30" i="7"/>
  <c r="AG30" i="7"/>
  <c r="AH30" i="7"/>
  <c r="AI30" i="7"/>
  <c r="AJ30" i="7"/>
  <c r="AK30" i="7"/>
  <c r="AL30" i="7"/>
  <c r="AM30" i="7"/>
  <c r="AN30" i="7"/>
  <c r="AO30" i="7"/>
  <c r="AP30" i="7"/>
  <c r="AQ30" i="7"/>
  <c r="AR30" i="7"/>
  <c r="AS30" i="7"/>
  <c r="AT30" i="7"/>
  <c r="AU30" i="7"/>
  <c r="AV30" i="7"/>
  <c r="AW30" i="7"/>
  <c r="AX30" i="7"/>
  <c r="AY30" i="7"/>
  <c r="AZ30" i="7"/>
  <c r="BA30" i="7"/>
  <c r="BB30" i="7"/>
  <c r="BC30" i="7"/>
  <c r="BD30" i="7"/>
  <c r="BE30" i="7"/>
  <c r="BF30" i="7"/>
  <c r="BG30" i="7"/>
  <c r="BH30" i="7"/>
  <c r="BI30" i="7"/>
  <c r="BJ30" i="7"/>
  <c r="BK30" i="7"/>
  <c r="BL30" i="7"/>
  <c r="BM30" i="7"/>
  <c r="BN30" i="7"/>
  <c r="BO30" i="7"/>
  <c r="BP30" i="7"/>
  <c r="BQ30" i="7"/>
  <c r="BR30" i="7"/>
  <c r="BS30" i="7"/>
  <c r="BT30" i="7"/>
  <c r="BU30" i="7"/>
  <c r="BV30" i="7"/>
  <c r="BW30" i="7"/>
  <c r="BX30" i="7"/>
  <c r="BY30" i="7"/>
  <c r="BZ30" i="7"/>
  <c r="CA30" i="7"/>
  <c r="CB30" i="7"/>
  <c r="CC30" i="7"/>
  <c r="CD30" i="7"/>
  <c r="CE30" i="7"/>
  <c r="CF30" i="7"/>
  <c r="CG30" i="7"/>
  <c r="CH30" i="7"/>
  <c r="CI30" i="7"/>
  <c r="CJ30" i="7"/>
  <c r="CK30" i="7"/>
  <c r="CL30" i="7"/>
  <c r="CM30" i="7"/>
  <c r="CN30" i="7"/>
  <c r="CO30" i="7"/>
  <c r="CP30" i="7"/>
  <c r="CQ30" i="7"/>
  <c r="CR30" i="7"/>
  <c r="CS30" i="7"/>
  <c r="CT30" i="7"/>
  <c r="CU30" i="7"/>
  <c r="CV30" i="7"/>
  <c r="CW30" i="7"/>
  <c r="CX30" i="7"/>
  <c r="CY30" i="7"/>
  <c r="CZ30" i="7"/>
  <c r="DA30" i="7"/>
  <c r="DB30" i="7"/>
  <c r="DC30" i="7"/>
  <c r="DD30" i="7"/>
  <c r="DE30" i="7"/>
  <c r="DF30" i="7"/>
  <c r="DG30" i="7"/>
  <c r="DH30" i="7"/>
  <c r="DI30" i="7"/>
  <c r="DJ30" i="7"/>
  <c r="DK30" i="7"/>
  <c r="DL30" i="7"/>
  <c r="DM30" i="7"/>
  <c r="DN30" i="7"/>
  <c r="DO30" i="7"/>
  <c r="DP30" i="7"/>
  <c r="DQ30" i="7"/>
  <c r="DR30" i="7"/>
  <c r="DS30" i="7"/>
  <c r="DT30" i="7"/>
  <c r="DU30" i="7"/>
  <c r="DV30" i="7"/>
  <c r="DW30" i="7"/>
  <c r="DX30" i="7"/>
  <c r="DY30" i="7"/>
  <c r="DZ30" i="7"/>
  <c r="EA30" i="7"/>
  <c r="EB30" i="7"/>
  <c r="EC30" i="7"/>
  <c r="ED30" i="7"/>
  <c r="EE30" i="7"/>
  <c r="EF30" i="7"/>
  <c r="EG30" i="7"/>
  <c r="EH30" i="7"/>
  <c r="EI30" i="7"/>
  <c r="EJ30" i="7"/>
  <c r="EK30" i="7"/>
  <c r="EL30" i="7"/>
  <c r="EM30" i="7"/>
  <c r="EN30" i="7"/>
  <c r="EO30" i="7"/>
  <c r="EP30" i="7"/>
  <c r="EQ30" i="7"/>
  <c r="ER30" i="7"/>
  <c r="ES30" i="7"/>
  <c r="ET30" i="7"/>
  <c r="EU30" i="7"/>
  <c r="EV30" i="7"/>
  <c r="EW30" i="7"/>
  <c r="EX30" i="7"/>
  <c r="EY30" i="7"/>
  <c r="EZ30" i="7"/>
  <c r="FA30" i="7"/>
  <c r="FB30" i="7"/>
  <c r="FC30" i="7"/>
  <c r="FD30" i="7"/>
  <c r="FE30" i="7"/>
  <c r="FF30" i="7"/>
  <c r="FG30" i="7"/>
  <c r="FH30" i="7"/>
  <c r="FI30" i="7"/>
  <c r="FJ30" i="7"/>
  <c r="FK30" i="7"/>
  <c r="FL30" i="7"/>
  <c r="FM30" i="7"/>
  <c r="FN30" i="7"/>
  <c r="FO30" i="7"/>
  <c r="FP30" i="7"/>
  <c r="FQ30" i="7"/>
  <c r="FR30" i="7"/>
  <c r="FS30" i="7"/>
  <c r="FT30" i="7"/>
  <c r="FU30" i="7"/>
  <c r="FV30" i="7"/>
  <c r="FW30" i="7"/>
  <c r="FX30" i="7"/>
  <c r="FY30" i="7"/>
  <c r="FZ30" i="7"/>
  <c r="GA30" i="7"/>
  <c r="GB30" i="7"/>
  <c r="GC30" i="7"/>
  <c r="GD30" i="7"/>
  <c r="GE30" i="7"/>
  <c r="GF30" i="7"/>
  <c r="GG30" i="7"/>
  <c r="GH30" i="7"/>
  <c r="GI30" i="7"/>
  <c r="GJ30" i="7"/>
  <c r="GK30" i="7"/>
  <c r="GL30" i="7"/>
  <c r="GM30" i="7"/>
  <c r="GN30" i="7"/>
  <c r="GO30" i="7"/>
  <c r="GP30" i="7"/>
  <c r="GQ30" i="7"/>
  <c r="GR30" i="7"/>
  <c r="GS30" i="7"/>
  <c r="GT30" i="7"/>
  <c r="GU30" i="7"/>
  <c r="GV30" i="7"/>
  <c r="GW30" i="7"/>
  <c r="GX30" i="7"/>
  <c r="GY30" i="7"/>
  <c r="GZ30" i="7"/>
  <c r="HA30" i="7"/>
  <c r="HB30" i="7"/>
  <c r="HC30" i="7"/>
  <c r="HD30" i="7"/>
  <c r="HE30" i="7"/>
  <c r="HF30" i="7"/>
  <c r="HG30" i="7"/>
  <c r="HH30" i="7"/>
  <c r="HI30" i="7"/>
  <c r="HJ30" i="7"/>
  <c r="HK30" i="7"/>
  <c r="HL30" i="7"/>
  <c r="HM30" i="7"/>
  <c r="HN30" i="7"/>
  <c r="HO30" i="7"/>
  <c r="HP30" i="7"/>
  <c r="HQ30" i="7"/>
  <c r="HR30" i="7"/>
  <c r="HS30" i="7"/>
  <c r="HT30" i="7"/>
  <c r="HU30" i="7"/>
  <c r="HV30" i="7"/>
  <c r="HW30" i="7"/>
  <c r="HX30" i="7"/>
  <c r="HY30" i="7"/>
  <c r="HZ30" i="7"/>
  <c r="IA30" i="7"/>
  <c r="IB30" i="7"/>
  <c r="IC30" i="7"/>
  <c r="ID30" i="7"/>
  <c r="IE30" i="7"/>
  <c r="IF30" i="7"/>
  <c r="IG30" i="7"/>
  <c r="IH30" i="7"/>
  <c r="II30" i="7"/>
  <c r="IJ30" i="7"/>
  <c r="IK30" i="7"/>
  <c r="IL30" i="7"/>
  <c r="IM30" i="7"/>
  <c r="IN30" i="7"/>
  <c r="IO30" i="7"/>
  <c r="IP30" i="7"/>
  <c r="IQ30" i="7"/>
  <c r="IR30" i="7"/>
  <c r="IS30" i="7"/>
  <c r="IT30" i="7"/>
  <c r="IU30" i="7"/>
  <c r="IV30" i="7"/>
  <c r="A29" i="7"/>
  <c r="B29" i="7"/>
  <c r="C29" i="7"/>
  <c r="D29" i="7"/>
  <c r="E29" i="7"/>
  <c r="F29" i="7"/>
  <c r="G29" i="7"/>
  <c r="H29" i="7"/>
  <c r="I29" i="7"/>
  <c r="J29"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FO29" i="7"/>
  <c r="FP29" i="7"/>
  <c r="FQ29" i="7"/>
  <c r="FR29" i="7"/>
  <c r="FS29" i="7"/>
  <c r="FT29" i="7"/>
  <c r="FU29" i="7"/>
  <c r="FV29" i="7"/>
  <c r="FW29" i="7"/>
  <c r="FX29" i="7"/>
  <c r="FY29" i="7"/>
  <c r="FZ29" i="7"/>
  <c r="GA29" i="7"/>
  <c r="GB29" i="7"/>
  <c r="GC29" i="7"/>
  <c r="GD29" i="7"/>
  <c r="GE29" i="7"/>
  <c r="GF29" i="7"/>
  <c r="GG29" i="7"/>
  <c r="GH29" i="7"/>
  <c r="GI29" i="7"/>
  <c r="GJ29" i="7"/>
  <c r="GK29" i="7"/>
  <c r="GL29" i="7"/>
  <c r="GM29" i="7"/>
  <c r="GN29" i="7"/>
  <c r="GO29" i="7"/>
  <c r="GP29" i="7"/>
  <c r="GQ29" i="7"/>
  <c r="GR29" i="7"/>
  <c r="GS29" i="7"/>
  <c r="GT29" i="7"/>
  <c r="GU29" i="7"/>
  <c r="GV29" i="7"/>
  <c r="GW29" i="7"/>
  <c r="GX29" i="7"/>
  <c r="GY29" i="7"/>
  <c r="GZ29" i="7"/>
  <c r="HA29" i="7"/>
  <c r="HB29" i="7"/>
  <c r="HC29" i="7"/>
  <c r="HD29" i="7"/>
  <c r="HE29" i="7"/>
  <c r="HF29" i="7"/>
  <c r="HG29" i="7"/>
  <c r="HH29" i="7"/>
  <c r="HI29" i="7"/>
  <c r="HJ29" i="7"/>
  <c r="HK29" i="7"/>
  <c r="HL29" i="7"/>
  <c r="HM29" i="7"/>
  <c r="HN29" i="7"/>
  <c r="HO29" i="7"/>
  <c r="HP29" i="7"/>
  <c r="HQ29" i="7"/>
  <c r="HR29" i="7"/>
  <c r="HS29" i="7"/>
  <c r="HT29" i="7"/>
  <c r="HU29" i="7"/>
  <c r="HV29" i="7"/>
  <c r="HW29" i="7"/>
  <c r="HX29" i="7"/>
  <c r="HY29" i="7"/>
  <c r="HZ29" i="7"/>
  <c r="IA29" i="7"/>
  <c r="IB29" i="7"/>
  <c r="IC29" i="7"/>
  <c r="ID29" i="7"/>
  <c r="IE29" i="7"/>
  <c r="IF29" i="7"/>
  <c r="IG29" i="7"/>
  <c r="IH29" i="7"/>
  <c r="II29" i="7"/>
  <c r="IJ29" i="7"/>
  <c r="IK29" i="7"/>
  <c r="IL29" i="7"/>
  <c r="IM29" i="7"/>
  <c r="IN29" i="7"/>
  <c r="IO29" i="7"/>
  <c r="IP29" i="7"/>
  <c r="IQ29" i="7"/>
  <c r="IR29" i="7"/>
  <c r="IS29" i="7"/>
  <c r="IT29" i="7"/>
  <c r="IU29" i="7"/>
  <c r="IV29" i="7"/>
  <c r="A28" i="7"/>
  <c r="B28" i="7"/>
  <c r="C28" i="7"/>
  <c r="D28" i="7"/>
  <c r="E28" i="7"/>
  <c r="F28" i="7"/>
  <c r="G28" i="7"/>
  <c r="H28" i="7"/>
  <c r="I28" i="7"/>
  <c r="J28" i="7"/>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N28" i="7"/>
  <c r="DO28" i="7"/>
  <c r="DP28" i="7"/>
  <c r="DQ28" i="7"/>
  <c r="DR28" i="7"/>
  <c r="DS28" i="7"/>
  <c r="DT28" i="7"/>
  <c r="DU28" i="7"/>
  <c r="DV28" i="7"/>
  <c r="DW28" i="7"/>
  <c r="DX28" i="7"/>
  <c r="DY28" i="7"/>
  <c r="DZ28" i="7"/>
  <c r="EA28" i="7"/>
  <c r="EB28" i="7"/>
  <c r="EC28" i="7"/>
  <c r="ED28" i="7"/>
  <c r="EE28" i="7"/>
  <c r="EF28" i="7"/>
  <c r="EG28" i="7"/>
  <c r="EH28" i="7"/>
  <c r="EI28" i="7"/>
  <c r="EJ28" i="7"/>
  <c r="EK28" i="7"/>
  <c r="EL28" i="7"/>
  <c r="EM28" i="7"/>
  <c r="EN28" i="7"/>
  <c r="EO28" i="7"/>
  <c r="EP28" i="7"/>
  <c r="EQ28" i="7"/>
  <c r="ER28" i="7"/>
  <c r="ES28" i="7"/>
  <c r="ET28" i="7"/>
  <c r="EU28" i="7"/>
  <c r="EV28" i="7"/>
  <c r="EW28" i="7"/>
  <c r="EX28" i="7"/>
  <c r="EY28" i="7"/>
  <c r="EZ28" i="7"/>
  <c r="FA28" i="7"/>
  <c r="FB28" i="7"/>
  <c r="FC28" i="7"/>
  <c r="FD28" i="7"/>
  <c r="FE28" i="7"/>
  <c r="FF28" i="7"/>
  <c r="FG28" i="7"/>
  <c r="FH28" i="7"/>
  <c r="FI28" i="7"/>
  <c r="FJ28" i="7"/>
  <c r="FK28" i="7"/>
  <c r="FL28" i="7"/>
  <c r="FM28" i="7"/>
  <c r="FN28" i="7"/>
  <c r="FO28" i="7"/>
  <c r="FP28" i="7"/>
  <c r="FQ28" i="7"/>
  <c r="FR28" i="7"/>
  <c r="FS28" i="7"/>
  <c r="FT28" i="7"/>
  <c r="FU28" i="7"/>
  <c r="FV28" i="7"/>
  <c r="FW28" i="7"/>
  <c r="FX28" i="7"/>
  <c r="FY28" i="7"/>
  <c r="FZ28" i="7"/>
  <c r="GA28" i="7"/>
  <c r="GB28" i="7"/>
  <c r="GC28" i="7"/>
  <c r="GD28" i="7"/>
  <c r="GE28" i="7"/>
  <c r="GF28" i="7"/>
  <c r="GG28" i="7"/>
  <c r="GH28" i="7"/>
  <c r="GI28" i="7"/>
  <c r="GJ28" i="7"/>
  <c r="GK28" i="7"/>
  <c r="GL28" i="7"/>
  <c r="GM28" i="7"/>
  <c r="GN28" i="7"/>
  <c r="GO28" i="7"/>
  <c r="GP28" i="7"/>
  <c r="GQ28" i="7"/>
  <c r="GR28" i="7"/>
  <c r="GS28" i="7"/>
  <c r="GT28" i="7"/>
  <c r="GU28" i="7"/>
  <c r="GV28" i="7"/>
  <c r="GW28" i="7"/>
  <c r="GX28" i="7"/>
  <c r="GY28" i="7"/>
  <c r="GZ28" i="7"/>
  <c r="HA28" i="7"/>
  <c r="HB28" i="7"/>
  <c r="HC28" i="7"/>
  <c r="HD28" i="7"/>
  <c r="HE28" i="7"/>
  <c r="HF28" i="7"/>
  <c r="HG28" i="7"/>
  <c r="HH28" i="7"/>
  <c r="HI28" i="7"/>
  <c r="HJ28" i="7"/>
  <c r="HK28" i="7"/>
  <c r="HL28" i="7"/>
  <c r="HM28" i="7"/>
  <c r="HN28" i="7"/>
  <c r="HO28" i="7"/>
  <c r="HP28" i="7"/>
  <c r="HQ28" i="7"/>
  <c r="HR28" i="7"/>
  <c r="HS28" i="7"/>
  <c r="HT28" i="7"/>
  <c r="HU28" i="7"/>
  <c r="HV28" i="7"/>
  <c r="HW28" i="7"/>
  <c r="HX28" i="7"/>
  <c r="HY28" i="7"/>
  <c r="HZ28" i="7"/>
  <c r="IA28" i="7"/>
  <c r="IB28" i="7"/>
  <c r="IC28" i="7"/>
  <c r="ID28" i="7"/>
  <c r="IE28" i="7"/>
  <c r="IF28" i="7"/>
  <c r="IG28" i="7"/>
  <c r="IH28" i="7"/>
  <c r="II28" i="7"/>
  <c r="IJ28" i="7"/>
  <c r="IK28" i="7"/>
  <c r="IL28" i="7"/>
  <c r="IM28" i="7"/>
  <c r="IN28" i="7"/>
  <c r="IO28" i="7"/>
  <c r="IP28" i="7"/>
  <c r="IQ28" i="7"/>
  <c r="IR28" i="7"/>
  <c r="IS28" i="7"/>
  <c r="IT28" i="7"/>
  <c r="IU28" i="7"/>
  <c r="IV28" i="7"/>
  <c r="A27" i="7"/>
  <c r="B27" i="7"/>
  <c r="C27" i="7"/>
  <c r="D27" i="7"/>
  <c r="E27" i="7"/>
  <c r="F27" i="7"/>
  <c r="G27" i="7"/>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W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B27" i="7"/>
  <c r="CC27" i="7"/>
  <c r="CD27" i="7"/>
  <c r="CE27" i="7"/>
  <c r="CF27" i="7"/>
  <c r="CG27" i="7"/>
  <c r="CH27" i="7"/>
  <c r="CI27" i="7"/>
  <c r="CJ27" i="7"/>
  <c r="CK27" i="7"/>
  <c r="CL27" i="7"/>
  <c r="CM27" i="7"/>
  <c r="CN27" i="7"/>
  <c r="CO27" i="7"/>
  <c r="CP27" i="7"/>
  <c r="CQ27" i="7"/>
  <c r="CR27" i="7"/>
  <c r="CS27" i="7"/>
  <c r="CT27" i="7"/>
  <c r="CU27" i="7"/>
  <c r="CV27" i="7"/>
  <c r="CW27" i="7"/>
  <c r="CX27" i="7"/>
  <c r="CY27" i="7"/>
  <c r="CZ27" i="7"/>
  <c r="DA27" i="7"/>
  <c r="DB27" i="7"/>
  <c r="DC27" i="7"/>
  <c r="DD27" i="7"/>
  <c r="DE27" i="7"/>
  <c r="DF27" i="7"/>
  <c r="DG27" i="7"/>
  <c r="DH27" i="7"/>
  <c r="DI27" i="7"/>
  <c r="DJ27" i="7"/>
  <c r="DK27" i="7"/>
  <c r="DL27" i="7"/>
  <c r="DM27" i="7"/>
  <c r="DN27" i="7"/>
  <c r="DO27" i="7"/>
  <c r="DP27" i="7"/>
  <c r="DQ27" i="7"/>
  <c r="DR27" i="7"/>
  <c r="DS27" i="7"/>
  <c r="DT27" i="7"/>
  <c r="DU27" i="7"/>
  <c r="DV27" i="7"/>
  <c r="DW27" i="7"/>
  <c r="DX27" i="7"/>
  <c r="DY27" i="7"/>
  <c r="DZ27" i="7"/>
  <c r="EA27" i="7"/>
  <c r="EB27" i="7"/>
  <c r="EC27" i="7"/>
  <c r="ED27" i="7"/>
  <c r="EE27" i="7"/>
  <c r="EF27" i="7"/>
  <c r="EG27" i="7"/>
  <c r="EH27" i="7"/>
  <c r="EI27" i="7"/>
  <c r="EJ27" i="7"/>
  <c r="EK27" i="7"/>
  <c r="EL27" i="7"/>
  <c r="EM27" i="7"/>
  <c r="EN27" i="7"/>
  <c r="EO27" i="7"/>
  <c r="EP27" i="7"/>
  <c r="EQ27" i="7"/>
  <c r="ER27" i="7"/>
  <c r="ES27" i="7"/>
  <c r="ET27" i="7"/>
  <c r="EU27" i="7"/>
  <c r="EV27" i="7"/>
  <c r="EW27" i="7"/>
  <c r="EX27" i="7"/>
  <c r="EY27" i="7"/>
  <c r="EZ27" i="7"/>
  <c r="FA27" i="7"/>
  <c r="FB27" i="7"/>
  <c r="FC27" i="7"/>
  <c r="FD27" i="7"/>
  <c r="FE27" i="7"/>
  <c r="FF27" i="7"/>
  <c r="FG27" i="7"/>
  <c r="FH27" i="7"/>
  <c r="FI27" i="7"/>
  <c r="FJ27" i="7"/>
  <c r="FK27" i="7"/>
  <c r="FL27" i="7"/>
  <c r="FM27" i="7"/>
  <c r="FN27" i="7"/>
  <c r="FO27" i="7"/>
  <c r="FP27" i="7"/>
  <c r="FQ27" i="7"/>
  <c r="FR27" i="7"/>
  <c r="FS27" i="7"/>
  <c r="FT27" i="7"/>
  <c r="FU27" i="7"/>
  <c r="FV27" i="7"/>
  <c r="FW27" i="7"/>
  <c r="FX27" i="7"/>
  <c r="FY27" i="7"/>
  <c r="FZ27" i="7"/>
  <c r="GA27" i="7"/>
  <c r="GB27" i="7"/>
  <c r="GC27" i="7"/>
  <c r="GD27" i="7"/>
  <c r="GE27" i="7"/>
  <c r="GF27" i="7"/>
  <c r="GG27" i="7"/>
  <c r="GH27" i="7"/>
  <c r="GI27" i="7"/>
  <c r="GJ27" i="7"/>
  <c r="GK27" i="7"/>
  <c r="GL27" i="7"/>
  <c r="GM27" i="7"/>
  <c r="GN27" i="7"/>
  <c r="GO27" i="7"/>
  <c r="GP27" i="7"/>
  <c r="GQ27" i="7"/>
  <c r="GR27" i="7"/>
  <c r="GS27" i="7"/>
  <c r="GT27" i="7"/>
  <c r="GU27" i="7"/>
  <c r="GV27" i="7"/>
  <c r="GW27" i="7"/>
  <c r="GX27" i="7"/>
  <c r="GY27" i="7"/>
  <c r="GZ27" i="7"/>
  <c r="HA27" i="7"/>
  <c r="HB27" i="7"/>
  <c r="HC27" i="7"/>
  <c r="HD27" i="7"/>
  <c r="HE27" i="7"/>
  <c r="HF27" i="7"/>
  <c r="HG27" i="7"/>
  <c r="HH27" i="7"/>
  <c r="HI27" i="7"/>
  <c r="HJ27" i="7"/>
  <c r="HK27" i="7"/>
  <c r="HL27" i="7"/>
  <c r="HM27" i="7"/>
  <c r="HN27" i="7"/>
  <c r="HO27" i="7"/>
  <c r="HP27" i="7"/>
  <c r="HQ27" i="7"/>
  <c r="HR27" i="7"/>
  <c r="HS27" i="7"/>
  <c r="HT27" i="7"/>
  <c r="HU27" i="7"/>
  <c r="HV27" i="7"/>
  <c r="HW27" i="7"/>
  <c r="HX27" i="7"/>
  <c r="HY27" i="7"/>
  <c r="HZ27" i="7"/>
  <c r="IA27" i="7"/>
  <c r="IB27" i="7"/>
  <c r="IC27" i="7"/>
  <c r="ID27" i="7"/>
  <c r="IE27" i="7"/>
  <c r="IF27" i="7"/>
  <c r="IG27" i="7"/>
  <c r="IH27" i="7"/>
  <c r="II27" i="7"/>
  <c r="IJ27" i="7"/>
  <c r="IK27" i="7"/>
  <c r="IL27" i="7"/>
  <c r="IM27" i="7"/>
  <c r="IN27" i="7"/>
  <c r="IO27" i="7"/>
  <c r="IP27" i="7"/>
  <c r="IQ27" i="7"/>
  <c r="IR27" i="7"/>
  <c r="IS27" i="7"/>
  <c r="IT27" i="7"/>
  <c r="IU27" i="7"/>
  <c r="IV27" i="7"/>
  <c r="A26" i="7"/>
  <c r="B26" i="7"/>
  <c r="C26" i="7"/>
  <c r="D26" i="7"/>
  <c r="E26" i="7"/>
  <c r="F26" i="7"/>
  <c r="G26" i="7"/>
  <c r="H26" i="7"/>
  <c r="I26" i="7"/>
  <c r="J26" i="7"/>
  <c r="K26" i="7"/>
  <c r="L26" i="7"/>
  <c r="M26" i="7"/>
  <c r="N26" i="7"/>
  <c r="O26" i="7"/>
  <c r="P26" i="7"/>
  <c r="Q26" i="7"/>
  <c r="R26" i="7"/>
  <c r="S26" i="7"/>
  <c r="T26" i="7"/>
  <c r="U26" i="7"/>
  <c r="V26" i="7"/>
  <c r="W26" i="7"/>
  <c r="X26" i="7"/>
  <c r="Y26" i="7"/>
  <c r="Z26" i="7"/>
  <c r="AA26" i="7"/>
  <c r="AB26" i="7"/>
  <c r="AC26" i="7"/>
  <c r="AD26" i="7"/>
  <c r="AE26" i="7"/>
  <c r="AF26" i="7"/>
  <c r="AG26" i="7"/>
  <c r="AH26" i="7"/>
  <c r="AI26" i="7"/>
  <c r="AJ26" i="7"/>
  <c r="AK26" i="7"/>
  <c r="AL26" i="7"/>
  <c r="AM26" i="7"/>
  <c r="AN26" i="7"/>
  <c r="AO26" i="7"/>
  <c r="AP26" i="7"/>
  <c r="AQ26" i="7"/>
  <c r="AR26" i="7"/>
  <c r="AS26" i="7"/>
  <c r="AT26" i="7"/>
  <c r="AU26" i="7"/>
  <c r="AV26" i="7"/>
  <c r="AW26" i="7"/>
  <c r="AX26" i="7"/>
  <c r="AY26" i="7"/>
  <c r="AZ26" i="7"/>
  <c r="BA26" i="7"/>
  <c r="BB26" i="7"/>
  <c r="BC26" i="7"/>
  <c r="BD26" i="7"/>
  <c r="BE26" i="7"/>
  <c r="BF26" i="7"/>
  <c r="BG26" i="7"/>
  <c r="BH26" i="7"/>
  <c r="BI26" i="7"/>
  <c r="BJ26" i="7"/>
  <c r="BK26" i="7"/>
  <c r="BL26" i="7"/>
  <c r="BM26" i="7"/>
  <c r="BN26" i="7"/>
  <c r="BO26" i="7"/>
  <c r="BP26" i="7"/>
  <c r="BQ26" i="7"/>
  <c r="BR26" i="7"/>
  <c r="BS26" i="7"/>
  <c r="BT26" i="7"/>
  <c r="BU26" i="7"/>
  <c r="BV26" i="7"/>
  <c r="BW26" i="7"/>
  <c r="BX26" i="7"/>
  <c r="BY26" i="7"/>
  <c r="BZ26" i="7"/>
  <c r="CA26" i="7"/>
  <c r="CB26" i="7"/>
  <c r="CC26" i="7"/>
  <c r="CD26" i="7"/>
  <c r="CE26" i="7"/>
  <c r="CF26" i="7"/>
  <c r="CG26" i="7"/>
  <c r="CH26" i="7"/>
  <c r="CI26" i="7"/>
  <c r="CJ26" i="7"/>
  <c r="CK26" i="7"/>
  <c r="CL26" i="7"/>
  <c r="CM26" i="7"/>
  <c r="CN26" i="7"/>
  <c r="CO26" i="7"/>
  <c r="CP26" i="7"/>
  <c r="CQ26" i="7"/>
  <c r="CR26" i="7"/>
  <c r="CS26" i="7"/>
  <c r="CT26" i="7"/>
  <c r="CU26" i="7"/>
  <c r="CV26" i="7"/>
  <c r="CW26" i="7"/>
  <c r="CX26" i="7"/>
  <c r="CY26" i="7"/>
  <c r="CZ26" i="7"/>
  <c r="DA26" i="7"/>
  <c r="DB26" i="7"/>
  <c r="DC26" i="7"/>
  <c r="DD26" i="7"/>
  <c r="DE26" i="7"/>
  <c r="DF26" i="7"/>
  <c r="DG26" i="7"/>
  <c r="DH26" i="7"/>
  <c r="DI26" i="7"/>
  <c r="DJ26" i="7"/>
  <c r="DK26" i="7"/>
  <c r="DL26" i="7"/>
  <c r="DM26" i="7"/>
  <c r="DN26" i="7"/>
  <c r="DO26" i="7"/>
  <c r="DP26" i="7"/>
  <c r="DQ26" i="7"/>
  <c r="DR26" i="7"/>
  <c r="DS26" i="7"/>
  <c r="DT26" i="7"/>
  <c r="DU26" i="7"/>
  <c r="DV26" i="7"/>
  <c r="DW26" i="7"/>
  <c r="DX26" i="7"/>
  <c r="DY26" i="7"/>
  <c r="DZ26" i="7"/>
  <c r="EA26" i="7"/>
  <c r="EB26" i="7"/>
  <c r="EC26" i="7"/>
  <c r="ED26" i="7"/>
  <c r="EE26" i="7"/>
  <c r="EF26" i="7"/>
  <c r="EG26" i="7"/>
  <c r="EH26" i="7"/>
  <c r="EI26" i="7"/>
  <c r="EJ26" i="7"/>
  <c r="EK26" i="7"/>
  <c r="EL26" i="7"/>
  <c r="EM26" i="7"/>
  <c r="EN26" i="7"/>
  <c r="EO26" i="7"/>
  <c r="EP26" i="7"/>
  <c r="EQ26" i="7"/>
  <c r="ER26" i="7"/>
  <c r="ES26" i="7"/>
  <c r="ET26" i="7"/>
  <c r="EU26" i="7"/>
  <c r="EV26" i="7"/>
  <c r="EW26" i="7"/>
  <c r="EX26" i="7"/>
  <c r="EY26" i="7"/>
  <c r="EZ26" i="7"/>
  <c r="FA26" i="7"/>
  <c r="FB26" i="7"/>
  <c r="FC26" i="7"/>
  <c r="FD26" i="7"/>
  <c r="FE26" i="7"/>
  <c r="FF26" i="7"/>
  <c r="FG26" i="7"/>
  <c r="FH26" i="7"/>
  <c r="FI26" i="7"/>
  <c r="FJ26" i="7"/>
  <c r="FK26" i="7"/>
  <c r="FL26" i="7"/>
  <c r="FM26" i="7"/>
  <c r="FN26" i="7"/>
  <c r="FO26" i="7"/>
  <c r="FP26" i="7"/>
  <c r="FQ26" i="7"/>
  <c r="FR26" i="7"/>
  <c r="FS26" i="7"/>
  <c r="FT26" i="7"/>
  <c r="FU26" i="7"/>
  <c r="FV26" i="7"/>
  <c r="FW26" i="7"/>
  <c r="FX26" i="7"/>
  <c r="FY26" i="7"/>
  <c r="FZ26" i="7"/>
  <c r="GA26" i="7"/>
  <c r="GB26" i="7"/>
  <c r="GC26" i="7"/>
  <c r="GD26" i="7"/>
  <c r="GE26" i="7"/>
  <c r="GF26" i="7"/>
  <c r="GG26" i="7"/>
  <c r="GH26" i="7"/>
  <c r="GI26" i="7"/>
  <c r="GJ26" i="7"/>
  <c r="GK26" i="7"/>
  <c r="GL26" i="7"/>
  <c r="GM26" i="7"/>
  <c r="GN26" i="7"/>
  <c r="GO26" i="7"/>
  <c r="GP26" i="7"/>
  <c r="GQ26" i="7"/>
  <c r="GR26" i="7"/>
  <c r="GS26" i="7"/>
  <c r="GT26" i="7"/>
  <c r="GU26" i="7"/>
  <c r="GV26" i="7"/>
  <c r="GW26" i="7"/>
  <c r="GX26" i="7"/>
  <c r="GY26" i="7"/>
  <c r="GZ26" i="7"/>
  <c r="HA26" i="7"/>
  <c r="HB26" i="7"/>
  <c r="HC26" i="7"/>
  <c r="HD26" i="7"/>
  <c r="HE26" i="7"/>
  <c r="HF26" i="7"/>
  <c r="HG26" i="7"/>
  <c r="HH26" i="7"/>
  <c r="HI26" i="7"/>
  <c r="HJ26" i="7"/>
  <c r="HK26" i="7"/>
  <c r="HL26" i="7"/>
  <c r="HM26" i="7"/>
  <c r="HN26" i="7"/>
  <c r="HO26" i="7"/>
  <c r="HP26" i="7"/>
  <c r="HQ26" i="7"/>
  <c r="HR26" i="7"/>
  <c r="HS26" i="7"/>
  <c r="HT26" i="7"/>
  <c r="HU26" i="7"/>
  <c r="HV26" i="7"/>
  <c r="HW26" i="7"/>
  <c r="HX26" i="7"/>
  <c r="HY26" i="7"/>
  <c r="HZ26" i="7"/>
  <c r="IA26" i="7"/>
  <c r="IB26" i="7"/>
  <c r="IC26" i="7"/>
  <c r="ID26" i="7"/>
  <c r="IE26" i="7"/>
  <c r="IF26" i="7"/>
  <c r="IG26" i="7"/>
  <c r="IH26" i="7"/>
  <c r="II26" i="7"/>
  <c r="IJ26" i="7"/>
  <c r="IK26" i="7"/>
  <c r="IL26" i="7"/>
  <c r="IM26" i="7"/>
  <c r="IN26" i="7"/>
  <c r="IO26" i="7"/>
  <c r="IP26" i="7"/>
  <c r="IQ26" i="7"/>
  <c r="IR26" i="7"/>
  <c r="IS26" i="7"/>
  <c r="IT26" i="7"/>
  <c r="IU26" i="7"/>
  <c r="IV26" i="7"/>
  <c r="A25" i="7"/>
  <c r="B25" i="7"/>
  <c r="C25" i="7"/>
  <c r="D25" i="7"/>
  <c r="E25" i="7"/>
  <c r="F25" i="7"/>
  <c r="G25" i="7"/>
  <c r="H25" i="7"/>
  <c r="I25" i="7"/>
  <c r="J25" i="7"/>
  <c r="K25" i="7"/>
  <c r="L25" i="7"/>
  <c r="M25" i="7"/>
  <c r="N25" i="7"/>
  <c r="O25" i="7"/>
  <c r="P25" i="7"/>
  <c r="Q25" i="7"/>
  <c r="R25" i="7"/>
  <c r="S25" i="7"/>
  <c r="T25" i="7"/>
  <c r="U25" i="7"/>
  <c r="V25" i="7"/>
  <c r="W25" i="7"/>
  <c r="X25" i="7"/>
  <c r="Y25" i="7"/>
  <c r="Z25" i="7"/>
  <c r="AA25" i="7"/>
  <c r="AB25" i="7"/>
  <c r="AC25" i="7"/>
  <c r="AD25" i="7"/>
  <c r="AE25" i="7"/>
  <c r="AF25" i="7"/>
  <c r="AG25" i="7"/>
  <c r="AH25" i="7"/>
  <c r="AI25" i="7"/>
  <c r="AJ25" i="7"/>
  <c r="AK25" i="7"/>
  <c r="AL25" i="7"/>
  <c r="AM25" i="7"/>
  <c r="AN25" i="7"/>
  <c r="AO25" i="7"/>
  <c r="AP25" i="7"/>
  <c r="AQ25" i="7"/>
  <c r="AR25" i="7"/>
  <c r="AS25" i="7"/>
  <c r="AT25" i="7"/>
  <c r="AU25" i="7"/>
  <c r="AV25" i="7"/>
  <c r="AW25" i="7"/>
  <c r="AX25" i="7"/>
  <c r="AY25" i="7"/>
  <c r="AZ25" i="7"/>
  <c r="BA25" i="7"/>
  <c r="BB25" i="7"/>
  <c r="BC25" i="7"/>
  <c r="BD25" i="7"/>
  <c r="BE25" i="7"/>
  <c r="BF25" i="7"/>
  <c r="BG25" i="7"/>
  <c r="BH25" i="7"/>
  <c r="BI25" i="7"/>
  <c r="BJ25" i="7"/>
  <c r="BK25" i="7"/>
  <c r="BL25" i="7"/>
  <c r="BM25" i="7"/>
  <c r="BN25" i="7"/>
  <c r="BO25" i="7"/>
  <c r="BP25" i="7"/>
  <c r="BQ25" i="7"/>
  <c r="BR25" i="7"/>
  <c r="BS25" i="7"/>
  <c r="BT25" i="7"/>
  <c r="BU25" i="7"/>
  <c r="BV25" i="7"/>
  <c r="BW25" i="7"/>
  <c r="BX25" i="7"/>
  <c r="BY25" i="7"/>
  <c r="BZ25" i="7"/>
  <c r="CA25" i="7"/>
  <c r="CB25" i="7"/>
  <c r="CC25" i="7"/>
  <c r="CD25" i="7"/>
  <c r="CE25" i="7"/>
  <c r="CF25" i="7"/>
  <c r="CG25" i="7"/>
  <c r="CH25" i="7"/>
  <c r="CI25" i="7"/>
  <c r="CJ25" i="7"/>
  <c r="CK25" i="7"/>
  <c r="CL25" i="7"/>
  <c r="CM25" i="7"/>
  <c r="CN25" i="7"/>
  <c r="CO25" i="7"/>
  <c r="CP25" i="7"/>
  <c r="CQ25" i="7"/>
  <c r="CR25" i="7"/>
  <c r="CS25" i="7"/>
  <c r="CT25" i="7"/>
  <c r="CU25" i="7"/>
  <c r="CV25" i="7"/>
  <c r="CW25" i="7"/>
  <c r="CX25" i="7"/>
  <c r="CY25" i="7"/>
  <c r="CZ25" i="7"/>
  <c r="DA25" i="7"/>
  <c r="DB25" i="7"/>
  <c r="DC25" i="7"/>
  <c r="DD25" i="7"/>
  <c r="DE25" i="7"/>
  <c r="DF25" i="7"/>
  <c r="DG25" i="7"/>
  <c r="DH25" i="7"/>
  <c r="DI25" i="7"/>
  <c r="DJ25" i="7"/>
  <c r="DK25" i="7"/>
  <c r="DL25" i="7"/>
  <c r="DM25" i="7"/>
  <c r="DN25" i="7"/>
  <c r="DO25" i="7"/>
  <c r="DP25" i="7"/>
  <c r="DQ25" i="7"/>
  <c r="DR25" i="7"/>
  <c r="DS25" i="7"/>
  <c r="DT25" i="7"/>
  <c r="DU25" i="7"/>
  <c r="DV25" i="7"/>
  <c r="DW25" i="7"/>
  <c r="DX25" i="7"/>
  <c r="DY25" i="7"/>
  <c r="DZ25" i="7"/>
  <c r="EA25" i="7"/>
  <c r="EB25" i="7"/>
  <c r="EC25" i="7"/>
  <c r="ED25" i="7"/>
  <c r="EE25" i="7"/>
  <c r="EF25" i="7"/>
  <c r="EG25" i="7"/>
  <c r="EH25" i="7"/>
  <c r="EI25" i="7"/>
  <c r="EJ25" i="7"/>
  <c r="EK25" i="7"/>
  <c r="EL25" i="7"/>
  <c r="EM25" i="7"/>
  <c r="EN25" i="7"/>
  <c r="EO25" i="7"/>
  <c r="EP25" i="7"/>
  <c r="EQ25" i="7"/>
  <c r="ER25" i="7"/>
  <c r="ES25" i="7"/>
  <c r="ET25" i="7"/>
  <c r="EU25" i="7"/>
  <c r="EV25" i="7"/>
  <c r="EW25" i="7"/>
  <c r="EX25" i="7"/>
  <c r="EY25" i="7"/>
  <c r="EZ25" i="7"/>
  <c r="FA25" i="7"/>
  <c r="FB25" i="7"/>
  <c r="FC25" i="7"/>
  <c r="FD25" i="7"/>
  <c r="FE25" i="7"/>
  <c r="FF25" i="7"/>
  <c r="FG25" i="7"/>
  <c r="FH25" i="7"/>
  <c r="FI25" i="7"/>
  <c r="FJ25" i="7"/>
  <c r="FK25" i="7"/>
  <c r="FL25" i="7"/>
  <c r="FM25" i="7"/>
  <c r="FN25" i="7"/>
  <c r="FO25" i="7"/>
  <c r="FP25" i="7"/>
  <c r="FQ25" i="7"/>
  <c r="FR25" i="7"/>
  <c r="FS25" i="7"/>
  <c r="FT25" i="7"/>
  <c r="FU25" i="7"/>
  <c r="FV25" i="7"/>
  <c r="FW25" i="7"/>
  <c r="FX25" i="7"/>
  <c r="FY25" i="7"/>
  <c r="FZ25" i="7"/>
  <c r="GA25" i="7"/>
  <c r="GB25" i="7"/>
  <c r="GC25" i="7"/>
  <c r="GD25" i="7"/>
  <c r="GE25" i="7"/>
  <c r="GF25" i="7"/>
  <c r="GG25" i="7"/>
  <c r="GH25" i="7"/>
  <c r="GI25" i="7"/>
  <c r="GJ25" i="7"/>
  <c r="GK25" i="7"/>
  <c r="GL25" i="7"/>
  <c r="GM25" i="7"/>
  <c r="GN25" i="7"/>
  <c r="GO25" i="7"/>
  <c r="GP25" i="7"/>
  <c r="GQ25" i="7"/>
  <c r="GR25" i="7"/>
  <c r="GS25" i="7"/>
  <c r="GT25" i="7"/>
  <c r="GU25" i="7"/>
  <c r="GV25" i="7"/>
  <c r="GW25" i="7"/>
  <c r="GX25" i="7"/>
  <c r="GY25" i="7"/>
  <c r="GZ25" i="7"/>
  <c r="HA25" i="7"/>
  <c r="HB25" i="7"/>
  <c r="HC25" i="7"/>
  <c r="HD25" i="7"/>
  <c r="HE25" i="7"/>
  <c r="HF25" i="7"/>
  <c r="HG25" i="7"/>
  <c r="HH25" i="7"/>
  <c r="HI25" i="7"/>
  <c r="HJ25" i="7"/>
  <c r="HK25" i="7"/>
  <c r="HL25" i="7"/>
  <c r="HM25" i="7"/>
  <c r="HN25" i="7"/>
  <c r="HO25" i="7"/>
  <c r="HP25" i="7"/>
  <c r="HQ25" i="7"/>
  <c r="HR25" i="7"/>
  <c r="HS25" i="7"/>
  <c r="HT25" i="7"/>
  <c r="HU25" i="7"/>
  <c r="HV25" i="7"/>
  <c r="HW25" i="7"/>
  <c r="HX25" i="7"/>
  <c r="HY25" i="7"/>
  <c r="HZ25" i="7"/>
  <c r="IA25" i="7"/>
  <c r="IB25" i="7"/>
  <c r="IC25" i="7"/>
  <c r="ID25" i="7"/>
  <c r="IE25" i="7"/>
  <c r="IF25" i="7"/>
  <c r="IG25" i="7"/>
  <c r="IH25" i="7"/>
  <c r="II25" i="7"/>
  <c r="IJ25" i="7"/>
  <c r="IK25" i="7"/>
  <c r="IL25" i="7"/>
  <c r="IM25" i="7"/>
  <c r="IN25" i="7"/>
  <c r="IO25" i="7"/>
  <c r="IP25" i="7"/>
  <c r="IQ25" i="7"/>
  <c r="IR25" i="7"/>
  <c r="IS25" i="7"/>
  <c r="IT25" i="7"/>
  <c r="IU25" i="7"/>
  <c r="IV25" i="7"/>
  <c r="A24" i="7"/>
  <c r="B24" i="7"/>
  <c r="C24" i="7"/>
  <c r="D24" i="7"/>
  <c r="E24" i="7"/>
  <c r="F24" i="7"/>
  <c r="G24" i="7"/>
  <c r="H24" i="7"/>
  <c r="I24" i="7"/>
  <c r="J24" i="7"/>
  <c r="K24" i="7"/>
  <c r="L24" i="7"/>
  <c r="M24" i="7"/>
  <c r="N24" i="7"/>
  <c r="O24" i="7"/>
  <c r="P24" i="7"/>
  <c r="Q24" i="7"/>
  <c r="R24" i="7"/>
  <c r="S24" i="7"/>
  <c r="T24" i="7"/>
  <c r="U24" i="7"/>
  <c r="V24" i="7"/>
  <c r="W24" i="7"/>
  <c r="X24" i="7"/>
  <c r="Y24" i="7"/>
  <c r="Z24" i="7"/>
  <c r="AA24" i="7"/>
  <c r="AB24" i="7"/>
  <c r="AC24" i="7"/>
  <c r="AD24" i="7"/>
  <c r="AE24" i="7"/>
  <c r="AF24" i="7"/>
  <c r="AG24" i="7"/>
  <c r="AH24" i="7"/>
  <c r="AI24" i="7"/>
  <c r="AJ24" i="7"/>
  <c r="AK24" i="7"/>
  <c r="AL24" i="7"/>
  <c r="AM24" i="7"/>
  <c r="AN24" i="7"/>
  <c r="AO24" i="7"/>
  <c r="AP24" i="7"/>
  <c r="AQ24" i="7"/>
  <c r="AR24" i="7"/>
  <c r="AS24" i="7"/>
  <c r="AT24" i="7"/>
  <c r="AU24" i="7"/>
  <c r="AV24" i="7"/>
  <c r="AW24" i="7"/>
  <c r="AX24" i="7"/>
  <c r="AY24" i="7"/>
  <c r="AZ24" i="7"/>
  <c r="BA24" i="7"/>
  <c r="BB24" i="7"/>
  <c r="BC24" i="7"/>
  <c r="BD24" i="7"/>
  <c r="BE24" i="7"/>
  <c r="BF24" i="7"/>
  <c r="BG24" i="7"/>
  <c r="BH24" i="7"/>
  <c r="BI24" i="7"/>
  <c r="BJ24" i="7"/>
  <c r="BK24" i="7"/>
  <c r="BL24" i="7"/>
  <c r="BM24" i="7"/>
  <c r="BN24" i="7"/>
  <c r="BO24" i="7"/>
  <c r="BP24" i="7"/>
  <c r="BQ24" i="7"/>
  <c r="BR24" i="7"/>
  <c r="BS24" i="7"/>
  <c r="BT24" i="7"/>
  <c r="BU24" i="7"/>
  <c r="BV24" i="7"/>
  <c r="BW24" i="7"/>
  <c r="BX24" i="7"/>
  <c r="BY24" i="7"/>
  <c r="BZ24" i="7"/>
  <c r="CA24" i="7"/>
  <c r="CB24" i="7"/>
  <c r="CC24" i="7"/>
  <c r="CD24" i="7"/>
  <c r="CE24" i="7"/>
  <c r="CF24" i="7"/>
  <c r="CG24" i="7"/>
  <c r="CH24" i="7"/>
  <c r="CI24" i="7"/>
  <c r="CJ24" i="7"/>
  <c r="CK24" i="7"/>
  <c r="CL24" i="7"/>
  <c r="CM24" i="7"/>
  <c r="CN24" i="7"/>
  <c r="CO24" i="7"/>
  <c r="CP24" i="7"/>
  <c r="CQ24" i="7"/>
  <c r="CR24" i="7"/>
  <c r="CS24" i="7"/>
  <c r="CT24" i="7"/>
  <c r="CU24" i="7"/>
  <c r="CV24" i="7"/>
  <c r="CW24" i="7"/>
  <c r="CX24" i="7"/>
  <c r="CY24" i="7"/>
  <c r="CZ24" i="7"/>
  <c r="DA24" i="7"/>
  <c r="DB24" i="7"/>
  <c r="DC24" i="7"/>
  <c r="DD24" i="7"/>
  <c r="DE24" i="7"/>
  <c r="DF24" i="7"/>
  <c r="DG24" i="7"/>
  <c r="DH24" i="7"/>
  <c r="DI24" i="7"/>
  <c r="DJ24" i="7"/>
  <c r="DK24" i="7"/>
  <c r="DL24" i="7"/>
  <c r="DM24" i="7"/>
  <c r="DN24" i="7"/>
  <c r="DO24" i="7"/>
  <c r="DP24" i="7"/>
  <c r="DQ24" i="7"/>
  <c r="DR24" i="7"/>
  <c r="DS24" i="7"/>
  <c r="DT24" i="7"/>
  <c r="DU24" i="7"/>
  <c r="DV24" i="7"/>
  <c r="DW24" i="7"/>
  <c r="DX24" i="7"/>
  <c r="DY24" i="7"/>
  <c r="DZ24" i="7"/>
  <c r="EA24" i="7"/>
  <c r="EB24" i="7"/>
  <c r="EC24" i="7"/>
  <c r="ED24" i="7"/>
  <c r="EE24" i="7"/>
  <c r="EF24" i="7"/>
  <c r="EG24" i="7"/>
  <c r="EH24" i="7"/>
  <c r="EI24" i="7"/>
  <c r="EJ24" i="7"/>
  <c r="EK24" i="7"/>
  <c r="EL24" i="7"/>
  <c r="EM24" i="7"/>
  <c r="EN24" i="7"/>
  <c r="EO24" i="7"/>
  <c r="EP24" i="7"/>
  <c r="EQ24" i="7"/>
  <c r="ER24" i="7"/>
  <c r="ES24" i="7"/>
  <c r="ET24" i="7"/>
  <c r="EU24" i="7"/>
  <c r="EV24" i="7"/>
  <c r="EW24" i="7"/>
  <c r="EX24" i="7"/>
  <c r="EY24" i="7"/>
  <c r="EZ24" i="7"/>
  <c r="FA24" i="7"/>
  <c r="FB24" i="7"/>
  <c r="FC24" i="7"/>
  <c r="FD24" i="7"/>
  <c r="FE24" i="7"/>
  <c r="FF24" i="7"/>
  <c r="FG24" i="7"/>
  <c r="FH24" i="7"/>
  <c r="FI24" i="7"/>
  <c r="FJ24" i="7"/>
  <c r="FK24" i="7"/>
  <c r="FL24" i="7"/>
  <c r="FM24" i="7"/>
  <c r="FN24" i="7"/>
  <c r="FO24" i="7"/>
  <c r="FP24" i="7"/>
  <c r="FQ24" i="7"/>
  <c r="FR24" i="7"/>
  <c r="FS24" i="7"/>
  <c r="FT24" i="7"/>
  <c r="FU24" i="7"/>
  <c r="FV24" i="7"/>
  <c r="FW24" i="7"/>
  <c r="FX24" i="7"/>
  <c r="FY24" i="7"/>
  <c r="FZ24" i="7"/>
  <c r="GA24" i="7"/>
  <c r="GB24" i="7"/>
  <c r="GC24" i="7"/>
  <c r="GD24" i="7"/>
  <c r="GE24" i="7"/>
  <c r="GF24" i="7"/>
  <c r="GG24" i="7"/>
  <c r="GH24" i="7"/>
  <c r="GI24" i="7"/>
  <c r="GJ24" i="7"/>
  <c r="GK24" i="7"/>
  <c r="GL24" i="7"/>
  <c r="GM24" i="7"/>
  <c r="GN24" i="7"/>
  <c r="GO24" i="7"/>
  <c r="GP24" i="7"/>
  <c r="GQ24" i="7"/>
  <c r="GR24" i="7"/>
  <c r="GS24" i="7"/>
  <c r="GT24" i="7"/>
  <c r="GU24" i="7"/>
  <c r="GV24" i="7"/>
  <c r="GW24" i="7"/>
  <c r="GX24" i="7"/>
  <c r="GY24" i="7"/>
  <c r="GZ24" i="7"/>
  <c r="HA24" i="7"/>
  <c r="HB24" i="7"/>
  <c r="HC24" i="7"/>
  <c r="HD24" i="7"/>
  <c r="HE24" i="7"/>
  <c r="HF24" i="7"/>
  <c r="HG24" i="7"/>
  <c r="HH24" i="7"/>
  <c r="HI24" i="7"/>
  <c r="HJ24" i="7"/>
  <c r="HK24" i="7"/>
  <c r="HL24" i="7"/>
  <c r="HM24" i="7"/>
  <c r="HN24" i="7"/>
  <c r="HO24" i="7"/>
  <c r="HP24" i="7"/>
  <c r="HQ24" i="7"/>
  <c r="HR24" i="7"/>
  <c r="HS24" i="7"/>
  <c r="HT24" i="7"/>
  <c r="HU24" i="7"/>
  <c r="HV24" i="7"/>
  <c r="HW24" i="7"/>
  <c r="HX24" i="7"/>
  <c r="HY24" i="7"/>
  <c r="HZ24" i="7"/>
  <c r="IA24" i="7"/>
  <c r="IB24" i="7"/>
  <c r="IC24" i="7"/>
  <c r="ID24" i="7"/>
  <c r="IE24" i="7"/>
  <c r="IF24" i="7"/>
  <c r="IG24" i="7"/>
  <c r="IH24" i="7"/>
  <c r="II24" i="7"/>
  <c r="IJ24" i="7"/>
  <c r="IK24" i="7"/>
  <c r="IL24" i="7"/>
  <c r="IM24" i="7"/>
  <c r="IN24" i="7"/>
  <c r="IO24" i="7"/>
  <c r="IP24" i="7"/>
  <c r="IQ24" i="7"/>
  <c r="IR24" i="7"/>
  <c r="IS24" i="7"/>
  <c r="IT24" i="7"/>
  <c r="IU24" i="7"/>
  <c r="IV24" i="7"/>
  <c r="A23" i="7"/>
  <c r="B23" i="7"/>
  <c r="C23" i="7"/>
  <c r="D23" i="7"/>
  <c r="E23" i="7"/>
  <c r="F23" i="7"/>
  <c r="G23" i="7"/>
  <c r="H23" i="7"/>
  <c r="I23" i="7"/>
  <c r="J23" i="7"/>
  <c r="K23" i="7"/>
  <c r="L23" i="7"/>
  <c r="M23" i="7"/>
  <c r="N23" i="7"/>
  <c r="O23" i="7"/>
  <c r="P23" i="7"/>
  <c r="Q23" i="7"/>
  <c r="R23" i="7"/>
  <c r="S23" i="7"/>
  <c r="T23" i="7"/>
  <c r="U23" i="7"/>
  <c r="V23" i="7"/>
  <c r="W23" i="7"/>
  <c r="X23" i="7"/>
  <c r="Y23" i="7"/>
  <c r="Z23" i="7"/>
  <c r="AA23" i="7"/>
  <c r="AB23" i="7"/>
  <c r="AC23" i="7"/>
  <c r="AD23" i="7"/>
  <c r="AE23" i="7"/>
  <c r="AF23" i="7"/>
  <c r="AG23" i="7"/>
  <c r="AH23" i="7"/>
  <c r="AI23" i="7"/>
  <c r="AJ23" i="7"/>
  <c r="AK23" i="7"/>
  <c r="AL23" i="7"/>
  <c r="AM23" i="7"/>
  <c r="AN23" i="7"/>
  <c r="AO23" i="7"/>
  <c r="AP23" i="7"/>
  <c r="AQ23" i="7"/>
  <c r="AR23" i="7"/>
  <c r="AS23" i="7"/>
  <c r="AT23" i="7"/>
  <c r="AU23" i="7"/>
  <c r="AV23" i="7"/>
  <c r="AW23" i="7"/>
  <c r="AX23" i="7"/>
  <c r="AY23" i="7"/>
  <c r="AZ23" i="7"/>
  <c r="BA23" i="7"/>
  <c r="BB23" i="7"/>
  <c r="BC23" i="7"/>
  <c r="BD23" i="7"/>
  <c r="BE23" i="7"/>
  <c r="BF23" i="7"/>
  <c r="BG23" i="7"/>
  <c r="BH23" i="7"/>
  <c r="BI23" i="7"/>
  <c r="BJ23" i="7"/>
  <c r="BK23" i="7"/>
  <c r="BL23" i="7"/>
  <c r="BM23" i="7"/>
  <c r="BN23" i="7"/>
  <c r="BO23" i="7"/>
  <c r="BP23" i="7"/>
  <c r="BQ23" i="7"/>
  <c r="BR23" i="7"/>
  <c r="BS23" i="7"/>
  <c r="BT23" i="7"/>
  <c r="BU23" i="7"/>
  <c r="BV23" i="7"/>
  <c r="BW23" i="7"/>
  <c r="BX23" i="7"/>
  <c r="BY23" i="7"/>
  <c r="BZ23" i="7"/>
  <c r="CA23" i="7"/>
  <c r="CB23" i="7"/>
  <c r="CC23" i="7"/>
  <c r="CD23" i="7"/>
  <c r="CE23" i="7"/>
  <c r="CF23" i="7"/>
  <c r="CG23" i="7"/>
  <c r="CH23" i="7"/>
  <c r="CI23" i="7"/>
  <c r="CJ23" i="7"/>
  <c r="CK23" i="7"/>
  <c r="CL23" i="7"/>
  <c r="CM23" i="7"/>
  <c r="CN23" i="7"/>
  <c r="CO23" i="7"/>
  <c r="CP23" i="7"/>
  <c r="CQ23" i="7"/>
  <c r="CR23" i="7"/>
  <c r="CS23" i="7"/>
  <c r="CT23" i="7"/>
  <c r="CU23" i="7"/>
  <c r="CV23" i="7"/>
  <c r="CW23" i="7"/>
  <c r="CX23" i="7"/>
  <c r="CY23" i="7"/>
  <c r="CZ23" i="7"/>
  <c r="DA23" i="7"/>
  <c r="DB23" i="7"/>
  <c r="DC23" i="7"/>
  <c r="DD23" i="7"/>
  <c r="DE23" i="7"/>
  <c r="DF23" i="7"/>
  <c r="DG23" i="7"/>
  <c r="DH23" i="7"/>
  <c r="DI23" i="7"/>
  <c r="DJ23" i="7"/>
  <c r="DK23" i="7"/>
  <c r="DL23" i="7"/>
  <c r="DM23" i="7"/>
  <c r="DN23" i="7"/>
  <c r="DO23" i="7"/>
  <c r="DP23" i="7"/>
  <c r="DQ23" i="7"/>
  <c r="DR23" i="7"/>
  <c r="DS23" i="7"/>
  <c r="DT23" i="7"/>
  <c r="DU23" i="7"/>
  <c r="DV23" i="7"/>
  <c r="DW23" i="7"/>
  <c r="DX23" i="7"/>
  <c r="DY23" i="7"/>
  <c r="DZ23" i="7"/>
  <c r="EA23" i="7"/>
  <c r="EB23" i="7"/>
  <c r="EC23" i="7"/>
  <c r="ED23" i="7"/>
  <c r="EE23" i="7"/>
  <c r="EF23" i="7"/>
  <c r="EG23" i="7"/>
  <c r="EH23" i="7"/>
  <c r="EI23" i="7"/>
  <c r="EJ23" i="7"/>
  <c r="EK23" i="7"/>
  <c r="EL23" i="7"/>
  <c r="EM23" i="7"/>
  <c r="EN23" i="7"/>
  <c r="EO23" i="7"/>
  <c r="EP23" i="7"/>
  <c r="EQ23" i="7"/>
  <c r="ER23" i="7"/>
  <c r="ES23" i="7"/>
  <c r="ET23" i="7"/>
  <c r="EU23" i="7"/>
  <c r="EV23" i="7"/>
  <c r="EW23" i="7"/>
  <c r="EX23" i="7"/>
  <c r="EY23" i="7"/>
  <c r="EZ23" i="7"/>
  <c r="FA23" i="7"/>
  <c r="FB23" i="7"/>
  <c r="FC23" i="7"/>
  <c r="FD23" i="7"/>
  <c r="FE23" i="7"/>
  <c r="FF23" i="7"/>
  <c r="FG23" i="7"/>
  <c r="FH23" i="7"/>
  <c r="FI23" i="7"/>
  <c r="FJ23" i="7"/>
  <c r="FK23" i="7"/>
  <c r="FL23" i="7"/>
  <c r="FM23" i="7"/>
  <c r="FN23" i="7"/>
  <c r="FO23" i="7"/>
  <c r="FP23" i="7"/>
  <c r="FQ23" i="7"/>
  <c r="FR23" i="7"/>
  <c r="FS23" i="7"/>
  <c r="FT23" i="7"/>
  <c r="FU23" i="7"/>
  <c r="FV23" i="7"/>
  <c r="FW23" i="7"/>
  <c r="FX23" i="7"/>
  <c r="FY23" i="7"/>
  <c r="FZ23" i="7"/>
  <c r="GA23" i="7"/>
  <c r="GB23" i="7"/>
  <c r="GC23" i="7"/>
  <c r="GD23" i="7"/>
  <c r="GE23" i="7"/>
  <c r="GF23" i="7"/>
  <c r="GG23" i="7"/>
  <c r="GH23" i="7"/>
  <c r="GI23" i="7"/>
  <c r="GJ23" i="7"/>
  <c r="GK23" i="7"/>
  <c r="GL23" i="7"/>
  <c r="GM23" i="7"/>
  <c r="GN23" i="7"/>
  <c r="GO23" i="7"/>
  <c r="GP23" i="7"/>
  <c r="GQ23" i="7"/>
  <c r="GR23" i="7"/>
  <c r="GS23" i="7"/>
  <c r="GT23" i="7"/>
  <c r="GU23" i="7"/>
  <c r="GV23" i="7"/>
  <c r="GW23" i="7"/>
  <c r="GX23" i="7"/>
  <c r="GY23" i="7"/>
  <c r="GZ23" i="7"/>
  <c r="HA23" i="7"/>
  <c r="HB23" i="7"/>
  <c r="HC23" i="7"/>
  <c r="HD23" i="7"/>
  <c r="HE23" i="7"/>
  <c r="HF23" i="7"/>
  <c r="HG23" i="7"/>
  <c r="HH23" i="7"/>
  <c r="HI23" i="7"/>
  <c r="HJ23" i="7"/>
  <c r="HK23" i="7"/>
  <c r="HL23" i="7"/>
  <c r="HM23" i="7"/>
  <c r="HN23" i="7"/>
  <c r="HO23" i="7"/>
  <c r="HP23" i="7"/>
  <c r="HQ23" i="7"/>
  <c r="HR23" i="7"/>
  <c r="HS23" i="7"/>
  <c r="HT23" i="7"/>
  <c r="HU23" i="7"/>
  <c r="HV23" i="7"/>
  <c r="HW23" i="7"/>
  <c r="HX23" i="7"/>
  <c r="HY23" i="7"/>
  <c r="HZ23" i="7"/>
  <c r="IA23" i="7"/>
  <c r="IB23" i="7"/>
  <c r="IC23" i="7"/>
  <c r="ID23" i="7"/>
  <c r="IE23" i="7"/>
  <c r="IF23" i="7"/>
  <c r="IG23" i="7"/>
  <c r="IH23" i="7"/>
  <c r="II23" i="7"/>
  <c r="IJ23" i="7"/>
  <c r="IK23" i="7"/>
  <c r="IL23" i="7"/>
  <c r="IM23" i="7"/>
  <c r="IN23" i="7"/>
  <c r="IO23" i="7"/>
  <c r="IP23" i="7"/>
  <c r="IQ23" i="7"/>
  <c r="IR23" i="7"/>
  <c r="IS23" i="7"/>
  <c r="IT23" i="7"/>
  <c r="IU23" i="7"/>
  <c r="IV23" i="7"/>
  <c r="A22" i="7"/>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FO22" i="7"/>
  <c r="FP22" i="7"/>
  <c r="FQ22" i="7"/>
  <c r="FR22" i="7"/>
  <c r="FS22" i="7"/>
  <c r="FT22" i="7"/>
  <c r="FU22" i="7"/>
  <c r="FV22" i="7"/>
  <c r="FW22" i="7"/>
  <c r="FX22" i="7"/>
  <c r="FY22" i="7"/>
  <c r="FZ22" i="7"/>
  <c r="GA22" i="7"/>
  <c r="GB22" i="7"/>
  <c r="GC22" i="7"/>
  <c r="GD22" i="7"/>
  <c r="GE22" i="7"/>
  <c r="GF22" i="7"/>
  <c r="GG22" i="7"/>
  <c r="GH22" i="7"/>
  <c r="GI22" i="7"/>
  <c r="GJ22" i="7"/>
  <c r="GK22" i="7"/>
  <c r="GL22" i="7"/>
  <c r="GM22" i="7"/>
  <c r="GN22" i="7"/>
  <c r="GO22" i="7"/>
  <c r="GP22" i="7"/>
  <c r="GQ22" i="7"/>
  <c r="GR22" i="7"/>
  <c r="GS22" i="7"/>
  <c r="GT22" i="7"/>
  <c r="GU22" i="7"/>
  <c r="GV22" i="7"/>
  <c r="GW22" i="7"/>
  <c r="GX22" i="7"/>
  <c r="GY22" i="7"/>
  <c r="GZ22" i="7"/>
  <c r="HA22" i="7"/>
  <c r="HB22" i="7"/>
  <c r="HC22" i="7"/>
  <c r="HD22" i="7"/>
  <c r="HE22" i="7"/>
  <c r="HF22" i="7"/>
  <c r="HG22" i="7"/>
  <c r="HH22" i="7"/>
  <c r="HI22" i="7"/>
  <c r="HJ22" i="7"/>
  <c r="HK22" i="7"/>
  <c r="HL22" i="7"/>
  <c r="HM22" i="7"/>
  <c r="HN22" i="7"/>
  <c r="HO22" i="7"/>
  <c r="HP22" i="7"/>
  <c r="HQ22" i="7"/>
  <c r="HR22" i="7"/>
  <c r="HS22" i="7"/>
  <c r="HT22" i="7"/>
  <c r="HU22" i="7"/>
  <c r="HV22" i="7"/>
  <c r="HW22" i="7"/>
  <c r="HX22" i="7"/>
  <c r="HY22" i="7"/>
  <c r="HZ22" i="7"/>
  <c r="IA22" i="7"/>
  <c r="IB22" i="7"/>
  <c r="IC22" i="7"/>
  <c r="ID22" i="7"/>
  <c r="IE22" i="7"/>
  <c r="IF22" i="7"/>
  <c r="IG22" i="7"/>
  <c r="IH22" i="7"/>
  <c r="II22" i="7"/>
  <c r="IJ22" i="7"/>
  <c r="IK22" i="7"/>
  <c r="IL22" i="7"/>
  <c r="IM22" i="7"/>
  <c r="IN22" i="7"/>
  <c r="IO22" i="7"/>
  <c r="IP22" i="7"/>
  <c r="IQ22" i="7"/>
  <c r="IR22" i="7"/>
  <c r="IS22" i="7"/>
  <c r="IT22" i="7"/>
  <c r="IU22" i="7"/>
  <c r="IV22" i="7"/>
  <c r="A21" i="7"/>
  <c r="B21" i="7"/>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A20" i="7"/>
  <c r="B20" i="7"/>
  <c r="C20" i="7"/>
  <c r="D20" i="7"/>
  <c r="E20" i="7"/>
  <c r="F20"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AY20" i="7"/>
  <c r="AZ20" i="7"/>
  <c r="BA20" i="7"/>
  <c r="BB20" i="7"/>
  <c r="BC20" i="7"/>
  <c r="BD20" i="7"/>
  <c r="BE20" i="7"/>
  <c r="BF20" i="7"/>
  <c r="BG20" i="7"/>
  <c r="BH20" i="7"/>
  <c r="BI20" i="7"/>
  <c r="BJ20" i="7"/>
  <c r="BK20" i="7"/>
  <c r="BL20" i="7"/>
  <c r="BM20" i="7"/>
  <c r="BN20" i="7"/>
  <c r="BO20" i="7"/>
  <c r="BP20" i="7"/>
  <c r="BQ20" i="7"/>
  <c r="BR20" i="7"/>
  <c r="BS20" i="7"/>
  <c r="BT20" i="7"/>
  <c r="BU20" i="7"/>
  <c r="BV20" i="7"/>
  <c r="BW20" i="7"/>
  <c r="BX20" i="7"/>
  <c r="BY20" i="7"/>
  <c r="BZ20" i="7"/>
  <c r="CA20" i="7"/>
  <c r="CB20" i="7"/>
  <c r="CC20" i="7"/>
  <c r="CD20" i="7"/>
  <c r="CE20" i="7"/>
  <c r="CF20" i="7"/>
  <c r="CG20" i="7"/>
  <c r="CH20" i="7"/>
  <c r="CI20" i="7"/>
  <c r="CJ20" i="7"/>
  <c r="CK20" i="7"/>
  <c r="CL20" i="7"/>
  <c r="CM20" i="7"/>
  <c r="CN20" i="7"/>
  <c r="CO20" i="7"/>
  <c r="CP20" i="7"/>
  <c r="CQ20" i="7"/>
  <c r="CR20" i="7"/>
  <c r="CS20" i="7"/>
  <c r="CT20" i="7"/>
  <c r="CU20" i="7"/>
  <c r="CV20" i="7"/>
  <c r="CW20" i="7"/>
  <c r="CX20" i="7"/>
  <c r="CY20" i="7"/>
  <c r="CZ20" i="7"/>
  <c r="DA20" i="7"/>
  <c r="DB20" i="7"/>
  <c r="DC20" i="7"/>
  <c r="DD20" i="7"/>
  <c r="DE20" i="7"/>
  <c r="DF20" i="7"/>
  <c r="DG20" i="7"/>
  <c r="DH20" i="7"/>
  <c r="DI20" i="7"/>
  <c r="DJ20" i="7"/>
  <c r="DK20" i="7"/>
  <c r="DL20" i="7"/>
  <c r="DM20" i="7"/>
  <c r="DN20" i="7"/>
  <c r="DO20" i="7"/>
  <c r="DP20" i="7"/>
  <c r="DQ20" i="7"/>
  <c r="DR20" i="7"/>
  <c r="DS20" i="7"/>
  <c r="DT20" i="7"/>
  <c r="DU20" i="7"/>
  <c r="DV20" i="7"/>
  <c r="DW20" i="7"/>
  <c r="DX20" i="7"/>
  <c r="DY20" i="7"/>
  <c r="DZ20" i="7"/>
  <c r="EA20" i="7"/>
  <c r="EB20" i="7"/>
  <c r="EC20" i="7"/>
  <c r="ED20" i="7"/>
  <c r="EE20" i="7"/>
  <c r="EF20" i="7"/>
  <c r="EG20" i="7"/>
  <c r="EH20" i="7"/>
  <c r="EI20" i="7"/>
  <c r="EJ20" i="7"/>
  <c r="EK20" i="7"/>
  <c r="EL20" i="7"/>
  <c r="EM20" i="7"/>
  <c r="EN20" i="7"/>
  <c r="EO20" i="7"/>
  <c r="EP20" i="7"/>
  <c r="EQ20" i="7"/>
  <c r="ER20" i="7"/>
  <c r="ES20" i="7"/>
  <c r="ET20" i="7"/>
  <c r="EU20" i="7"/>
  <c r="EV20" i="7"/>
  <c r="EW20" i="7"/>
  <c r="EX20" i="7"/>
  <c r="EY20" i="7"/>
  <c r="EZ20" i="7"/>
  <c r="FA20" i="7"/>
  <c r="FB20" i="7"/>
  <c r="FC20" i="7"/>
  <c r="FD20" i="7"/>
  <c r="FE20" i="7"/>
  <c r="FF20" i="7"/>
  <c r="FG20" i="7"/>
  <c r="FH20" i="7"/>
  <c r="FI20" i="7"/>
  <c r="FJ20" i="7"/>
  <c r="FK20" i="7"/>
  <c r="FL20" i="7"/>
  <c r="FM20" i="7"/>
  <c r="FN20" i="7"/>
  <c r="FO20" i="7"/>
  <c r="FP20" i="7"/>
  <c r="FQ20" i="7"/>
  <c r="FR20" i="7"/>
  <c r="FS20" i="7"/>
  <c r="FT20" i="7"/>
  <c r="FU20" i="7"/>
  <c r="FV20" i="7"/>
  <c r="FW20" i="7"/>
  <c r="FX20" i="7"/>
  <c r="FY20" i="7"/>
  <c r="FZ20" i="7"/>
  <c r="GA20" i="7"/>
  <c r="GB20" i="7"/>
  <c r="GC20" i="7"/>
  <c r="GD20" i="7"/>
  <c r="GE20" i="7"/>
  <c r="GF20" i="7"/>
  <c r="GG20" i="7"/>
  <c r="GH20" i="7"/>
  <c r="GI20" i="7"/>
  <c r="GJ20" i="7"/>
  <c r="GK20" i="7"/>
  <c r="GL20" i="7"/>
  <c r="GM20" i="7"/>
  <c r="GN20" i="7"/>
  <c r="GO20" i="7"/>
  <c r="GP20" i="7"/>
  <c r="GQ20" i="7"/>
  <c r="GR20" i="7"/>
  <c r="GS20" i="7"/>
  <c r="GT20" i="7"/>
  <c r="GU20" i="7"/>
  <c r="GV20" i="7"/>
  <c r="GW20" i="7"/>
  <c r="GX20" i="7"/>
  <c r="GY20" i="7"/>
  <c r="GZ20" i="7"/>
  <c r="HA20" i="7"/>
  <c r="HB20" i="7"/>
  <c r="HC20" i="7"/>
  <c r="HD20" i="7"/>
  <c r="HE20" i="7"/>
  <c r="HF20" i="7"/>
  <c r="HG20" i="7"/>
  <c r="HH20" i="7"/>
  <c r="HI20" i="7"/>
  <c r="HJ20" i="7"/>
  <c r="HK20" i="7"/>
  <c r="HL20" i="7"/>
  <c r="HM20" i="7"/>
  <c r="HN20" i="7"/>
  <c r="HO20" i="7"/>
  <c r="HP20" i="7"/>
  <c r="HQ20" i="7"/>
  <c r="HR20" i="7"/>
  <c r="HS20" i="7"/>
  <c r="HT20" i="7"/>
  <c r="HU20" i="7"/>
  <c r="HV20" i="7"/>
  <c r="HW20" i="7"/>
  <c r="HX20" i="7"/>
  <c r="HY20" i="7"/>
  <c r="HZ20" i="7"/>
  <c r="IA20" i="7"/>
  <c r="IB20" i="7"/>
  <c r="IC20" i="7"/>
  <c r="ID20" i="7"/>
  <c r="IE20" i="7"/>
  <c r="IF20" i="7"/>
  <c r="IG20" i="7"/>
  <c r="IH20" i="7"/>
  <c r="II20" i="7"/>
  <c r="IJ20" i="7"/>
  <c r="IK20" i="7"/>
  <c r="IL20" i="7"/>
  <c r="IM20" i="7"/>
  <c r="IN20" i="7"/>
  <c r="IO20" i="7"/>
  <c r="IP20" i="7"/>
  <c r="IQ20" i="7"/>
  <c r="IR20" i="7"/>
  <c r="IS20" i="7"/>
  <c r="IT20" i="7"/>
  <c r="IU20" i="7"/>
  <c r="IV20" i="7"/>
  <c r="A19" i="7"/>
  <c r="B19" i="7"/>
  <c r="C19" i="7"/>
  <c r="D19" i="7"/>
  <c r="E19" i="7"/>
  <c r="F19"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FO19" i="7"/>
  <c r="FP19" i="7"/>
  <c r="FQ19" i="7"/>
  <c r="FR19" i="7"/>
  <c r="FS19" i="7"/>
  <c r="FT19" i="7"/>
  <c r="FU19" i="7"/>
  <c r="FV19" i="7"/>
  <c r="FW19" i="7"/>
  <c r="FX19" i="7"/>
  <c r="FY19" i="7"/>
  <c r="FZ19" i="7"/>
  <c r="GA19" i="7"/>
  <c r="GB19" i="7"/>
  <c r="GC19" i="7"/>
  <c r="GD19" i="7"/>
  <c r="GE19" i="7"/>
  <c r="GF19" i="7"/>
  <c r="GG19" i="7"/>
  <c r="GH19" i="7"/>
  <c r="GI19" i="7"/>
  <c r="GJ19" i="7"/>
  <c r="GK19" i="7"/>
  <c r="GL19" i="7"/>
  <c r="GM19" i="7"/>
  <c r="GN19" i="7"/>
  <c r="GO19" i="7"/>
  <c r="GP19" i="7"/>
  <c r="GQ19" i="7"/>
  <c r="GR19" i="7"/>
  <c r="GS19" i="7"/>
  <c r="GT19" i="7"/>
  <c r="GU19" i="7"/>
  <c r="GV19" i="7"/>
  <c r="GW19" i="7"/>
  <c r="GX19" i="7"/>
  <c r="GY19" i="7"/>
  <c r="GZ19" i="7"/>
  <c r="HA19" i="7"/>
  <c r="HB19" i="7"/>
  <c r="HC19" i="7"/>
  <c r="HD19" i="7"/>
  <c r="HE19" i="7"/>
  <c r="HF19" i="7"/>
  <c r="HG19" i="7"/>
  <c r="HH19" i="7"/>
  <c r="HI19" i="7"/>
  <c r="HJ19" i="7"/>
  <c r="HK19" i="7"/>
  <c r="HL19" i="7"/>
  <c r="HM19" i="7"/>
  <c r="HN19" i="7"/>
  <c r="HO19" i="7"/>
  <c r="HP19" i="7"/>
  <c r="HQ19" i="7"/>
  <c r="HR19" i="7"/>
  <c r="HS19" i="7"/>
  <c r="HT19" i="7"/>
  <c r="HU19" i="7"/>
  <c r="HV19" i="7"/>
  <c r="HW19" i="7"/>
  <c r="HX19" i="7"/>
  <c r="HY19" i="7"/>
  <c r="HZ19" i="7"/>
  <c r="IA19" i="7"/>
  <c r="IB19" i="7"/>
  <c r="IC19" i="7"/>
  <c r="ID19" i="7"/>
  <c r="IE19" i="7"/>
  <c r="IF19" i="7"/>
  <c r="IG19" i="7"/>
  <c r="IH19" i="7"/>
  <c r="II19" i="7"/>
  <c r="IJ19" i="7"/>
  <c r="IK19" i="7"/>
  <c r="IL19" i="7"/>
  <c r="IM19" i="7"/>
  <c r="IN19" i="7"/>
  <c r="IO19" i="7"/>
  <c r="IP19" i="7"/>
  <c r="IQ19" i="7"/>
  <c r="IR19" i="7"/>
  <c r="IS19" i="7"/>
  <c r="IT19" i="7"/>
  <c r="IU19" i="7"/>
  <c r="IV19" i="7"/>
  <c r="A18" i="7"/>
  <c r="B18" i="7"/>
  <c r="C18" i="7"/>
  <c r="D18" i="7"/>
  <c r="E18" i="7"/>
  <c r="F18" i="7"/>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AY18" i="7"/>
  <c r="AZ18" i="7"/>
  <c r="BA18" i="7"/>
  <c r="BB18" i="7"/>
  <c r="BC18" i="7"/>
  <c r="BD18" i="7"/>
  <c r="BE18" i="7"/>
  <c r="BF18" i="7"/>
  <c r="BG18" i="7"/>
  <c r="BH18" i="7"/>
  <c r="BI18" i="7"/>
  <c r="BJ18" i="7"/>
  <c r="BK18" i="7"/>
  <c r="BL18" i="7"/>
  <c r="BM18" i="7"/>
  <c r="BN18" i="7"/>
  <c r="BO18" i="7"/>
  <c r="BP18" i="7"/>
  <c r="BQ18" i="7"/>
  <c r="BR18" i="7"/>
  <c r="BS18" i="7"/>
  <c r="BT18" i="7"/>
  <c r="BU18" i="7"/>
  <c r="BV18" i="7"/>
  <c r="BW18" i="7"/>
  <c r="BX18" i="7"/>
  <c r="BY18" i="7"/>
  <c r="BZ18" i="7"/>
  <c r="CA18" i="7"/>
  <c r="CB18" i="7"/>
  <c r="CC18" i="7"/>
  <c r="CD18" i="7"/>
  <c r="CE18" i="7"/>
  <c r="CF18" i="7"/>
  <c r="CG18" i="7"/>
  <c r="CH18" i="7"/>
  <c r="CI18" i="7"/>
  <c r="CJ18" i="7"/>
  <c r="CK18" i="7"/>
  <c r="CL18" i="7"/>
  <c r="CM18" i="7"/>
  <c r="CN18" i="7"/>
  <c r="CO18" i="7"/>
  <c r="CP18" i="7"/>
  <c r="CQ18" i="7"/>
  <c r="CR18" i="7"/>
  <c r="CS18" i="7"/>
  <c r="CT18" i="7"/>
  <c r="CU18" i="7"/>
  <c r="CV18" i="7"/>
  <c r="CW18" i="7"/>
  <c r="CX18" i="7"/>
  <c r="CY18" i="7"/>
  <c r="CZ18" i="7"/>
  <c r="DA18" i="7"/>
  <c r="DB18" i="7"/>
  <c r="DC18" i="7"/>
  <c r="DD18" i="7"/>
  <c r="DE18" i="7"/>
  <c r="DF18" i="7"/>
  <c r="DG18" i="7"/>
  <c r="DH18" i="7"/>
  <c r="DI18" i="7"/>
  <c r="DJ18" i="7"/>
  <c r="DK18" i="7"/>
  <c r="DL18" i="7"/>
  <c r="DM18" i="7"/>
  <c r="DN18" i="7"/>
  <c r="DO18" i="7"/>
  <c r="DP18" i="7"/>
  <c r="DQ18" i="7"/>
  <c r="DR18" i="7"/>
  <c r="DS18" i="7"/>
  <c r="DT18" i="7"/>
  <c r="DU18" i="7"/>
  <c r="DV18" i="7"/>
  <c r="DW18" i="7"/>
  <c r="DX18" i="7"/>
  <c r="DY18" i="7"/>
  <c r="DZ18" i="7"/>
  <c r="EA18" i="7"/>
  <c r="EB18" i="7"/>
  <c r="EC18" i="7"/>
  <c r="ED18" i="7"/>
  <c r="EE18" i="7"/>
  <c r="EF18" i="7"/>
  <c r="EG18" i="7"/>
  <c r="EH18" i="7"/>
  <c r="EI18" i="7"/>
  <c r="EJ18" i="7"/>
  <c r="EK18" i="7"/>
  <c r="EL18" i="7"/>
  <c r="EM18" i="7"/>
  <c r="EN18" i="7"/>
  <c r="EO18" i="7"/>
  <c r="EP18" i="7"/>
  <c r="EQ18" i="7"/>
  <c r="ER18" i="7"/>
  <c r="ES18" i="7"/>
  <c r="ET18" i="7"/>
  <c r="EU18" i="7"/>
  <c r="EV18" i="7"/>
  <c r="EW18" i="7"/>
  <c r="EX18" i="7"/>
  <c r="EY18" i="7"/>
  <c r="EZ18" i="7"/>
  <c r="FA18" i="7"/>
  <c r="FB18" i="7"/>
  <c r="FC18" i="7"/>
  <c r="FD18" i="7"/>
  <c r="FE18" i="7"/>
  <c r="FF18" i="7"/>
  <c r="FG18" i="7"/>
  <c r="FH18" i="7"/>
  <c r="FI18" i="7"/>
  <c r="FJ18" i="7"/>
  <c r="FK18" i="7"/>
  <c r="FL18" i="7"/>
  <c r="FM18" i="7"/>
  <c r="FN18" i="7"/>
  <c r="FO18" i="7"/>
  <c r="FP18" i="7"/>
  <c r="FQ18" i="7"/>
  <c r="FR18" i="7"/>
  <c r="FS18" i="7"/>
  <c r="FT18" i="7"/>
  <c r="FU18" i="7"/>
  <c r="FV18" i="7"/>
  <c r="FW18" i="7"/>
  <c r="FX18" i="7"/>
  <c r="FY18" i="7"/>
  <c r="FZ18" i="7"/>
  <c r="GA18" i="7"/>
  <c r="GB18" i="7"/>
  <c r="GC18" i="7"/>
  <c r="GD18" i="7"/>
  <c r="GE18" i="7"/>
  <c r="GF18" i="7"/>
  <c r="GG18" i="7"/>
  <c r="GH18" i="7"/>
  <c r="GI18" i="7"/>
  <c r="GJ18" i="7"/>
  <c r="GK18" i="7"/>
  <c r="GL18" i="7"/>
  <c r="GM18" i="7"/>
  <c r="GN18" i="7"/>
  <c r="GO18" i="7"/>
  <c r="GP18" i="7"/>
  <c r="GQ18" i="7"/>
  <c r="GR18" i="7"/>
  <c r="GS18" i="7"/>
  <c r="GT18" i="7"/>
  <c r="GU18" i="7"/>
  <c r="GV18" i="7"/>
  <c r="GW18" i="7"/>
  <c r="GX18" i="7"/>
  <c r="GY18" i="7"/>
  <c r="GZ18" i="7"/>
  <c r="HA18" i="7"/>
  <c r="HB18" i="7"/>
  <c r="HC18" i="7"/>
  <c r="HD18" i="7"/>
  <c r="HE18" i="7"/>
  <c r="HF18" i="7"/>
  <c r="HG18" i="7"/>
  <c r="HH18" i="7"/>
  <c r="HI18" i="7"/>
  <c r="HJ18" i="7"/>
  <c r="HK18" i="7"/>
  <c r="HL18" i="7"/>
  <c r="HM18" i="7"/>
  <c r="HN18" i="7"/>
  <c r="HO18" i="7"/>
  <c r="HP18" i="7"/>
  <c r="HQ18" i="7"/>
  <c r="HR18" i="7"/>
  <c r="HS18" i="7"/>
  <c r="HT18" i="7"/>
  <c r="HU18" i="7"/>
  <c r="HV18" i="7"/>
  <c r="HW18" i="7"/>
  <c r="HX18" i="7"/>
  <c r="HY18" i="7"/>
  <c r="HZ18" i="7"/>
  <c r="IA18" i="7"/>
  <c r="IB18" i="7"/>
  <c r="IC18" i="7"/>
  <c r="ID18" i="7"/>
  <c r="IE18" i="7"/>
  <c r="IF18" i="7"/>
  <c r="IG18" i="7"/>
  <c r="IH18" i="7"/>
  <c r="II18" i="7"/>
  <c r="IJ18" i="7"/>
  <c r="IK18" i="7"/>
  <c r="IL18" i="7"/>
  <c r="IM18" i="7"/>
  <c r="IN18" i="7"/>
  <c r="IO18" i="7"/>
  <c r="IP18" i="7"/>
  <c r="IQ18" i="7"/>
  <c r="IR18" i="7"/>
  <c r="IS18" i="7"/>
  <c r="IT18" i="7"/>
  <c r="IU18" i="7"/>
  <c r="IV18" i="7"/>
  <c r="A17" i="7"/>
  <c r="B17" i="7"/>
  <c r="C17" i="7"/>
  <c r="D17" i="7"/>
  <c r="E17" i="7"/>
  <c r="F17" i="7"/>
  <c r="G17" i="7"/>
  <c r="H17" i="7"/>
  <c r="I17" i="7"/>
  <c r="J17" i="7"/>
  <c r="K17" i="7"/>
  <c r="L17" i="7"/>
  <c r="M17" i="7"/>
  <c r="N17" i="7"/>
  <c r="O17" i="7"/>
  <c r="P17" i="7"/>
  <c r="Q17" i="7"/>
  <c r="R17" i="7"/>
  <c r="S17" i="7"/>
  <c r="T17" i="7"/>
  <c r="U17" i="7"/>
  <c r="V17" i="7"/>
  <c r="W17" i="7"/>
  <c r="X17" i="7"/>
  <c r="Y17" i="7"/>
  <c r="Z17" i="7"/>
  <c r="AA17" i="7"/>
  <c r="AB17" i="7"/>
  <c r="AC17" i="7"/>
  <c r="AD17" i="7"/>
  <c r="AE17" i="7"/>
  <c r="AF17" i="7"/>
  <c r="AG17" i="7"/>
  <c r="AH17" i="7"/>
  <c r="AI17" i="7"/>
  <c r="AJ17" i="7"/>
  <c r="AK17" i="7"/>
  <c r="AL17" i="7"/>
  <c r="AM17" i="7"/>
  <c r="AN17" i="7"/>
  <c r="AO17" i="7"/>
  <c r="AP17" i="7"/>
  <c r="AQ17" i="7"/>
  <c r="AR17" i="7"/>
  <c r="AS17" i="7"/>
  <c r="AT17" i="7"/>
  <c r="AU17" i="7"/>
  <c r="AV17" i="7"/>
  <c r="AW17" i="7"/>
  <c r="AX17" i="7"/>
  <c r="AY17" i="7"/>
  <c r="AZ17" i="7"/>
  <c r="BA17" i="7"/>
  <c r="BB17" i="7"/>
  <c r="BC17" i="7"/>
  <c r="BD17" i="7"/>
  <c r="BE17" i="7"/>
  <c r="BF17" i="7"/>
  <c r="BG17" i="7"/>
  <c r="BH17" i="7"/>
  <c r="BI17" i="7"/>
  <c r="BJ17" i="7"/>
  <c r="BK17" i="7"/>
  <c r="BL17" i="7"/>
  <c r="BM17" i="7"/>
  <c r="BN17" i="7"/>
  <c r="BO17" i="7"/>
  <c r="BP17" i="7"/>
  <c r="BQ17" i="7"/>
  <c r="BR17" i="7"/>
  <c r="BS17" i="7"/>
  <c r="BT17" i="7"/>
  <c r="BU17" i="7"/>
  <c r="BV17" i="7"/>
  <c r="BW17" i="7"/>
  <c r="BX17" i="7"/>
  <c r="BY17" i="7"/>
  <c r="BZ17" i="7"/>
  <c r="CA17" i="7"/>
  <c r="CB17" i="7"/>
  <c r="CC17" i="7"/>
  <c r="CD17" i="7"/>
  <c r="CE17" i="7"/>
  <c r="CF17" i="7"/>
  <c r="CG17" i="7"/>
  <c r="CH17" i="7"/>
  <c r="CI17" i="7"/>
  <c r="CJ17" i="7"/>
  <c r="CK17" i="7"/>
  <c r="CL17" i="7"/>
  <c r="CM17" i="7"/>
  <c r="CN17" i="7"/>
  <c r="CO17" i="7"/>
  <c r="CP17" i="7"/>
  <c r="CQ17" i="7"/>
  <c r="CR17" i="7"/>
  <c r="CS17" i="7"/>
  <c r="CT17" i="7"/>
  <c r="CU17" i="7"/>
  <c r="CV17" i="7"/>
  <c r="CW17" i="7"/>
  <c r="CX17" i="7"/>
  <c r="CY17" i="7"/>
  <c r="CZ17" i="7"/>
  <c r="DA17" i="7"/>
  <c r="DB17" i="7"/>
  <c r="DC17" i="7"/>
  <c r="DD17" i="7"/>
  <c r="DE17" i="7"/>
  <c r="DF17" i="7"/>
  <c r="DG17" i="7"/>
  <c r="DH17" i="7"/>
  <c r="DI17" i="7"/>
  <c r="DJ17" i="7"/>
  <c r="DK17" i="7"/>
  <c r="DL17" i="7"/>
  <c r="DM17" i="7"/>
  <c r="DN17" i="7"/>
  <c r="DO17" i="7"/>
  <c r="DP17" i="7"/>
  <c r="DQ17" i="7"/>
  <c r="DR17" i="7"/>
  <c r="DS17" i="7"/>
  <c r="DT17" i="7"/>
  <c r="DU17" i="7"/>
  <c r="DV17" i="7"/>
  <c r="DW17" i="7"/>
  <c r="DX17" i="7"/>
  <c r="DY17" i="7"/>
  <c r="DZ17" i="7"/>
  <c r="EA17" i="7"/>
  <c r="EB17" i="7"/>
  <c r="EC17" i="7"/>
  <c r="ED17" i="7"/>
  <c r="EE17" i="7"/>
  <c r="EF17" i="7"/>
  <c r="EG17" i="7"/>
  <c r="EH17" i="7"/>
  <c r="EI17" i="7"/>
  <c r="EJ17" i="7"/>
  <c r="EK17" i="7"/>
  <c r="EL17" i="7"/>
  <c r="EM17" i="7"/>
  <c r="EN17" i="7"/>
  <c r="EO17" i="7"/>
  <c r="EP17" i="7"/>
  <c r="EQ17" i="7"/>
  <c r="ER17" i="7"/>
  <c r="ES17" i="7"/>
  <c r="ET17" i="7"/>
  <c r="EU17" i="7"/>
  <c r="EV17" i="7"/>
  <c r="EW17" i="7"/>
  <c r="EX17" i="7"/>
  <c r="EY17" i="7"/>
  <c r="EZ17" i="7"/>
  <c r="FA17" i="7"/>
  <c r="FB17" i="7"/>
  <c r="FC17" i="7"/>
  <c r="FD17" i="7"/>
  <c r="FE17" i="7"/>
  <c r="FF17" i="7"/>
  <c r="FG17" i="7"/>
  <c r="FH17" i="7"/>
  <c r="FI17" i="7"/>
  <c r="FJ17" i="7"/>
  <c r="FK17" i="7"/>
  <c r="FL17" i="7"/>
  <c r="FM17" i="7"/>
  <c r="FN17" i="7"/>
  <c r="FO17" i="7"/>
  <c r="FP17" i="7"/>
  <c r="FQ17" i="7"/>
  <c r="FR17" i="7"/>
  <c r="FS17" i="7"/>
  <c r="FT17" i="7"/>
  <c r="FU17" i="7"/>
  <c r="FV17" i="7"/>
  <c r="FW17" i="7"/>
  <c r="FX17" i="7"/>
  <c r="FY17" i="7"/>
  <c r="FZ17" i="7"/>
  <c r="GA17" i="7"/>
  <c r="GB17" i="7"/>
  <c r="GC17" i="7"/>
  <c r="GD17" i="7"/>
  <c r="GE17" i="7"/>
  <c r="GF17" i="7"/>
  <c r="GG17" i="7"/>
  <c r="GH17" i="7"/>
  <c r="GI17" i="7"/>
  <c r="GJ17" i="7"/>
  <c r="GK17" i="7"/>
  <c r="GL17" i="7"/>
  <c r="GM17" i="7"/>
  <c r="GN17" i="7"/>
  <c r="GO17" i="7"/>
  <c r="GP17" i="7"/>
  <c r="GQ17" i="7"/>
  <c r="GR17" i="7"/>
  <c r="GS17" i="7"/>
  <c r="GT17" i="7"/>
  <c r="GU17" i="7"/>
  <c r="GV17" i="7"/>
  <c r="GW17" i="7"/>
  <c r="GX17" i="7"/>
  <c r="GY17" i="7"/>
  <c r="GZ17" i="7"/>
  <c r="HA17" i="7"/>
  <c r="HB17" i="7"/>
  <c r="HC17" i="7"/>
  <c r="HD17" i="7"/>
  <c r="HE17" i="7"/>
  <c r="HF17" i="7"/>
  <c r="HG17" i="7"/>
  <c r="HH17" i="7"/>
  <c r="HI17" i="7"/>
  <c r="HJ17" i="7"/>
  <c r="HK17" i="7"/>
  <c r="HL17" i="7"/>
  <c r="HM17" i="7"/>
  <c r="HN17" i="7"/>
  <c r="HO17" i="7"/>
  <c r="HP17" i="7"/>
  <c r="HQ17" i="7"/>
  <c r="HR17" i="7"/>
  <c r="HS17" i="7"/>
  <c r="HT17" i="7"/>
  <c r="HU17" i="7"/>
  <c r="HV17" i="7"/>
  <c r="HW17" i="7"/>
  <c r="HX17" i="7"/>
  <c r="HY17" i="7"/>
  <c r="HZ17" i="7"/>
  <c r="IA17" i="7"/>
  <c r="IB17" i="7"/>
  <c r="IC17" i="7"/>
  <c r="ID17" i="7"/>
  <c r="IE17" i="7"/>
  <c r="IF17" i="7"/>
  <c r="IG17" i="7"/>
  <c r="IH17" i="7"/>
  <c r="II17" i="7"/>
  <c r="IJ17" i="7"/>
  <c r="IK17" i="7"/>
  <c r="IL17" i="7"/>
  <c r="IM17" i="7"/>
  <c r="IN17" i="7"/>
  <c r="IO17" i="7"/>
  <c r="IP17" i="7"/>
  <c r="IQ17" i="7"/>
  <c r="IR17" i="7"/>
  <c r="IS17" i="7"/>
  <c r="IT17" i="7"/>
  <c r="IU17" i="7"/>
  <c r="IV17" i="7"/>
  <c r="A16" i="7"/>
  <c r="B16" i="7"/>
  <c r="C16" i="7"/>
  <c r="D16" i="7"/>
  <c r="E16" i="7"/>
  <c r="F16" i="7"/>
  <c r="G16" i="7"/>
  <c r="H16" i="7"/>
  <c r="I16" i="7"/>
  <c r="J16" i="7"/>
  <c r="K16" i="7"/>
  <c r="L16" i="7"/>
  <c r="M16" i="7"/>
  <c r="N16" i="7"/>
  <c r="O16" i="7"/>
  <c r="P16" i="7"/>
  <c r="Q16" i="7"/>
  <c r="R16" i="7"/>
  <c r="S16" i="7"/>
  <c r="T16" i="7"/>
  <c r="U16" i="7"/>
  <c r="V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FO16" i="7"/>
  <c r="FP16" i="7"/>
  <c r="FQ16" i="7"/>
  <c r="FR16" i="7"/>
  <c r="FS16" i="7"/>
  <c r="FT16" i="7"/>
  <c r="FU16" i="7"/>
  <c r="FV16" i="7"/>
  <c r="FW16" i="7"/>
  <c r="FX16" i="7"/>
  <c r="FY16" i="7"/>
  <c r="FZ16" i="7"/>
  <c r="GA16" i="7"/>
  <c r="GB16" i="7"/>
  <c r="GC16" i="7"/>
  <c r="GD16" i="7"/>
  <c r="GE16" i="7"/>
  <c r="GF16" i="7"/>
  <c r="GG16" i="7"/>
  <c r="GH16" i="7"/>
  <c r="GI16" i="7"/>
  <c r="GJ16" i="7"/>
  <c r="GK16" i="7"/>
  <c r="GL16" i="7"/>
  <c r="GM16" i="7"/>
  <c r="GN16" i="7"/>
  <c r="GO16" i="7"/>
  <c r="GP16" i="7"/>
  <c r="GQ16" i="7"/>
  <c r="GR16" i="7"/>
  <c r="GS16" i="7"/>
  <c r="GT16" i="7"/>
  <c r="GU16" i="7"/>
  <c r="GV16" i="7"/>
  <c r="GW16" i="7"/>
  <c r="GX16" i="7"/>
  <c r="GY16" i="7"/>
  <c r="GZ16" i="7"/>
  <c r="HA16" i="7"/>
  <c r="HB16" i="7"/>
  <c r="HC16" i="7"/>
  <c r="HD16" i="7"/>
  <c r="HE16" i="7"/>
  <c r="HF16" i="7"/>
  <c r="HG16" i="7"/>
  <c r="HH16" i="7"/>
  <c r="HI16" i="7"/>
  <c r="HJ16" i="7"/>
  <c r="HK16" i="7"/>
  <c r="HL16" i="7"/>
  <c r="HM16" i="7"/>
  <c r="HN16" i="7"/>
  <c r="HO16" i="7"/>
  <c r="HP16" i="7"/>
  <c r="HQ16" i="7"/>
  <c r="HR16" i="7"/>
  <c r="HS16" i="7"/>
  <c r="HT16" i="7"/>
  <c r="HU16" i="7"/>
  <c r="HV16" i="7"/>
  <c r="HW16" i="7"/>
  <c r="HX16" i="7"/>
  <c r="HY16" i="7"/>
  <c r="HZ16" i="7"/>
  <c r="IA16" i="7"/>
  <c r="IB16" i="7"/>
  <c r="IC16" i="7"/>
  <c r="ID16" i="7"/>
  <c r="IE16" i="7"/>
  <c r="IF16" i="7"/>
  <c r="IG16" i="7"/>
  <c r="IH16" i="7"/>
  <c r="II16" i="7"/>
  <c r="IJ16" i="7"/>
  <c r="IK16" i="7"/>
  <c r="IL16" i="7"/>
  <c r="IM16" i="7"/>
  <c r="IN16" i="7"/>
  <c r="IO16" i="7"/>
  <c r="IP16" i="7"/>
  <c r="IQ16" i="7"/>
  <c r="IR16" i="7"/>
  <c r="IS16" i="7"/>
  <c r="IT16" i="7"/>
  <c r="IU16" i="7"/>
  <c r="IV16" i="7"/>
  <c r="A15" i="7"/>
  <c r="B15" i="7"/>
  <c r="C15" i="7"/>
  <c r="D15" i="7"/>
  <c r="E15" i="7"/>
  <c r="F15" i="7"/>
  <c r="G15" i="7"/>
  <c r="H15" i="7"/>
  <c r="I15" i="7"/>
  <c r="J15" i="7"/>
  <c r="K15" i="7"/>
  <c r="L15" i="7"/>
  <c r="M15" i="7"/>
  <c r="N15" i="7"/>
  <c r="O15" i="7"/>
  <c r="P15" i="7"/>
  <c r="Q15" i="7"/>
  <c r="R15" i="7"/>
  <c r="S15" i="7"/>
  <c r="T15" i="7"/>
  <c r="U15" i="7"/>
  <c r="V15" i="7"/>
  <c r="W15" i="7"/>
  <c r="X15" i="7"/>
  <c r="Y15" i="7"/>
  <c r="Z15" i="7"/>
  <c r="AA15" i="7"/>
  <c r="AB15" i="7"/>
  <c r="AC15" i="7"/>
  <c r="AD15" i="7"/>
  <c r="AE15" i="7"/>
  <c r="AF15" i="7"/>
  <c r="AG15" i="7"/>
  <c r="AH15" i="7"/>
  <c r="AI15" i="7"/>
  <c r="AJ15" i="7"/>
  <c r="AK15" i="7"/>
  <c r="AL15" i="7"/>
  <c r="AM15" i="7"/>
  <c r="AN15" i="7"/>
  <c r="AO15" i="7"/>
  <c r="AP15" i="7"/>
  <c r="AQ15" i="7"/>
  <c r="AR15" i="7"/>
  <c r="AS15" i="7"/>
  <c r="AT15" i="7"/>
  <c r="AU15" i="7"/>
  <c r="AV15" i="7"/>
  <c r="AW15" i="7"/>
  <c r="AX15" i="7"/>
  <c r="AY15" i="7"/>
  <c r="AZ15" i="7"/>
  <c r="BA15" i="7"/>
  <c r="BB15" i="7"/>
  <c r="BC15" i="7"/>
  <c r="BD15" i="7"/>
  <c r="BE15" i="7"/>
  <c r="BF15" i="7"/>
  <c r="BG15" i="7"/>
  <c r="BH15" i="7"/>
  <c r="BI15" i="7"/>
  <c r="BJ15" i="7"/>
  <c r="BK15" i="7"/>
  <c r="BL15" i="7"/>
  <c r="BM15" i="7"/>
  <c r="BN15" i="7"/>
  <c r="BO15" i="7"/>
  <c r="BP15" i="7"/>
  <c r="BQ15" i="7"/>
  <c r="BR15" i="7"/>
  <c r="BS15" i="7"/>
  <c r="BT15" i="7"/>
  <c r="BU15" i="7"/>
  <c r="BV15" i="7"/>
  <c r="BW15" i="7"/>
  <c r="BX15" i="7"/>
  <c r="BY15" i="7"/>
  <c r="BZ15" i="7"/>
  <c r="CA15" i="7"/>
  <c r="CB15" i="7"/>
  <c r="CC15" i="7"/>
  <c r="CD15" i="7"/>
  <c r="CE15" i="7"/>
  <c r="CF15" i="7"/>
  <c r="CG15" i="7"/>
  <c r="CH15" i="7"/>
  <c r="CI15" i="7"/>
  <c r="CJ15" i="7"/>
  <c r="CK15" i="7"/>
  <c r="CL15" i="7"/>
  <c r="CM15" i="7"/>
  <c r="CN15" i="7"/>
  <c r="CO15" i="7"/>
  <c r="CP15" i="7"/>
  <c r="CQ15" i="7"/>
  <c r="CR15" i="7"/>
  <c r="CS15" i="7"/>
  <c r="CT15" i="7"/>
  <c r="CU15" i="7"/>
  <c r="CV15" i="7"/>
  <c r="CW15" i="7"/>
  <c r="CX15" i="7"/>
  <c r="CY15" i="7"/>
  <c r="CZ15" i="7"/>
  <c r="DA15" i="7"/>
  <c r="DB15" i="7"/>
  <c r="DC15" i="7"/>
  <c r="DD15" i="7"/>
  <c r="DE15" i="7"/>
  <c r="DF15" i="7"/>
  <c r="DG15" i="7"/>
  <c r="DH15" i="7"/>
  <c r="DI15" i="7"/>
  <c r="DJ15" i="7"/>
  <c r="DK15" i="7"/>
  <c r="DL15" i="7"/>
  <c r="DM15" i="7"/>
  <c r="DN15" i="7"/>
  <c r="DO15" i="7"/>
  <c r="DP15" i="7"/>
  <c r="DQ15" i="7"/>
  <c r="DR15" i="7"/>
  <c r="DS15" i="7"/>
  <c r="DT15" i="7"/>
  <c r="DU15" i="7"/>
  <c r="DV15" i="7"/>
  <c r="DW15" i="7"/>
  <c r="DX15" i="7"/>
  <c r="DY15" i="7"/>
  <c r="DZ15" i="7"/>
  <c r="EA15" i="7"/>
  <c r="EB15" i="7"/>
  <c r="EC15" i="7"/>
  <c r="ED15" i="7"/>
  <c r="EE15" i="7"/>
  <c r="EF15" i="7"/>
  <c r="EG15" i="7"/>
  <c r="EH15" i="7"/>
  <c r="EI15" i="7"/>
  <c r="EJ15" i="7"/>
  <c r="EK15" i="7"/>
  <c r="EL15" i="7"/>
  <c r="EM15" i="7"/>
  <c r="EN15" i="7"/>
  <c r="EO15" i="7"/>
  <c r="EP15" i="7"/>
  <c r="EQ15" i="7"/>
  <c r="ER15" i="7"/>
  <c r="ES15" i="7"/>
  <c r="ET15" i="7"/>
  <c r="EU15" i="7"/>
  <c r="EV15" i="7"/>
  <c r="EW15" i="7"/>
  <c r="EX15" i="7"/>
  <c r="EY15" i="7"/>
  <c r="EZ15" i="7"/>
  <c r="FA15" i="7"/>
  <c r="FB15" i="7"/>
  <c r="FC15" i="7"/>
  <c r="FD15" i="7"/>
  <c r="FE15" i="7"/>
  <c r="FF15" i="7"/>
  <c r="FG15" i="7"/>
  <c r="FH15" i="7"/>
  <c r="FI15" i="7"/>
  <c r="FJ15" i="7"/>
  <c r="FK15" i="7"/>
  <c r="FL15" i="7"/>
  <c r="FM15" i="7"/>
  <c r="FN15" i="7"/>
  <c r="FO15" i="7"/>
  <c r="FP15" i="7"/>
  <c r="FQ15" i="7"/>
  <c r="FR15" i="7"/>
  <c r="FS15" i="7"/>
  <c r="FT15" i="7"/>
  <c r="FU15" i="7"/>
  <c r="FV15" i="7"/>
  <c r="FW15" i="7"/>
  <c r="FX15" i="7"/>
  <c r="FY15" i="7"/>
  <c r="FZ15" i="7"/>
  <c r="GA15" i="7"/>
  <c r="GB15" i="7"/>
  <c r="GC15" i="7"/>
  <c r="GD15" i="7"/>
  <c r="GE15" i="7"/>
  <c r="GF15" i="7"/>
  <c r="GG15" i="7"/>
  <c r="GH15" i="7"/>
  <c r="GI15" i="7"/>
  <c r="GJ15" i="7"/>
  <c r="GK15" i="7"/>
  <c r="GL15" i="7"/>
  <c r="GM15" i="7"/>
  <c r="GN15" i="7"/>
  <c r="GO15" i="7"/>
  <c r="GP15" i="7"/>
  <c r="GQ15" i="7"/>
  <c r="GR15" i="7"/>
  <c r="GS15" i="7"/>
  <c r="GT15" i="7"/>
  <c r="GU15" i="7"/>
  <c r="GV15" i="7"/>
  <c r="GW15" i="7"/>
  <c r="GX15" i="7"/>
  <c r="GY15" i="7"/>
  <c r="GZ15" i="7"/>
  <c r="HA15" i="7"/>
  <c r="HB15" i="7"/>
  <c r="HC15" i="7"/>
  <c r="HD15" i="7"/>
  <c r="HE15" i="7"/>
  <c r="HF15" i="7"/>
  <c r="HG15" i="7"/>
  <c r="HH15" i="7"/>
  <c r="HI15" i="7"/>
  <c r="HJ15" i="7"/>
  <c r="HK15" i="7"/>
  <c r="HL15" i="7"/>
  <c r="HM15" i="7"/>
  <c r="HN15" i="7"/>
  <c r="HO15" i="7"/>
  <c r="HP15" i="7"/>
  <c r="HQ15" i="7"/>
  <c r="HR15" i="7"/>
  <c r="HS15" i="7"/>
  <c r="HT15" i="7"/>
  <c r="HU15" i="7"/>
  <c r="HV15" i="7"/>
  <c r="HW15" i="7"/>
  <c r="HX15" i="7"/>
  <c r="HY15" i="7"/>
  <c r="HZ15" i="7"/>
  <c r="IA15" i="7"/>
  <c r="IB15" i="7"/>
  <c r="IC15" i="7"/>
  <c r="ID15" i="7"/>
  <c r="IE15" i="7"/>
  <c r="IF15" i="7"/>
  <c r="IG15" i="7"/>
  <c r="IH15" i="7"/>
  <c r="II15" i="7"/>
  <c r="IJ15" i="7"/>
  <c r="IK15" i="7"/>
  <c r="IL15" i="7"/>
  <c r="IM15" i="7"/>
  <c r="IN15" i="7"/>
  <c r="IO15" i="7"/>
  <c r="IP15" i="7"/>
  <c r="IQ15" i="7"/>
  <c r="IR15" i="7"/>
  <c r="IS15" i="7"/>
  <c r="IT15" i="7"/>
  <c r="IU15" i="7"/>
  <c r="IV15" i="7"/>
  <c r="A14" i="7"/>
  <c r="B14" i="7"/>
  <c r="C14" i="7"/>
  <c r="D14" i="7"/>
  <c r="E14" i="7"/>
  <c r="F14" i="7"/>
  <c r="G14" i="7"/>
  <c r="H14" i="7"/>
  <c r="I14" i="7"/>
  <c r="J14" i="7"/>
  <c r="K14" i="7"/>
  <c r="L14" i="7"/>
  <c r="M14" i="7"/>
  <c r="N14" i="7"/>
  <c r="O14" i="7"/>
  <c r="P14" i="7"/>
  <c r="Q14" i="7"/>
  <c r="R14" i="7"/>
  <c r="S14" i="7"/>
  <c r="T14" i="7"/>
  <c r="U14" i="7"/>
  <c r="V14" i="7"/>
  <c r="W14" i="7"/>
  <c r="X14" i="7"/>
  <c r="Y14" i="7"/>
  <c r="Z14" i="7"/>
  <c r="AA14" i="7"/>
  <c r="AB14" i="7"/>
  <c r="AC14" i="7"/>
  <c r="AD14" i="7"/>
  <c r="AE14" i="7"/>
  <c r="AF14" i="7"/>
  <c r="AG14" i="7"/>
  <c r="AH14" i="7"/>
  <c r="AI14" i="7"/>
  <c r="AJ14" i="7"/>
  <c r="AK14" i="7"/>
  <c r="AL14" i="7"/>
  <c r="AM14" i="7"/>
  <c r="AN14" i="7"/>
  <c r="AO14" i="7"/>
  <c r="AP14" i="7"/>
  <c r="AQ14" i="7"/>
  <c r="AR14" i="7"/>
  <c r="AS14" i="7"/>
  <c r="AT14" i="7"/>
  <c r="AU14" i="7"/>
  <c r="AV14" i="7"/>
  <c r="AW14" i="7"/>
  <c r="AX14" i="7"/>
  <c r="AY14" i="7"/>
  <c r="AZ14" i="7"/>
  <c r="BA14" i="7"/>
  <c r="BB14" i="7"/>
  <c r="BC14" i="7"/>
  <c r="BD14" i="7"/>
  <c r="BE14" i="7"/>
  <c r="BF14" i="7"/>
  <c r="BG14" i="7"/>
  <c r="BH14" i="7"/>
  <c r="BI14" i="7"/>
  <c r="BJ14" i="7"/>
  <c r="BK14" i="7"/>
  <c r="BL14" i="7"/>
  <c r="BM14" i="7"/>
  <c r="BN14" i="7"/>
  <c r="BO14" i="7"/>
  <c r="BP14" i="7"/>
  <c r="BQ14" i="7"/>
  <c r="BR14" i="7"/>
  <c r="BS14" i="7"/>
  <c r="BT14" i="7"/>
  <c r="BU14" i="7"/>
  <c r="BV14" i="7"/>
  <c r="BW14" i="7"/>
  <c r="BX14" i="7"/>
  <c r="BY14" i="7"/>
  <c r="BZ14" i="7"/>
  <c r="CA14" i="7"/>
  <c r="CB14" i="7"/>
  <c r="CC14" i="7"/>
  <c r="CD14" i="7"/>
  <c r="CE14" i="7"/>
  <c r="CF14" i="7"/>
  <c r="CG14" i="7"/>
  <c r="CH14" i="7"/>
  <c r="CI14" i="7"/>
  <c r="CJ14" i="7"/>
  <c r="CK14" i="7"/>
  <c r="CL14" i="7"/>
  <c r="CM14" i="7"/>
  <c r="CN14" i="7"/>
  <c r="CO14" i="7"/>
  <c r="CP14" i="7"/>
  <c r="CQ14" i="7"/>
  <c r="CR14" i="7"/>
  <c r="CS14" i="7"/>
  <c r="CT14" i="7"/>
  <c r="CU14" i="7"/>
  <c r="CV14" i="7"/>
  <c r="CW14" i="7"/>
  <c r="CX14" i="7"/>
  <c r="CY14" i="7"/>
  <c r="CZ14" i="7"/>
  <c r="DA14" i="7"/>
  <c r="DB14" i="7"/>
  <c r="DC14" i="7"/>
  <c r="DD14" i="7"/>
  <c r="DE14" i="7"/>
  <c r="DF14" i="7"/>
  <c r="DG14" i="7"/>
  <c r="DH14" i="7"/>
  <c r="DI14" i="7"/>
  <c r="DJ14" i="7"/>
  <c r="DK14" i="7"/>
  <c r="DL14" i="7"/>
  <c r="DM14" i="7"/>
  <c r="DN14" i="7"/>
  <c r="DO14" i="7"/>
  <c r="DP14" i="7"/>
  <c r="DQ14" i="7"/>
  <c r="DR14" i="7"/>
  <c r="DS14" i="7"/>
  <c r="DT14" i="7"/>
  <c r="DU14" i="7"/>
  <c r="DV14" i="7"/>
  <c r="DW14" i="7"/>
  <c r="DX14" i="7"/>
  <c r="DY14" i="7"/>
  <c r="DZ14" i="7"/>
  <c r="EA14" i="7"/>
  <c r="EB14" i="7"/>
  <c r="EC14" i="7"/>
  <c r="ED14" i="7"/>
  <c r="EE14" i="7"/>
  <c r="EF14" i="7"/>
  <c r="EG14" i="7"/>
  <c r="EH14" i="7"/>
  <c r="EI14" i="7"/>
  <c r="EJ14" i="7"/>
  <c r="EK14" i="7"/>
  <c r="EL14" i="7"/>
  <c r="EM14" i="7"/>
  <c r="EN14" i="7"/>
  <c r="EO14" i="7"/>
  <c r="EP14" i="7"/>
  <c r="EQ14" i="7"/>
  <c r="ER14" i="7"/>
  <c r="ES14" i="7"/>
  <c r="ET14" i="7"/>
  <c r="EU14" i="7"/>
  <c r="EV14" i="7"/>
  <c r="EW14" i="7"/>
  <c r="EX14" i="7"/>
  <c r="EY14" i="7"/>
  <c r="EZ14" i="7"/>
  <c r="FA14" i="7"/>
  <c r="FB14" i="7"/>
  <c r="FC14" i="7"/>
  <c r="FD14" i="7"/>
  <c r="FE14" i="7"/>
  <c r="FF14" i="7"/>
  <c r="FG14" i="7"/>
  <c r="FH14" i="7"/>
  <c r="FI14" i="7"/>
  <c r="FJ14" i="7"/>
  <c r="FK14" i="7"/>
  <c r="FL14" i="7"/>
  <c r="FM14" i="7"/>
  <c r="FN14" i="7"/>
  <c r="FO14" i="7"/>
  <c r="FP14" i="7"/>
  <c r="FQ14" i="7"/>
  <c r="FR14" i="7"/>
  <c r="FS14" i="7"/>
  <c r="FT14" i="7"/>
  <c r="FU14" i="7"/>
  <c r="FV14" i="7"/>
  <c r="FW14" i="7"/>
  <c r="FX14" i="7"/>
  <c r="FY14" i="7"/>
  <c r="FZ14" i="7"/>
  <c r="GA14" i="7"/>
  <c r="GB14" i="7"/>
  <c r="GC14" i="7"/>
  <c r="GD14" i="7"/>
  <c r="GE14" i="7"/>
  <c r="GF14" i="7"/>
  <c r="GG14" i="7"/>
  <c r="GH14" i="7"/>
  <c r="GI14" i="7"/>
  <c r="GJ14" i="7"/>
  <c r="GK14" i="7"/>
  <c r="GL14" i="7"/>
  <c r="GM14" i="7"/>
  <c r="GN14" i="7"/>
  <c r="GO14" i="7"/>
  <c r="GP14" i="7"/>
  <c r="GQ14" i="7"/>
  <c r="GR14" i="7"/>
  <c r="GS14" i="7"/>
  <c r="GT14" i="7"/>
  <c r="GU14" i="7"/>
  <c r="GV14" i="7"/>
  <c r="GW14" i="7"/>
  <c r="GX14" i="7"/>
  <c r="GY14" i="7"/>
  <c r="GZ14" i="7"/>
  <c r="HA14" i="7"/>
  <c r="HB14" i="7"/>
  <c r="HC14" i="7"/>
  <c r="HD14" i="7"/>
  <c r="HE14" i="7"/>
  <c r="HF14" i="7"/>
  <c r="HG14" i="7"/>
  <c r="HH14" i="7"/>
  <c r="HI14" i="7"/>
  <c r="HJ14" i="7"/>
  <c r="HK14" i="7"/>
  <c r="HL14" i="7"/>
  <c r="HM14" i="7"/>
  <c r="HN14" i="7"/>
  <c r="HO14" i="7"/>
  <c r="HP14" i="7"/>
  <c r="HQ14" i="7"/>
  <c r="HR14" i="7"/>
  <c r="HS14" i="7"/>
  <c r="HT14" i="7"/>
  <c r="HU14" i="7"/>
  <c r="HV14" i="7"/>
  <c r="HW14" i="7"/>
  <c r="HX14" i="7"/>
  <c r="HY14" i="7"/>
  <c r="HZ14" i="7"/>
  <c r="IA14" i="7"/>
  <c r="IB14" i="7"/>
  <c r="IC14" i="7"/>
  <c r="ID14" i="7"/>
  <c r="IE14" i="7"/>
  <c r="IF14" i="7"/>
  <c r="IG14" i="7"/>
  <c r="IH14" i="7"/>
  <c r="II14" i="7"/>
  <c r="IJ14" i="7"/>
  <c r="IK14" i="7"/>
  <c r="IL14" i="7"/>
  <c r="IM14" i="7"/>
  <c r="IN14" i="7"/>
  <c r="IO14" i="7"/>
  <c r="IP14" i="7"/>
  <c r="IQ14" i="7"/>
  <c r="IR14" i="7"/>
  <c r="IS14" i="7"/>
  <c r="IT14" i="7"/>
  <c r="IU14" i="7"/>
  <c r="IV14" i="7"/>
  <c r="A13" i="7"/>
  <c r="B13" i="7"/>
  <c r="C13" i="7"/>
  <c r="D13" i="7"/>
  <c r="E13" i="7"/>
  <c r="F13" i="7"/>
  <c r="G13" i="7"/>
  <c r="H13" i="7"/>
  <c r="I13" i="7"/>
  <c r="J13" i="7"/>
  <c r="K13" i="7"/>
  <c r="L13" i="7"/>
  <c r="M13" i="7"/>
  <c r="N13" i="7"/>
  <c r="O13" i="7"/>
  <c r="P13" i="7"/>
  <c r="Q13" i="7"/>
  <c r="R13" i="7"/>
  <c r="S13" i="7"/>
  <c r="T13" i="7"/>
  <c r="U13" i="7"/>
  <c r="V13" i="7"/>
  <c r="W13" i="7"/>
  <c r="X13" i="7"/>
  <c r="Y13" i="7"/>
  <c r="Z13" i="7"/>
  <c r="AA13" i="7"/>
  <c r="AB13" i="7"/>
  <c r="AC13" i="7"/>
  <c r="AD13" i="7"/>
  <c r="AE13" i="7"/>
  <c r="AF13" i="7"/>
  <c r="AG13" i="7"/>
  <c r="AH13" i="7"/>
  <c r="AI13" i="7"/>
  <c r="AJ13" i="7"/>
  <c r="AK13" i="7"/>
  <c r="AL13" i="7"/>
  <c r="AM13" i="7"/>
  <c r="AN13" i="7"/>
  <c r="AO13" i="7"/>
  <c r="AP13" i="7"/>
  <c r="AQ13" i="7"/>
  <c r="AR13" i="7"/>
  <c r="AS13" i="7"/>
  <c r="AT13" i="7"/>
  <c r="AU13" i="7"/>
  <c r="AV13" i="7"/>
  <c r="AW13" i="7"/>
  <c r="AX13" i="7"/>
  <c r="AY13" i="7"/>
  <c r="AZ13" i="7"/>
  <c r="BA13" i="7"/>
  <c r="BB13" i="7"/>
  <c r="BC13" i="7"/>
  <c r="BD13" i="7"/>
  <c r="BE13" i="7"/>
  <c r="BF13" i="7"/>
  <c r="BG13" i="7"/>
  <c r="BH13" i="7"/>
  <c r="BI13" i="7"/>
  <c r="BJ13" i="7"/>
  <c r="BK13" i="7"/>
  <c r="BL13" i="7"/>
  <c r="BM13" i="7"/>
  <c r="BN13" i="7"/>
  <c r="BO13" i="7"/>
  <c r="BP13" i="7"/>
  <c r="BQ13" i="7"/>
  <c r="BR13" i="7"/>
  <c r="BS13" i="7"/>
  <c r="BT13" i="7"/>
  <c r="BU13" i="7"/>
  <c r="BV13" i="7"/>
  <c r="BW13" i="7"/>
  <c r="BX13" i="7"/>
  <c r="BY13" i="7"/>
  <c r="BZ13" i="7"/>
  <c r="CA13" i="7"/>
  <c r="CB13" i="7"/>
  <c r="CC13" i="7"/>
  <c r="CD13" i="7"/>
  <c r="CE13" i="7"/>
  <c r="CF13" i="7"/>
  <c r="CG13" i="7"/>
  <c r="CH13" i="7"/>
  <c r="CI13" i="7"/>
  <c r="CJ13" i="7"/>
  <c r="CK13" i="7"/>
  <c r="CL13" i="7"/>
  <c r="CM13" i="7"/>
  <c r="CN13" i="7"/>
  <c r="CO13" i="7"/>
  <c r="CP13" i="7"/>
  <c r="CQ13" i="7"/>
  <c r="CR13" i="7"/>
  <c r="CS13" i="7"/>
  <c r="CT13" i="7"/>
  <c r="CU13" i="7"/>
  <c r="CV13" i="7"/>
  <c r="CW13" i="7"/>
  <c r="CX13" i="7"/>
  <c r="CY13" i="7"/>
  <c r="CZ13" i="7"/>
  <c r="DA13" i="7"/>
  <c r="DB13" i="7"/>
  <c r="DC13" i="7"/>
  <c r="DD13" i="7"/>
  <c r="DE13" i="7"/>
  <c r="DF13" i="7"/>
  <c r="DG13" i="7"/>
  <c r="DH13" i="7"/>
  <c r="DI13" i="7"/>
  <c r="DJ13" i="7"/>
  <c r="DK13" i="7"/>
  <c r="DL13" i="7"/>
  <c r="DM13" i="7"/>
  <c r="DN13" i="7"/>
  <c r="DO13" i="7"/>
  <c r="DP13" i="7"/>
  <c r="DQ13" i="7"/>
  <c r="DR13" i="7"/>
  <c r="DS13" i="7"/>
  <c r="DT13" i="7"/>
  <c r="DU13" i="7"/>
  <c r="DV13" i="7"/>
  <c r="DW13" i="7"/>
  <c r="DX13" i="7"/>
  <c r="DY13" i="7"/>
  <c r="DZ13" i="7"/>
  <c r="EA13" i="7"/>
  <c r="EB13" i="7"/>
  <c r="EC13" i="7"/>
  <c r="ED13" i="7"/>
  <c r="EE13" i="7"/>
  <c r="EF13" i="7"/>
  <c r="EG13" i="7"/>
  <c r="EH13" i="7"/>
  <c r="EI13" i="7"/>
  <c r="EJ13" i="7"/>
  <c r="EK13" i="7"/>
  <c r="EL13" i="7"/>
  <c r="EM13" i="7"/>
  <c r="EN13" i="7"/>
  <c r="EO13" i="7"/>
  <c r="EP13" i="7"/>
  <c r="EQ13" i="7"/>
  <c r="ER13" i="7"/>
  <c r="ES13" i="7"/>
  <c r="ET13" i="7"/>
  <c r="EU13" i="7"/>
  <c r="EV13" i="7"/>
  <c r="EW13" i="7"/>
  <c r="EX13" i="7"/>
  <c r="EY13" i="7"/>
  <c r="EZ13" i="7"/>
  <c r="FA13" i="7"/>
  <c r="FB13" i="7"/>
  <c r="FC13" i="7"/>
  <c r="FD13" i="7"/>
  <c r="FE13" i="7"/>
  <c r="FF13" i="7"/>
  <c r="FG13" i="7"/>
  <c r="FH13" i="7"/>
  <c r="FI13" i="7"/>
  <c r="FJ13" i="7"/>
  <c r="FK13" i="7"/>
  <c r="FL13" i="7"/>
  <c r="FM13" i="7"/>
  <c r="FN13" i="7"/>
  <c r="FO13" i="7"/>
  <c r="FP13" i="7"/>
  <c r="FQ13" i="7"/>
  <c r="FR13" i="7"/>
  <c r="FS13" i="7"/>
  <c r="FT13" i="7"/>
  <c r="FU13" i="7"/>
  <c r="FV13" i="7"/>
  <c r="FW13" i="7"/>
  <c r="FX13" i="7"/>
  <c r="FY13" i="7"/>
  <c r="FZ13" i="7"/>
  <c r="GA13" i="7"/>
  <c r="GB13" i="7"/>
  <c r="GC13" i="7"/>
  <c r="GD13" i="7"/>
  <c r="GE13" i="7"/>
  <c r="GF13" i="7"/>
  <c r="GG13" i="7"/>
  <c r="GH13" i="7"/>
  <c r="GI13" i="7"/>
  <c r="GJ13" i="7"/>
  <c r="GK13" i="7"/>
  <c r="GL13" i="7"/>
  <c r="GM13" i="7"/>
  <c r="GN13" i="7"/>
  <c r="GO13" i="7"/>
  <c r="GP13" i="7"/>
  <c r="GQ13" i="7"/>
  <c r="GR13" i="7"/>
  <c r="GS13" i="7"/>
  <c r="GT13" i="7"/>
  <c r="GU13" i="7"/>
  <c r="GV13" i="7"/>
  <c r="GW13" i="7"/>
  <c r="GX13" i="7"/>
  <c r="GY13" i="7"/>
  <c r="GZ13" i="7"/>
  <c r="HA13" i="7"/>
  <c r="HB13" i="7"/>
  <c r="HC13" i="7"/>
  <c r="HD13" i="7"/>
  <c r="HE13" i="7"/>
  <c r="HF13" i="7"/>
  <c r="HG13" i="7"/>
  <c r="HH13" i="7"/>
  <c r="HI13" i="7"/>
  <c r="HJ13" i="7"/>
  <c r="HK13" i="7"/>
  <c r="HL13" i="7"/>
  <c r="HM13" i="7"/>
  <c r="HN13" i="7"/>
  <c r="HO13" i="7"/>
  <c r="HP13" i="7"/>
  <c r="HQ13" i="7"/>
  <c r="HR13" i="7"/>
  <c r="HS13" i="7"/>
  <c r="HT13" i="7"/>
  <c r="HU13" i="7"/>
  <c r="HV13" i="7"/>
  <c r="HW13" i="7"/>
  <c r="HX13" i="7"/>
  <c r="HY13" i="7"/>
  <c r="HZ13" i="7"/>
  <c r="IA13" i="7"/>
  <c r="IB13" i="7"/>
  <c r="IC13" i="7"/>
  <c r="ID13" i="7"/>
  <c r="IE13" i="7"/>
  <c r="IF13" i="7"/>
  <c r="IG13" i="7"/>
  <c r="IH13" i="7"/>
  <c r="II13" i="7"/>
  <c r="IJ13" i="7"/>
  <c r="IK13" i="7"/>
  <c r="IL13" i="7"/>
  <c r="IM13" i="7"/>
  <c r="IN13" i="7"/>
  <c r="IO13" i="7"/>
  <c r="IP13" i="7"/>
  <c r="IQ13" i="7"/>
  <c r="IR13" i="7"/>
  <c r="IS13" i="7"/>
  <c r="IT13" i="7"/>
  <c r="IU13" i="7"/>
  <c r="IV13" i="7"/>
  <c r="A12" i="7"/>
  <c r="B12" i="7"/>
  <c r="C12" i="7"/>
  <c r="D12" i="7"/>
  <c r="E12" i="7"/>
  <c r="F12" i="7"/>
  <c r="G12" i="7"/>
  <c r="H12" i="7"/>
  <c r="I12" i="7"/>
  <c r="J12" i="7"/>
  <c r="K12" i="7"/>
  <c r="L12" i="7"/>
  <c r="M12" i="7"/>
  <c r="N12" i="7"/>
  <c r="O12" i="7"/>
  <c r="P12" i="7"/>
  <c r="Q12" i="7"/>
  <c r="R12" i="7"/>
  <c r="S12" i="7"/>
  <c r="T12" i="7"/>
  <c r="U12" i="7"/>
  <c r="V12" i="7"/>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FO12" i="7"/>
  <c r="FP12" i="7"/>
  <c r="FQ12" i="7"/>
  <c r="FR12" i="7"/>
  <c r="FS12" i="7"/>
  <c r="FT12" i="7"/>
  <c r="FU12" i="7"/>
  <c r="FV12" i="7"/>
  <c r="FW12" i="7"/>
  <c r="FX12" i="7"/>
  <c r="FY12" i="7"/>
  <c r="FZ12" i="7"/>
  <c r="GA12" i="7"/>
  <c r="GB12" i="7"/>
  <c r="GC12" i="7"/>
  <c r="GD12" i="7"/>
  <c r="GE12" i="7"/>
  <c r="GF12" i="7"/>
  <c r="GG12" i="7"/>
  <c r="GH12" i="7"/>
  <c r="GI12" i="7"/>
  <c r="GJ12" i="7"/>
  <c r="GK12" i="7"/>
  <c r="GL12" i="7"/>
  <c r="GM12" i="7"/>
  <c r="GN12" i="7"/>
  <c r="GO12" i="7"/>
  <c r="GP12" i="7"/>
  <c r="GQ12" i="7"/>
  <c r="GR12" i="7"/>
  <c r="GS12" i="7"/>
  <c r="GT12" i="7"/>
  <c r="GU12" i="7"/>
  <c r="GV12" i="7"/>
  <c r="GW12" i="7"/>
  <c r="GX12" i="7"/>
  <c r="GY12" i="7"/>
  <c r="GZ12" i="7"/>
  <c r="HA12" i="7"/>
  <c r="HB12" i="7"/>
  <c r="HC12" i="7"/>
  <c r="HD12" i="7"/>
  <c r="HE12" i="7"/>
  <c r="HF12" i="7"/>
  <c r="HG12" i="7"/>
  <c r="HH12" i="7"/>
  <c r="HI12" i="7"/>
  <c r="HJ12" i="7"/>
  <c r="HK12" i="7"/>
  <c r="HL12" i="7"/>
  <c r="HM12" i="7"/>
  <c r="HN12" i="7"/>
  <c r="HO12" i="7"/>
  <c r="HP12" i="7"/>
  <c r="HQ12" i="7"/>
  <c r="HR12" i="7"/>
  <c r="HS12" i="7"/>
  <c r="HT12" i="7"/>
  <c r="HU12" i="7"/>
  <c r="HV12" i="7"/>
  <c r="HW12" i="7"/>
  <c r="HX12" i="7"/>
  <c r="HY12" i="7"/>
  <c r="HZ12" i="7"/>
  <c r="IA12" i="7"/>
  <c r="IB12" i="7"/>
  <c r="IC12" i="7"/>
  <c r="ID12" i="7"/>
  <c r="IE12" i="7"/>
  <c r="IF12" i="7"/>
  <c r="IG12" i="7"/>
  <c r="IH12" i="7"/>
  <c r="II12" i="7"/>
  <c r="IJ12" i="7"/>
  <c r="IK12" i="7"/>
  <c r="IL12" i="7"/>
  <c r="IM12" i="7"/>
  <c r="IN12" i="7"/>
  <c r="IO12" i="7"/>
  <c r="IP12" i="7"/>
  <c r="IQ12" i="7"/>
  <c r="IR12" i="7"/>
  <c r="IS12" i="7"/>
  <c r="IT12" i="7"/>
  <c r="IU12" i="7"/>
  <c r="IV12" i="7"/>
  <c r="A11" i="7"/>
  <c r="B11" i="7"/>
  <c r="C11" i="7"/>
  <c r="D11" i="7"/>
  <c r="E11" i="7"/>
  <c r="F11" i="7"/>
  <c r="G11" i="7"/>
  <c r="H11" i="7"/>
  <c r="I11" i="7"/>
  <c r="J11"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FO11" i="7"/>
  <c r="FP11" i="7"/>
  <c r="FQ11" i="7"/>
  <c r="FR11" i="7"/>
  <c r="FS11" i="7"/>
  <c r="FT11" i="7"/>
  <c r="FU11" i="7"/>
  <c r="FV11" i="7"/>
  <c r="FW11" i="7"/>
  <c r="FX11" i="7"/>
  <c r="FY11" i="7"/>
  <c r="FZ11" i="7"/>
  <c r="GA11" i="7"/>
  <c r="GB11" i="7"/>
  <c r="GC11" i="7"/>
  <c r="GD11" i="7"/>
  <c r="GE11" i="7"/>
  <c r="GF11" i="7"/>
  <c r="GG11" i="7"/>
  <c r="GH11" i="7"/>
  <c r="GI11" i="7"/>
  <c r="GJ11" i="7"/>
  <c r="GK11" i="7"/>
  <c r="GL11" i="7"/>
  <c r="GM11" i="7"/>
  <c r="GN11" i="7"/>
  <c r="GO11" i="7"/>
  <c r="GP11" i="7"/>
  <c r="GQ11" i="7"/>
  <c r="GR11" i="7"/>
  <c r="GS11" i="7"/>
  <c r="GT11" i="7"/>
  <c r="GU11" i="7"/>
  <c r="GV11" i="7"/>
  <c r="GW11" i="7"/>
  <c r="GX11" i="7"/>
  <c r="GY11" i="7"/>
  <c r="GZ11" i="7"/>
  <c r="HA11" i="7"/>
  <c r="HB11" i="7"/>
  <c r="HC11" i="7"/>
  <c r="HD11" i="7"/>
  <c r="HE11" i="7"/>
  <c r="HF11" i="7"/>
  <c r="HG11" i="7"/>
  <c r="HH11" i="7"/>
  <c r="HI11" i="7"/>
  <c r="HJ11" i="7"/>
  <c r="HK11" i="7"/>
  <c r="HL11" i="7"/>
  <c r="HM11" i="7"/>
  <c r="HN11" i="7"/>
  <c r="HO11" i="7"/>
  <c r="HP11" i="7"/>
  <c r="HQ11" i="7"/>
  <c r="HR11" i="7"/>
  <c r="HS11" i="7"/>
  <c r="HT11" i="7"/>
  <c r="HU11" i="7"/>
  <c r="HV11" i="7"/>
  <c r="HW11" i="7"/>
  <c r="HX11" i="7"/>
  <c r="HY11" i="7"/>
  <c r="HZ11" i="7"/>
  <c r="IA11" i="7"/>
  <c r="IB11" i="7"/>
  <c r="IC11" i="7"/>
  <c r="ID11" i="7"/>
  <c r="IE11" i="7"/>
  <c r="IF11" i="7"/>
  <c r="IG11" i="7"/>
  <c r="IH11" i="7"/>
  <c r="II11" i="7"/>
  <c r="IJ11" i="7"/>
  <c r="IK11" i="7"/>
  <c r="IL11" i="7"/>
  <c r="IM11" i="7"/>
  <c r="IN11" i="7"/>
  <c r="IO11" i="7"/>
  <c r="IP11" i="7"/>
  <c r="IQ11" i="7"/>
  <c r="IR11" i="7"/>
  <c r="IS11" i="7"/>
  <c r="IT11" i="7"/>
  <c r="IU11" i="7"/>
  <c r="IV11" i="7"/>
  <c r="A10"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A9" i="7"/>
  <c r="B9" i="7"/>
  <c r="C9" i="7"/>
  <c r="D9" i="7"/>
  <c r="E9" i="7"/>
  <c r="F9" i="7"/>
  <c r="G9"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AL9" i="7"/>
  <c r="AM9" i="7"/>
  <c r="AN9" i="7"/>
  <c r="AO9" i="7"/>
  <c r="AP9" i="7"/>
  <c r="AQ9" i="7"/>
  <c r="AR9" i="7"/>
  <c r="AS9" i="7"/>
  <c r="AT9" i="7"/>
  <c r="AU9" i="7"/>
  <c r="AV9" i="7"/>
  <c r="AW9" i="7"/>
  <c r="AX9" i="7"/>
  <c r="AY9" i="7"/>
  <c r="AZ9" i="7"/>
  <c r="BA9" i="7"/>
  <c r="BB9" i="7"/>
  <c r="BC9" i="7"/>
  <c r="BD9" i="7"/>
  <c r="BE9" i="7"/>
  <c r="BF9" i="7"/>
  <c r="BG9" i="7"/>
  <c r="BH9" i="7"/>
  <c r="BI9" i="7"/>
  <c r="BJ9" i="7"/>
  <c r="BK9" i="7"/>
  <c r="BL9" i="7"/>
  <c r="BM9" i="7"/>
  <c r="BN9" i="7"/>
  <c r="BO9" i="7"/>
  <c r="BP9" i="7"/>
  <c r="BQ9" i="7"/>
  <c r="BR9" i="7"/>
  <c r="BS9" i="7"/>
  <c r="BT9" i="7"/>
  <c r="BU9" i="7"/>
  <c r="BV9" i="7"/>
  <c r="BW9" i="7"/>
  <c r="BX9" i="7"/>
  <c r="BY9" i="7"/>
  <c r="BZ9" i="7"/>
  <c r="CA9" i="7"/>
  <c r="CB9" i="7"/>
  <c r="CC9" i="7"/>
  <c r="CD9" i="7"/>
  <c r="CE9" i="7"/>
  <c r="CF9" i="7"/>
  <c r="CG9" i="7"/>
  <c r="CH9" i="7"/>
  <c r="CI9" i="7"/>
  <c r="CJ9" i="7"/>
  <c r="CK9" i="7"/>
  <c r="CL9" i="7"/>
  <c r="CM9" i="7"/>
  <c r="CN9" i="7"/>
  <c r="CO9" i="7"/>
  <c r="CP9" i="7"/>
  <c r="CQ9" i="7"/>
  <c r="CR9" i="7"/>
  <c r="CS9" i="7"/>
  <c r="CT9" i="7"/>
  <c r="CU9" i="7"/>
  <c r="CV9" i="7"/>
  <c r="CW9" i="7"/>
  <c r="CX9" i="7"/>
  <c r="CY9" i="7"/>
  <c r="CZ9" i="7"/>
  <c r="DA9" i="7"/>
  <c r="DB9" i="7"/>
  <c r="DC9" i="7"/>
  <c r="DD9" i="7"/>
  <c r="DE9" i="7"/>
  <c r="DF9" i="7"/>
  <c r="DG9" i="7"/>
  <c r="DH9" i="7"/>
  <c r="DI9" i="7"/>
  <c r="DJ9" i="7"/>
  <c r="DK9" i="7"/>
  <c r="DL9" i="7"/>
  <c r="DM9" i="7"/>
  <c r="DN9" i="7"/>
  <c r="DO9" i="7"/>
  <c r="DP9" i="7"/>
  <c r="DQ9" i="7"/>
  <c r="DR9" i="7"/>
  <c r="DS9" i="7"/>
  <c r="DT9" i="7"/>
  <c r="DU9" i="7"/>
  <c r="DV9" i="7"/>
  <c r="DW9" i="7"/>
  <c r="DX9" i="7"/>
  <c r="DY9" i="7"/>
  <c r="DZ9" i="7"/>
  <c r="EA9" i="7"/>
  <c r="EB9" i="7"/>
  <c r="EC9" i="7"/>
  <c r="ED9" i="7"/>
  <c r="EE9" i="7"/>
  <c r="EF9" i="7"/>
  <c r="EG9" i="7"/>
  <c r="EH9" i="7"/>
  <c r="EI9" i="7"/>
  <c r="EJ9" i="7"/>
  <c r="EK9" i="7"/>
  <c r="EL9" i="7"/>
  <c r="EM9" i="7"/>
  <c r="EN9" i="7"/>
  <c r="EO9" i="7"/>
  <c r="EP9" i="7"/>
  <c r="EQ9" i="7"/>
  <c r="ER9" i="7"/>
  <c r="ES9" i="7"/>
  <c r="ET9" i="7"/>
  <c r="EU9" i="7"/>
  <c r="EV9" i="7"/>
  <c r="EW9" i="7"/>
  <c r="EX9" i="7"/>
  <c r="EY9" i="7"/>
  <c r="EZ9" i="7"/>
  <c r="FA9" i="7"/>
  <c r="FB9" i="7"/>
  <c r="FC9" i="7"/>
  <c r="FD9" i="7"/>
  <c r="FE9" i="7"/>
  <c r="FF9" i="7"/>
  <c r="FG9" i="7"/>
  <c r="FH9" i="7"/>
  <c r="FI9" i="7"/>
  <c r="FJ9" i="7"/>
  <c r="FK9" i="7"/>
  <c r="FL9" i="7"/>
  <c r="FM9" i="7"/>
  <c r="FN9" i="7"/>
  <c r="FO9" i="7"/>
  <c r="FP9" i="7"/>
  <c r="FQ9" i="7"/>
  <c r="FR9" i="7"/>
  <c r="FS9" i="7"/>
  <c r="FT9" i="7"/>
  <c r="FU9" i="7"/>
  <c r="FV9" i="7"/>
  <c r="FW9" i="7"/>
  <c r="FX9" i="7"/>
  <c r="FY9" i="7"/>
  <c r="FZ9" i="7"/>
  <c r="GA9" i="7"/>
  <c r="GB9" i="7"/>
  <c r="GC9" i="7"/>
  <c r="GD9" i="7"/>
  <c r="GE9" i="7"/>
  <c r="GF9" i="7"/>
  <c r="GG9" i="7"/>
  <c r="GH9" i="7"/>
  <c r="GI9" i="7"/>
  <c r="GJ9" i="7"/>
  <c r="GK9" i="7"/>
  <c r="GL9" i="7"/>
  <c r="GM9" i="7"/>
  <c r="GN9" i="7"/>
  <c r="GO9" i="7"/>
  <c r="GP9" i="7"/>
  <c r="GQ9" i="7"/>
  <c r="GR9" i="7"/>
  <c r="GS9" i="7"/>
  <c r="GT9" i="7"/>
  <c r="GU9" i="7"/>
  <c r="GV9" i="7"/>
  <c r="GW9" i="7"/>
  <c r="GX9" i="7"/>
  <c r="GY9" i="7"/>
  <c r="GZ9" i="7"/>
  <c r="HA9" i="7"/>
  <c r="HB9" i="7"/>
  <c r="HC9" i="7"/>
  <c r="HD9" i="7"/>
  <c r="HE9" i="7"/>
  <c r="HF9" i="7"/>
  <c r="HG9" i="7"/>
  <c r="HH9" i="7"/>
  <c r="HI9" i="7"/>
  <c r="HJ9" i="7"/>
  <c r="HK9" i="7"/>
  <c r="HL9" i="7"/>
  <c r="HM9" i="7"/>
  <c r="HN9" i="7"/>
  <c r="HO9" i="7"/>
  <c r="HP9" i="7"/>
  <c r="HQ9" i="7"/>
  <c r="HR9" i="7"/>
  <c r="HS9" i="7"/>
  <c r="HT9" i="7"/>
  <c r="HU9" i="7"/>
  <c r="HV9" i="7"/>
  <c r="HW9" i="7"/>
  <c r="HX9" i="7"/>
  <c r="HY9" i="7"/>
  <c r="HZ9" i="7"/>
  <c r="IA9" i="7"/>
  <c r="IB9" i="7"/>
  <c r="IC9" i="7"/>
  <c r="ID9" i="7"/>
  <c r="IE9" i="7"/>
  <c r="IF9" i="7"/>
  <c r="IG9" i="7"/>
  <c r="IH9" i="7"/>
  <c r="II9" i="7"/>
  <c r="IJ9" i="7"/>
  <c r="IK9" i="7"/>
  <c r="IL9" i="7"/>
  <c r="IM9" i="7"/>
  <c r="IN9" i="7"/>
  <c r="IO9" i="7"/>
  <c r="IP9" i="7"/>
  <c r="IQ9" i="7"/>
  <c r="IR9" i="7"/>
  <c r="IS9" i="7"/>
  <c r="IT9" i="7"/>
  <c r="IU9" i="7"/>
  <c r="IV9" i="7"/>
  <c r="A8" i="7"/>
  <c r="B8" i="7"/>
  <c r="C8" i="7"/>
  <c r="D8" i="7"/>
  <c r="E8" i="7"/>
  <c r="F8" i="7"/>
  <c r="G8" i="7"/>
  <c r="H8" i="7"/>
  <c r="I8" i="7"/>
  <c r="J8" i="7"/>
  <c r="K8" i="7"/>
  <c r="L8" i="7"/>
  <c r="M8" i="7"/>
  <c r="N8" i="7"/>
  <c r="O8" i="7"/>
  <c r="P8" i="7"/>
  <c r="Q8" i="7"/>
  <c r="R8" i="7"/>
  <c r="S8" i="7"/>
  <c r="T8" i="7"/>
  <c r="U8" i="7"/>
  <c r="V8" i="7"/>
  <c r="W8" i="7"/>
  <c r="X8" i="7"/>
  <c r="Y8" i="7"/>
  <c r="Z8" i="7"/>
  <c r="AA8" i="7"/>
  <c r="AB8" i="7"/>
  <c r="AC8" i="7"/>
  <c r="AD8" i="7"/>
  <c r="AE8" i="7"/>
  <c r="AF8" i="7"/>
  <c r="AG8" i="7"/>
  <c r="AH8" i="7"/>
  <c r="AI8" i="7"/>
  <c r="AJ8" i="7"/>
  <c r="AK8" i="7"/>
  <c r="AL8" i="7"/>
  <c r="AM8" i="7"/>
  <c r="AN8" i="7"/>
  <c r="AO8" i="7"/>
  <c r="AP8" i="7"/>
  <c r="AQ8" i="7"/>
  <c r="AR8" i="7"/>
  <c r="AS8" i="7"/>
  <c r="AT8" i="7"/>
  <c r="AU8" i="7"/>
  <c r="AV8" i="7"/>
  <c r="AW8" i="7"/>
  <c r="AX8" i="7"/>
  <c r="AY8" i="7"/>
  <c r="AZ8" i="7"/>
  <c r="BA8" i="7"/>
  <c r="BB8" i="7"/>
  <c r="BC8" i="7"/>
  <c r="BD8" i="7"/>
  <c r="BE8" i="7"/>
  <c r="BF8" i="7"/>
  <c r="BG8" i="7"/>
  <c r="BH8" i="7"/>
  <c r="BI8" i="7"/>
  <c r="BJ8" i="7"/>
  <c r="BK8" i="7"/>
  <c r="BL8" i="7"/>
  <c r="BM8" i="7"/>
  <c r="BN8" i="7"/>
  <c r="BO8" i="7"/>
  <c r="BP8" i="7"/>
  <c r="BQ8" i="7"/>
  <c r="BR8" i="7"/>
  <c r="BS8" i="7"/>
  <c r="BT8" i="7"/>
  <c r="BU8" i="7"/>
  <c r="BV8" i="7"/>
  <c r="BW8" i="7"/>
  <c r="BX8" i="7"/>
  <c r="BY8" i="7"/>
  <c r="BZ8" i="7"/>
  <c r="CA8" i="7"/>
  <c r="CB8" i="7"/>
  <c r="CC8" i="7"/>
  <c r="CD8" i="7"/>
  <c r="CE8" i="7"/>
  <c r="CF8" i="7"/>
  <c r="CG8" i="7"/>
  <c r="CH8" i="7"/>
  <c r="CI8" i="7"/>
  <c r="CJ8" i="7"/>
  <c r="CK8" i="7"/>
  <c r="CL8" i="7"/>
  <c r="CM8" i="7"/>
  <c r="CN8" i="7"/>
  <c r="CO8" i="7"/>
  <c r="CP8" i="7"/>
  <c r="CQ8" i="7"/>
  <c r="CR8" i="7"/>
  <c r="CS8" i="7"/>
  <c r="CT8" i="7"/>
  <c r="CU8" i="7"/>
  <c r="CV8" i="7"/>
  <c r="CW8" i="7"/>
  <c r="CX8" i="7"/>
  <c r="CY8" i="7"/>
  <c r="CZ8" i="7"/>
  <c r="DA8" i="7"/>
  <c r="DB8" i="7"/>
  <c r="DC8" i="7"/>
  <c r="DD8" i="7"/>
  <c r="DE8" i="7"/>
  <c r="DF8" i="7"/>
  <c r="DG8" i="7"/>
  <c r="DH8" i="7"/>
  <c r="DI8" i="7"/>
  <c r="DJ8" i="7"/>
  <c r="DK8" i="7"/>
  <c r="DL8" i="7"/>
  <c r="DM8" i="7"/>
  <c r="DN8" i="7"/>
  <c r="DO8" i="7"/>
  <c r="DP8" i="7"/>
  <c r="DQ8" i="7"/>
  <c r="DR8" i="7"/>
  <c r="DS8" i="7"/>
  <c r="DT8" i="7"/>
  <c r="DU8" i="7"/>
  <c r="DV8" i="7"/>
  <c r="DW8" i="7"/>
  <c r="DX8" i="7"/>
  <c r="DY8" i="7"/>
  <c r="DZ8" i="7"/>
  <c r="EA8" i="7"/>
  <c r="EB8" i="7"/>
  <c r="EC8" i="7"/>
  <c r="ED8" i="7"/>
  <c r="EE8" i="7"/>
  <c r="EF8" i="7"/>
  <c r="EG8" i="7"/>
  <c r="EH8" i="7"/>
  <c r="EI8" i="7"/>
  <c r="EJ8" i="7"/>
  <c r="EK8" i="7"/>
  <c r="EL8" i="7"/>
  <c r="EM8" i="7"/>
  <c r="EN8" i="7"/>
  <c r="EO8" i="7"/>
  <c r="EP8" i="7"/>
  <c r="EQ8" i="7"/>
  <c r="ER8" i="7"/>
  <c r="ES8" i="7"/>
  <c r="ET8" i="7"/>
  <c r="EU8" i="7"/>
  <c r="EV8" i="7"/>
  <c r="EW8" i="7"/>
  <c r="EX8" i="7"/>
  <c r="EY8" i="7"/>
  <c r="EZ8" i="7"/>
  <c r="FA8" i="7"/>
  <c r="FB8" i="7"/>
  <c r="FC8" i="7"/>
  <c r="FD8" i="7"/>
  <c r="FE8" i="7"/>
  <c r="FF8" i="7"/>
  <c r="FG8" i="7"/>
  <c r="FH8" i="7"/>
  <c r="FI8" i="7"/>
  <c r="FJ8" i="7"/>
  <c r="FK8" i="7"/>
  <c r="FL8" i="7"/>
  <c r="FM8" i="7"/>
  <c r="FN8" i="7"/>
  <c r="FO8" i="7"/>
  <c r="FP8" i="7"/>
  <c r="FQ8" i="7"/>
  <c r="FR8" i="7"/>
  <c r="FS8" i="7"/>
  <c r="FT8" i="7"/>
  <c r="FU8" i="7"/>
  <c r="FV8" i="7"/>
  <c r="FW8" i="7"/>
  <c r="FX8" i="7"/>
  <c r="FY8" i="7"/>
  <c r="FZ8" i="7"/>
  <c r="GA8" i="7"/>
  <c r="GB8" i="7"/>
  <c r="GC8" i="7"/>
  <c r="GD8" i="7"/>
  <c r="GE8" i="7"/>
  <c r="GF8" i="7"/>
  <c r="GG8" i="7"/>
  <c r="GH8" i="7"/>
  <c r="GI8" i="7"/>
  <c r="GJ8" i="7"/>
  <c r="GK8" i="7"/>
  <c r="GL8" i="7"/>
  <c r="GM8" i="7"/>
  <c r="GN8" i="7"/>
  <c r="GO8" i="7"/>
  <c r="GP8" i="7"/>
  <c r="GQ8" i="7"/>
  <c r="GR8" i="7"/>
  <c r="GS8" i="7"/>
  <c r="GT8" i="7"/>
  <c r="GU8" i="7"/>
  <c r="GV8" i="7"/>
  <c r="GW8" i="7"/>
  <c r="GX8" i="7"/>
  <c r="GY8" i="7"/>
  <c r="GZ8" i="7"/>
  <c r="HA8" i="7"/>
  <c r="HB8" i="7"/>
  <c r="HC8" i="7"/>
  <c r="HD8" i="7"/>
  <c r="HE8" i="7"/>
  <c r="HF8" i="7"/>
  <c r="HG8" i="7"/>
  <c r="HH8" i="7"/>
  <c r="HI8" i="7"/>
  <c r="HJ8" i="7"/>
  <c r="HK8" i="7"/>
  <c r="HL8" i="7"/>
  <c r="HM8" i="7"/>
  <c r="HN8" i="7"/>
  <c r="HO8" i="7"/>
  <c r="HP8" i="7"/>
  <c r="HQ8" i="7"/>
  <c r="HR8" i="7"/>
  <c r="HS8" i="7"/>
  <c r="HT8" i="7"/>
  <c r="HU8" i="7"/>
  <c r="HV8" i="7"/>
  <c r="HW8" i="7"/>
  <c r="HX8" i="7"/>
  <c r="HY8" i="7"/>
  <c r="HZ8" i="7"/>
  <c r="IA8" i="7"/>
  <c r="IB8" i="7"/>
  <c r="IC8" i="7"/>
  <c r="ID8" i="7"/>
  <c r="IE8" i="7"/>
  <c r="IF8" i="7"/>
  <c r="IG8" i="7"/>
  <c r="IH8" i="7"/>
  <c r="II8" i="7"/>
  <c r="IJ8" i="7"/>
  <c r="IK8" i="7"/>
  <c r="IL8" i="7"/>
  <c r="IM8" i="7"/>
  <c r="IN8" i="7"/>
  <c r="IO8" i="7"/>
  <c r="IP8" i="7"/>
  <c r="IQ8" i="7"/>
  <c r="IR8" i="7"/>
  <c r="IS8" i="7"/>
  <c r="IT8" i="7"/>
  <c r="IU8" i="7"/>
  <c r="IV8" i="7"/>
  <c r="A7" i="7"/>
  <c r="B7" i="7"/>
  <c r="C7" i="7"/>
  <c r="D7" i="7"/>
  <c r="E7" i="7"/>
  <c r="F7" i="7"/>
  <c r="G7" i="7"/>
  <c r="H7" i="7"/>
  <c r="I7" i="7"/>
  <c r="J7"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FO7" i="7"/>
  <c r="FP7" i="7"/>
  <c r="FQ7" i="7"/>
  <c r="FR7" i="7"/>
  <c r="FS7" i="7"/>
  <c r="FT7" i="7"/>
  <c r="FU7" i="7"/>
  <c r="FV7" i="7"/>
  <c r="FW7" i="7"/>
  <c r="FX7" i="7"/>
  <c r="FY7" i="7"/>
  <c r="FZ7" i="7"/>
  <c r="GA7" i="7"/>
  <c r="GB7" i="7"/>
  <c r="GC7" i="7"/>
  <c r="GD7" i="7"/>
  <c r="GE7" i="7"/>
  <c r="GF7" i="7"/>
  <c r="GG7" i="7"/>
  <c r="GH7" i="7"/>
  <c r="GI7" i="7"/>
  <c r="GJ7" i="7"/>
  <c r="GK7" i="7"/>
  <c r="GL7" i="7"/>
  <c r="GM7" i="7"/>
  <c r="GN7" i="7"/>
  <c r="GO7" i="7"/>
  <c r="GP7" i="7"/>
  <c r="GQ7" i="7"/>
  <c r="GR7" i="7"/>
  <c r="GS7" i="7"/>
  <c r="GT7" i="7"/>
  <c r="GU7" i="7"/>
  <c r="GV7" i="7"/>
  <c r="GW7" i="7"/>
  <c r="GX7" i="7"/>
  <c r="GY7" i="7"/>
  <c r="GZ7" i="7"/>
  <c r="HA7" i="7"/>
  <c r="HB7" i="7"/>
  <c r="HC7" i="7"/>
  <c r="HD7" i="7"/>
  <c r="HE7" i="7"/>
  <c r="HF7" i="7"/>
  <c r="HG7" i="7"/>
  <c r="HH7" i="7"/>
  <c r="HI7" i="7"/>
  <c r="HJ7" i="7"/>
  <c r="HK7" i="7"/>
  <c r="HL7" i="7"/>
  <c r="HM7" i="7"/>
  <c r="HN7" i="7"/>
  <c r="HO7" i="7"/>
  <c r="HP7" i="7"/>
  <c r="HQ7" i="7"/>
  <c r="HR7" i="7"/>
  <c r="HS7" i="7"/>
  <c r="HT7" i="7"/>
  <c r="HU7" i="7"/>
  <c r="HV7" i="7"/>
  <c r="HW7" i="7"/>
  <c r="HX7" i="7"/>
  <c r="HY7" i="7"/>
  <c r="HZ7" i="7"/>
  <c r="IA7" i="7"/>
  <c r="IB7" i="7"/>
  <c r="IC7" i="7"/>
  <c r="ID7" i="7"/>
  <c r="IE7" i="7"/>
  <c r="IF7" i="7"/>
  <c r="IG7" i="7"/>
  <c r="IH7" i="7"/>
  <c r="II7" i="7"/>
  <c r="IJ7" i="7"/>
  <c r="IK7" i="7"/>
  <c r="IL7" i="7"/>
  <c r="IM7" i="7"/>
  <c r="IN7" i="7"/>
  <c r="IO7" i="7"/>
  <c r="IP7" i="7"/>
  <c r="IQ7" i="7"/>
  <c r="IR7" i="7"/>
  <c r="IS7" i="7"/>
  <c r="IT7" i="7"/>
  <c r="IU7" i="7"/>
  <c r="IV7" i="7"/>
  <c r="A6" i="7"/>
  <c r="B6" i="7"/>
  <c r="C6" i="7"/>
  <c r="D6" i="7"/>
  <c r="E6" i="7"/>
  <c r="F6" i="7"/>
  <c r="G6" i="7"/>
  <c r="H6" i="7"/>
  <c r="I6" i="7"/>
  <c r="J6" i="7"/>
  <c r="K6" i="7"/>
  <c r="L6" i="7"/>
  <c r="M6" i="7"/>
  <c r="N6" i="7"/>
  <c r="O6" i="7"/>
  <c r="P6" i="7"/>
  <c r="Q6" i="7"/>
  <c r="R6" i="7"/>
  <c r="S6" i="7"/>
  <c r="T6" i="7"/>
  <c r="U6" i="7"/>
  <c r="V6" i="7"/>
  <c r="W6" i="7"/>
  <c r="X6" i="7"/>
  <c r="Y6" i="7"/>
  <c r="Z6" i="7"/>
  <c r="AA6" i="7"/>
  <c r="AB6" i="7"/>
  <c r="AC6" i="7"/>
  <c r="AD6" i="7"/>
  <c r="AE6" i="7"/>
  <c r="AF6" i="7"/>
  <c r="AG6" i="7"/>
  <c r="AH6" i="7"/>
  <c r="AI6" i="7"/>
  <c r="AJ6" i="7"/>
  <c r="AK6" i="7"/>
  <c r="AL6" i="7"/>
  <c r="AM6" i="7"/>
  <c r="AN6" i="7"/>
  <c r="AO6" i="7"/>
  <c r="AP6" i="7"/>
  <c r="AQ6" i="7"/>
  <c r="AR6" i="7"/>
  <c r="AS6" i="7"/>
  <c r="AT6" i="7"/>
  <c r="AU6" i="7"/>
  <c r="AV6" i="7"/>
  <c r="AW6" i="7"/>
  <c r="AX6" i="7"/>
  <c r="AY6" i="7"/>
  <c r="AZ6" i="7"/>
  <c r="BA6" i="7"/>
  <c r="BB6" i="7"/>
  <c r="BC6" i="7"/>
  <c r="BD6" i="7"/>
  <c r="BE6" i="7"/>
  <c r="BF6" i="7"/>
  <c r="BG6" i="7"/>
  <c r="BH6" i="7"/>
  <c r="BI6" i="7"/>
  <c r="BJ6" i="7"/>
  <c r="BK6" i="7"/>
  <c r="BL6" i="7"/>
  <c r="BM6" i="7"/>
  <c r="BN6" i="7"/>
  <c r="BO6" i="7"/>
  <c r="BP6" i="7"/>
  <c r="BQ6" i="7"/>
  <c r="BR6" i="7"/>
  <c r="BS6" i="7"/>
  <c r="BT6" i="7"/>
  <c r="BU6" i="7"/>
  <c r="BV6" i="7"/>
  <c r="BW6" i="7"/>
  <c r="BX6" i="7"/>
  <c r="BY6" i="7"/>
  <c r="BZ6" i="7"/>
  <c r="CA6" i="7"/>
  <c r="CB6" i="7"/>
  <c r="CC6" i="7"/>
  <c r="CD6" i="7"/>
  <c r="CE6" i="7"/>
  <c r="CF6" i="7"/>
  <c r="CG6" i="7"/>
  <c r="CH6" i="7"/>
  <c r="CI6" i="7"/>
  <c r="CJ6" i="7"/>
  <c r="CK6" i="7"/>
  <c r="CL6" i="7"/>
  <c r="CM6" i="7"/>
  <c r="CN6" i="7"/>
  <c r="CO6" i="7"/>
  <c r="CP6" i="7"/>
  <c r="CQ6" i="7"/>
  <c r="CR6" i="7"/>
  <c r="CS6" i="7"/>
  <c r="CT6" i="7"/>
  <c r="CU6" i="7"/>
  <c r="CV6" i="7"/>
  <c r="CW6" i="7"/>
  <c r="CX6" i="7"/>
  <c r="CY6" i="7"/>
  <c r="CZ6" i="7"/>
  <c r="DA6" i="7"/>
  <c r="DB6" i="7"/>
  <c r="DC6" i="7"/>
  <c r="DD6" i="7"/>
  <c r="DE6" i="7"/>
  <c r="DF6" i="7"/>
  <c r="DG6" i="7"/>
  <c r="DH6" i="7"/>
  <c r="DI6" i="7"/>
  <c r="DJ6" i="7"/>
  <c r="DK6" i="7"/>
  <c r="DL6" i="7"/>
  <c r="DM6" i="7"/>
  <c r="DN6" i="7"/>
  <c r="DO6" i="7"/>
  <c r="DP6" i="7"/>
  <c r="DQ6" i="7"/>
  <c r="DR6" i="7"/>
  <c r="DS6" i="7"/>
  <c r="DT6" i="7"/>
  <c r="DU6" i="7"/>
  <c r="DV6" i="7"/>
  <c r="DW6" i="7"/>
  <c r="DX6" i="7"/>
  <c r="DY6" i="7"/>
  <c r="DZ6" i="7"/>
  <c r="EA6" i="7"/>
  <c r="EB6" i="7"/>
  <c r="EC6" i="7"/>
  <c r="ED6" i="7"/>
  <c r="EE6" i="7"/>
  <c r="EF6" i="7"/>
  <c r="EG6" i="7"/>
  <c r="EH6" i="7"/>
  <c r="EI6" i="7"/>
  <c r="EJ6" i="7"/>
  <c r="EK6" i="7"/>
  <c r="EL6" i="7"/>
  <c r="EM6" i="7"/>
  <c r="EN6" i="7"/>
  <c r="EO6" i="7"/>
  <c r="EP6" i="7"/>
  <c r="EQ6" i="7"/>
  <c r="ER6" i="7"/>
  <c r="ES6" i="7"/>
  <c r="ET6" i="7"/>
  <c r="EU6" i="7"/>
  <c r="EV6" i="7"/>
  <c r="EW6" i="7"/>
  <c r="EX6" i="7"/>
  <c r="EY6" i="7"/>
  <c r="EZ6" i="7"/>
  <c r="FA6" i="7"/>
  <c r="FB6" i="7"/>
  <c r="FC6" i="7"/>
  <c r="FD6" i="7"/>
  <c r="FE6" i="7"/>
  <c r="FF6" i="7"/>
  <c r="FG6" i="7"/>
  <c r="FH6" i="7"/>
  <c r="FI6" i="7"/>
  <c r="FJ6" i="7"/>
  <c r="FK6" i="7"/>
  <c r="FL6" i="7"/>
  <c r="FM6" i="7"/>
  <c r="FN6" i="7"/>
  <c r="FO6" i="7"/>
  <c r="FP6" i="7"/>
  <c r="FQ6" i="7"/>
  <c r="FR6" i="7"/>
  <c r="FS6" i="7"/>
  <c r="FT6" i="7"/>
  <c r="FU6" i="7"/>
  <c r="FV6" i="7"/>
  <c r="FW6" i="7"/>
  <c r="FX6" i="7"/>
  <c r="FY6" i="7"/>
  <c r="FZ6" i="7"/>
  <c r="GA6" i="7"/>
  <c r="GB6" i="7"/>
  <c r="GC6" i="7"/>
  <c r="GD6" i="7"/>
  <c r="GE6" i="7"/>
  <c r="GF6" i="7"/>
  <c r="GG6" i="7"/>
  <c r="GH6" i="7"/>
  <c r="GI6" i="7"/>
  <c r="GJ6" i="7"/>
  <c r="GK6" i="7"/>
  <c r="GL6" i="7"/>
  <c r="GM6" i="7"/>
  <c r="GN6" i="7"/>
  <c r="GO6" i="7"/>
  <c r="GP6" i="7"/>
  <c r="GQ6" i="7"/>
  <c r="GR6" i="7"/>
  <c r="GS6" i="7"/>
  <c r="GT6" i="7"/>
  <c r="GU6" i="7"/>
  <c r="GV6" i="7"/>
  <c r="GW6" i="7"/>
  <c r="GX6" i="7"/>
  <c r="GY6" i="7"/>
  <c r="GZ6" i="7"/>
  <c r="HA6" i="7"/>
  <c r="HB6" i="7"/>
  <c r="HC6" i="7"/>
  <c r="HD6" i="7"/>
  <c r="HE6" i="7"/>
  <c r="HF6" i="7"/>
  <c r="HG6" i="7"/>
  <c r="HH6" i="7"/>
  <c r="HI6" i="7"/>
  <c r="HJ6" i="7"/>
  <c r="HK6" i="7"/>
  <c r="HL6" i="7"/>
  <c r="HM6" i="7"/>
  <c r="HN6" i="7"/>
  <c r="HO6" i="7"/>
  <c r="HP6" i="7"/>
  <c r="HQ6" i="7"/>
  <c r="HR6" i="7"/>
  <c r="HS6" i="7"/>
  <c r="HT6" i="7"/>
  <c r="HU6" i="7"/>
  <c r="HV6" i="7"/>
  <c r="HW6" i="7"/>
  <c r="HX6" i="7"/>
  <c r="HY6" i="7"/>
  <c r="HZ6" i="7"/>
  <c r="IA6" i="7"/>
  <c r="IB6" i="7"/>
  <c r="IC6" i="7"/>
  <c r="ID6" i="7"/>
  <c r="IE6" i="7"/>
  <c r="IF6" i="7"/>
  <c r="IG6" i="7"/>
  <c r="IH6" i="7"/>
  <c r="II6" i="7"/>
  <c r="IJ6" i="7"/>
  <c r="IK6" i="7"/>
  <c r="IL6" i="7"/>
  <c r="IM6" i="7"/>
  <c r="IN6" i="7"/>
  <c r="IO6" i="7"/>
  <c r="IP6" i="7"/>
  <c r="IQ6" i="7"/>
  <c r="IR6" i="7"/>
  <c r="IS6" i="7"/>
  <c r="IT6" i="7"/>
  <c r="IU6" i="7"/>
  <c r="IV6" i="7"/>
  <c r="A5" i="7"/>
  <c r="B5" i="7"/>
  <c r="C5" i="7"/>
  <c r="D5" i="7"/>
  <c r="E5" i="7"/>
  <c r="F5" i="7"/>
  <c r="G5" i="7"/>
  <c r="H5" i="7"/>
  <c r="I5" i="7"/>
  <c r="J5" i="7"/>
  <c r="K5" i="7"/>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FO5" i="7"/>
  <c r="FP5" i="7"/>
  <c r="FQ5" i="7"/>
  <c r="FR5" i="7"/>
  <c r="FS5" i="7"/>
  <c r="FT5" i="7"/>
  <c r="FU5" i="7"/>
  <c r="FV5" i="7"/>
  <c r="FW5" i="7"/>
  <c r="FX5" i="7"/>
  <c r="FY5" i="7"/>
  <c r="FZ5" i="7"/>
  <c r="GA5" i="7"/>
  <c r="GB5" i="7"/>
  <c r="GC5" i="7"/>
  <c r="GD5" i="7"/>
  <c r="GE5" i="7"/>
  <c r="GF5" i="7"/>
  <c r="GG5" i="7"/>
  <c r="GH5" i="7"/>
  <c r="GI5" i="7"/>
  <c r="GJ5" i="7"/>
  <c r="GK5" i="7"/>
  <c r="GL5" i="7"/>
  <c r="GM5" i="7"/>
  <c r="GN5" i="7"/>
  <c r="GO5" i="7"/>
  <c r="GP5" i="7"/>
  <c r="GQ5" i="7"/>
  <c r="GR5" i="7"/>
  <c r="GS5" i="7"/>
  <c r="GT5" i="7"/>
  <c r="GU5" i="7"/>
  <c r="GV5" i="7"/>
  <c r="GW5" i="7"/>
  <c r="GX5" i="7"/>
  <c r="GY5" i="7"/>
  <c r="GZ5" i="7"/>
  <c r="HA5" i="7"/>
  <c r="HB5" i="7"/>
  <c r="HC5" i="7"/>
  <c r="HD5" i="7"/>
  <c r="HE5" i="7"/>
  <c r="HF5" i="7"/>
  <c r="HG5" i="7"/>
  <c r="HH5" i="7"/>
  <c r="HI5" i="7"/>
  <c r="HJ5" i="7"/>
  <c r="HK5" i="7"/>
  <c r="HL5" i="7"/>
  <c r="HM5" i="7"/>
  <c r="HN5" i="7"/>
  <c r="HO5" i="7"/>
  <c r="HP5" i="7"/>
  <c r="HQ5" i="7"/>
  <c r="HR5" i="7"/>
  <c r="HS5" i="7"/>
  <c r="HT5" i="7"/>
  <c r="HU5" i="7"/>
  <c r="HV5" i="7"/>
  <c r="HW5" i="7"/>
  <c r="HX5" i="7"/>
  <c r="HY5" i="7"/>
  <c r="HZ5" i="7"/>
  <c r="IA5" i="7"/>
  <c r="IB5" i="7"/>
  <c r="IC5" i="7"/>
  <c r="ID5" i="7"/>
  <c r="IE5" i="7"/>
  <c r="IF5" i="7"/>
  <c r="IG5" i="7"/>
  <c r="IH5" i="7"/>
  <c r="II5" i="7"/>
  <c r="IJ5" i="7"/>
  <c r="IK5" i="7"/>
  <c r="IL5" i="7"/>
  <c r="IM5" i="7"/>
  <c r="IN5" i="7"/>
  <c r="IO5" i="7"/>
  <c r="IP5" i="7"/>
  <c r="IQ5" i="7"/>
  <c r="IR5" i="7"/>
  <c r="IS5" i="7"/>
  <c r="IT5" i="7"/>
  <c r="IU5" i="7"/>
  <c r="IV5"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A3" i="7"/>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A2" i="7"/>
  <c r="B2" i="7"/>
  <c r="C2" i="7"/>
  <c r="D2" i="7"/>
  <c r="E2" i="7"/>
  <c r="F2" i="7"/>
  <c r="G2" i="7"/>
  <c r="H2" i="7"/>
  <c r="I2" i="7"/>
  <c r="J2" i="7"/>
  <c r="K2" i="7"/>
  <c r="L2" i="7"/>
  <c r="M2" i="7"/>
  <c r="N2" i="7"/>
  <c r="O2" i="7"/>
  <c r="P2" i="7"/>
  <c r="Q2" i="7"/>
  <c r="R2" i="7"/>
  <c r="S2" i="7"/>
  <c r="T2" i="7"/>
  <c r="U2" i="7"/>
  <c r="V2" i="7"/>
  <c r="W2" i="7"/>
  <c r="X2" i="7"/>
  <c r="Y2" i="7"/>
  <c r="Z2" i="7"/>
  <c r="AA2" i="7"/>
  <c r="AB2" i="7"/>
  <c r="AC2" i="7"/>
  <c r="AD2" i="7"/>
  <c r="AE2" i="7"/>
  <c r="AF2" i="7"/>
  <c r="AG2" i="7"/>
  <c r="AH2" i="7"/>
  <c r="AI2" i="7"/>
  <c r="AJ2" i="7"/>
  <c r="AK2" i="7"/>
  <c r="AL2" i="7"/>
  <c r="AM2" i="7"/>
  <c r="AN2" i="7"/>
  <c r="AO2" i="7"/>
  <c r="AP2" i="7"/>
  <c r="AQ2" i="7"/>
  <c r="AR2" i="7"/>
  <c r="AS2" i="7"/>
  <c r="AT2" i="7"/>
  <c r="AU2" i="7"/>
  <c r="AV2" i="7"/>
  <c r="AW2" i="7"/>
  <c r="AX2" i="7"/>
  <c r="AY2" i="7"/>
  <c r="AZ2" i="7"/>
  <c r="BA2" i="7"/>
  <c r="BB2" i="7"/>
  <c r="BC2" i="7"/>
  <c r="BD2" i="7"/>
  <c r="BE2" i="7"/>
  <c r="BF2" i="7"/>
  <c r="BG2" i="7"/>
  <c r="BH2" i="7"/>
  <c r="BI2" i="7"/>
  <c r="BJ2" i="7"/>
  <c r="BK2" i="7"/>
  <c r="BL2" i="7"/>
  <c r="BM2" i="7"/>
  <c r="BN2" i="7"/>
  <c r="BO2" i="7"/>
  <c r="BP2" i="7"/>
  <c r="BQ2" i="7"/>
  <c r="BR2" i="7"/>
  <c r="BS2" i="7"/>
  <c r="BT2" i="7"/>
  <c r="BU2" i="7"/>
  <c r="BV2" i="7"/>
  <c r="BW2" i="7"/>
  <c r="BX2" i="7"/>
  <c r="BY2" i="7"/>
  <c r="BZ2" i="7"/>
  <c r="CA2" i="7"/>
  <c r="CB2" i="7"/>
  <c r="CC2" i="7"/>
  <c r="CD2" i="7"/>
  <c r="CE2" i="7"/>
  <c r="CF2" i="7"/>
  <c r="CG2" i="7"/>
  <c r="CH2" i="7"/>
  <c r="CI2" i="7"/>
  <c r="CJ2" i="7"/>
  <c r="CK2" i="7"/>
  <c r="CL2" i="7"/>
  <c r="CM2" i="7"/>
  <c r="CN2" i="7"/>
  <c r="CO2" i="7"/>
  <c r="CP2" i="7"/>
  <c r="CQ2" i="7"/>
  <c r="CR2" i="7"/>
  <c r="CS2" i="7"/>
  <c r="CT2" i="7"/>
  <c r="CU2" i="7"/>
  <c r="CV2" i="7"/>
  <c r="CW2" i="7"/>
  <c r="CX2" i="7"/>
  <c r="CY2" i="7"/>
  <c r="CZ2" i="7"/>
  <c r="DA2" i="7"/>
  <c r="DB2" i="7"/>
  <c r="DC2" i="7"/>
  <c r="DD2" i="7"/>
  <c r="DE2" i="7"/>
  <c r="DF2" i="7"/>
  <c r="DG2" i="7"/>
  <c r="DH2" i="7"/>
  <c r="DI2" i="7"/>
  <c r="DJ2" i="7"/>
  <c r="DK2" i="7"/>
  <c r="DL2" i="7"/>
  <c r="DM2" i="7"/>
  <c r="DN2" i="7"/>
  <c r="DO2" i="7"/>
  <c r="DP2" i="7"/>
  <c r="DQ2" i="7"/>
  <c r="DR2" i="7"/>
  <c r="DS2" i="7"/>
  <c r="DT2" i="7"/>
  <c r="DU2" i="7"/>
  <c r="DV2" i="7"/>
  <c r="DW2" i="7"/>
  <c r="DX2" i="7"/>
  <c r="DY2" i="7"/>
  <c r="DZ2" i="7"/>
  <c r="EA2" i="7"/>
  <c r="EB2" i="7"/>
  <c r="EC2" i="7"/>
  <c r="ED2" i="7"/>
  <c r="EE2" i="7"/>
  <c r="EF2" i="7"/>
  <c r="EG2" i="7"/>
  <c r="EH2" i="7"/>
  <c r="EI2" i="7"/>
  <c r="EJ2" i="7"/>
  <c r="EK2" i="7"/>
  <c r="EL2" i="7"/>
  <c r="EM2" i="7"/>
  <c r="EN2" i="7"/>
  <c r="EO2" i="7"/>
  <c r="EP2" i="7"/>
  <c r="EQ2" i="7"/>
  <c r="ER2" i="7"/>
  <c r="ES2" i="7"/>
  <c r="ET2" i="7"/>
  <c r="EU2" i="7"/>
  <c r="EV2" i="7"/>
  <c r="EW2" i="7"/>
  <c r="EX2" i="7"/>
  <c r="EY2" i="7"/>
  <c r="EZ2" i="7"/>
  <c r="FA2" i="7"/>
  <c r="FB2" i="7"/>
  <c r="FC2" i="7"/>
  <c r="FD2" i="7"/>
  <c r="FE2" i="7"/>
  <c r="FF2" i="7"/>
  <c r="FG2" i="7"/>
  <c r="FH2" i="7"/>
  <c r="FI2" i="7"/>
  <c r="FJ2" i="7"/>
  <c r="FK2" i="7"/>
  <c r="FL2" i="7"/>
  <c r="FM2" i="7"/>
  <c r="FN2" i="7"/>
  <c r="FO2" i="7"/>
  <c r="FP2" i="7"/>
  <c r="FQ2" i="7"/>
  <c r="FR2" i="7"/>
  <c r="FS2" i="7"/>
  <c r="FT2" i="7"/>
  <c r="FU2" i="7"/>
  <c r="FV2" i="7"/>
  <c r="FW2" i="7"/>
  <c r="FX2" i="7"/>
  <c r="FY2" i="7"/>
  <c r="FZ2" i="7"/>
  <c r="GA2" i="7"/>
  <c r="GB2" i="7"/>
  <c r="GC2" i="7"/>
  <c r="GD2" i="7"/>
  <c r="GE2" i="7"/>
  <c r="GF2" i="7"/>
  <c r="GG2" i="7"/>
  <c r="GH2" i="7"/>
  <c r="GI2" i="7"/>
  <c r="GJ2" i="7"/>
  <c r="GK2" i="7"/>
  <c r="GL2" i="7"/>
  <c r="GM2" i="7"/>
  <c r="GN2" i="7"/>
  <c r="GO2" i="7"/>
  <c r="GP2" i="7"/>
  <c r="GQ2" i="7"/>
  <c r="GR2" i="7"/>
  <c r="GS2" i="7"/>
  <c r="GT2" i="7"/>
  <c r="GU2" i="7"/>
  <c r="GV2" i="7"/>
  <c r="GW2" i="7"/>
  <c r="GX2" i="7"/>
  <c r="GY2" i="7"/>
  <c r="GZ2" i="7"/>
  <c r="HA2" i="7"/>
  <c r="HB2" i="7"/>
  <c r="HC2" i="7"/>
  <c r="HD2" i="7"/>
  <c r="HE2" i="7"/>
  <c r="HF2" i="7"/>
  <c r="HG2" i="7"/>
  <c r="HH2" i="7"/>
  <c r="HI2" i="7"/>
  <c r="HJ2" i="7"/>
  <c r="HK2" i="7"/>
  <c r="HL2" i="7"/>
  <c r="HM2" i="7"/>
  <c r="HN2" i="7"/>
  <c r="HO2" i="7"/>
  <c r="HP2" i="7"/>
  <c r="HQ2" i="7"/>
  <c r="HR2" i="7"/>
  <c r="HS2" i="7"/>
  <c r="HT2" i="7"/>
  <c r="HU2" i="7"/>
  <c r="HV2" i="7"/>
  <c r="HW2" i="7"/>
  <c r="HX2" i="7"/>
  <c r="HY2" i="7"/>
  <c r="HZ2" i="7"/>
  <c r="IA2" i="7"/>
  <c r="IB2" i="7"/>
  <c r="IC2" i="7"/>
  <c r="ID2" i="7"/>
  <c r="IE2" i="7"/>
  <c r="IF2" i="7"/>
  <c r="IG2" i="7"/>
  <c r="IH2" i="7"/>
  <c r="II2" i="7"/>
  <c r="IJ2" i="7"/>
  <c r="IK2" i="7"/>
  <c r="IL2" i="7"/>
  <c r="IM2" i="7"/>
  <c r="IN2" i="7"/>
  <c r="IO2" i="7"/>
  <c r="IP2" i="7"/>
  <c r="IQ2" i="7"/>
  <c r="IR2" i="7"/>
  <c r="IS2" i="7"/>
  <c r="IT2" i="7"/>
  <c r="IU2" i="7"/>
  <c r="IV2" i="7"/>
  <c r="A1" i="7"/>
  <c r="B1" i="7"/>
  <c r="C1" i="7"/>
  <c r="D1" i="7"/>
  <c r="E1" i="7"/>
  <c r="F1" i="7"/>
  <c r="G1" i="7"/>
  <c r="H1" i="7"/>
  <c r="I1" i="7"/>
  <c r="J1" i="7"/>
  <c r="K1" i="7"/>
  <c r="L1" i="7"/>
  <c r="M1" i="7"/>
  <c r="N1" i="7"/>
  <c r="O1" i="7"/>
  <c r="P1" i="7"/>
  <c r="Q1" i="7"/>
  <c r="R1" i="7"/>
  <c r="S1" i="7"/>
  <c r="T1" i="7"/>
  <c r="U1" i="7"/>
  <c r="V1" i="7"/>
  <c r="W1" i="7"/>
  <c r="X1" i="7"/>
  <c r="Y1" i="7"/>
  <c r="Z1" i="7"/>
  <c r="AA1" i="7"/>
  <c r="AB1" i="7"/>
  <c r="AC1" i="7"/>
  <c r="AD1" i="7"/>
  <c r="AE1" i="7"/>
  <c r="AF1" i="7"/>
  <c r="AG1" i="7"/>
  <c r="AH1" i="7"/>
  <c r="AI1" i="7"/>
  <c r="AJ1" i="7"/>
  <c r="AK1" i="7"/>
  <c r="AL1" i="7"/>
  <c r="AM1" i="7"/>
  <c r="AN1" i="7"/>
  <c r="AO1" i="7"/>
  <c r="AP1" i="7"/>
  <c r="AQ1" i="7"/>
  <c r="AR1" i="7"/>
  <c r="AS1" i="7"/>
  <c r="AT1" i="7"/>
  <c r="AU1" i="7"/>
  <c r="AV1" i="7"/>
  <c r="AW1" i="7"/>
  <c r="AX1" i="7"/>
  <c r="AY1" i="7"/>
  <c r="AZ1" i="7"/>
  <c r="BA1" i="7"/>
  <c r="BB1" i="7"/>
  <c r="BC1" i="7"/>
  <c r="BD1" i="7"/>
  <c r="BE1" i="7"/>
  <c r="BF1" i="7"/>
  <c r="BG1" i="7"/>
  <c r="BH1" i="7"/>
  <c r="BI1" i="7"/>
  <c r="BJ1" i="7"/>
  <c r="BK1" i="7"/>
  <c r="BL1" i="7"/>
  <c r="BM1" i="7"/>
  <c r="BN1" i="7"/>
  <c r="BO1" i="7"/>
  <c r="BP1" i="7"/>
  <c r="BQ1" i="7"/>
  <c r="BR1" i="7"/>
  <c r="BS1" i="7"/>
  <c r="BT1" i="7"/>
  <c r="BU1" i="7"/>
  <c r="BV1" i="7"/>
  <c r="BW1" i="7"/>
  <c r="BX1" i="7"/>
  <c r="BY1" i="7"/>
  <c r="BZ1" i="7"/>
  <c r="CA1" i="7"/>
  <c r="CB1" i="7"/>
  <c r="CC1" i="7"/>
  <c r="CD1" i="7"/>
  <c r="CE1" i="7"/>
  <c r="CF1" i="7"/>
  <c r="CG1" i="7"/>
  <c r="CH1" i="7"/>
  <c r="CI1" i="7"/>
  <c r="CJ1" i="7"/>
  <c r="CK1" i="7"/>
  <c r="CL1" i="7"/>
  <c r="CM1" i="7"/>
  <c r="CN1" i="7"/>
  <c r="CO1" i="7"/>
  <c r="CP1" i="7"/>
  <c r="CQ1" i="7"/>
  <c r="CR1" i="7"/>
  <c r="CS1" i="7"/>
  <c r="CT1" i="7"/>
  <c r="CU1" i="7"/>
  <c r="CV1" i="7"/>
  <c r="CW1" i="7"/>
  <c r="CX1" i="7"/>
  <c r="CY1" i="7"/>
  <c r="CZ1" i="7"/>
  <c r="DA1" i="7"/>
  <c r="DB1" i="7"/>
  <c r="DC1" i="7"/>
  <c r="DD1" i="7"/>
  <c r="DE1" i="7"/>
  <c r="DF1" i="7"/>
  <c r="DG1" i="7"/>
  <c r="DH1" i="7"/>
  <c r="DI1" i="7"/>
  <c r="DJ1" i="7"/>
  <c r="DK1" i="7"/>
  <c r="DL1" i="7"/>
  <c r="DM1" i="7"/>
  <c r="DN1" i="7"/>
  <c r="DO1" i="7"/>
  <c r="DP1" i="7"/>
  <c r="DQ1" i="7"/>
  <c r="DR1" i="7"/>
  <c r="DS1" i="7"/>
  <c r="DT1" i="7"/>
  <c r="DU1" i="7"/>
  <c r="DV1" i="7"/>
  <c r="DW1" i="7"/>
  <c r="DX1" i="7"/>
  <c r="DY1" i="7"/>
  <c r="DZ1" i="7"/>
  <c r="EA1" i="7"/>
  <c r="EB1" i="7"/>
  <c r="EC1" i="7"/>
  <c r="ED1" i="7"/>
  <c r="EE1" i="7"/>
  <c r="EF1" i="7"/>
  <c r="EG1" i="7"/>
  <c r="EH1" i="7"/>
  <c r="EI1" i="7"/>
  <c r="EJ1" i="7"/>
  <c r="EK1" i="7"/>
  <c r="EL1" i="7"/>
  <c r="EM1" i="7"/>
  <c r="EN1" i="7"/>
  <c r="EO1" i="7"/>
  <c r="EP1" i="7"/>
  <c r="EQ1" i="7"/>
  <c r="ER1" i="7"/>
  <c r="ES1" i="7"/>
  <c r="ET1" i="7"/>
  <c r="EU1" i="7"/>
  <c r="EV1" i="7"/>
  <c r="EW1" i="7"/>
  <c r="EX1" i="7"/>
  <c r="EY1" i="7"/>
  <c r="EZ1" i="7"/>
  <c r="FA1" i="7"/>
  <c r="FB1" i="7"/>
  <c r="FC1" i="7"/>
  <c r="FD1" i="7"/>
  <c r="FE1" i="7"/>
  <c r="FF1" i="7"/>
  <c r="FG1" i="7"/>
  <c r="FH1" i="7"/>
  <c r="FI1" i="7"/>
  <c r="FJ1" i="7"/>
  <c r="FK1" i="7"/>
  <c r="FL1" i="7"/>
  <c r="FM1" i="7"/>
  <c r="FN1" i="7"/>
  <c r="FO1" i="7"/>
  <c r="FP1" i="7"/>
  <c r="FQ1" i="7"/>
  <c r="FR1" i="7"/>
  <c r="FS1" i="7"/>
  <c r="FT1" i="7"/>
  <c r="FU1" i="7"/>
  <c r="FV1" i="7"/>
  <c r="FW1" i="7"/>
  <c r="FX1" i="7"/>
  <c r="FY1" i="7"/>
  <c r="FZ1" i="7"/>
  <c r="GA1" i="7"/>
  <c r="GB1" i="7"/>
  <c r="GC1" i="7"/>
  <c r="GD1" i="7"/>
  <c r="GE1" i="7"/>
  <c r="GF1" i="7"/>
  <c r="GG1" i="7"/>
  <c r="GH1" i="7"/>
  <c r="GI1" i="7"/>
  <c r="GJ1" i="7"/>
  <c r="GK1" i="7"/>
  <c r="GL1" i="7"/>
  <c r="GM1" i="7"/>
  <c r="GN1" i="7"/>
  <c r="GO1" i="7"/>
  <c r="GP1" i="7"/>
  <c r="GQ1" i="7"/>
  <c r="GR1" i="7"/>
  <c r="GS1" i="7"/>
  <c r="GT1" i="7"/>
  <c r="GU1" i="7"/>
  <c r="GV1" i="7"/>
  <c r="GW1" i="7"/>
  <c r="GX1" i="7"/>
  <c r="GY1" i="7"/>
  <c r="GZ1" i="7"/>
  <c r="HA1" i="7"/>
  <c r="HB1" i="7"/>
  <c r="HC1" i="7"/>
  <c r="HD1" i="7"/>
  <c r="HE1" i="7"/>
  <c r="HF1" i="7"/>
  <c r="HG1" i="7"/>
  <c r="HH1" i="7"/>
  <c r="HI1" i="7"/>
  <c r="HJ1" i="7"/>
  <c r="HK1" i="7"/>
  <c r="HL1" i="7"/>
  <c r="HM1" i="7"/>
  <c r="HN1" i="7"/>
  <c r="HO1" i="7"/>
  <c r="HP1" i="7"/>
  <c r="HQ1" i="7"/>
  <c r="HR1" i="7"/>
  <c r="HS1" i="7"/>
  <c r="HT1" i="7"/>
  <c r="HU1" i="7"/>
  <c r="HV1" i="7"/>
  <c r="HW1" i="7"/>
  <c r="HX1" i="7"/>
  <c r="HY1" i="7"/>
  <c r="HZ1" i="7"/>
  <c r="IA1" i="7"/>
  <c r="IB1" i="7"/>
  <c r="IC1" i="7"/>
  <c r="ID1" i="7"/>
  <c r="IE1" i="7"/>
  <c r="IF1" i="7"/>
  <c r="IG1" i="7"/>
  <c r="IH1" i="7"/>
  <c r="II1" i="7"/>
  <c r="IJ1" i="7"/>
  <c r="IK1" i="7"/>
  <c r="IL1" i="7"/>
  <c r="IM1" i="7"/>
  <c r="IN1" i="7"/>
  <c r="IO1" i="7"/>
  <c r="IP1" i="7"/>
  <c r="IQ1" i="7"/>
  <c r="IR1" i="7"/>
  <c r="IS1" i="7"/>
  <c r="IT1" i="7"/>
  <c r="IU1" i="7"/>
  <c r="IV1" i="7"/>
  <c r="GS41" i="7"/>
  <c r="E54" i="11"/>
  <c r="E53" i="11"/>
  <c r="C36" i="11" l="1"/>
  <c r="C34" i="11"/>
  <c r="C35" i="11"/>
  <c r="K57" i="11" l="1"/>
  <c r="J57" i="11"/>
</calcChain>
</file>

<file path=xl/sharedStrings.xml><?xml version="1.0" encoding="utf-8"?>
<sst xmlns="http://schemas.openxmlformats.org/spreadsheetml/2006/main" count="118" uniqueCount="87">
  <si>
    <t>Revision:</t>
  </si>
  <si>
    <t>Date:</t>
  </si>
  <si>
    <t>R. Abbott</t>
  </si>
  <si>
    <t>Author:</t>
  </si>
  <si>
    <t>Check:</t>
  </si>
  <si>
    <t xml:space="preserve"> </t>
  </si>
  <si>
    <t>Report:</t>
  </si>
  <si>
    <t>Section:</t>
  </si>
  <si>
    <t>Document Number:</t>
  </si>
  <si>
    <t>Revision Level :</t>
  </si>
  <si>
    <t>Page:</t>
  </si>
  <si>
    <t>=</t>
  </si>
  <si>
    <t>AAAAAH98rX4=</t>
  </si>
  <si>
    <t>AAAAAH98rX8=</t>
  </si>
  <si>
    <t xml:space="preserve">Page </t>
  </si>
  <si>
    <t>Title</t>
  </si>
  <si>
    <t>Sub</t>
  </si>
  <si>
    <t>Fig</t>
  </si>
  <si>
    <t>Table</t>
  </si>
  <si>
    <t>No</t>
  </si>
  <si>
    <t>lb</t>
  </si>
  <si>
    <t>b =</t>
  </si>
  <si>
    <t>C =</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</si>
  <si>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</si>
  <si>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</si>
  <si>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</si>
  <si>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</si>
  <si>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</si>
  <si>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</si>
  <si>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</si>
  <si>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</si>
  <si>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</si>
  <si>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</si>
  <si>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</si>
  <si>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</si>
  <si>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</si>
  <si>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</si>
  <si>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</si>
  <si>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</si>
  <si>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</si>
  <si>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</si>
  <si>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</si>
  <si>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</si>
  <si>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</si>
  <si>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</si>
  <si>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</si>
  <si>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</si>
  <si>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</si>
  <si>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</si>
  <si>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</si>
  <si>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</si>
  <si>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</si>
  <si>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</si>
  <si>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P =</t>
  </si>
  <si>
    <t>τ</t>
  </si>
  <si>
    <t>α =</t>
  </si>
  <si>
    <t>Gc =</t>
  </si>
  <si>
    <t>c =</t>
  </si>
  <si>
    <t>in, core thickness</t>
  </si>
  <si>
    <t>psi, shear modulus of the core</t>
  </si>
  <si>
    <t>Es =</t>
  </si>
  <si>
    <t>vs =</t>
  </si>
  <si>
    <t>facing sheet poissons ratio</t>
  </si>
  <si>
    <t>in, face sheet thickness, t₁ = t₂</t>
  </si>
  <si>
    <t>r</t>
  </si>
  <si>
    <t>K</t>
  </si>
  <si>
    <t>β =</t>
  </si>
  <si>
    <t>in, potting radius</t>
  </si>
  <si>
    <t>psi, facing sheet young's modulus</t>
  </si>
  <si>
    <t>Critical Core Shear Stress =</t>
  </si>
  <si>
    <t>psi</t>
  </si>
  <si>
    <t>f =</t>
  </si>
  <si>
    <t>τcrit =</t>
  </si>
  <si>
    <t>psi, core shear strength</t>
  </si>
  <si>
    <t>Pcrit =</t>
  </si>
  <si>
    <t>Kmax =</t>
  </si>
  <si>
    <t>rmax =</t>
  </si>
  <si>
    <t>AA-SM-140-001</t>
  </si>
  <si>
    <t>TENSION/COMPRESSION STRENGTH OF A POTTED INSERT</t>
  </si>
  <si>
    <t>(ESA-PSS-03-1202 INSERT DESIGN HANDBOOK)</t>
  </si>
  <si>
    <t>(ECSS-E-HB-32-22A INSERT DESIGN HANDBOOK)</t>
  </si>
  <si>
    <t>(Fully Potted Insert)</t>
  </si>
  <si>
    <t>www.xl-viking.com</t>
  </si>
  <si>
    <t>http://www.abbottaerospace.com/subscribe</t>
  </si>
  <si>
    <t>http://www.xl-viking.com/download-free-trial/</t>
  </si>
  <si>
    <t>http://www.abbottaerospace.com/engineering-services</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</si>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</sst>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quot; psi&quot;"/>
  </numFmts>
  <fonts count="17" x14ac:knownFonts="1">
    <font>
      <sz val="10"/>
      <name val="Arial"/>
    </font>
    <font>
      <sz val="10"/>
      <name val="Arial"/>
      <family val="2"/>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sz val="10"/>
      <color rgb="FF0000CC"/>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1" fillId="0" borderId="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Protection="0"/>
    <xf numFmtId="0" fontId="5" fillId="0" borderId="0"/>
    <xf numFmtId="0" fontId="15" fillId="0" borderId="0" applyNumberFormat="0" applyFill="0" applyBorder="0" applyAlignment="0" applyProtection="0"/>
    <xf numFmtId="0" fontId="11" fillId="0" borderId="0" applyNumberFormat="0" applyFill="0" applyBorder="0" applyAlignment="0" applyProtection="0">
      <alignment vertical="top"/>
      <protection locked="0"/>
    </xf>
  </cellStyleXfs>
  <cellXfs count="100">
    <xf numFmtId="0" fontId="0" fillId="0" borderId="0" xfId="0"/>
    <xf numFmtId="0" fontId="2" fillId="0" borderId="0" xfId="1"/>
    <xf numFmtId="1"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5" fillId="0" borderId="1" xfId="1" applyFont="1" applyBorder="1" applyAlignment="1">
      <alignment horizontal="center"/>
    </xf>
    <xf numFmtId="0" fontId="5" fillId="0" borderId="1" xfId="0" applyFont="1" applyBorder="1"/>
    <xf numFmtId="1" fontId="5" fillId="0" borderId="1" xfId="0" applyNumberFormat="1" applyFont="1" applyBorder="1" applyAlignment="1">
      <alignment horizontal="center"/>
    </xf>
    <xf numFmtId="165" fontId="5" fillId="0" borderId="0" xfId="0" applyNumberFormat="1" applyFont="1" applyAlignment="1">
      <alignment horizontal="center"/>
    </xf>
    <xf numFmtId="0" fontId="5" fillId="0" borderId="1" xfId="0" applyFont="1" applyBorder="1" applyAlignment="1"/>
    <xf numFmtId="0" fontId="5" fillId="0" borderId="0" xfId="0" applyFont="1" applyAlignment="1"/>
    <xf numFmtId="0" fontId="5" fillId="0" borderId="0" xfId="0" applyFont="1" applyProtection="1">
      <protection locked="0"/>
    </xf>
    <xf numFmtId="0" fontId="5" fillId="0" borderId="0" xfId="0" applyFont="1" applyBorder="1" applyProtection="1">
      <protection locked="0"/>
    </xf>
    <xf numFmtId="0" fontId="5" fillId="0" borderId="0" xfId="0" applyFont="1" applyBorder="1"/>
    <xf numFmtId="0" fontId="5" fillId="0" borderId="1" xfId="0" applyFont="1" applyBorder="1" applyAlignment="1">
      <alignment horizontal="center"/>
    </xf>
    <xf numFmtId="0" fontId="5" fillId="0" borderId="0" xfId="0" applyFont="1" applyAlignment="1" applyProtection="1">
      <alignment horizontal="right"/>
      <protection locked="0"/>
    </xf>
    <xf numFmtId="0" fontId="5" fillId="0" borderId="0" xfId="0" applyFont="1" applyAlignment="1" applyProtection="1">
      <alignment horizontal="right" vertical="center"/>
      <protection locked="0"/>
    </xf>
    <xf numFmtId="1" fontId="5" fillId="0" borderId="0" xfId="0" applyNumberFormat="1" applyFont="1" applyAlignment="1" applyProtection="1">
      <alignment horizontal="right" vertical="center"/>
      <protection locked="0"/>
    </xf>
    <xf numFmtId="0" fontId="5" fillId="0" borderId="0" xfId="0" applyFont="1" applyAlignment="1" applyProtection="1">
      <alignment vertical="center"/>
      <protection locked="0"/>
    </xf>
    <xf numFmtId="0" fontId="6" fillId="0" borderId="0" xfId="0" applyFont="1" applyProtection="1">
      <protection locked="0"/>
    </xf>
    <xf numFmtId="164" fontId="7" fillId="0" borderId="0" xfId="0" applyNumberFormat="1" applyFont="1" applyAlignment="1" applyProtection="1">
      <alignment horizontal="right" vertical="center"/>
      <protection locked="0"/>
    </xf>
    <xf numFmtId="0" fontId="5" fillId="0" borderId="0" xfId="0" quotePrefix="1" applyFont="1" applyAlignment="1" applyProtection="1">
      <alignment vertical="center"/>
      <protection locked="0"/>
    </xf>
    <xf numFmtId="164" fontId="5" fillId="0" borderId="0" xfId="0" applyNumberFormat="1" applyFont="1" applyAlignment="1" applyProtection="1">
      <alignment horizontal="right"/>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protection locked="0"/>
    </xf>
    <xf numFmtId="164" fontId="5" fillId="0" borderId="0" xfId="0" applyNumberFormat="1" applyFont="1"/>
    <xf numFmtId="0" fontId="5" fillId="0" borderId="0" xfId="0" quotePrefix="1" applyFont="1" applyBorder="1" applyProtection="1">
      <protection locked="0"/>
    </xf>
    <xf numFmtId="0" fontId="5" fillId="0" borderId="0" xfId="0" quotePrefix="1" applyFont="1" applyAlignment="1" applyProtection="1">
      <alignment horizontal="right" vertical="center"/>
      <protection locked="0"/>
    </xf>
    <xf numFmtId="0" fontId="5" fillId="0" borderId="0" xfId="0" quotePrefix="1" applyFont="1" applyAlignment="1" applyProtection="1">
      <alignment horizontal="left" vertical="center"/>
      <protection locked="0"/>
    </xf>
    <xf numFmtId="0" fontId="6" fillId="0" borderId="0" xfId="0" applyFont="1"/>
    <xf numFmtId="0" fontId="5" fillId="0" borderId="0" xfId="0" applyFont="1" applyAlignment="1">
      <alignment horizontal="right"/>
    </xf>
    <xf numFmtId="2" fontId="5" fillId="0" borderId="0" xfId="0" applyNumberFormat="1" applyFont="1" applyAlignment="1">
      <alignment horizontal="center"/>
    </xf>
    <xf numFmtId="164" fontId="5" fillId="0" borderId="0" xfId="0" applyNumberFormat="1" applyFont="1" applyAlignment="1">
      <alignment horizontal="center"/>
    </xf>
    <xf numFmtId="1" fontId="5" fillId="0" borderId="0" xfId="0" applyNumberFormat="1" applyFont="1" applyAlignment="1">
      <alignment horizontal="right"/>
    </xf>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2" xfId="3" applyFont="1" applyBorder="1" applyAlignment="1">
      <alignment horizontal="center"/>
    </xf>
    <xf numFmtId="0" fontId="5" fillId="0" borderId="0" xfId="3" applyFont="1" applyAlignment="1">
      <alignment horizontal="right"/>
    </xf>
    <xf numFmtId="0" fontId="6" fillId="0" borderId="0" xfId="3" applyFont="1" applyAlignment="1">
      <alignment horizontal="left"/>
    </xf>
    <xf numFmtId="0" fontId="5" fillId="0" borderId="1" xfId="3" applyFont="1" applyBorder="1" applyAlignment="1">
      <alignment horizontal="center"/>
    </xf>
    <xf numFmtId="14" fontId="8" fillId="0" borderId="0" xfId="3"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9" fillId="0" borderId="0" xfId="3" applyFont="1" applyAlignment="1" applyProtection="1">
      <alignment horizontal="left"/>
      <protection locked="0"/>
    </xf>
    <xf numFmtId="0" fontId="5" fillId="0" borderId="0" xfId="4" applyFont="1"/>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3" fillId="0" borderId="0" xfId="3" applyFont="1"/>
    <xf numFmtId="0" fontId="4" fillId="0" borderId="0" xfId="3" applyFont="1"/>
    <xf numFmtId="0" fontId="10" fillId="0" borderId="0" xfId="3" applyFont="1"/>
    <xf numFmtId="0" fontId="5" fillId="0" borderId="0" xfId="3" applyFont="1" applyBorder="1" applyAlignment="1"/>
    <xf numFmtId="0" fontId="10" fillId="0" borderId="0" xfId="3" applyFont="1" applyBorder="1" applyAlignment="1"/>
    <xf numFmtId="1" fontId="5" fillId="0" borderId="4" xfId="0" applyNumberFormat="1" applyFont="1" applyBorder="1" applyAlignment="1">
      <alignment horizontal="center"/>
    </xf>
    <xf numFmtId="0" fontId="5" fillId="0" borderId="3" xfId="3" applyFont="1" applyBorder="1" applyAlignment="1">
      <alignment horizontal="center"/>
    </xf>
    <xf numFmtId="0" fontId="5" fillId="0" borderId="2" xfId="3" applyFont="1" applyBorder="1"/>
    <xf numFmtId="0" fontId="5" fillId="0" borderId="4" xfId="3" applyFont="1" applyBorder="1" applyAlignment="1">
      <alignment horizontal="center"/>
    </xf>
    <xf numFmtId="0" fontId="5" fillId="0" borderId="1" xfId="3" applyFont="1" applyBorder="1"/>
    <xf numFmtId="1" fontId="5" fillId="0" borderId="4" xfId="4" applyNumberFormat="1" applyFont="1" applyBorder="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2" fillId="0" borderId="0" xfId="0" applyFont="1" applyAlignment="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3" fillId="0" borderId="0" xfId="5" applyFont="1" applyBorder="1" applyAlignment="1" applyProtection="1">
      <alignment horizontal="center"/>
      <protection locked="0"/>
    </xf>
    <xf numFmtId="1" fontId="5" fillId="0" borderId="0" xfId="0" applyNumberFormat="1" applyFont="1" applyFill="1" applyAlignment="1" applyProtection="1">
      <alignment horizontal="left" vertical="center"/>
      <protection locked="0"/>
    </xf>
    <xf numFmtId="164" fontId="5" fillId="0" borderId="0" xfId="0" applyNumberFormat="1" applyFont="1" applyAlignment="1" applyProtection="1">
      <alignment horizontal="left" vertical="center"/>
      <protection locked="0"/>
    </xf>
    <xf numFmtId="0" fontId="14" fillId="0" borderId="0" xfId="0" applyFont="1" applyAlignment="1" applyProtection="1">
      <alignment horizontal="right" vertical="center"/>
      <protection locked="0"/>
    </xf>
    <xf numFmtId="0" fontId="14" fillId="0" borderId="0" xfId="0" applyFont="1"/>
    <xf numFmtId="165" fontId="5" fillId="0" borderId="0" xfId="0" applyNumberFormat="1" applyFont="1"/>
    <xf numFmtId="0" fontId="5" fillId="0" borderId="0" xfId="0" applyFont="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164" fontId="5" fillId="0" borderId="0" xfId="0" applyNumberFormat="1" applyFont="1" applyAlignment="1">
      <alignment horizontal="left"/>
    </xf>
    <xf numFmtId="166" fontId="5" fillId="0" borderId="0" xfId="0" applyNumberFormat="1" applyFont="1"/>
    <xf numFmtId="2" fontId="6" fillId="0" borderId="0" xfId="0" applyNumberFormat="1" applyFont="1" applyAlignment="1">
      <alignment horizontal="center"/>
    </xf>
    <xf numFmtId="165" fontId="5" fillId="0" borderId="0" xfId="0" applyNumberFormat="1" applyFont="1" applyAlignment="1">
      <alignment horizontal="left"/>
    </xf>
    <xf numFmtId="2" fontId="5" fillId="0" borderId="0" xfId="0" applyNumberFormat="1" applyFont="1" applyAlignment="1">
      <alignment horizontal="left"/>
    </xf>
    <xf numFmtId="0" fontId="5" fillId="0" borderId="0" xfId="3" applyFont="1" applyBorder="1" applyAlignment="1">
      <alignment horizontal="left" vertical="top" wrapText="1"/>
    </xf>
    <xf numFmtId="0" fontId="16" fillId="0" borderId="0" xfId="8" applyFont="1" applyBorder="1" applyAlignment="1" applyProtection="1">
      <alignment horizontal="center"/>
    </xf>
    <xf numFmtId="0" fontId="11" fillId="0" borderId="0" xfId="9" applyBorder="1" applyAlignment="1" applyProtection="1">
      <alignment horizontal="center"/>
    </xf>
    <xf numFmtId="0" fontId="15" fillId="0" borderId="0" xfId="8" applyBorder="1" applyAlignment="1">
      <alignment horizontal="center"/>
    </xf>
    <xf numFmtId="0" fontId="11" fillId="0" borderId="0" xfId="9" applyFont="1"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9" applyBorder="1" applyAlignment="1" applyProtection="1">
      <alignment horizontal="center"/>
    </xf>
    <xf numFmtId="0" fontId="11" fillId="0" borderId="0" xfId="5" applyAlignment="1" applyProtection="1">
      <alignment horizontal="left"/>
    </xf>
    <xf numFmtId="0" fontId="11" fillId="0" borderId="0" xfId="5" applyAlignment="1" applyProtection="1">
      <alignment horizontal="left"/>
      <protection locked="0"/>
    </xf>
  </cellXfs>
  <cellStyles count="10">
    <cellStyle name="BODY TEXT" xfId="6"/>
    <cellStyle name="Hyperlink" xfId="5" builtinId="8"/>
    <cellStyle name="Hyperlink 2" xfId="8"/>
    <cellStyle name="Hyperlink 2 2" xfId="9"/>
    <cellStyle name="Normal" xfId="0" builtinId="0"/>
    <cellStyle name="Normal 2" xfId="1"/>
    <cellStyle name="Normal 2 2" xfId="3"/>
    <cellStyle name="Normal 3" xfId="2"/>
    <cellStyle name="Normal 4" xfId="4"/>
    <cellStyle name="Page Break"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01392881445376"/>
          <c:y val="6.3492063492063489E-2"/>
          <c:w val="0.8277269045073069"/>
          <c:h val="0.74370385519991822"/>
        </c:manualLayout>
      </c:layout>
      <c:scatterChart>
        <c:scatterStyle val="lineMarker"/>
        <c:varyColors val="0"/>
        <c:ser>
          <c:idx val="0"/>
          <c:order val="0"/>
          <c:spPr>
            <a:ln w="19050" cap="rnd">
              <a:solidFill>
                <a:schemeClr val="tx1"/>
              </a:solidFill>
              <a:round/>
            </a:ln>
            <a:effectLst/>
          </c:spPr>
          <c:marker>
            <c:symbol val="none"/>
          </c:marker>
          <c:xVal>
            <c:numRef>
              <c:f>'Main - US'!$W$17:$W$53</c:f>
              <c:numCache>
                <c:formatCode>General</c:formatCode>
                <c:ptCount val="37"/>
                <c:pt idx="1">
                  <c:v>0.36</c:v>
                </c:pt>
                <c:pt idx="2">
                  <c:v>0.38500000000000001</c:v>
                </c:pt>
                <c:pt idx="3">
                  <c:v>0.41000000000000003</c:v>
                </c:pt>
                <c:pt idx="4">
                  <c:v>0.43500000000000005</c:v>
                </c:pt>
                <c:pt idx="5">
                  <c:v>0.46000000000000008</c:v>
                </c:pt>
                <c:pt idx="6">
                  <c:v>0.4850000000000001</c:v>
                </c:pt>
                <c:pt idx="7">
                  <c:v>0.51000000000000012</c:v>
                </c:pt>
                <c:pt idx="8">
                  <c:v>0.53500000000000014</c:v>
                </c:pt>
                <c:pt idx="9">
                  <c:v>0.56000000000000016</c:v>
                </c:pt>
                <c:pt idx="10">
                  <c:v>0.58500000000000019</c:v>
                </c:pt>
                <c:pt idx="11">
                  <c:v>0.61000000000000021</c:v>
                </c:pt>
                <c:pt idx="12">
                  <c:v>0.63500000000000023</c:v>
                </c:pt>
                <c:pt idx="13">
                  <c:v>0.66000000000000025</c:v>
                </c:pt>
                <c:pt idx="14">
                  <c:v>0.68500000000000028</c:v>
                </c:pt>
                <c:pt idx="15">
                  <c:v>0.7100000000000003</c:v>
                </c:pt>
                <c:pt idx="16">
                  <c:v>0.73500000000000032</c:v>
                </c:pt>
                <c:pt idx="17">
                  <c:v>0.76000000000000034</c:v>
                </c:pt>
                <c:pt idx="18">
                  <c:v>0.78500000000000036</c:v>
                </c:pt>
                <c:pt idx="19">
                  <c:v>0.81000000000000039</c:v>
                </c:pt>
                <c:pt idx="20">
                  <c:v>0.83500000000000041</c:v>
                </c:pt>
                <c:pt idx="21">
                  <c:v>0.86000000000000043</c:v>
                </c:pt>
                <c:pt idx="22">
                  <c:v>0.88500000000000045</c:v>
                </c:pt>
                <c:pt idx="23">
                  <c:v>0.91000000000000048</c:v>
                </c:pt>
                <c:pt idx="24">
                  <c:v>0.9350000000000005</c:v>
                </c:pt>
                <c:pt idx="25">
                  <c:v>0.96000000000000052</c:v>
                </c:pt>
                <c:pt idx="26">
                  <c:v>0.98500000000000054</c:v>
                </c:pt>
                <c:pt idx="27">
                  <c:v>1.0100000000000005</c:v>
                </c:pt>
                <c:pt idx="28">
                  <c:v>1.0350000000000004</c:v>
                </c:pt>
                <c:pt idx="29">
                  <c:v>1.0600000000000003</c:v>
                </c:pt>
                <c:pt idx="30">
                  <c:v>1.0850000000000002</c:v>
                </c:pt>
                <c:pt idx="31">
                  <c:v>1.1100000000000001</c:v>
                </c:pt>
                <c:pt idx="32">
                  <c:v>1.135</c:v>
                </c:pt>
                <c:pt idx="33">
                  <c:v>1.1599999999999999</c:v>
                </c:pt>
                <c:pt idx="34">
                  <c:v>1.1849999999999998</c:v>
                </c:pt>
                <c:pt idx="35">
                  <c:v>1.2099999999999997</c:v>
                </c:pt>
                <c:pt idx="36">
                  <c:v>1.2349999999999997</c:v>
                </c:pt>
              </c:numCache>
            </c:numRef>
          </c:xVal>
          <c:yVal>
            <c:numRef>
              <c:f>'Main - US'!$Y$17:$Y$53</c:f>
              <c:numCache>
                <c:formatCode>0.0</c:formatCode>
                <c:ptCount val="37"/>
                <c:pt idx="1">
                  <c:v>0</c:v>
                </c:pt>
                <c:pt idx="2">
                  <c:v>157.81819879174523</c:v>
                </c:pt>
                <c:pt idx="3">
                  <c:v>255.66147803724814</c:v>
                </c:pt>
                <c:pt idx="4">
                  <c:v>314.21584641872812</c:v>
                </c:pt>
                <c:pt idx="5">
                  <c:v>347.10769151332892</c:v>
                </c:pt>
                <c:pt idx="6">
                  <c:v>363.33234484689444</c:v>
                </c:pt>
                <c:pt idx="7">
                  <c:v>368.83397766670043</c:v>
                </c:pt>
                <c:pt idx="8">
                  <c:v>367.53970054361167</c:v>
                </c:pt>
                <c:pt idx="9">
                  <c:v>362.03982450275947</c:v>
                </c:pt>
                <c:pt idx="10">
                  <c:v>354.03719845305216</c:v>
                </c:pt>
                <c:pt idx="11">
                  <c:v>344.6450017623892</c:v>
                </c:pt>
                <c:pt idx="12">
                  <c:v>334.58462235482926</c:v>
                </c:pt>
                <c:pt idx="13">
                  <c:v>324.31740478067212</c:v>
                </c:pt>
                <c:pt idx="14">
                  <c:v>314.132487938731</c:v>
                </c:pt>
                <c:pt idx="15">
                  <c:v>304.20540930690385</c:v>
                </c:pt>
                <c:pt idx="16">
                  <c:v>294.63720581087057</c:v>
                </c:pt>
                <c:pt idx="17">
                  <c:v>285.48048200102971</c:v>
                </c:pt>
                <c:pt idx="18">
                  <c:v>276.75675981652262</c:v>
                </c:pt>
                <c:pt idx="19">
                  <c:v>268.46799263326591</c:v>
                </c:pt>
                <c:pt idx="20">
                  <c:v>260.6041730650428</c:v>
                </c:pt>
                <c:pt idx="21">
                  <c:v>253.148327661265</c:v>
                </c:pt>
                <c:pt idx="22">
                  <c:v>246.07976595595002</c:v>
                </c:pt>
                <c:pt idx="23">
                  <c:v>239.3761660382383</c:v>
                </c:pt>
                <c:pt idx="24">
                  <c:v>233.01488735219812</c:v>
                </c:pt>
                <c:pt idx="25">
                  <c:v>226.97377279774796</c:v>
                </c:pt>
                <c:pt idx="26">
                  <c:v>221.23161571547411</c:v>
                </c:pt>
                <c:pt idx="27">
                  <c:v>215.76840916526925</c:v>
                </c:pt>
                <c:pt idx="28">
                  <c:v>210.56545578284226</c:v>
                </c:pt>
                <c:pt idx="29">
                  <c:v>205.60539019589558</c:v>
                </c:pt>
                <c:pt idx="30">
                  <c:v>200.8721483184099</c:v>
                </c:pt>
                <c:pt idx="31">
                  <c:v>196.35090599953969</c:v>
                </c:pt>
                <c:pt idx="32">
                  <c:v>192.02800158423733</c:v>
                </c:pt>
                <c:pt idx="33">
                  <c:v>187.89085166515821</c:v>
                </c:pt>
                <c:pt idx="34">
                  <c:v>183.92786580540408</c:v>
                </c:pt>
                <c:pt idx="35">
                  <c:v>180.12836370592112</c:v>
                </c:pt>
                <c:pt idx="36">
                  <c:v>176.48249678621031</c:v>
                </c:pt>
              </c:numCache>
            </c:numRef>
          </c:yVal>
          <c:smooth val="0"/>
          <c:extLst>
            <c:ext xmlns:c16="http://schemas.microsoft.com/office/drawing/2014/chart" uri="{C3380CC4-5D6E-409C-BE32-E72D297353CC}">
              <c16:uniqueId val="{00000000-7B80-4FD4-BF9E-C78BA4C10B20}"/>
            </c:ext>
          </c:extLst>
        </c:ser>
        <c:ser>
          <c:idx val="1"/>
          <c:order val="1"/>
          <c:spPr>
            <a:ln w="19050" cap="rnd">
              <a:solidFill>
                <a:schemeClr val="accent2"/>
              </a:solidFill>
              <a:round/>
            </a:ln>
            <a:effectLst/>
          </c:spPr>
          <c:marker>
            <c:symbol val="circle"/>
            <c:size val="5"/>
            <c:spPr>
              <a:solidFill>
                <a:schemeClr val="tx1"/>
              </a:solidFill>
              <a:ln w="9525">
                <a:solidFill>
                  <a:schemeClr val="tx1"/>
                </a:solidFill>
              </a:ln>
              <a:effectLst/>
            </c:spPr>
          </c:marker>
          <c:dLbls>
            <c:dLbl>
              <c:idx val="0"/>
              <c:layout>
                <c:manualLayout>
                  <c:x val="3.9976484420928868E-2"/>
                  <c:y val="-0.106246719160104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80-4FD4-BF9E-C78BA4C10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'Main - US'!$W$55</c:f>
              <c:numCache>
                <c:formatCode>0.000</c:formatCode>
                <c:ptCount val="1"/>
                <c:pt idx="0">
                  <c:v>0.51000000000000012</c:v>
                </c:pt>
              </c:numCache>
            </c:numRef>
          </c:xVal>
          <c:yVal>
            <c:numRef>
              <c:f>'Main - US'!$Y$55</c:f>
              <c:numCache>
                <c:formatCode>0.0" psi"</c:formatCode>
                <c:ptCount val="1"/>
                <c:pt idx="0">
                  <c:v>368.83397766670043</c:v>
                </c:pt>
              </c:numCache>
            </c:numRef>
          </c:yVal>
          <c:smooth val="0"/>
          <c:extLst>
            <c:ext xmlns:c16="http://schemas.microsoft.com/office/drawing/2014/chart" uri="{C3380CC4-5D6E-409C-BE32-E72D297353CC}">
              <c16:uniqueId val="{00000002-7B80-4FD4-BF9E-C78BA4C10B20}"/>
            </c:ext>
          </c:extLst>
        </c:ser>
        <c:ser>
          <c:idx val="2"/>
          <c:order val="2"/>
          <c:spPr>
            <a:ln w="9525" cap="rnd">
              <a:solidFill>
                <a:schemeClr val="tx1"/>
              </a:solidFill>
              <a:prstDash val="lgDash"/>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7B80-4FD4-BF9E-C78BA4C10B20}"/>
                </c:ext>
              </c:extLst>
            </c:dLbl>
            <c:dLbl>
              <c:idx val="3"/>
              <c:delete val="1"/>
              <c:extLst>
                <c:ext xmlns:c15="http://schemas.microsoft.com/office/drawing/2012/chart" uri="{CE6537A1-D6FC-4f65-9D91-7224C49458BB}"/>
                <c:ext xmlns:c16="http://schemas.microsoft.com/office/drawing/2014/chart" uri="{C3380CC4-5D6E-409C-BE32-E72D297353CC}">
                  <c16:uniqueId val="{00000004-7B80-4FD4-BF9E-C78BA4C10B20}"/>
                </c:ext>
              </c:extLst>
            </c:dLbl>
            <c:dLbl>
              <c:idx val="4"/>
              <c:delete val="1"/>
              <c:extLst>
                <c:ext xmlns:c15="http://schemas.microsoft.com/office/drawing/2012/chart" uri="{CE6537A1-D6FC-4f65-9D91-7224C49458BB}"/>
                <c:ext xmlns:c16="http://schemas.microsoft.com/office/drawing/2014/chart" uri="{C3380CC4-5D6E-409C-BE32-E72D297353CC}">
                  <c16:uniqueId val="{00000005-7B80-4FD4-BF9E-C78BA4C10B20}"/>
                </c:ext>
              </c:extLst>
            </c:dLbl>
            <c:numFmt formatCode="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'Main - US'!$AA$18:$AA$22</c:f>
              <c:numCache>
                <c:formatCode>0.00</c:formatCode>
                <c:ptCount val="5"/>
                <c:pt idx="0">
                  <c:v>0.51000000000000012</c:v>
                </c:pt>
                <c:pt idx="1">
                  <c:v>0.51000000000000012</c:v>
                </c:pt>
                <c:pt idx="3">
                  <c:v>0</c:v>
                </c:pt>
                <c:pt idx="4">
                  <c:v>0.56100000000000017</c:v>
                </c:pt>
              </c:numCache>
            </c:numRef>
          </c:xVal>
          <c:yVal>
            <c:numRef>
              <c:f>'Main - US'!$AC$18:$AC$22</c:f>
              <c:numCache>
                <c:formatCode>0.00</c:formatCode>
                <c:ptCount val="5"/>
                <c:pt idx="0">
                  <c:v>0</c:v>
                </c:pt>
                <c:pt idx="1">
                  <c:v>405.71737543337053</c:v>
                </c:pt>
                <c:pt idx="3">
                  <c:v>368.83397766670043</c:v>
                </c:pt>
                <c:pt idx="4">
                  <c:v>368.83397766670043</c:v>
                </c:pt>
              </c:numCache>
            </c:numRef>
          </c:yVal>
          <c:smooth val="0"/>
          <c:extLst>
            <c:ext xmlns:c16="http://schemas.microsoft.com/office/drawing/2014/chart" uri="{C3380CC4-5D6E-409C-BE32-E72D297353CC}">
              <c16:uniqueId val="{00000006-7B80-4FD4-BF9E-C78BA4C10B20}"/>
            </c:ext>
          </c:extLst>
        </c:ser>
        <c:dLbls>
          <c:showLegendKey val="0"/>
          <c:showVal val="0"/>
          <c:showCatName val="0"/>
          <c:showSerName val="0"/>
          <c:showPercent val="0"/>
          <c:showBubbleSize val="0"/>
        </c:dLbls>
        <c:axId val="633743408"/>
        <c:axId val="633747328"/>
      </c:scatterChart>
      <c:valAx>
        <c:axId val="63374340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Distance from the insert axis (in)</a:t>
                </a:r>
              </a:p>
            </c:rich>
          </c:tx>
          <c:layout>
            <c:manualLayout>
              <c:xMode val="edge"/>
              <c:yMode val="edge"/>
              <c:x val="0.37069866266716661"/>
              <c:y val="0.9006924134483189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747328"/>
        <c:crosses val="autoZero"/>
        <c:crossBetween val="midCat"/>
      </c:valAx>
      <c:valAx>
        <c:axId val="633747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Core Shear Stress (psi)</a:t>
                </a:r>
              </a:p>
            </c:rich>
          </c:tx>
          <c:layout>
            <c:manualLayout>
              <c:xMode val="edge"/>
              <c:yMode val="edge"/>
              <c:x val="7.0546737213403876E-3"/>
              <c:y val="0.1245503402983717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74340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4603</xdr:colOff>
      <xdr:row>15</xdr:row>
      <xdr:rowOff>84557</xdr:rowOff>
    </xdr:from>
    <xdr:to>
      <xdr:col>6</xdr:col>
      <xdr:colOff>23653</xdr:colOff>
      <xdr:row>24</xdr:row>
      <xdr:rowOff>41974</xdr:rowOff>
    </xdr:to>
    <xdr:pic>
      <xdr:nvPicPr>
        <xdr:cNvPr id="531" name="Picture 53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951" y="2602470"/>
          <a:ext cx="3000789" cy="1448287"/>
        </a:xfrm>
        <a:prstGeom prst="rect">
          <a:avLst/>
        </a:prstGeom>
        <a:noFill/>
        <a:ln>
          <a:noFill/>
        </a:ln>
      </xdr:spPr>
    </xdr:pic>
    <xdr:clientData/>
  </xdr:twoCellAnchor>
  <xdr:twoCellAnchor>
    <xdr:from>
      <xdr:col>1</xdr:col>
      <xdr:colOff>1</xdr:colOff>
      <xdr:row>37</xdr:row>
      <xdr:rowOff>0</xdr:rowOff>
    </xdr:from>
    <xdr:to>
      <xdr:col>10</xdr:col>
      <xdr:colOff>9526</xdr:colOff>
      <xdr:row>51</xdr:row>
      <xdr:rowOff>142875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67641"/>
          <a:ext cx="2494733" cy="630195"/>
          <a:chOff x="40822" y="1267641"/>
          <a:chExt cx="2570933" cy="630195"/>
        </a:xfrm>
      </xdr:grpSpPr>
      <xdr:pic>
        <xdr:nvPicPr>
          <xdr:cNvPr id="7" name="Picture 6">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75000"/>
            <a:alpha val="33000"/>
          </a:schemeClr>
        </a:solidFill>
        <a:ln w="9525">
          <a:solidFill>
            <a:schemeClr val="tx1"/>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download/reference_data/general_specifications/esa/ESA-PSS-03-1202%20INSERT%20DESIGN%20HANDBOOK.pdf" TargetMode="External"/><Relationship Id="rId7" Type="http://schemas.openxmlformats.org/officeDocument/2006/relationships/drawing" Target="../drawings/drawing2.xml"/><Relationship Id="rId2" Type="http://schemas.openxmlformats.org/officeDocument/2006/relationships/hyperlink" Target="http://www.abbottaerospace.com/download/reference_data/general_specifications/ecss/ECSS-E-HB-32-22A%20INSERT%20DESIGN%20HANDBOOK.pdf"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2.bin"/><Relationship Id="rId5" Type="http://schemas.openxmlformats.org/officeDocument/2006/relationships/hyperlink" Target="http://www.abbottaerospace.com/wpdm-package/ecss-e-hb-32-22a" TargetMode="External"/><Relationship Id="rId4" Type="http://schemas.openxmlformats.org/officeDocument/2006/relationships/hyperlink" Target="http://www.abbottaerospace.com/wpdm-package/pss-03-1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V300"/>
  <sheetViews>
    <sheetView workbookViewId="0">
      <selection activeCell="DX42" sqref="DX42"/>
    </sheetView>
  </sheetViews>
  <sheetFormatPr defaultRowHeight="13.2" x14ac:dyDescent="0.25"/>
  <sheetData>
    <row r="1" spans="1:256" x14ac:dyDescent="0.25">
      <c r="A1" t="e">
        <f>IF(#REF!,"AAAAAD9/7wA=",0)</f>
        <v>#REF!</v>
      </c>
      <c r="B1" t="e">
        <f>IF(#REF!,"AAAAAD9/7wE=",0)</f>
        <v>#REF!</v>
      </c>
      <c r="C1" t="e">
        <f>IF(#REF!,"AAAAAD9/7wI=",0)</f>
        <v>#REF!</v>
      </c>
      <c r="D1" t="e">
        <f>IF(#REF!,"AAAAAD9/7wM=",0)</f>
        <v>#REF!</v>
      </c>
      <c r="E1" t="e">
        <f>IF(#REF!,"AAAAAD9/7wQ=",0)</f>
        <v>#REF!</v>
      </c>
      <c r="F1" t="e">
        <f>IF(#REF!,"AAAAAD9/7wU=",0)</f>
        <v>#REF!</v>
      </c>
      <c r="G1" t="e">
        <f>IF(#REF!,"AAAAAD9/7wY=",0)</f>
        <v>#REF!</v>
      </c>
      <c r="H1" t="e">
        <f>IF(#REF!,"AAAAAD9/7wc=",0)</f>
        <v>#REF!</v>
      </c>
      <c r="I1" t="e">
        <f>IF(#REF!,"AAAAAD9/7wg=",0)</f>
        <v>#REF!</v>
      </c>
      <c r="J1" t="e">
        <f>IF(#REF!,"AAAAAD9/7wk=",0)</f>
        <v>#REF!</v>
      </c>
      <c r="K1" t="e">
        <f>IF(#REF!,"AAAAAD9/7wo=",0)</f>
        <v>#REF!</v>
      </c>
      <c r="L1" t="e">
        <f>IF(#REF!,"AAAAAD9/7ws=",0)</f>
        <v>#REF!</v>
      </c>
      <c r="M1" t="e">
        <f>IF(#REF!,"AAAAAD9/7ww=",0)</f>
        <v>#REF!</v>
      </c>
      <c r="N1" t="e">
        <f>IF(#REF!,"AAAAAD9/7w0=",0)</f>
        <v>#REF!</v>
      </c>
      <c r="O1" t="e">
        <f>IF(#REF!,"AAAAAD9/7w4=",0)</f>
        <v>#REF!</v>
      </c>
      <c r="P1" t="e">
        <f>IF(#REF!,"AAAAAD9/7w8=",0)</f>
        <v>#REF!</v>
      </c>
      <c r="Q1" t="e">
        <f>IF(#REF!,"AAAAAD9/7xA=",0)</f>
        <v>#REF!</v>
      </c>
      <c r="R1" t="e">
        <f>IF(#REF!,"AAAAAD9/7xE=",0)</f>
        <v>#REF!</v>
      </c>
      <c r="S1" t="e">
        <f>IF(#REF!,"AAAAAD9/7xI=",0)</f>
        <v>#REF!</v>
      </c>
      <c r="T1" t="e">
        <f>IF(#REF!,"AAAAAD9/7xM=",0)</f>
        <v>#REF!</v>
      </c>
      <c r="U1" t="e">
        <f>IF(#REF!,"AAAAAD9/7xQ=",0)</f>
        <v>#REF!</v>
      </c>
      <c r="V1" t="e">
        <f>IF(#REF!,"AAAAAD9/7xU=",0)</f>
        <v>#REF!</v>
      </c>
      <c r="W1" t="e">
        <f>IF(#REF!,"AAAAAD9/7xY=",0)</f>
        <v>#REF!</v>
      </c>
      <c r="X1" t="e">
        <f>IF(#REF!,"AAAAAD9/7xc=",0)</f>
        <v>#REF!</v>
      </c>
      <c r="Y1" t="e">
        <f>IF(#REF!,"AAAAAD9/7xg=",0)</f>
        <v>#REF!</v>
      </c>
      <c r="Z1" t="e">
        <f>IF(#REF!,"AAAAAD9/7xk=",0)</f>
        <v>#REF!</v>
      </c>
      <c r="AA1" t="e">
        <f>IF(#REF!,"AAAAAD9/7xo=",0)</f>
        <v>#REF!</v>
      </c>
      <c r="AB1" t="e">
        <f>IF(#REF!,"AAAAAD9/7xs=",0)</f>
        <v>#REF!</v>
      </c>
      <c r="AC1" t="e">
        <f>IF(#REF!,"AAAAAD9/7xw=",0)</f>
        <v>#REF!</v>
      </c>
      <c r="AD1" t="e">
        <f>IF(#REF!,"AAAAAD9/7x0=",0)</f>
        <v>#REF!</v>
      </c>
      <c r="AE1" t="e">
        <f>IF(#REF!,"AAAAAD9/7x4=",0)</f>
        <v>#REF!</v>
      </c>
      <c r="AF1" t="e">
        <f>IF(#REF!,"AAAAAD9/7x8=",0)</f>
        <v>#REF!</v>
      </c>
      <c r="AG1" t="e">
        <f>IF(#REF!,"AAAAAD9/7yA=",0)</f>
        <v>#REF!</v>
      </c>
      <c r="AH1" t="e">
        <f>IF(#REF!,"AAAAAD9/7yE=",0)</f>
        <v>#REF!</v>
      </c>
      <c r="AI1" t="e">
        <f>IF(#REF!,"AAAAAD9/7yI=",0)</f>
        <v>#REF!</v>
      </c>
      <c r="AJ1" t="e">
        <f>IF(#REF!,"AAAAAD9/7yM=",0)</f>
        <v>#REF!</v>
      </c>
      <c r="AK1" t="e">
        <f>IF(#REF!,"AAAAAD9/7yQ=",0)</f>
        <v>#REF!</v>
      </c>
      <c r="AL1" t="e">
        <f>IF(#REF!,"AAAAAD9/7yU=",0)</f>
        <v>#REF!</v>
      </c>
      <c r="AM1" t="e">
        <f>AND(#REF!,"AAAAAD9/7yY=")</f>
        <v>#REF!</v>
      </c>
      <c r="AN1" t="e">
        <f>AND(#REF!,"AAAAAD9/7yc=")</f>
        <v>#REF!</v>
      </c>
      <c r="AO1" t="e">
        <f>AND(#REF!,"AAAAAD9/7yg=")</f>
        <v>#REF!</v>
      </c>
      <c r="AP1" t="e">
        <f>AND(#REF!,"AAAAAD9/7yk=")</f>
        <v>#REF!</v>
      </c>
      <c r="AQ1" t="e">
        <f>AND(#REF!,"AAAAAD9/7yo=")</f>
        <v>#REF!</v>
      </c>
      <c r="AR1" t="e">
        <f>AND(#REF!,"AAAAAD9/7ys=")</f>
        <v>#REF!</v>
      </c>
      <c r="AS1" t="e">
        <f>AND(#REF!,"AAAAAD9/7yw=")</f>
        <v>#REF!</v>
      </c>
      <c r="AT1" t="e">
        <f>AND(#REF!,"AAAAAD9/7y0=")</f>
        <v>#REF!</v>
      </c>
      <c r="AU1" t="e">
        <f>AND(#REF!,"AAAAAD9/7y4=")</f>
        <v>#REF!</v>
      </c>
      <c r="AV1" t="e">
        <f>AND(#REF!,"AAAAAD9/7y8=")</f>
        <v>#REF!</v>
      </c>
      <c r="AW1" t="e">
        <f>AND(#REF!,"AAAAAD9/7zA=")</f>
        <v>#REF!</v>
      </c>
      <c r="AX1" t="e">
        <f>AND(#REF!,"AAAAAD9/7zE=")</f>
        <v>#REF!</v>
      </c>
      <c r="AY1" t="e">
        <f>AND(#REF!,"AAAAAD9/7zI=")</f>
        <v>#REF!</v>
      </c>
      <c r="AZ1" t="e">
        <f>AND(#REF!,"AAAAAD9/7zM=")</f>
        <v>#REF!</v>
      </c>
      <c r="BA1" t="e">
        <f>AND(#REF!,"AAAAAD9/7zQ=")</f>
        <v>#REF!</v>
      </c>
      <c r="BB1" t="e">
        <f>AND(#REF!,"AAAAAD9/7zU=")</f>
        <v>#REF!</v>
      </c>
      <c r="BC1" t="e">
        <f>AND(#REF!,"AAAAAD9/7zY=")</f>
        <v>#REF!</v>
      </c>
      <c r="BD1" t="e">
        <f>AND(#REF!,"AAAAAD9/7zc=")</f>
        <v>#REF!</v>
      </c>
      <c r="BE1" t="e">
        <f>AND(#REF!,"AAAAAD9/7zg=")</f>
        <v>#REF!</v>
      </c>
      <c r="BF1" t="e">
        <f>AND(#REF!,"AAAAAD9/7zk=")</f>
        <v>#REF!</v>
      </c>
      <c r="BG1" t="e">
        <f>AND(#REF!,"AAAAAD9/7zo=")</f>
        <v>#REF!</v>
      </c>
      <c r="BH1" t="e">
        <f>AND(#REF!,"AAAAAD9/7zs=")</f>
        <v>#REF!</v>
      </c>
      <c r="BI1" t="e">
        <f>AND(#REF!,"AAAAAD9/7zw=")</f>
        <v>#REF!</v>
      </c>
      <c r="BJ1" t="e">
        <f>AND(#REF!,"AAAAAD9/7z0=")</f>
        <v>#REF!</v>
      </c>
      <c r="BK1" t="e">
        <f>AND(#REF!,"AAAAAD9/7z4=")</f>
        <v>#REF!</v>
      </c>
      <c r="BL1" t="e">
        <f>AND(#REF!,"AAAAAD9/7z8=")</f>
        <v>#REF!</v>
      </c>
      <c r="BM1" t="e">
        <f>AND(#REF!,"AAAAAD9/70A=")</f>
        <v>#REF!</v>
      </c>
      <c r="BN1" t="e">
        <f>AND(#REF!,"AAAAAD9/70E=")</f>
        <v>#REF!</v>
      </c>
      <c r="BO1" t="e">
        <f>AND(#REF!,"AAAAAD9/70I=")</f>
        <v>#REF!</v>
      </c>
      <c r="BP1" t="e">
        <f>AND(#REF!,"AAAAAD9/70M=")</f>
        <v>#REF!</v>
      </c>
      <c r="BQ1" t="e">
        <f>AND(#REF!,"AAAAAD9/70Q=")</f>
        <v>#REF!</v>
      </c>
      <c r="BR1" t="e">
        <f>AND(#REF!,"AAAAAD9/70U=")</f>
        <v>#REF!</v>
      </c>
      <c r="BS1" t="e">
        <f>AND(#REF!,"AAAAAD9/70Y=")</f>
        <v>#REF!</v>
      </c>
      <c r="BT1" t="e">
        <f>AND(#REF!,"AAAAAD9/70c=")</f>
        <v>#REF!</v>
      </c>
      <c r="BU1" t="e">
        <f>AND(#REF!,"AAAAAD9/70g=")</f>
        <v>#REF!</v>
      </c>
      <c r="BV1" t="e">
        <f>AND(#REF!,"AAAAAD9/70k=")</f>
        <v>#REF!</v>
      </c>
      <c r="BW1" t="e">
        <f>AND(#REF!,"AAAAAD9/70o=")</f>
        <v>#REF!</v>
      </c>
      <c r="BX1" t="e">
        <f>AND(#REF!,"AAAAAD9/70s=")</f>
        <v>#REF!</v>
      </c>
      <c r="BY1" t="e">
        <f>AND(#REF!,"AAAAAD9/70w=")</f>
        <v>#REF!</v>
      </c>
      <c r="BZ1" t="e">
        <f>AND(#REF!,"AAAAAD9/700=")</f>
        <v>#REF!</v>
      </c>
      <c r="CA1" t="e">
        <f>AND(#REF!,"AAAAAD9/704=")</f>
        <v>#REF!</v>
      </c>
      <c r="CB1" t="e">
        <f>AND(#REF!,"AAAAAD9/708=")</f>
        <v>#REF!</v>
      </c>
      <c r="CC1" t="e">
        <f>AND(#REF!,"AAAAAD9/71A=")</f>
        <v>#REF!</v>
      </c>
      <c r="CD1" t="e">
        <f>AND(#REF!,"AAAAAD9/71E=")</f>
        <v>#REF!</v>
      </c>
      <c r="CE1" t="e">
        <f>AND(#REF!,"AAAAAD9/71I=")</f>
        <v>#REF!</v>
      </c>
      <c r="CF1" t="e">
        <f>AND(#REF!,"AAAAAD9/71M=")</f>
        <v>#REF!</v>
      </c>
      <c r="CG1" t="e">
        <f>AND(#REF!,"AAAAAD9/71Q=")</f>
        <v>#REF!</v>
      </c>
      <c r="CH1" t="e">
        <f>AND(#REF!,"AAAAAD9/71U=")</f>
        <v>#REF!</v>
      </c>
      <c r="CI1" t="e">
        <f>AND(#REF!,"AAAAAD9/71Y=")</f>
        <v>#REF!</v>
      </c>
      <c r="CJ1" t="e">
        <f>AND(#REF!,"AAAAAD9/71c=")</f>
        <v>#REF!</v>
      </c>
      <c r="CK1" t="e">
        <f>AND(#REF!,"AAAAAD9/71g=")</f>
        <v>#REF!</v>
      </c>
      <c r="CL1" t="e">
        <f>AND(#REF!,"AAAAAD9/71k=")</f>
        <v>#REF!</v>
      </c>
      <c r="CM1" t="e">
        <f>AND(#REF!,"AAAAAD9/71o=")</f>
        <v>#REF!</v>
      </c>
      <c r="CN1" t="e">
        <f>AND(#REF!,"AAAAAD9/71s=")</f>
        <v>#REF!</v>
      </c>
      <c r="CO1" t="e">
        <f>AND(#REF!,"AAAAAD9/71w=")</f>
        <v>#REF!</v>
      </c>
      <c r="CP1" t="e">
        <f>AND(#REF!,"AAAAAD9/710=")</f>
        <v>#REF!</v>
      </c>
      <c r="CQ1" t="e">
        <f>AND(#REF!,"AAAAAD9/714=")</f>
        <v>#REF!</v>
      </c>
      <c r="CR1" t="e">
        <f>AND(#REF!,"AAAAAD9/718=")</f>
        <v>#REF!</v>
      </c>
      <c r="CS1" t="e">
        <f>AND(#REF!,"AAAAAD9/72A=")</f>
        <v>#REF!</v>
      </c>
      <c r="CT1" t="e">
        <f>AND(#REF!,"AAAAAD9/72E=")</f>
        <v>#REF!</v>
      </c>
      <c r="CU1" t="e">
        <f>AND(#REF!,"AAAAAD9/72I=")</f>
        <v>#REF!</v>
      </c>
      <c r="CV1" t="e">
        <f>AND(#REF!,"AAAAAD9/72M=")</f>
        <v>#REF!</v>
      </c>
      <c r="CW1" t="e">
        <f>AND(#REF!,"AAAAAD9/72Q=")</f>
        <v>#REF!</v>
      </c>
      <c r="CX1" t="e">
        <f>AND(#REF!,"AAAAAD9/72U=")</f>
        <v>#REF!</v>
      </c>
      <c r="CY1" t="e">
        <f>AND(#REF!,"AAAAAD9/72Y=")</f>
        <v>#REF!</v>
      </c>
      <c r="CZ1" t="e">
        <f>AND(#REF!,"AAAAAD9/72c=")</f>
        <v>#REF!</v>
      </c>
      <c r="DA1" t="e">
        <f>AND(#REF!,"AAAAAD9/72g=")</f>
        <v>#REF!</v>
      </c>
      <c r="DB1" t="e">
        <f>AND(#REF!,"AAAAAD9/72k=")</f>
        <v>#REF!</v>
      </c>
      <c r="DC1" t="e">
        <f>AND(#REF!,"AAAAAD9/72o=")</f>
        <v>#REF!</v>
      </c>
      <c r="DD1" t="e">
        <f>AND(#REF!,"AAAAAD9/72s=")</f>
        <v>#REF!</v>
      </c>
      <c r="DE1" t="e">
        <f>AND(#REF!,"AAAAAD9/72w=")</f>
        <v>#REF!</v>
      </c>
      <c r="DF1" t="e">
        <f>AND(#REF!,"AAAAAD9/720=")</f>
        <v>#REF!</v>
      </c>
      <c r="DG1" t="e">
        <f>AND(#REF!,"AAAAAD9/724=")</f>
        <v>#REF!</v>
      </c>
      <c r="DH1" t="e">
        <f>AND(#REF!,"AAAAAD9/728=")</f>
        <v>#REF!</v>
      </c>
      <c r="DI1" t="e">
        <f>AND(#REF!,"AAAAAD9/73A=")</f>
        <v>#REF!</v>
      </c>
      <c r="DJ1" t="e">
        <f>AND(#REF!,"AAAAAD9/73E=")</f>
        <v>#REF!</v>
      </c>
      <c r="DK1" t="e">
        <f>AND(#REF!,"AAAAAD9/73I=")</f>
        <v>#REF!</v>
      </c>
      <c r="DL1" t="e">
        <f>AND(#REF!,"AAAAAD9/73M=")</f>
        <v>#REF!</v>
      </c>
      <c r="DM1" t="e">
        <f>AND(#REF!,"AAAAAD9/73Q=")</f>
        <v>#REF!</v>
      </c>
      <c r="DN1" t="e">
        <f>AND(#REF!,"AAAAAD9/73U=")</f>
        <v>#REF!</v>
      </c>
      <c r="DO1" t="e">
        <f>AND(#REF!,"AAAAAD9/73Y=")</f>
        <v>#REF!</v>
      </c>
      <c r="DP1" t="e">
        <f>AND(#REF!,"AAAAAD9/73c=")</f>
        <v>#REF!</v>
      </c>
      <c r="DQ1" t="e">
        <f>AND(#REF!,"AAAAAD9/73g=")</f>
        <v>#REF!</v>
      </c>
      <c r="DR1" t="e">
        <f>AND(#REF!,"AAAAAD9/73k=")</f>
        <v>#REF!</v>
      </c>
      <c r="DS1" t="e">
        <f>AND(#REF!,"AAAAAD9/73o=")</f>
        <v>#REF!</v>
      </c>
      <c r="DT1" t="e">
        <f>AND(#REF!,"AAAAAD9/73s=")</f>
        <v>#REF!</v>
      </c>
      <c r="DU1" t="e">
        <f>AND(#REF!,"AAAAAD9/73w=")</f>
        <v>#REF!</v>
      </c>
      <c r="DV1" t="e">
        <f>AND(#REF!,"AAAAAD9/730=")</f>
        <v>#REF!</v>
      </c>
      <c r="DW1" t="e">
        <f>AND(#REF!,"AAAAAD9/734=")</f>
        <v>#REF!</v>
      </c>
      <c r="DX1" t="e">
        <f>AND(#REF!,"AAAAAD9/738=")</f>
        <v>#REF!</v>
      </c>
      <c r="DY1" t="e">
        <f>AND(#REF!,"AAAAAD9/74A=")</f>
        <v>#REF!</v>
      </c>
      <c r="DZ1" t="e">
        <f>AND(#REF!,"AAAAAD9/74E=")</f>
        <v>#REF!</v>
      </c>
      <c r="EA1" t="e">
        <f>AND(#REF!,"AAAAAD9/74I=")</f>
        <v>#REF!</v>
      </c>
      <c r="EB1" t="e">
        <f>AND(#REF!,"AAAAAD9/74M=")</f>
        <v>#REF!</v>
      </c>
      <c r="EC1" t="e">
        <f>AND(#REF!,"AAAAAD9/74Q=")</f>
        <v>#REF!</v>
      </c>
      <c r="ED1" t="e">
        <f>AND(#REF!,"AAAAAD9/74U=")</f>
        <v>#REF!</v>
      </c>
      <c r="EE1" t="e">
        <f>AND(#REF!,"AAAAAD9/74Y=")</f>
        <v>#REF!</v>
      </c>
      <c r="EF1" t="e">
        <f>AND(#REF!,"AAAAAD9/74c=")</f>
        <v>#REF!</v>
      </c>
      <c r="EG1" t="e">
        <f>AND(#REF!,"AAAAAD9/74g=")</f>
        <v>#REF!</v>
      </c>
      <c r="EH1" t="e">
        <f>AND(#REF!,"AAAAAD9/74k=")</f>
        <v>#REF!</v>
      </c>
      <c r="EI1" t="e">
        <f>AND(#REF!,"AAAAAD9/74o=")</f>
        <v>#REF!</v>
      </c>
      <c r="EJ1" t="e">
        <f>AND(#REF!,"AAAAAD9/74s=")</f>
        <v>#REF!</v>
      </c>
      <c r="EK1" t="e">
        <f>AND(#REF!,"AAAAAD9/74w=")</f>
        <v>#REF!</v>
      </c>
      <c r="EL1" t="e">
        <f>AND(#REF!,"AAAAAD9/740=")</f>
        <v>#REF!</v>
      </c>
      <c r="EM1" t="e">
        <f>AND(#REF!,"AAAAAD9/744=")</f>
        <v>#REF!</v>
      </c>
      <c r="EN1" t="e">
        <f>AND(#REF!,"AAAAAD9/748=")</f>
        <v>#REF!</v>
      </c>
      <c r="EO1" t="e">
        <f>AND(#REF!,"AAAAAD9/75A=")</f>
        <v>#REF!</v>
      </c>
      <c r="EP1" t="e">
        <f>AND(#REF!,"AAAAAD9/75E=")</f>
        <v>#REF!</v>
      </c>
      <c r="EQ1" t="e">
        <f>AND(#REF!,"AAAAAD9/75I=")</f>
        <v>#REF!</v>
      </c>
      <c r="ER1" t="e">
        <f>AND(#REF!,"AAAAAD9/75M=")</f>
        <v>#REF!</v>
      </c>
      <c r="ES1" t="e">
        <f>AND(#REF!,"AAAAAD9/75Q=")</f>
        <v>#REF!</v>
      </c>
      <c r="ET1" t="e">
        <f>AND(#REF!,"AAAAAD9/75U=")</f>
        <v>#REF!</v>
      </c>
      <c r="EU1" t="e">
        <f>AND(#REF!,"AAAAAD9/75Y=")</f>
        <v>#REF!</v>
      </c>
      <c r="EV1" t="e">
        <f>AND(#REF!,"AAAAAD9/75c=")</f>
        <v>#REF!</v>
      </c>
      <c r="EW1" t="e">
        <f>AND(#REF!,"AAAAAD9/75g=")</f>
        <v>#REF!</v>
      </c>
      <c r="EX1" t="e">
        <f>AND(#REF!,"AAAAAD9/75k=")</f>
        <v>#REF!</v>
      </c>
      <c r="EY1" t="e">
        <f>AND(#REF!,"AAAAAD9/75o=")</f>
        <v>#REF!</v>
      </c>
      <c r="EZ1" t="e">
        <f>AND(#REF!,"AAAAAD9/75s=")</f>
        <v>#REF!</v>
      </c>
      <c r="FA1" t="e">
        <f>AND(#REF!,"AAAAAD9/75w=")</f>
        <v>#REF!</v>
      </c>
      <c r="FB1" t="e">
        <f>AND(#REF!,"AAAAAD9/750=")</f>
        <v>#REF!</v>
      </c>
      <c r="FC1" t="e">
        <f>AND(#REF!,"AAAAAD9/754=")</f>
        <v>#REF!</v>
      </c>
      <c r="FD1" t="e">
        <f>AND(#REF!,"AAAAAD9/758=")</f>
        <v>#REF!</v>
      </c>
      <c r="FE1" t="e">
        <f>AND(#REF!,"AAAAAD9/76A=")</f>
        <v>#REF!</v>
      </c>
      <c r="FF1" t="e">
        <f>AND(#REF!,"AAAAAD9/76E=")</f>
        <v>#REF!</v>
      </c>
      <c r="FG1" t="e">
        <f>AND(#REF!,"AAAAAD9/76I=")</f>
        <v>#REF!</v>
      </c>
      <c r="FH1" t="e">
        <f>AND(#REF!,"AAAAAD9/76M=")</f>
        <v>#REF!</v>
      </c>
      <c r="FI1" t="e">
        <f>AND(#REF!,"AAAAAD9/76Q=")</f>
        <v>#REF!</v>
      </c>
      <c r="FJ1" t="e">
        <f>AND(#REF!,"AAAAAD9/76U=")</f>
        <v>#REF!</v>
      </c>
      <c r="FK1" t="e">
        <f>AND(#REF!,"AAAAAD9/76Y=")</f>
        <v>#REF!</v>
      </c>
      <c r="FL1" t="e">
        <f>AND(#REF!,"AAAAAD9/76c=")</f>
        <v>#REF!</v>
      </c>
      <c r="FM1" t="e">
        <f>AND(#REF!,"AAAAAD9/76g=")</f>
        <v>#REF!</v>
      </c>
      <c r="FN1" t="e">
        <f>AND(#REF!,"AAAAAD9/76k=")</f>
        <v>#REF!</v>
      </c>
      <c r="FO1" t="e">
        <f>AND(#REF!,"AAAAAD9/76o=")</f>
        <v>#REF!</v>
      </c>
      <c r="FP1" t="e">
        <f>AND(#REF!,"AAAAAD9/76s=")</f>
        <v>#REF!</v>
      </c>
      <c r="FQ1" t="e">
        <f>AND(#REF!,"AAAAAD9/76w=")</f>
        <v>#REF!</v>
      </c>
      <c r="FR1" t="e">
        <f>AND(#REF!,"AAAAAD9/760=")</f>
        <v>#REF!</v>
      </c>
      <c r="FS1" t="e">
        <f>AND(#REF!,"AAAAAD9/764=")</f>
        <v>#REF!</v>
      </c>
      <c r="FT1" t="e">
        <f>AND(#REF!,"AAAAAD9/768=")</f>
        <v>#REF!</v>
      </c>
      <c r="FU1" t="e">
        <f>AND(#REF!,"AAAAAD9/77A=")</f>
        <v>#REF!</v>
      </c>
      <c r="FV1" t="e">
        <f>AND(#REF!,"AAAAAD9/77E=")</f>
        <v>#REF!</v>
      </c>
      <c r="FW1" t="e">
        <f>AND(#REF!,"AAAAAD9/77I=")</f>
        <v>#REF!</v>
      </c>
      <c r="FX1" t="e">
        <f>AND(#REF!,"AAAAAD9/77M=")</f>
        <v>#REF!</v>
      </c>
      <c r="FY1" t="e">
        <f>AND(#REF!,"AAAAAD9/77Q=")</f>
        <v>#REF!</v>
      </c>
      <c r="FZ1" t="e">
        <f>AND(#REF!,"AAAAAD9/77U=")</f>
        <v>#REF!</v>
      </c>
      <c r="GA1" t="e">
        <f>AND(#REF!,"AAAAAD9/77Y=")</f>
        <v>#REF!</v>
      </c>
      <c r="GB1" t="e">
        <f>AND(#REF!,"AAAAAD9/77c=")</f>
        <v>#REF!</v>
      </c>
      <c r="GC1" t="e">
        <f>AND(#REF!,"AAAAAD9/77g=")</f>
        <v>#REF!</v>
      </c>
      <c r="GD1" t="e">
        <f>AND(#REF!,"AAAAAD9/77k=")</f>
        <v>#REF!</v>
      </c>
      <c r="GE1" t="e">
        <f>AND(#REF!,"AAAAAD9/77o=")</f>
        <v>#REF!</v>
      </c>
      <c r="GF1" t="e">
        <f>AND(#REF!,"AAAAAD9/77s=")</f>
        <v>#REF!</v>
      </c>
      <c r="GG1" t="e">
        <f>AND(#REF!,"AAAAAD9/77w=")</f>
        <v>#REF!</v>
      </c>
      <c r="GH1" t="e">
        <f>AND(#REF!,"AAAAAD9/770=")</f>
        <v>#REF!</v>
      </c>
      <c r="GI1" t="e">
        <f>AND(#REF!,"AAAAAD9/774=")</f>
        <v>#REF!</v>
      </c>
      <c r="GJ1" t="e">
        <f>AND(#REF!,"AAAAAD9/778=")</f>
        <v>#REF!</v>
      </c>
      <c r="GK1" t="e">
        <f>AND(#REF!,"AAAAAD9/78A=")</f>
        <v>#REF!</v>
      </c>
      <c r="GL1" t="e">
        <f>AND(#REF!,"AAAAAD9/78E=")</f>
        <v>#REF!</v>
      </c>
      <c r="GM1" t="e">
        <f>AND(#REF!,"AAAAAD9/78I=")</f>
        <v>#REF!</v>
      </c>
      <c r="GN1" t="e">
        <f>AND(#REF!,"AAAAAD9/78M=")</f>
        <v>#REF!</v>
      </c>
      <c r="GO1" t="e">
        <f>AND(#REF!,"AAAAAD9/78Q=")</f>
        <v>#REF!</v>
      </c>
      <c r="GP1" t="e">
        <f>AND(#REF!,"AAAAAD9/78U=")</f>
        <v>#REF!</v>
      </c>
      <c r="GQ1" t="e">
        <f>AND(#REF!,"AAAAAD9/78Y=")</f>
        <v>#REF!</v>
      </c>
      <c r="GR1" t="e">
        <f>AND(#REF!,"AAAAAD9/78c=")</f>
        <v>#REF!</v>
      </c>
      <c r="GS1" t="e">
        <f>AND(#REF!,"AAAAAD9/78g=")</f>
        <v>#REF!</v>
      </c>
      <c r="GT1" t="e">
        <f>AND(#REF!,"AAAAAD9/78k=")</f>
        <v>#REF!</v>
      </c>
      <c r="GU1" t="e">
        <f>AND(#REF!,"AAAAAD9/78o=")</f>
        <v>#REF!</v>
      </c>
      <c r="GV1" t="e">
        <f>AND(#REF!,"AAAAAD9/78s=")</f>
        <v>#REF!</v>
      </c>
      <c r="GW1" t="e">
        <f>AND(#REF!,"AAAAAD9/78w=")</f>
        <v>#REF!</v>
      </c>
      <c r="GX1" t="e">
        <f>AND(#REF!,"AAAAAD9/780=")</f>
        <v>#REF!</v>
      </c>
      <c r="GY1" t="e">
        <f>AND(#REF!,"AAAAAD9/784=")</f>
        <v>#REF!</v>
      </c>
      <c r="GZ1" t="e">
        <f>AND(#REF!,"AAAAAD9/788=")</f>
        <v>#REF!</v>
      </c>
      <c r="HA1" t="e">
        <f>AND(#REF!,"AAAAAD9/79A=")</f>
        <v>#REF!</v>
      </c>
      <c r="HB1" t="e">
        <f>AND(#REF!,"AAAAAD9/79E=")</f>
        <v>#REF!</v>
      </c>
      <c r="HC1" t="e">
        <f>AND(#REF!,"AAAAAD9/79I=")</f>
        <v>#REF!</v>
      </c>
      <c r="HD1" t="e">
        <f>AND(#REF!,"AAAAAD9/79M=")</f>
        <v>#REF!</v>
      </c>
      <c r="HE1" t="e">
        <f>AND(#REF!,"AAAAAD9/79Q=")</f>
        <v>#REF!</v>
      </c>
      <c r="HF1" t="e">
        <f>AND(#REF!,"AAAAAD9/79U=")</f>
        <v>#REF!</v>
      </c>
      <c r="HG1" t="e">
        <f>AND(#REF!,"AAAAAD9/79Y=")</f>
        <v>#REF!</v>
      </c>
      <c r="HH1" t="e">
        <f>AND(#REF!,"AAAAAD9/79c=")</f>
        <v>#REF!</v>
      </c>
      <c r="HI1" t="e">
        <f>AND(#REF!,"AAAAAD9/79g=")</f>
        <v>#REF!</v>
      </c>
      <c r="HJ1" t="e">
        <f>AND(#REF!,"AAAAAD9/79k=")</f>
        <v>#REF!</v>
      </c>
      <c r="HK1" t="e">
        <f>AND(#REF!,"AAAAAD9/79o=")</f>
        <v>#REF!</v>
      </c>
      <c r="HL1" t="e">
        <f>AND(#REF!,"AAAAAD9/79s=")</f>
        <v>#REF!</v>
      </c>
      <c r="HM1" t="e">
        <f>AND(#REF!,"AAAAAD9/79w=")</f>
        <v>#REF!</v>
      </c>
      <c r="HN1" t="e">
        <f>AND(#REF!,"AAAAAD9/790=")</f>
        <v>#REF!</v>
      </c>
      <c r="HO1" t="e">
        <f>AND(#REF!,"AAAAAD9/794=")</f>
        <v>#REF!</v>
      </c>
      <c r="HP1" t="e">
        <f>AND(#REF!,"AAAAAD9/798=")</f>
        <v>#REF!</v>
      </c>
      <c r="HQ1" t="e">
        <f>AND(#REF!,"AAAAAD9/7+A=")</f>
        <v>#REF!</v>
      </c>
      <c r="HR1" t="e">
        <f>AND(#REF!,"AAAAAD9/7+E=")</f>
        <v>#REF!</v>
      </c>
      <c r="HS1" t="e">
        <f>IF(#REF!,"AAAAAD9/7+I=",0)</f>
        <v>#REF!</v>
      </c>
      <c r="HT1" t="e">
        <f>AND(#REF!,"AAAAAD9/7+M=")</f>
        <v>#REF!</v>
      </c>
      <c r="HU1" t="e">
        <f>AND(#REF!,"AAAAAD9/7+Q=")</f>
        <v>#REF!</v>
      </c>
      <c r="HV1" t="e">
        <f>AND(#REF!,"AAAAAD9/7+U=")</f>
        <v>#REF!</v>
      </c>
      <c r="HW1" t="e">
        <f>AND(#REF!,"AAAAAD9/7+Y=")</f>
        <v>#REF!</v>
      </c>
      <c r="HX1" t="e">
        <f>AND(#REF!,"AAAAAD9/7+c=")</f>
        <v>#REF!</v>
      </c>
      <c r="HY1" t="e">
        <f>AND(#REF!,"AAAAAD9/7+g=")</f>
        <v>#REF!</v>
      </c>
      <c r="HZ1" t="e">
        <f>AND(#REF!,"AAAAAD9/7+k=")</f>
        <v>#REF!</v>
      </c>
      <c r="IA1" t="e">
        <f>AND(#REF!,"AAAAAD9/7+o=")</f>
        <v>#REF!</v>
      </c>
      <c r="IB1" t="e">
        <f>AND(#REF!,"AAAAAD9/7+s=")</f>
        <v>#REF!</v>
      </c>
      <c r="IC1" t="e">
        <f>AND(#REF!,"AAAAAD9/7+w=")</f>
        <v>#REF!</v>
      </c>
      <c r="ID1" t="e">
        <f>AND(#REF!,"AAAAAD9/7+0=")</f>
        <v>#REF!</v>
      </c>
      <c r="IE1" t="e">
        <f>AND(#REF!,"AAAAAD9/7+4=")</f>
        <v>#REF!</v>
      </c>
      <c r="IF1" t="e">
        <f>AND(#REF!,"AAAAAD9/7+8=")</f>
        <v>#REF!</v>
      </c>
      <c r="IG1" t="e">
        <f>AND(#REF!,"AAAAAD9/7/A=")</f>
        <v>#REF!</v>
      </c>
      <c r="IH1" t="e">
        <f>AND(#REF!,"AAAAAD9/7/E=")</f>
        <v>#REF!</v>
      </c>
      <c r="II1" t="e">
        <f>AND(#REF!,"AAAAAD9/7/I=")</f>
        <v>#REF!</v>
      </c>
      <c r="IJ1" t="e">
        <f>AND(#REF!,"AAAAAD9/7/M=")</f>
        <v>#REF!</v>
      </c>
      <c r="IK1" t="e">
        <f>AND(#REF!,"AAAAAD9/7/Q=")</f>
        <v>#REF!</v>
      </c>
      <c r="IL1" t="e">
        <f>AND(#REF!,"AAAAAD9/7/U=")</f>
        <v>#REF!</v>
      </c>
      <c r="IM1" t="e">
        <f>AND(#REF!,"AAAAAD9/7/Y=")</f>
        <v>#REF!</v>
      </c>
      <c r="IN1" t="e">
        <f>AND(#REF!,"AAAAAD9/7/c=")</f>
        <v>#REF!</v>
      </c>
      <c r="IO1" t="e">
        <f>AND(#REF!,"AAAAAD9/7/g=")</f>
        <v>#REF!</v>
      </c>
      <c r="IP1" t="e">
        <f>AND(#REF!,"AAAAAD9/7/k=")</f>
        <v>#REF!</v>
      </c>
      <c r="IQ1" t="e">
        <f>AND(#REF!,"AAAAAD9/7/o=")</f>
        <v>#REF!</v>
      </c>
      <c r="IR1" t="e">
        <f>AND(#REF!,"AAAAAD9/7/s=")</f>
        <v>#REF!</v>
      </c>
      <c r="IS1" t="e">
        <f>AND(#REF!,"AAAAAD9/7/w=")</f>
        <v>#REF!</v>
      </c>
      <c r="IT1" t="e">
        <f>AND(#REF!,"AAAAAD9/7/0=")</f>
        <v>#REF!</v>
      </c>
      <c r="IU1" t="e">
        <f>AND(#REF!,"AAAAAD9/7/4=")</f>
        <v>#REF!</v>
      </c>
      <c r="IV1" t="e">
        <f>AND(#REF!,"AAAAAD9/7/8=")</f>
        <v>#REF!</v>
      </c>
    </row>
    <row r="2" spans="1:256" x14ac:dyDescent="0.25">
      <c r="A2" t="e">
        <f>AND(#REF!,"AAAAAH//dwA=")</f>
        <v>#REF!</v>
      </c>
      <c r="B2" t="e">
        <f>AND(#REF!,"AAAAAH//dwE=")</f>
        <v>#REF!</v>
      </c>
      <c r="C2" t="e">
        <f>AND(#REF!,"AAAAAH//dwI=")</f>
        <v>#REF!</v>
      </c>
      <c r="D2" t="e">
        <f>AND(#REF!,"AAAAAH//dwM=")</f>
        <v>#REF!</v>
      </c>
      <c r="E2" t="e">
        <f>AND(#REF!,"AAAAAH//dwQ=")</f>
        <v>#REF!</v>
      </c>
      <c r="F2" t="e">
        <f>AND(#REF!,"AAAAAH//dwU=")</f>
        <v>#REF!</v>
      </c>
      <c r="G2" t="e">
        <f>AND(#REF!,"AAAAAH//dwY=")</f>
        <v>#REF!</v>
      </c>
      <c r="H2" t="e">
        <f>AND(#REF!,"AAAAAH//dwc=")</f>
        <v>#REF!</v>
      </c>
      <c r="I2" t="e">
        <f>AND(#REF!,"AAAAAH//dwg=")</f>
        <v>#REF!</v>
      </c>
      <c r="J2" t="e">
        <f>AND(#REF!,"AAAAAH//dwk=")</f>
        <v>#REF!</v>
      </c>
      <c r="K2" t="e">
        <f>AND(#REF!,"AAAAAH//dwo=")</f>
        <v>#REF!</v>
      </c>
      <c r="L2" t="e">
        <f>AND(#REF!,"AAAAAH//dws=")</f>
        <v>#REF!</v>
      </c>
      <c r="M2" t="e">
        <f>AND(#REF!,"AAAAAH//dww=")</f>
        <v>#REF!</v>
      </c>
      <c r="N2" t="e">
        <f>AND(#REF!,"AAAAAH//dw0=")</f>
        <v>#REF!</v>
      </c>
      <c r="O2" t="e">
        <f>AND(#REF!,"AAAAAH//dw4=")</f>
        <v>#REF!</v>
      </c>
      <c r="P2" t="e">
        <f>AND(#REF!,"AAAAAH//dw8=")</f>
        <v>#REF!</v>
      </c>
      <c r="Q2" t="e">
        <f>AND(#REF!,"AAAAAH//dxA=")</f>
        <v>#REF!</v>
      </c>
      <c r="R2" t="e">
        <f>AND(#REF!,"AAAAAH//dxE=")</f>
        <v>#REF!</v>
      </c>
      <c r="S2" t="e">
        <f>AND(#REF!,"AAAAAH//dxI=")</f>
        <v>#REF!</v>
      </c>
      <c r="T2" t="e">
        <f>AND(#REF!,"AAAAAH//dxM=")</f>
        <v>#REF!</v>
      </c>
      <c r="U2" t="e">
        <f>AND(#REF!,"AAAAAH//dxQ=")</f>
        <v>#REF!</v>
      </c>
      <c r="V2" t="e">
        <f>AND(#REF!,"AAAAAH//dxU=")</f>
        <v>#REF!</v>
      </c>
      <c r="W2" t="e">
        <f>AND(#REF!,"AAAAAH//dxY=")</f>
        <v>#REF!</v>
      </c>
      <c r="X2" t="e">
        <f>AND(#REF!,"AAAAAH//dxc=")</f>
        <v>#REF!</v>
      </c>
      <c r="Y2" t="e">
        <f>AND(#REF!,"AAAAAH//dxg=")</f>
        <v>#REF!</v>
      </c>
      <c r="Z2" t="e">
        <f>AND(#REF!,"AAAAAH//dxk=")</f>
        <v>#REF!</v>
      </c>
      <c r="AA2" t="e">
        <f>AND(#REF!,"AAAAAH//dxo=")</f>
        <v>#REF!</v>
      </c>
      <c r="AB2" t="e">
        <f>AND(#REF!,"AAAAAH//dxs=")</f>
        <v>#REF!</v>
      </c>
      <c r="AC2" t="e">
        <f>AND(#REF!,"AAAAAH//dxw=")</f>
        <v>#REF!</v>
      </c>
      <c r="AD2" t="e">
        <f>AND(#REF!,"AAAAAH//dx0=")</f>
        <v>#REF!</v>
      </c>
      <c r="AE2" t="e">
        <f>AND(#REF!,"AAAAAH//dx4=")</f>
        <v>#REF!</v>
      </c>
      <c r="AF2" t="e">
        <f>AND(#REF!,"AAAAAH//dx8=")</f>
        <v>#REF!</v>
      </c>
      <c r="AG2" t="e">
        <f>AND(#REF!,"AAAAAH//dyA=")</f>
        <v>#REF!</v>
      </c>
      <c r="AH2" t="e">
        <f>AND(#REF!,"AAAAAH//dyE=")</f>
        <v>#REF!</v>
      </c>
      <c r="AI2" t="e">
        <f>AND(#REF!,"AAAAAH//dyI=")</f>
        <v>#REF!</v>
      </c>
      <c r="AJ2" t="e">
        <f>AND(#REF!,"AAAAAH//dyM=")</f>
        <v>#REF!</v>
      </c>
      <c r="AK2" t="e">
        <f>AND(#REF!,"AAAAAH//dyQ=")</f>
        <v>#REF!</v>
      </c>
      <c r="AL2" t="e">
        <f>AND(#REF!,"AAAAAH//dyU=")</f>
        <v>#REF!</v>
      </c>
      <c r="AM2" t="e">
        <f>AND(#REF!,"AAAAAH//dyY=")</f>
        <v>#REF!</v>
      </c>
      <c r="AN2" t="e">
        <f>AND(#REF!,"AAAAAH//dyc=")</f>
        <v>#REF!</v>
      </c>
      <c r="AO2" t="e">
        <f>AND(#REF!,"AAAAAH//dyg=")</f>
        <v>#REF!</v>
      </c>
      <c r="AP2" t="e">
        <f>AND(#REF!,"AAAAAH//dyk=")</f>
        <v>#REF!</v>
      </c>
      <c r="AQ2" t="e">
        <f>AND(#REF!,"AAAAAH//dyo=")</f>
        <v>#REF!</v>
      </c>
      <c r="AR2" t="e">
        <f>AND(#REF!,"AAAAAH//dys=")</f>
        <v>#REF!</v>
      </c>
      <c r="AS2" t="e">
        <f>AND(#REF!,"AAAAAH//dyw=")</f>
        <v>#REF!</v>
      </c>
      <c r="AT2" t="e">
        <f>AND(#REF!,"AAAAAH//dy0=")</f>
        <v>#REF!</v>
      </c>
      <c r="AU2" t="e">
        <f>AND(#REF!,"AAAAAH//dy4=")</f>
        <v>#REF!</v>
      </c>
      <c r="AV2" t="e">
        <f>AND(#REF!,"AAAAAH//dy8=")</f>
        <v>#REF!</v>
      </c>
      <c r="AW2" t="e">
        <f>AND(#REF!,"AAAAAH//dzA=")</f>
        <v>#REF!</v>
      </c>
      <c r="AX2" t="e">
        <f>AND(#REF!,"AAAAAH//dzE=")</f>
        <v>#REF!</v>
      </c>
      <c r="AY2" t="e">
        <f>AND(#REF!,"AAAAAH//dzI=")</f>
        <v>#REF!</v>
      </c>
      <c r="AZ2" t="e">
        <f>AND(#REF!,"AAAAAH//dzM=")</f>
        <v>#REF!</v>
      </c>
      <c r="BA2" t="e">
        <f>AND(#REF!,"AAAAAH//dzQ=")</f>
        <v>#REF!</v>
      </c>
      <c r="BB2" t="e">
        <f>AND(#REF!,"AAAAAH//dzU=")</f>
        <v>#REF!</v>
      </c>
      <c r="BC2" t="e">
        <f>AND(#REF!,"AAAAAH//dzY=")</f>
        <v>#REF!</v>
      </c>
      <c r="BD2" t="e">
        <f>AND(#REF!,"AAAAAH//dzc=")</f>
        <v>#REF!</v>
      </c>
      <c r="BE2" t="e">
        <f>AND(#REF!,"AAAAAH//dzg=")</f>
        <v>#REF!</v>
      </c>
      <c r="BF2" t="e">
        <f>AND(#REF!,"AAAAAH//dzk=")</f>
        <v>#REF!</v>
      </c>
      <c r="BG2" t="e">
        <f>AND(#REF!,"AAAAAH//dzo=")</f>
        <v>#REF!</v>
      </c>
      <c r="BH2" t="e">
        <f>AND(#REF!,"AAAAAH//dzs=")</f>
        <v>#REF!</v>
      </c>
      <c r="BI2" t="e">
        <f>AND(#REF!,"AAAAAH//dzw=")</f>
        <v>#REF!</v>
      </c>
      <c r="BJ2" t="e">
        <f>AND(#REF!,"AAAAAH//dz0=")</f>
        <v>#REF!</v>
      </c>
      <c r="BK2" t="e">
        <f>AND(#REF!,"AAAAAH//dz4=")</f>
        <v>#REF!</v>
      </c>
      <c r="BL2" t="e">
        <f>AND(#REF!,"AAAAAH//dz8=")</f>
        <v>#REF!</v>
      </c>
      <c r="BM2" t="e">
        <f>AND(#REF!,"AAAAAH//d0A=")</f>
        <v>#REF!</v>
      </c>
      <c r="BN2" t="e">
        <f>AND(#REF!,"AAAAAH//d0E=")</f>
        <v>#REF!</v>
      </c>
      <c r="BO2" t="e">
        <f>AND(#REF!,"AAAAAH//d0I=")</f>
        <v>#REF!</v>
      </c>
      <c r="BP2" t="e">
        <f>AND(#REF!,"AAAAAH//d0M=")</f>
        <v>#REF!</v>
      </c>
      <c r="BQ2" t="e">
        <f>AND(#REF!,"AAAAAH//d0Q=")</f>
        <v>#REF!</v>
      </c>
      <c r="BR2" t="e">
        <f>AND(#REF!,"AAAAAH//d0U=")</f>
        <v>#REF!</v>
      </c>
      <c r="BS2" t="e">
        <f>AND(#REF!,"AAAAAH//d0Y=")</f>
        <v>#REF!</v>
      </c>
      <c r="BT2" t="e">
        <f>AND(#REF!,"AAAAAH//d0c=")</f>
        <v>#REF!</v>
      </c>
      <c r="BU2" t="e">
        <f>AND(#REF!,"AAAAAH//d0g=")</f>
        <v>#REF!</v>
      </c>
      <c r="BV2" t="e">
        <f>AND(#REF!,"AAAAAH//d0k=")</f>
        <v>#REF!</v>
      </c>
      <c r="BW2" t="e">
        <f>AND(#REF!,"AAAAAH//d0o=")</f>
        <v>#REF!</v>
      </c>
      <c r="BX2" t="e">
        <f>AND(#REF!,"AAAAAH//d0s=")</f>
        <v>#REF!</v>
      </c>
      <c r="BY2" t="e">
        <f>AND(#REF!,"AAAAAH//d0w=")</f>
        <v>#REF!</v>
      </c>
      <c r="BZ2" t="e">
        <f>AND(#REF!,"AAAAAH//d00=")</f>
        <v>#REF!</v>
      </c>
      <c r="CA2" t="e">
        <f>AND(#REF!,"AAAAAH//d04=")</f>
        <v>#REF!</v>
      </c>
      <c r="CB2" t="e">
        <f>AND(#REF!,"AAAAAH//d08=")</f>
        <v>#REF!</v>
      </c>
      <c r="CC2" t="e">
        <f>AND(#REF!,"AAAAAH//d1A=")</f>
        <v>#REF!</v>
      </c>
      <c r="CD2" t="e">
        <f>AND(#REF!,"AAAAAH//d1E=")</f>
        <v>#REF!</v>
      </c>
      <c r="CE2" t="e">
        <f>AND(#REF!,"AAAAAH//d1I=")</f>
        <v>#REF!</v>
      </c>
      <c r="CF2" t="e">
        <f>AND(#REF!,"AAAAAH//d1M=")</f>
        <v>#REF!</v>
      </c>
      <c r="CG2" t="e">
        <f>AND(#REF!,"AAAAAH//d1Q=")</f>
        <v>#REF!</v>
      </c>
      <c r="CH2" t="e">
        <f>AND(#REF!,"AAAAAH//d1U=")</f>
        <v>#REF!</v>
      </c>
      <c r="CI2" t="e">
        <f>AND(#REF!,"AAAAAH//d1Y=")</f>
        <v>#REF!</v>
      </c>
      <c r="CJ2" t="e">
        <f>AND(#REF!,"AAAAAH//d1c=")</f>
        <v>#REF!</v>
      </c>
      <c r="CK2" t="e">
        <f>AND(#REF!,"AAAAAH//d1g=")</f>
        <v>#REF!</v>
      </c>
      <c r="CL2" t="e">
        <f>AND(#REF!,"AAAAAH//d1k=")</f>
        <v>#REF!</v>
      </c>
      <c r="CM2" t="e">
        <f>AND(#REF!,"AAAAAH//d1o=")</f>
        <v>#REF!</v>
      </c>
      <c r="CN2" t="e">
        <f>AND(#REF!,"AAAAAH//d1s=")</f>
        <v>#REF!</v>
      </c>
      <c r="CO2" t="e">
        <f>AND(#REF!,"AAAAAH//d1w=")</f>
        <v>#REF!</v>
      </c>
      <c r="CP2" t="e">
        <f>AND(#REF!,"AAAAAH//d10=")</f>
        <v>#REF!</v>
      </c>
      <c r="CQ2" t="e">
        <f>AND(#REF!,"AAAAAH//d14=")</f>
        <v>#REF!</v>
      </c>
      <c r="CR2" t="e">
        <f>AND(#REF!,"AAAAAH//d18=")</f>
        <v>#REF!</v>
      </c>
      <c r="CS2" t="e">
        <f>AND(#REF!,"AAAAAH//d2A=")</f>
        <v>#REF!</v>
      </c>
      <c r="CT2" t="e">
        <f>AND(#REF!,"AAAAAH//d2E=")</f>
        <v>#REF!</v>
      </c>
      <c r="CU2" t="e">
        <f>AND(#REF!,"AAAAAH//d2I=")</f>
        <v>#REF!</v>
      </c>
      <c r="CV2" t="e">
        <f>AND(#REF!,"AAAAAH//d2M=")</f>
        <v>#REF!</v>
      </c>
      <c r="CW2" t="e">
        <f>AND(#REF!,"AAAAAH//d2Q=")</f>
        <v>#REF!</v>
      </c>
      <c r="CX2" t="e">
        <f>AND(#REF!,"AAAAAH//d2U=")</f>
        <v>#REF!</v>
      </c>
      <c r="CY2" t="e">
        <f>AND(#REF!,"AAAAAH//d2Y=")</f>
        <v>#REF!</v>
      </c>
      <c r="CZ2" t="e">
        <f>AND(#REF!,"AAAAAH//d2c=")</f>
        <v>#REF!</v>
      </c>
      <c r="DA2" t="e">
        <f>AND(#REF!,"AAAAAH//d2g=")</f>
        <v>#REF!</v>
      </c>
      <c r="DB2" t="e">
        <f>AND(#REF!,"AAAAAH//d2k=")</f>
        <v>#REF!</v>
      </c>
      <c r="DC2" t="e">
        <f>AND(#REF!,"AAAAAH//d2o=")</f>
        <v>#REF!</v>
      </c>
      <c r="DD2" t="e">
        <f>AND(#REF!,"AAAAAH//d2s=")</f>
        <v>#REF!</v>
      </c>
      <c r="DE2" t="e">
        <f>AND(#REF!,"AAAAAH//d2w=")</f>
        <v>#REF!</v>
      </c>
      <c r="DF2" t="e">
        <f>AND(#REF!,"AAAAAH//d20=")</f>
        <v>#REF!</v>
      </c>
      <c r="DG2" t="e">
        <f>AND(#REF!,"AAAAAH//d24=")</f>
        <v>#REF!</v>
      </c>
      <c r="DH2" t="e">
        <f>AND(#REF!,"AAAAAH//d28=")</f>
        <v>#REF!</v>
      </c>
      <c r="DI2" t="e">
        <f>AND(#REF!,"AAAAAH//d3A=")</f>
        <v>#REF!</v>
      </c>
      <c r="DJ2" t="e">
        <f>AND(#REF!,"AAAAAH//d3E=")</f>
        <v>#REF!</v>
      </c>
      <c r="DK2" t="e">
        <f>AND(#REF!,"AAAAAH//d3I=")</f>
        <v>#REF!</v>
      </c>
      <c r="DL2" t="e">
        <f>AND(#REF!,"AAAAAH//d3M=")</f>
        <v>#REF!</v>
      </c>
      <c r="DM2" t="e">
        <f>AND(#REF!,"AAAAAH//d3Q=")</f>
        <v>#REF!</v>
      </c>
      <c r="DN2" t="e">
        <f>AND(#REF!,"AAAAAH//d3U=")</f>
        <v>#REF!</v>
      </c>
      <c r="DO2" t="e">
        <f>AND(#REF!,"AAAAAH//d3Y=")</f>
        <v>#REF!</v>
      </c>
      <c r="DP2" t="e">
        <f>AND(#REF!,"AAAAAH//d3c=")</f>
        <v>#REF!</v>
      </c>
      <c r="DQ2" t="e">
        <f>AND(#REF!,"AAAAAH//d3g=")</f>
        <v>#REF!</v>
      </c>
      <c r="DR2" t="e">
        <f>AND(#REF!,"AAAAAH//d3k=")</f>
        <v>#REF!</v>
      </c>
      <c r="DS2" t="e">
        <f>AND(#REF!,"AAAAAH//d3o=")</f>
        <v>#REF!</v>
      </c>
      <c r="DT2" t="e">
        <f>AND(#REF!,"AAAAAH//d3s=")</f>
        <v>#REF!</v>
      </c>
      <c r="DU2" t="e">
        <f>AND(#REF!,"AAAAAH//d3w=")</f>
        <v>#REF!</v>
      </c>
      <c r="DV2" t="e">
        <f>AND(#REF!,"AAAAAH//d30=")</f>
        <v>#REF!</v>
      </c>
      <c r="DW2" t="e">
        <f>AND(#REF!,"AAAAAH//d34=")</f>
        <v>#REF!</v>
      </c>
      <c r="DX2" t="e">
        <f>AND(#REF!,"AAAAAH//d38=")</f>
        <v>#REF!</v>
      </c>
      <c r="DY2" t="e">
        <f>AND(#REF!,"AAAAAH//d4A=")</f>
        <v>#REF!</v>
      </c>
      <c r="DZ2" t="e">
        <f>AND(#REF!,"AAAAAH//d4E=")</f>
        <v>#REF!</v>
      </c>
      <c r="EA2" t="e">
        <f>AND(#REF!,"AAAAAH//d4I=")</f>
        <v>#REF!</v>
      </c>
      <c r="EB2" t="e">
        <f>AND(#REF!,"AAAAAH//d4M=")</f>
        <v>#REF!</v>
      </c>
      <c r="EC2" t="e">
        <f>AND(#REF!,"AAAAAH//d4Q=")</f>
        <v>#REF!</v>
      </c>
      <c r="ED2" t="e">
        <f>AND(#REF!,"AAAAAH//d4U=")</f>
        <v>#REF!</v>
      </c>
      <c r="EE2" t="e">
        <f>AND(#REF!,"AAAAAH//d4Y=")</f>
        <v>#REF!</v>
      </c>
      <c r="EF2" t="e">
        <f>AND(#REF!,"AAAAAH//d4c=")</f>
        <v>#REF!</v>
      </c>
      <c r="EG2" t="e">
        <f>AND(#REF!,"AAAAAH//d4g=")</f>
        <v>#REF!</v>
      </c>
      <c r="EH2" t="e">
        <f>AND(#REF!,"AAAAAH//d4k=")</f>
        <v>#REF!</v>
      </c>
      <c r="EI2" t="e">
        <f>AND(#REF!,"AAAAAH//d4o=")</f>
        <v>#REF!</v>
      </c>
      <c r="EJ2" t="e">
        <f>AND(#REF!,"AAAAAH//d4s=")</f>
        <v>#REF!</v>
      </c>
      <c r="EK2" t="e">
        <f>AND(#REF!,"AAAAAH//d4w=")</f>
        <v>#REF!</v>
      </c>
      <c r="EL2" t="e">
        <f>AND(#REF!,"AAAAAH//d40=")</f>
        <v>#REF!</v>
      </c>
      <c r="EM2" t="e">
        <f>AND(#REF!,"AAAAAH//d44=")</f>
        <v>#REF!</v>
      </c>
      <c r="EN2" t="e">
        <f>AND(#REF!,"AAAAAH//d48=")</f>
        <v>#REF!</v>
      </c>
      <c r="EO2" t="e">
        <f>AND(#REF!,"AAAAAH//d5A=")</f>
        <v>#REF!</v>
      </c>
      <c r="EP2" t="e">
        <f>AND(#REF!,"AAAAAH//d5E=")</f>
        <v>#REF!</v>
      </c>
      <c r="EQ2" t="e">
        <f>AND(#REF!,"AAAAAH//d5I=")</f>
        <v>#REF!</v>
      </c>
      <c r="ER2" t="e">
        <f>AND(#REF!,"AAAAAH//d5M=")</f>
        <v>#REF!</v>
      </c>
      <c r="ES2" t="e">
        <f>AND(#REF!,"AAAAAH//d5Q=")</f>
        <v>#REF!</v>
      </c>
      <c r="ET2" t="e">
        <f>AND(#REF!,"AAAAAH//d5U=")</f>
        <v>#REF!</v>
      </c>
      <c r="EU2" t="e">
        <f>AND(#REF!,"AAAAAH//d5Y=")</f>
        <v>#REF!</v>
      </c>
      <c r="EV2" t="e">
        <f>AND(#REF!,"AAAAAH//d5c=")</f>
        <v>#REF!</v>
      </c>
      <c r="EW2" t="e">
        <f>AND(#REF!,"AAAAAH//d5g=")</f>
        <v>#REF!</v>
      </c>
      <c r="EX2" t="e">
        <f>AND(#REF!,"AAAAAH//d5k=")</f>
        <v>#REF!</v>
      </c>
      <c r="EY2" t="e">
        <f>AND(#REF!,"AAAAAH//d5o=")</f>
        <v>#REF!</v>
      </c>
      <c r="EZ2" t="e">
        <f>AND(#REF!,"AAAAAH//d5s=")</f>
        <v>#REF!</v>
      </c>
      <c r="FA2" t="e">
        <f>AND(#REF!,"AAAAAH//d5w=")</f>
        <v>#REF!</v>
      </c>
      <c r="FB2" t="e">
        <f>AND(#REF!,"AAAAAH//d50=")</f>
        <v>#REF!</v>
      </c>
      <c r="FC2" t="e">
        <f>AND(#REF!,"AAAAAH//d54=")</f>
        <v>#REF!</v>
      </c>
      <c r="FD2" t="e">
        <f>IF(#REF!,"AAAAAH//d58=",0)</f>
        <v>#REF!</v>
      </c>
      <c r="FE2" t="e">
        <f>AND(#REF!,"AAAAAH//d6A=")</f>
        <v>#REF!</v>
      </c>
      <c r="FF2" t="e">
        <f>AND(#REF!,"AAAAAH//d6E=")</f>
        <v>#REF!</v>
      </c>
      <c r="FG2" t="e">
        <f>AND(#REF!,"AAAAAH//d6I=")</f>
        <v>#REF!</v>
      </c>
      <c r="FH2" t="e">
        <f>AND(#REF!,"AAAAAH//d6M=")</f>
        <v>#REF!</v>
      </c>
      <c r="FI2" t="e">
        <f>AND(#REF!,"AAAAAH//d6Q=")</f>
        <v>#REF!</v>
      </c>
      <c r="FJ2" t="e">
        <f>AND(#REF!,"AAAAAH//d6U=")</f>
        <v>#REF!</v>
      </c>
      <c r="FK2" t="e">
        <f>AND(#REF!,"AAAAAH//d6Y=")</f>
        <v>#REF!</v>
      </c>
      <c r="FL2" t="e">
        <f>AND(#REF!,"AAAAAH//d6c=")</f>
        <v>#REF!</v>
      </c>
      <c r="FM2" t="e">
        <f>AND(#REF!,"AAAAAH//d6g=")</f>
        <v>#REF!</v>
      </c>
      <c r="FN2" t="e">
        <f>AND(#REF!,"AAAAAH//d6k=")</f>
        <v>#REF!</v>
      </c>
      <c r="FO2" t="e">
        <f>AND(#REF!,"AAAAAH//d6o=")</f>
        <v>#REF!</v>
      </c>
      <c r="FP2" t="e">
        <f>AND(#REF!,"AAAAAH//d6s=")</f>
        <v>#REF!</v>
      </c>
      <c r="FQ2" t="e">
        <f>AND(#REF!,"AAAAAH//d6w=")</f>
        <v>#REF!</v>
      </c>
      <c r="FR2" t="e">
        <f>AND(#REF!,"AAAAAH//d60=")</f>
        <v>#REF!</v>
      </c>
      <c r="FS2" t="e">
        <f>AND(#REF!,"AAAAAH//d64=")</f>
        <v>#REF!</v>
      </c>
      <c r="FT2" t="e">
        <f>AND(#REF!,"AAAAAH//d68=")</f>
        <v>#REF!</v>
      </c>
      <c r="FU2" t="e">
        <f>AND(#REF!,"AAAAAH//d7A=")</f>
        <v>#REF!</v>
      </c>
      <c r="FV2" t="e">
        <f>AND(#REF!,"AAAAAH//d7E=")</f>
        <v>#REF!</v>
      </c>
      <c r="FW2" t="e">
        <f>AND(#REF!,"AAAAAH//d7I=")</f>
        <v>#REF!</v>
      </c>
      <c r="FX2" t="e">
        <f>AND(#REF!,"AAAAAH//d7M=")</f>
        <v>#REF!</v>
      </c>
      <c r="FY2" t="e">
        <f>AND(#REF!,"AAAAAH//d7Q=")</f>
        <v>#REF!</v>
      </c>
      <c r="FZ2" t="e">
        <f>AND(#REF!,"AAAAAH//d7U=")</f>
        <v>#REF!</v>
      </c>
      <c r="GA2" t="e">
        <f>AND(#REF!,"AAAAAH//d7Y=")</f>
        <v>#REF!</v>
      </c>
      <c r="GB2" t="e">
        <f>AND(#REF!,"AAAAAH//d7c=")</f>
        <v>#REF!</v>
      </c>
      <c r="GC2" t="e">
        <f>AND(#REF!,"AAAAAH//d7g=")</f>
        <v>#REF!</v>
      </c>
      <c r="GD2" t="e">
        <f>AND(#REF!,"AAAAAH//d7k=")</f>
        <v>#REF!</v>
      </c>
      <c r="GE2" t="e">
        <f>AND(#REF!,"AAAAAH//d7o=")</f>
        <v>#REF!</v>
      </c>
      <c r="GF2" t="e">
        <f>AND(#REF!,"AAAAAH//d7s=")</f>
        <v>#REF!</v>
      </c>
      <c r="GG2" t="e">
        <f>AND(#REF!,"AAAAAH//d7w=")</f>
        <v>#REF!</v>
      </c>
      <c r="GH2" t="e">
        <f>AND(#REF!,"AAAAAH//d70=")</f>
        <v>#REF!</v>
      </c>
      <c r="GI2" t="e">
        <f>AND(#REF!,"AAAAAH//d74=")</f>
        <v>#REF!</v>
      </c>
      <c r="GJ2" t="e">
        <f>AND(#REF!,"AAAAAH//d78=")</f>
        <v>#REF!</v>
      </c>
      <c r="GK2" t="e">
        <f>AND(#REF!,"AAAAAH//d8A=")</f>
        <v>#REF!</v>
      </c>
      <c r="GL2" t="e">
        <f>AND(#REF!,"AAAAAH//d8E=")</f>
        <v>#REF!</v>
      </c>
      <c r="GM2" t="e">
        <f>AND(#REF!,"AAAAAH//d8I=")</f>
        <v>#REF!</v>
      </c>
      <c r="GN2" t="e">
        <f>AND(#REF!,"AAAAAH//d8M=")</f>
        <v>#REF!</v>
      </c>
      <c r="GO2" t="e">
        <f>AND(#REF!,"AAAAAH//d8Q=")</f>
        <v>#REF!</v>
      </c>
      <c r="GP2" t="e">
        <f>AND(#REF!,"AAAAAH//d8U=")</f>
        <v>#REF!</v>
      </c>
      <c r="GQ2" t="e">
        <f>AND(#REF!,"AAAAAH//d8Y=")</f>
        <v>#REF!</v>
      </c>
      <c r="GR2" t="e">
        <f>AND(#REF!,"AAAAAH//d8c=")</f>
        <v>#REF!</v>
      </c>
      <c r="GS2" t="e">
        <f>AND(#REF!,"AAAAAH//d8g=")</f>
        <v>#REF!</v>
      </c>
      <c r="GT2" t="e">
        <f>AND(#REF!,"AAAAAH//d8k=")</f>
        <v>#REF!</v>
      </c>
      <c r="GU2" t="e">
        <f>AND(#REF!,"AAAAAH//d8o=")</f>
        <v>#REF!</v>
      </c>
      <c r="GV2" t="e">
        <f>AND(#REF!,"AAAAAH//d8s=")</f>
        <v>#REF!</v>
      </c>
      <c r="GW2" t="e">
        <f>AND(#REF!,"AAAAAH//d8w=")</f>
        <v>#REF!</v>
      </c>
      <c r="GX2" t="e">
        <f>AND(#REF!,"AAAAAH//d80=")</f>
        <v>#REF!</v>
      </c>
      <c r="GY2" t="e">
        <f>AND(#REF!,"AAAAAH//d84=")</f>
        <v>#REF!</v>
      </c>
      <c r="GZ2" t="e">
        <f>AND(#REF!,"AAAAAH//d88=")</f>
        <v>#REF!</v>
      </c>
      <c r="HA2" t="e">
        <f>AND(#REF!,"AAAAAH//d9A=")</f>
        <v>#REF!</v>
      </c>
      <c r="HB2" t="e">
        <f>AND(#REF!,"AAAAAH//d9E=")</f>
        <v>#REF!</v>
      </c>
      <c r="HC2" t="e">
        <f>AND(#REF!,"AAAAAH//d9I=")</f>
        <v>#REF!</v>
      </c>
      <c r="HD2" t="e">
        <f>AND(#REF!,"AAAAAH//d9M=")</f>
        <v>#REF!</v>
      </c>
      <c r="HE2" t="e">
        <f>AND(#REF!,"AAAAAH//d9Q=")</f>
        <v>#REF!</v>
      </c>
      <c r="HF2" t="e">
        <f>AND(#REF!,"AAAAAH//d9U=")</f>
        <v>#REF!</v>
      </c>
      <c r="HG2" t="e">
        <f>AND(#REF!,"AAAAAH//d9Y=")</f>
        <v>#REF!</v>
      </c>
      <c r="HH2" t="e">
        <f>AND(#REF!,"AAAAAH//d9c=")</f>
        <v>#REF!</v>
      </c>
      <c r="HI2" t="e">
        <f>AND(#REF!,"AAAAAH//d9g=")</f>
        <v>#REF!</v>
      </c>
      <c r="HJ2" t="e">
        <f>AND(#REF!,"AAAAAH//d9k=")</f>
        <v>#REF!</v>
      </c>
      <c r="HK2" t="e">
        <f>AND(#REF!,"AAAAAH//d9o=")</f>
        <v>#REF!</v>
      </c>
      <c r="HL2" t="e">
        <f>AND(#REF!,"AAAAAH//d9s=")</f>
        <v>#REF!</v>
      </c>
      <c r="HM2" t="e">
        <f>AND(#REF!,"AAAAAH//d9w=")</f>
        <v>#REF!</v>
      </c>
      <c r="HN2" t="e">
        <f>AND(#REF!,"AAAAAH//d90=")</f>
        <v>#REF!</v>
      </c>
      <c r="HO2" t="e">
        <f>AND(#REF!,"AAAAAH//d94=")</f>
        <v>#REF!</v>
      </c>
      <c r="HP2" t="e">
        <f>AND(#REF!,"AAAAAH//d98=")</f>
        <v>#REF!</v>
      </c>
      <c r="HQ2" t="e">
        <f>AND(#REF!,"AAAAAH//d+A=")</f>
        <v>#REF!</v>
      </c>
      <c r="HR2" t="e">
        <f>AND(#REF!,"AAAAAH//d+E=")</f>
        <v>#REF!</v>
      </c>
      <c r="HS2" t="e">
        <f>AND(#REF!,"AAAAAH//d+I=")</f>
        <v>#REF!</v>
      </c>
      <c r="HT2" t="e">
        <f>AND(#REF!,"AAAAAH//d+M=")</f>
        <v>#REF!</v>
      </c>
      <c r="HU2" t="e">
        <f>AND(#REF!,"AAAAAH//d+Q=")</f>
        <v>#REF!</v>
      </c>
      <c r="HV2" t="e">
        <f>AND(#REF!,"AAAAAH//d+U=")</f>
        <v>#REF!</v>
      </c>
      <c r="HW2" t="e">
        <f>AND(#REF!,"AAAAAH//d+Y=")</f>
        <v>#REF!</v>
      </c>
      <c r="HX2" t="e">
        <f>AND(#REF!,"AAAAAH//d+c=")</f>
        <v>#REF!</v>
      </c>
      <c r="HY2" t="e">
        <f>AND(#REF!,"AAAAAH//d+g=")</f>
        <v>#REF!</v>
      </c>
      <c r="HZ2" t="e">
        <f>AND(#REF!,"AAAAAH//d+k=")</f>
        <v>#REF!</v>
      </c>
      <c r="IA2" t="e">
        <f>AND(#REF!,"AAAAAH//d+o=")</f>
        <v>#REF!</v>
      </c>
      <c r="IB2" t="e">
        <f>AND(#REF!,"AAAAAH//d+s=")</f>
        <v>#REF!</v>
      </c>
      <c r="IC2" t="e">
        <f>AND(#REF!,"AAAAAH//d+w=")</f>
        <v>#REF!</v>
      </c>
      <c r="ID2" t="e">
        <f>AND(#REF!,"AAAAAH//d+0=")</f>
        <v>#REF!</v>
      </c>
      <c r="IE2" t="e">
        <f>AND(#REF!,"AAAAAH//d+4=")</f>
        <v>#REF!</v>
      </c>
      <c r="IF2" t="e">
        <f>AND(#REF!,"AAAAAH//d+8=")</f>
        <v>#REF!</v>
      </c>
      <c r="IG2" t="e">
        <f>AND(#REF!,"AAAAAH//d/A=")</f>
        <v>#REF!</v>
      </c>
      <c r="IH2" t="e">
        <f>AND(#REF!,"AAAAAH//d/E=")</f>
        <v>#REF!</v>
      </c>
      <c r="II2" t="e">
        <f>AND(#REF!,"AAAAAH//d/I=")</f>
        <v>#REF!</v>
      </c>
      <c r="IJ2" t="e">
        <f>AND(#REF!,"AAAAAH//d/M=")</f>
        <v>#REF!</v>
      </c>
      <c r="IK2" t="e">
        <f>AND(#REF!,"AAAAAH//d/Q=")</f>
        <v>#REF!</v>
      </c>
      <c r="IL2" t="e">
        <f>AND(#REF!,"AAAAAH//d/U=")</f>
        <v>#REF!</v>
      </c>
      <c r="IM2" t="e">
        <f>AND(#REF!,"AAAAAH//d/Y=")</f>
        <v>#REF!</v>
      </c>
      <c r="IN2" t="e">
        <f>AND(#REF!,"AAAAAH//d/c=")</f>
        <v>#REF!</v>
      </c>
      <c r="IO2" t="e">
        <f>AND(#REF!,"AAAAAH//d/g=")</f>
        <v>#REF!</v>
      </c>
      <c r="IP2" t="e">
        <f>AND(#REF!,"AAAAAH//d/k=")</f>
        <v>#REF!</v>
      </c>
      <c r="IQ2" t="e">
        <f>AND(#REF!,"AAAAAH//d/o=")</f>
        <v>#REF!</v>
      </c>
      <c r="IR2" t="e">
        <f>AND(#REF!,"AAAAAH//d/s=")</f>
        <v>#REF!</v>
      </c>
      <c r="IS2" t="e">
        <f>AND(#REF!,"AAAAAH//d/w=")</f>
        <v>#REF!</v>
      </c>
      <c r="IT2" t="e">
        <f>AND(#REF!,"AAAAAH//d/0=")</f>
        <v>#REF!</v>
      </c>
      <c r="IU2" t="e">
        <f>AND(#REF!,"AAAAAH//d/4=")</f>
        <v>#REF!</v>
      </c>
      <c r="IV2" t="e">
        <f>AND(#REF!,"AAAAAH//d/8=")</f>
        <v>#REF!</v>
      </c>
    </row>
    <row r="3" spans="1:256" x14ac:dyDescent="0.25">
      <c r="A3" t="e">
        <f>AND(#REF!,"AAAAAD/blwA=")</f>
        <v>#REF!</v>
      </c>
      <c r="B3" t="e">
        <f>AND(#REF!,"AAAAAD/blwE=")</f>
        <v>#REF!</v>
      </c>
      <c r="C3" t="e">
        <f>AND(#REF!,"AAAAAD/blwI=")</f>
        <v>#REF!</v>
      </c>
      <c r="D3" t="e">
        <f>AND(#REF!,"AAAAAD/blwM=")</f>
        <v>#REF!</v>
      </c>
      <c r="E3" t="e">
        <f>AND(#REF!,"AAAAAD/blwQ=")</f>
        <v>#REF!</v>
      </c>
      <c r="F3" t="e">
        <f>AND(#REF!,"AAAAAD/blwU=")</f>
        <v>#REF!</v>
      </c>
      <c r="G3" t="e">
        <f>AND(#REF!,"AAAAAD/blwY=")</f>
        <v>#REF!</v>
      </c>
      <c r="H3" t="e">
        <f>AND(#REF!,"AAAAAD/blwc=")</f>
        <v>#REF!</v>
      </c>
      <c r="I3" t="e">
        <f>AND(#REF!,"AAAAAD/blwg=")</f>
        <v>#REF!</v>
      </c>
      <c r="J3" t="e">
        <f>AND(#REF!,"AAAAAD/blwk=")</f>
        <v>#REF!</v>
      </c>
      <c r="K3" t="e">
        <f>AND(#REF!,"AAAAAD/blwo=")</f>
        <v>#REF!</v>
      </c>
      <c r="L3" t="e">
        <f>AND(#REF!,"AAAAAD/blws=")</f>
        <v>#REF!</v>
      </c>
      <c r="M3" t="e">
        <f>AND(#REF!,"AAAAAD/blww=")</f>
        <v>#REF!</v>
      </c>
      <c r="N3" t="e">
        <f>AND(#REF!,"AAAAAD/blw0=")</f>
        <v>#REF!</v>
      </c>
      <c r="O3" t="e">
        <f>AND(#REF!,"AAAAAD/blw4=")</f>
        <v>#REF!</v>
      </c>
      <c r="P3" t="e">
        <f>AND(#REF!,"AAAAAD/blw8=")</f>
        <v>#REF!</v>
      </c>
      <c r="Q3" t="e">
        <f>AND(#REF!,"AAAAAD/blxA=")</f>
        <v>#REF!</v>
      </c>
      <c r="R3" t="e">
        <f>AND(#REF!,"AAAAAD/blxE=")</f>
        <v>#REF!</v>
      </c>
      <c r="S3" t="e">
        <f>AND(#REF!,"AAAAAD/blxI=")</f>
        <v>#REF!</v>
      </c>
      <c r="T3" t="e">
        <f>AND(#REF!,"AAAAAD/blxM=")</f>
        <v>#REF!</v>
      </c>
      <c r="U3" t="e">
        <f>AND(#REF!,"AAAAAD/blxQ=")</f>
        <v>#REF!</v>
      </c>
      <c r="V3" t="e">
        <f>AND(#REF!,"AAAAAD/blxU=")</f>
        <v>#REF!</v>
      </c>
      <c r="W3" t="e">
        <f>AND(#REF!,"AAAAAD/blxY=")</f>
        <v>#REF!</v>
      </c>
      <c r="X3" t="e">
        <f>AND(#REF!,"AAAAAD/blxc=")</f>
        <v>#REF!</v>
      </c>
      <c r="Y3" t="e">
        <f>AND(#REF!,"AAAAAD/blxg=")</f>
        <v>#REF!</v>
      </c>
      <c r="Z3" t="e">
        <f>AND(#REF!,"AAAAAD/blxk=")</f>
        <v>#REF!</v>
      </c>
      <c r="AA3" t="e">
        <f>AND(#REF!,"AAAAAD/blxo=")</f>
        <v>#REF!</v>
      </c>
      <c r="AB3" t="e">
        <f>AND(#REF!,"AAAAAD/blxs=")</f>
        <v>#REF!</v>
      </c>
      <c r="AC3" t="e">
        <f>AND(#REF!,"AAAAAD/blxw=")</f>
        <v>#REF!</v>
      </c>
      <c r="AD3" t="e">
        <f>AND(#REF!,"AAAAAD/blx0=")</f>
        <v>#REF!</v>
      </c>
      <c r="AE3" t="e">
        <f>AND(#REF!,"AAAAAD/blx4=")</f>
        <v>#REF!</v>
      </c>
      <c r="AF3" t="e">
        <f>AND(#REF!,"AAAAAD/blx8=")</f>
        <v>#REF!</v>
      </c>
      <c r="AG3" t="e">
        <f>AND(#REF!,"AAAAAD/blyA=")</f>
        <v>#REF!</v>
      </c>
      <c r="AH3" t="e">
        <f>AND(#REF!,"AAAAAD/blyE=")</f>
        <v>#REF!</v>
      </c>
      <c r="AI3" t="e">
        <f>AND(#REF!,"AAAAAD/blyI=")</f>
        <v>#REF!</v>
      </c>
      <c r="AJ3" t="e">
        <f>AND(#REF!,"AAAAAD/blyM=")</f>
        <v>#REF!</v>
      </c>
      <c r="AK3" t="e">
        <f>AND(#REF!,"AAAAAD/blyQ=")</f>
        <v>#REF!</v>
      </c>
      <c r="AL3" t="e">
        <f>AND(#REF!,"AAAAAD/blyU=")</f>
        <v>#REF!</v>
      </c>
      <c r="AM3" t="e">
        <f>AND(#REF!,"AAAAAD/blyY=")</f>
        <v>#REF!</v>
      </c>
      <c r="AN3" t="e">
        <f>AND(#REF!,"AAAAAD/blyc=")</f>
        <v>#REF!</v>
      </c>
      <c r="AO3" t="e">
        <f>AND(#REF!,"AAAAAD/blyg=")</f>
        <v>#REF!</v>
      </c>
      <c r="AP3" t="e">
        <f>AND(#REF!,"AAAAAD/blyk=")</f>
        <v>#REF!</v>
      </c>
      <c r="AQ3" t="e">
        <f>AND(#REF!,"AAAAAD/blyo=")</f>
        <v>#REF!</v>
      </c>
      <c r="AR3" t="e">
        <f>AND(#REF!,"AAAAAD/blys=")</f>
        <v>#REF!</v>
      </c>
      <c r="AS3" t="e">
        <f>AND(#REF!,"AAAAAD/blyw=")</f>
        <v>#REF!</v>
      </c>
      <c r="AT3" t="e">
        <f>AND(#REF!,"AAAAAD/bly0=")</f>
        <v>#REF!</v>
      </c>
      <c r="AU3" t="e">
        <f>AND(#REF!,"AAAAAD/bly4=")</f>
        <v>#REF!</v>
      </c>
      <c r="AV3" t="e">
        <f>AND(#REF!,"AAAAAD/bly8=")</f>
        <v>#REF!</v>
      </c>
      <c r="AW3" t="e">
        <f>AND(#REF!,"AAAAAD/blzA=")</f>
        <v>#REF!</v>
      </c>
      <c r="AX3" t="e">
        <f>AND(#REF!,"AAAAAD/blzE=")</f>
        <v>#REF!</v>
      </c>
      <c r="AY3" t="e">
        <f>AND(#REF!,"AAAAAD/blzI=")</f>
        <v>#REF!</v>
      </c>
      <c r="AZ3" t="e">
        <f>AND(#REF!,"AAAAAD/blzM=")</f>
        <v>#REF!</v>
      </c>
      <c r="BA3" t="e">
        <f>AND(#REF!,"AAAAAD/blzQ=")</f>
        <v>#REF!</v>
      </c>
      <c r="BB3" t="e">
        <f>AND(#REF!,"AAAAAD/blzU=")</f>
        <v>#REF!</v>
      </c>
      <c r="BC3" t="e">
        <f>AND(#REF!,"AAAAAD/blzY=")</f>
        <v>#REF!</v>
      </c>
      <c r="BD3" t="e">
        <f>AND(#REF!,"AAAAAD/blzc=")</f>
        <v>#REF!</v>
      </c>
      <c r="BE3" t="e">
        <f>AND(#REF!,"AAAAAD/blzg=")</f>
        <v>#REF!</v>
      </c>
      <c r="BF3" t="e">
        <f>AND(#REF!,"AAAAAD/blzk=")</f>
        <v>#REF!</v>
      </c>
      <c r="BG3" t="e">
        <f>AND(#REF!,"AAAAAD/blzo=")</f>
        <v>#REF!</v>
      </c>
      <c r="BH3" t="e">
        <f>AND(#REF!,"AAAAAD/blzs=")</f>
        <v>#REF!</v>
      </c>
      <c r="BI3" t="e">
        <f>AND(#REF!,"AAAAAD/blzw=")</f>
        <v>#REF!</v>
      </c>
      <c r="BJ3" t="e">
        <f>AND(#REF!,"AAAAAD/blz0=")</f>
        <v>#REF!</v>
      </c>
      <c r="BK3" t="e">
        <f>AND(#REF!,"AAAAAD/blz4=")</f>
        <v>#REF!</v>
      </c>
      <c r="BL3" t="e">
        <f>AND(#REF!,"AAAAAD/blz8=")</f>
        <v>#REF!</v>
      </c>
      <c r="BM3" t="e">
        <f>AND(#REF!,"AAAAAD/bl0A=")</f>
        <v>#REF!</v>
      </c>
      <c r="BN3" t="e">
        <f>AND(#REF!,"AAAAAD/bl0E=")</f>
        <v>#REF!</v>
      </c>
      <c r="BO3" t="e">
        <f>AND(#REF!,"AAAAAD/bl0I=")</f>
        <v>#REF!</v>
      </c>
      <c r="BP3" t="e">
        <f>AND(#REF!,"AAAAAD/bl0M=")</f>
        <v>#REF!</v>
      </c>
      <c r="BQ3" t="e">
        <f>AND(#REF!,"AAAAAD/bl0Q=")</f>
        <v>#REF!</v>
      </c>
      <c r="BR3" t="e">
        <f>AND(#REF!,"AAAAAD/bl0U=")</f>
        <v>#REF!</v>
      </c>
      <c r="BS3" t="e">
        <f>AND(#REF!,"AAAAAD/bl0Y=")</f>
        <v>#REF!</v>
      </c>
      <c r="BT3" t="e">
        <f>AND(#REF!,"AAAAAD/bl0c=")</f>
        <v>#REF!</v>
      </c>
      <c r="BU3" t="e">
        <f>AND(#REF!,"AAAAAD/bl0g=")</f>
        <v>#REF!</v>
      </c>
      <c r="BV3" t="e">
        <f>AND(#REF!,"AAAAAD/bl0k=")</f>
        <v>#REF!</v>
      </c>
      <c r="BW3" t="e">
        <f>AND(#REF!,"AAAAAD/bl0o=")</f>
        <v>#REF!</v>
      </c>
      <c r="BX3" t="e">
        <f>AND(#REF!,"AAAAAD/bl0s=")</f>
        <v>#REF!</v>
      </c>
      <c r="BY3" t="e">
        <f>AND(#REF!,"AAAAAD/bl0w=")</f>
        <v>#REF!</v>
      </c>
      <c r="BZ3" t="e">
        <f>AND(#REF!,"AAAAAD/bl00=")</f>
        <v>#REF!</v>
      </c>
      <c r="CA3" t="e">
        <f>AND(#REF!,"AAAAAD/bl04=")</f>
        <v>#REF!</v>
      </c>
      <c r="CB3" t="e">
        <f>AND(#REF!,"AAAAAD/bl08=")</f>
        <v>#REF!</v>
      </c>
      <c r="CC3" t="e">
        <f>AND(#REF!,"AAAAAD/bl1A=")</f>
        <v>#REF!</v>
      </c>
      <c r="CD3" t="e">
        <f>AND(#REF!,"AAAAAD/bl1E=")</f>
        <v>#REF!</v>
      </c>
      <c r="CE3" t="e">
        <f>AND(#REF!,"AAAAAD/bl1I=")</f>
        <v>#REF!</v>
      </c>
      <c r="CF3" t="e">
        <f>AND(#REF!,"AAAAAD/bl1M=")</f>
        <v>#REF!</v>
      </c>
      <c r="CG3" t="e">
        <f>AND(#REF!,"AAAAAD/bl1Q=")</f>
        <v>#REF!</v>
      </c>
      <c r="CH3" t="e">
        <f>AND(#REF!,"AAAAAD/bl1U=")</f>
        <v>#REF!</v>
      </c>
      <c r="CI3" t="e">
        <f>AND(#REF!,"AAAAAD/bl1Y=")</f>
        <v>#REF!</v>
      </c>
      <c r="CJ3" t="e">
        <f>AND(#REF!,"AAAAAD/bl1c=")</f>
        <v>#REF!</v>
      </c>
      <c r="CK3" t="e">
        <f>AND(#REF!,"AAAAAD/bl1g=")</f>
        <v>#REF!</v>
      </c>
      <c r="CL3" t="e">
        <f>AND(#REF!,"AAAAAD/bl1k=")</f>
        <v>#REF!</v>
      </c>
      <c r="CM3" t="e">
        <f>AND(#REF!,"AAAAAD/bl1o=")</f>
        <v>#REF!</v>
      </c>
      <c r="CN3" t="e">
        <f>AND(#REF!,"AAAAAD/bl1s=")</f>
        <v>#REF!</v>
      </c>
      <c r="CO3" t="e">
        <f>IF(#REF!,"AAAAAD/bl1w=",0)</f>
        <v>#REF!</v>
      </c>
      <c r="CP3" t="e">
        <f>AND(#REF!,"AAAAAD/bl10=")</f>
        <v>#REF!</v>
      </c>
      <c r="CQ3" t="e">
        <f>AND(#REF!,"AAAAAD/bl14=")</f>
        <v>#REF!</v>
      </c>
      <c r="CR3" t="e">
        <f>AND(#REF!,"AAAAAD/bl18=")</f>
        <v>#REF!</v>
      </c>
      <c r="CS3" t="e">
        <f>AND(#REF!,"AAAAAD/bl2A=")</f>
        <v>#REF!</v>
      </c>
      <c r="CT3" t="e">
        <f>AND(#REF!,"AAAAAD/bl2E=")</f>
        <v>#REF!</v>
      </c>
      <c r="CU3" t="e">
        <f>AND(#REF!,"AAAAAD/bl2I=")</f>
        <v>#REF!</v>
      </c>
      <c r="CV3" t="e">
        <f>AND(#REF!,"AAAAAD/bl2M=")</f>
        <v>#REF!</v>
      </c>
      <c r="CW3" t="e">
        <f>AND(#REF!,"AAAAAD/bl2Q=")</f>
        <v>#REF!</v>
      </c>
      <c r="CX3" t="e">
        <f>AND(#REF!,"AAAAAD/bl2U=")</f>
        <v>#REF!</v>
      </c>
      <c r="CY3" t="e">
        <f>AND(#REF!,"AAAAAD/bl2Y=")</f>
        <v>#REF!</v>
      </c>
      <c r="CZ3" t="e">
        <f>AND(#REF!,"AAAAAD/bl2c=")</f>
        <v>#REF!</v>
      </c>
      <c r="DA3" t="e">
        <f>AND(#REF!,"AAAAAD/bl2g=")</f>
        <v>#REF!</v>
      </c>
      <c r="DB3" t="e">
        <f>AND(#REF!,"AAAAAD/bl2k=")</f>
        <v>#REF!</v>
      </c>
      <c r="DC3" t="e">
        <f>AND(#REF!,"AAAAAD/bl2o=")</f>
        <v>#REF!</v>
      </c>
      <c r="DD3" t="e">
        <f>AND(#REF!,"AAAAAD/bl2s=")</f>
        <v>#REF!</v>
      </c>
      <c r="DE3" t="e">
        <f>AND(#REF!,"AAAAAD/bl2w=")</f>
        <v>#REF!</v>
      </c>
      <c r="DF3" t="e">
        <f>AND(#REF!,"AAAAAD/bl20=")</f>
        <v>#REF!</v>
      </c>
      <c r="DG3" t="e">
        <f>AND(#REF!,"AAAAAD/bl24=")</f>
        <v>#REF!</v>
      </c>
      <c r="DH3" t="e">
        <f>AND(#REF!,"AAAAAD/bl28=")</f>
        <v>#REF!</v>
      </c>
      <c r="DI3" t="e">
        <f>AND(#REF!,"AAAAAD/bl3A=")</f>
        <v>#REF!</v>
      </c>
      <c r="DJ3" t="e">
        <f>AND(#REF!,"AAAAAD/bl3E=")</f>
        <v>#REF!</v>
      </c>
      <c r="DK3" t="e">
        <f>AND(#REF!,"AAAAAD/bl3I=")</f>
        <v>#REF!</v>
      </c>
      <c r="DL3" t="e">
        <f>AND(#REF!,"AAAAAD/bl3M=")</f>
        <v>#REF!</v>
      </c>
      <c r="DM3" t="e">
        <f>AND(#REF!,"AAAAAD/bl3Q=")</f>
        <v>#REF!</v>
      </c>
      <c r="DN3" t="e">
        <f>AND(#REF!,"AAAAAD/bl3U=")</f>
        <v>#REF!</v>
      </c>
      <c r="DO3" t="e">
        <f>AND(#REF!,"AAAAAD/bl3Y=")</f>
        <v>#REF!</v>
      </c>
      <c r="DP3" t="e">
        <f>AND(#REF!,"AAAAAD/bl3c=")</f>
        <v>#REF!</v>
      </c>
      <c r="DQ3" t="e">
        <f>AND(#REF!,"AAAAAD/bl3g=")</f>
        <v>#REF!</v>
      </c>
      <c r="DR3" t="e">
        <f>AND(#REF!,"AAAAAD/bl3k=")</f>
        <v>#REF!</v>
      </c>
      <c r="DS3" t="e">
        <f>AND(#REF!,"AAAAAD/bl3o=")</f>
        <v>#REF!</v>
      </c>
      <c r="DT3" t="e">
        <f>AND(#REF!,"AAAAAD/bl3s=")</f>
        <v>#REF!</v>
      </c>
      <c r="DU3" t="e">
        <f>AND(#REF!,"AAAAAD/bl3w=")</f>
        <v>#REF!</v>
      </c>
      <c r="DV3" t="e">
        <f>AND(#REF!,"AAAAAD/bl30=")</f>
        <v>#REF!</v>
      </c>
      <c r="DW3" t="e">
        <f>AND(#REF!,"AAAAAD/bl34=")</f>
        <v>#REF!</v>
      </c>
      <c r="DX3" t="e">
        <f>AND(#REF!,"AAAAAD/bl38=")</f>
        <v>#REF!</v>
      </c>
      <c r="DY3" t="e">
        <f>AND(#REF!,"AAAAAD/bl4A=")</f>
        <v>#REF!</v>
      </c>
      <c r="DZ3" t="e">
        <f>AND(#REF!,"AAAAAD/bl4E=")</f>
        <v>#REF!</v>
      </c>
      <c r="EA3" t="e">
        <f>AND(#REF!,"AAAAAD/bl4I=")</f>
        <v>#REF!</v>
      </c>
      <c r="EB3" t="e">
        <f>AND(#REF!,"AAAAAD/bl4M=")</f>
        <v>#REF!</v>
      </c>
      <c r="EC3" t="e">
        <f>AND(#REF!,"AAAAAD/bl4Q=")</f>
        <v>#REF!</v>
      </c>
      <c r="ED3" t="e">
        <f>AND(#REF!,"AAAAAD/bl4U=")</f>
        <v>#REF!</v>
      </c>
      <c r="EE3" t="e">
        <f>AND(#REF!,"AAAAAD/bl4Y=")</f>
        <v>#REF!</v>
      </c>
      <c r="EF3" t="e">
        <f>AND(#REF!,"AAAAAD/bl4c=")</f>
        <v>#REF!</v>
      </c>
      <c r="EG3" t="e">
        <f>AND(#REF!,"AAAAAD/bl4g=")</f>
        <v>#REF!</v>
      </c>
      <c r="EH3" t="e">
        <f>AND(#REF!,"AAAAAD/bl4k=")</f>
        <v>#REF!</v>
      </c>
      <c r="EI3" t="e">
        <f>AND(#REF!,"AAAAAD/bl4o=")</f>
        <v>#REF!</v>
      </c>
      <c r="EJ3" t="e">
        <f>AND(#REF!,"AAAAAD/bl4s=")</f>
        <v>#REF!</v>
      </c>
      <c r="EK3" t="e">
        <f>AND(#REF!,"AAAAAD/bl4w=")</f>
        <v>#REF!</v>
      </c>
      <c r="EL3" t="e">
        <f>AND(#REF!,"AAAAAD/bl40=")</f>
        <v>#REF!</v>
      </c>
      <c r="EM3" t="e">
        <f>AND(#REF!,"AAAAAD/bl44=")</f>
        <v>#REF!</v>
      </c>
      <c r="EN3" t="e">
        <f>AND(#REF!,"AAAAAD/bl48=")</f>
        <v>#REF!</v>
      </c>
      <c r="EO3" t="e">
        <f>AND(#REF!,"AAAAAD/bl5A=")</f>
        <v>#REF!</v>
      </c>
      <c r="EP3" t="e">
        <f>AND(#REF!,"AAAAAD/bl5E=")</f>
        <v>#REF!</v>
      </c>
      <c r="EQ3" t="e">
        <f>AND(#REF!,"AAAAAD/bl5I=")</f>
        <v>#REF!</v>
      </c>
      <c r="ER3" t="e">
        <f>AND(#REF!,"AAAAAD/bl5M=")</f>
        <v>#REF!</v>
      </c>
      <c r="ES3" t="e">
        <f>AND(#REF!,"AAAAAD/bl5Q=")</f>
        <v>#REF!</v>
      </c>
      <c r="ET3" t="e">
        <f>AND(#REF!,"AAAAAD/bl5U=")</f>
        <v>#REF!</v>
      </c>
      <c r="EU3" t="e">
        <f>AND(#REF!,"AAAAAD/bl5Y=")</f>
        <v>#REF!</v>
      </c>
      <c r="EV3" t="e">
        <f>AND(#REF!,"AAAAAD/bl5c=")</f>
        <v>#REF!</v>
      </c>
      <c r="EW3" t="e">
        <f>AND(#REF!,"AAAAAD/bl5g=")</f>
        <v>#REF!</v>
      </c>
      <c r="EX3" t="e">
        <f>AND(#REF!,"AAAAAD/bl5k=")</f>
        <v>#REF!</v>
      </c>
      <c r="EY3" t="e">
        <f>AND(#REF!,"AAAAAD/bl5o=")</f>
        <v>#REF!</v>
      </c>
      <c r="EZ3" t="e">
        <f>AND(#REF!,"AAAAAD/bl5s=")</f>
        <v>#REF!</v>
      </c>
      <c r="FA3" t="e">
        <f>AND(#REF!,"AAAAAD/bl5w=")</f>
        <v>#REF!</v>
      </c>
      <c r="FB3" t="e">
        <f>AND(#REF!,"AAAAAD/bl50=")</f>
        <v>#REF!</v>
      </c>
      <c r="FC3" t="e">
        <f>AND(#REF!,"AAAAAD/bl54=")</f>
        <v>#REF!</v>
      </c>
      <c r="FD3" t="e">
        <f>AND(#REF!,"AAAAAD/bl58=")</f>
        <v>#REF!</v>
      </c>
      <c r="FE3" t="e">
        <f>AND(#REF!,"AAAAAD/bl6A=")</f>
        <v>#REF!</v>
      </c>
      <c r="FF3" t="e">
        <f>AND(#REF!,"AAAAAD/bl6E=")</f>
        <v>#REF!</v>
      </c>
      <c r="FG3" t="e">
        <f>AND(#REF!,"AAAAAD/bl6I=")</f>
        <v>#REF!</v>
      </c>
      <c r="FH3" t="e">
        <f>AND(#REF!,"AAAAAD/bl6M=")</f>
        <v>#REF!</v>
      </c>
      <c r="FI3" t="e">
        <f>AND(#REF!,"AAAAAD/bl6Q=")</f>
        <v>#REF!</v>
      </c>
      <c r="FJ3" t="e">
        <f>AND(#REF!,"AAAAAD/bl6U=")</f>
        <v>#REF!</v>
      </c>
      <c r="FK3" t="e">
        <f>AND(#REF!,"AAAAAD/bl6Y=")</f>
        <v>#REF!</v>
      </c>
      <c r="FL3" t="e">
        <f>AND(#REF!,"AAAAAD/bl6c=")</f>
        <v>#REF!</v>
      </c>
      <c r="FM3" t="e">
        <f>AND(#REF!,"AAAAAD/bl6g=")</f>
        <v>#REF!</v>
      </c>
      <c r="FN3" t="e">
        <f>AND(#REF!,"AAAAAD/bl6k=")</f>
        <v>#REF!</v>
      </c>
      <c r="FO3" t="e">
        <f>AND(#REF!,"AAAAAD/bl6o=")</f>
        <v>#REF!</v>
      </c>
      <c r="FP3" t="e">
        <f>AND(#REF!,"AAAAAD/bl6s=")</f>
        <v>#REF!</v>
      </c>
      <c r="FQ3" t="e">
        <f>AND(#REF!,"AAAAAD/bl6w=")</f>
        <v>#REF!</v>
      </c>
      <c r="FR3" t="e">
        <f>AND(#REF!,"AAAAAD/bl60=")</f>
        <v>#REF!</v>
      </c>
      <c r="FS3" t="e">
        <f>AND(#REF!,"AAAAAD/bl64=")</f>
        <v>#REF!</v>
      </c>
      <c r="FT3" t="e">
        <f>AND(#REF!,"AAAAAD/bl68=")</f>
        <v>#REF!</v>
      </c>
      <c r="FU3" t="e">
        <f>AND(#REF!,"AAAAAD/bl7A=")</f>
        <v>#REF!</v>
      </c>
      <c r="FV3" t="e">
        <f>AND(#REF!,"AAAAAD/bl7E=")</f>
        <v>#REF!</v>
      </c>
      <c r="FW3" t="e">
        <f>AND(#REF!,"AAAAAD/bl7I=")</f>
        <v>#REF!</v>
      </c>
      <c r="FX3" t="e">
        <f>AND(#REF!,"AAAAAD/bl7M=")</f>
        <v>#REF!</v>
      </c>
      <c r="FY3" t="e">
        <f>AND(#REF!,"AAAAAD/bl7Q=")</f>
        <v>#REF!</v>
      </c>
      <c r="FZ3" t="e">
        <f>AND(#REF!,"AAAAAD/bl7U=")</f>
        <v>#REF!</v>
      </c>
      <c r="GA3" t="e">
        <f>AND(#REF!,"AAAAAD/bl7Y=")</f>
        <v>#REF!</v>
      </c>
      <c r="GB3" t="e">
        <f>AND(#REF!,"AAAAAD/bl7c=")</f>
        <v>#REF!</v>
      </c>
      <c r="GC3" t="e">
        <f>AND(#REF!,"AAAAAD/bl7g=")</f>
        <v>#REF!</v>
      </c>
      <c r="GD3" t="e">
        <f>AND(#REF!,"AAAAAD/bl7k=")</f>
        <v>#REF!</v>
      </c>
      <c r="GE3" t="e">
        <f>AND(#REF!,"AAAAAD/bl7o=")</f>
        <v>#REF!</v>
      </c>
      <c r="GF3" t="e">
        <f>AND(#REF!,"AAAAAD/bl7s=")</f>
        <v>#REF!</v>
      </c>
      <c r="GG3" t="e">
        <f>AND(#REF!,"AAAAAD/bl7w=")</f>
        <v>#REF!</v>
      </c>
      <c r="GH3" t="e">
        <f>AND(#REF!,"AAAAAD/bl70=")</f>
        <v>#REF!</v>
      </c>
      <c r="GI3" t="e">
        <f>AND(#REF!,"AAAAAD/bl74=")</f>
        <v>#REF!</v>
      </c>
      <c r="GJ3" t="e">
        <f>AND(#REF!,"AAAAAD/bl78=")</f>
        <v>#REF!</v>
      </c>
      <c r="GK3" t="e">
        <f>AND(#REF!,"AAAAAD/bl8A=")</f>
        <v>#REF!</v>
      </c>
      <c r="GL3" t="e">
        <f>AND(#REF!,"AAAAAD/bl8E=")</f>
        <v>#REF!</v>
      </c>
      <c r="GM3" t="e">
        <f>AND(#REF!,"AAAAAD/bl8I=")</f>
        <v>#REF!</v>
      </c>
      <c r="GN3" t="e">
        <f>AND(#REF!,"AAAAAD/bl8M=")</f>
        <v>#REF!</v>
      </c>
      <c r="GO3" t="e">
        <f>AND(#REF!,"AAAAAD/bl8Q=")</f>
        <v>#REF!</v>
      </c>
      <c r="GP3" t="e">
        <f>AND(#REF!,"AAAAAD/bl8U=")</f>
        <v>#REF!</v>
      </c>
      <c r="GQ3" t="e">
        <f>AND(#REF!,"AAAAAD/bl8Y=")</f>
        <v>#REF!</v>
      </c>
      <c r="GR3" t="e">
        <f>AND(#REF!,"AAAAAD/bl8c=")</f>
        <v>#REF!</v>
      </c>
      <c r="GS3" t="e">
        <f>AND(#REF!,"AAAAAD/bl8g=")</f>
        <v>#REF!</v>
      </c>
      <c r="GT3" t="e">
        <f>AND(#REF!,"AAAAAD/bl8k=")</f>
        <v>#REF!</v>
      </c>
      <c r="GU3" t="e">
        <f>AND(#REF!,"AAAAAD/bl8o=")</f>
        <v>#REF!</v>
      </c>
      <c r="GV3" t="e">
        <f>AND(#REF!,"AAAAAD/bl8s=")</f>
        <v>#REF!</v>
      </c>
      <c r="GW3" t="e">
        <f>AND(#REF!,"AAAAAD/bl8w=")</f>
        <v>#REF!</v>
      </c>
      <c r="GX3" t="e">
        <f>AND(#REF!,"AAAAAD/bl80=")</f>
        <v>#REF!</v>
      </c>
      <c r="GY3" t="e">
        <f>AND(#REF!,"AAAAAD/bl84=")</f>
        <v>#REF!</v>
      </c>
      <c r="GZ3" t="e">
        <f>AND(#REF!,"AAAAAD/bl88=")</f>
        <v>#REF!</v>
      </c>
      <c r="HA3" t="e">
        <f>AND(#REF!,"AAAAAD/bl9A=")</f>
        <v>#REF!</v>
      </c>
      <c r="HB3" t="e">
        <f>AND(#REF!,"AAAAAD/bl9E=")</f>
        <v>#REF!</v>
      </c>
      <c r="HC3" t="e">
        <f>AND(#REF!,"AAAAAD/bl9I=")</f>
        <v>#REF!</v>
      </c>
      <c r="HD3" t="e">
        <f>AND(#REF!,"AAAAAD/bl9M=")</f>
        <v>#REF!</v>
      </c>
      <c r="HE3" t="e">
        <f>AND(#REF!,"AAAAAD/bl9Q=")</f>
        <v>#REF!</v>
      </c>
      <c r="HF3" t="e">
        <f>AND(#REF!,"AAAAAD/bl9U=")</f>
        <v>#REF!</v>
      </c>
      <c r="HG3" t="e">
        <f>AND(#REF!,"AAAAAD/bl9Y=")</f>
        <v>#REF!</v>
      </c>
      <c r="HH3" t="e">
        <f>AND(#REF!,"AAAAAD/bl9c=")</f>
        <v>#REF!</v>
      </c>
      <c r="HI3" t="e">
        <f>AND(#REF!,"AAAAAD/bl9g=")</f>
        <v>#REF!</v>
      </c>
      <c r="HJ3" t="e">
        <f>AND(#REF!,"AAAAAD/bl9k=")</f>
        <v>#REF!</v>
      </c>
      <c r="HK3" t="e">
        <f>AND(#REF!,"AAAAAD/bl9o=")</f>
        <v>#REF!</v>
      </c>
      <c r="HL3" t="e">
        <f>AND(#REF!,"AAAAAD/bl9s=")</f>
        <v>#REF!</v>
      </c>
      <c r="HM3" t="e">
        <f>AND(#REF!,"AAAAAD/bl9w=")</f>
        <v>#REF!</v>
      </c>
      <c r="HN3" t="e">
        <f>AND(#REF!,"AAAAAD/bl90=")</f>
        <v>#REF!</v>
      </c>
      <c r="HO3" t="e">
        <f>AND(#REF!,"AAAAAD/bl94=")</f>
        <v>#REF!</v>
      </c>
      <c r="HP3" t="e">
        <f>AND(#REF!,"AAAAAD/bl98=")</f>
        <v>#REF!</v>
      </c>
      <c r="HQ3" t="e">
        <f>AND(#REF!,"AAAAAD/bl+A=")</f>
        <v>#REF!</v>
      </c>
      <c r="HR3" t="e">
        <f>AND(#REF!,"AAAAAD/bl+E=")</f>
        <v>#REF!</v>
      </c>
      <c r="HS3" t="e">
        <f>AND(#REF!,"AAAAAD/bl+I=")</f>
        <v>#REF!</v>
      </c>
      <c r="HT3" t="e">
        <f>AND(#REF!,"AAAAAD/bl+M=")</f>
        <v>#REF!</v>
      </c>
      <c r="HU3" t="e">
        <f>AND(#REF!,"AAAAAD/bl+Q=")</f>
        <v>#REF!</v>
      </c>
      <c r="HV3" t="e">
        <f>AND(#REF!,"AAAAAD/bl+U=")</f>
        <v>#REF!</v>
      </c>
      <c r="HW3" t="e">
        <f>AND(#REF!,"AAAAAD/bl+Y=")</f>
        <v>#REF!</v>
      </c>
      <c r="HX3" t="e">
        <f>AND(#REF!,"AAAAAD/bl+c=")</f>
        <v>#REF!</v>
      </c>
      <c r="HY3" t="e">
        <f>AND(#REF!,"AAAAAD/bl+g=")</f>
        <v>#REF!</v>
      </c>
      <c r="HZ3" t="e">
        <f>AND(#REF!,"AAAAAD/bl+k=")</f>
        <v>#REF!</v>
      </c>
      <c r="IA3" t="e">
        <f>AND(#REF!,"AAAAAD/bl+o=")</f>
        <v>#REF!</v>
      </c>
      <c r="IB3" t="e">
        <f>AND(#REF!,"AAAAAD/bl+s=")</f>
        <v>#REF!</v>
      </c>
      <c r="IC3" t="e">
        <f>AND(#REF!,"AAAAAD/bl+w=")</f>
        <v>#REF!</v>
      </c>
      <c r="ID3" t="e">
        <f>AND(#REF!,"AAAAAD/bl+0=")</f>
        <v>#REF!</v>
      </c>
      <c r="IE3" t="e">
        <f>AND(#REF!,"AAAAAD/bl+4=")</f>
        <v>#REF!</v>
      </c>
      <c r="IF3" t="e">
        <f>AND(#REF!,"AAAAAD/bl+8=")</f>
        <v>#REF!</v>
      </c>
      <c r="IG3" t="e">
        <f>AND(#REF!,"AAAAAD/bl/A=")</f>
        <v>#REF!</v>
      </c>
      <c r="IH3" t="e">
        <f>AND(#REF!,"AAAAAD/bl/E=")</f>
        <v>#REF!</v>
      </c>
      <c r="II3" t="e">
        <f>AND(#REF!,"AAAAAD/bl/I=")</f>
        <v>#REF!</v>
      </c>
      <c r="IJ3" t="e">
        <f>AND(#REF!,"AAAAAD/bl/M=")</f>
        <v>#REF!</v>
      </c>
      <c r="IK3" t="e">
        <f>AND(#REF!,"AAAAAD/bl/Q=")</f>
        <v>#REF!</v>
      </c>
      <c r="IL3" t="e">
        <f>AND(#REF!,"AAAAAD/bl/U=")</f>
        <v>#REF!</v>
      </c>
      <c r="IM3" t="e">
        <f>AND(#REF!,"AAAAAD/bl/Y=")</f>
        <v>#REF!</v>
      </c>
      <c r="IN3" t="e">
        <f>AND(#REF!,"AAAAAD/bl/c=")</f>
        <v>#REF!</v>
      </c>
      <c r="IO3" t="e">
        <f>AND(#REF!,"AAAAAD/bl/g=")</f>
        <v>#REF!</v>
      </c>
      <c r="IP3" t="e">
        <f>AND(#REF!,"AAAAAD/bl/k=")</f>
        <v>#REF!</v>
      </c>
      <c r="IQ3" t="e">
        <f>AND(#REF!,"AAAAAD/bl/o=")</f>
        <v>#REF!</v>
      </c>
      <c r="IR3" t="e">
        <f>AND(#REF!,"AAAAAD/bl/s=")</f>
        <v>#REF!</v>
      </c>
      <c r="IS3" t="e">
        <f>AND(#REF!,"AAAAAD/bl/w=")</f>
        <v>#REF!</v>
      </c>
      <c r="IT3" t="e">
        <f>AND(#REF!,"AAAAAD/bl/0=")</f>
        <v>#REF!</v>
      </c>
      <c r="IU3" t="e">
        <f>AND(#REF!,"AAAAAD/bl/4=")</f>
        <v>#REF!</v>
      </c>
      <c r="IV3" t="e">
        <f>AND(#REF!,"AAAAAD/bl/8=")</f>
        <v>#REF!</v>
      </c>
    </row>
    <row r="4" spans="1:256" x14ac:dyDescent="0.25">
      <c r="A4" t="e">
        <f>AND(#REF!,"AAAAAG7/zQA=")</f>
        <v>#REF!</v>
      </c>
      <c r="B4" t="e">
        <f>AND(#REF!,"AAAAAG7/zQE=")</f>
        <v>#REF!</v>
      </c>
      <c r="C4" t="e">
        <f>AND(#REF!,"AAAAAG7/zQI=")</f>
        <v>#REF!</v>
      </c>
      <c r="D4" t="e">
        <f>AND(#REF!,"AAAAAG7/zQM=")</f>
        <v>#REF!</v>
      </c>
      <c r="E4" t="e">
        <f>AND(#REF!,"AAAAAG7/zQQ=")</f>
        <v>#REF!</v>
      </c>
      <c r="F4" t="e">
        <f>AND(#REF!,"AAAAAG7/zQU=")</f>
        <v>#REF!</v>
      </c>
      <c r="G4" t="e">
        <f>AND(#REF!,"AAAAAG7/zQY=")</f>
        <v>#REF!</v>
      </c>
      <c r="H4" t="e">
        <f>AND(#REF!,"AAAAAG7/zQc=")</f>
        <v>#REF!</v>
      </c>
      <c r="I4" t="e">
        <f>AND(#REF!,"AAAAAG7/zQg=")</f>
        <v>#REF!</v>
      </c>
      <c r="J4" t="e">
        <f>AND(#REF!,"AAAAAG7/zQk=")</f>
        <v>#REF!</v>
      </c>
      <c r="K4" t="e">
        <f>AND(#REF!,"AAAAAG7/zQo=")</f>
        <v>#REF!</v>
      </c>
      <c r="L4" t="e">
        <f>AND(#REF!,"AAAAAG7/zQs=")</f>
        <v>#REF!</v>
      </c>
      <c r="M4" t="e">
        <f>AND(#REF!,"AAAAAG7/zQw=")</f>
        <v>#REF!</v>
      </c>
      <c r="N4" t="e">
        <f>AND(#REF!,"AAAAAG7/zQ0=")</f>
        <v>#REF!</v>
      </c>
      <c r="O4" t="e">
        <f>AND(#REF!,"AAAAAG7/zQ4=")</f>
        <v>#REF!</v>
      </c>
      <c r="P4" t="e">
        <f>AND(#REF!,"AAAAAG7/zQ8=")</f>
        <v>#REF!</v>
      </c>
      <c r="Q4" t="e">
        <f>AND(#REF!,"AAAAAG7/zRA=")</f>
        <v>#REF!</v>
      </c>
      <c r="R4" t="e">
        <f>AND(#REF!,"AAAAAG7/zRE=")</f>
        <v>#REF!</v>
      </c>
      <c r="S4" t="e">
        <f>AND(#REF!,"AAAAAG7/zRI=")</f>
        <v>#REF!</v>
      </c>
      <c r="T4" t="e">
        <f>AND(#REF!,"AAAAAG7/zRM=")</f>
        <v>#REF!</v>
      </c>
      <c r="U4" t="e">
        <f>AND(#REF!,"AAAAAG7/zRQ=")</f>
        <v>#REF!</v>
      </c>
      <c r="V4" t="e">
        <f>AND(#REF!,"AAAAAG7/zRU=")</f>
        <v>#REF!</v>
      </c>
      <c r="W4" t="e">
        <f>AND(#REF!,"AAAAAG7/zRY=")</f>
        <v>#REF!</v>
      </c>
      <c r="X4" t="e">
        <f>AND(#REF!,"AAAAAG7/zRc=")</f>
        <v>#REF!</v>
      </c>
      <c r="Y4" t="e">
        <f>AND(#REF!,"AAAAAG7/zRg=")</f>
        <v>#REF!</v>
      </c>
      <c r="Z4" t="e">
        <f>IF(#REF!,"AAAAAG7/zRk=",0)</f>
        <v>#REF!</v>
      </c>
      <c r="AA4" t="e">
        <f>AND(#REF!,"AAAAAG7/zRo=")</f>
        <v>#REF!</v>
      </c>
      <c r="AB4" t="e">
        <f>AND(#REF!,"AAAAAG7/zRs=")</f>
        <v>#REF!</v>
      </c>
      <c r="AC4" t="e">
        <f>AND(#REF!,"AAAAAG7/zRw=")</f>
        <v>#REF!</v>
      </c>
      <c r="AD4" t="e">
        <f>AND(#REF!,"AAAAAG7/zR0=")</f>
        <v>#REF!</v>
      </c>
      <c r="AE4" t="e">
        <f>AND(#REF!,"AAAAAG7/zR4=")</f>
        <v>#REF!</v>
      </c>
      <c r="AF4" t="e">
        <f>AND(#REF!,"AAAAAG7/zR8=")</f>
        <v>#REF!</v>
      </c>
      <c r="AG4" t="e">
        <f>AND(#REF!,"AAAAAG7/zSA=")</f>
        <v>#REF!</v>
      </c>
      <c r="AH4" t="e">
        <f>AND(#REF!,"AAAAAG7/zSE=")</f>
        <v>#REF!</v>
      </c>
      <c r="AI4" t="e">
        <f>AND(#REF!,"AAAAAG7/zSI=")</f>
        <v>#REF!</v>
      </c>
      <c r="AJ4" t="e">
        <f>AND(#REF!,"AAAAAG7/zSM=")</f>
        <v>#REF!</v>
      </c>
      <c r="AK4" t="e">
        <f>AND(#REF!,"AAAAAG7/zSQ=")</f>
        <v>#REF!</v>
      </c>
      <c r="AL4" t="e">
        <f>AND(#REF!,"AAAAAG7/zSU=")</f>
        <v>#REF!</v>
      </c>
      <c r="AM4" t="e">
        <f>AND(#REF!,"AAAAAG7/zSY=")</f>
        <v>#REF!</v>
      </c>
      <c r="AN4" t="e">
        <f>AND(#REF!,"AAAAAG7/zSc=")</f>
        <v>#REF!</v>
      </c>
      <c r="AO4" t="e">
        <f>AND(#REF!,"AAAAAG7/zSg=")</f>
        <v>#REF!</v>
      </c>
      <c r="AP4" t="e">
        <f>AND(#REF!,"AAAAAG7/zSk=")</f>
        <v>#REF!</v>
      </c>
      <c r="AQ4" t="e">
        <f>AND(#REF!,"AAAAAG7/zSo=")</f>
        <v>#REF!</v>
      </c>
      <c r="AR4" t="e">
        <f>AND(#REF!,"AAAAAG7/zSs=")</f>
        <v>#REF!</v>
      </c>
      <c r="AS4" t="e">
        <f>AND(#REF!,"AAAAAG7/zSw=")</f>
        <v>#REF!</v>
      </c>
      <c r="AT4" t="e">
        <f>AND(#REF!,"AAAAAG7/zS0=")</f>
        <v>#REF!</v>
      </c>
      <c r="AU4" t="e">
        <f>AND(#REF!,"AAAAAG7/zS4=")</f>
        <v>#REF!</v>
      </c>
      <c r="AV4" t="e">
        <f>AND(#REF!,"AAAAAG7/zS8=")</f>
        <v>#REF!</v>
      </c>
      <c r="AW4" t="e">
        <f>AND(#REF!,"AAAAAG7/zTA=")</f>
        <v>#REF!</v>
      </c>
      <c r="AX4" t="e">
        <f>AND(#REF!,"AAAAAG7/zTE=")</f>
        <v>#REF!</v>
      </c>
      <c r="AY4" t="e">
        <f>AND(#REF!,"AAAAAG7/zTI=")</f>
        <v>#REF!</v>
      </c>
      <c r="AZ4" t="e">
        <f>AND(#REF!,"AAAAAG7/zTM=")</f>
        <v>#REF!</v>
      </c>
      <c r="BA4" t="e">
        <f>AND(#REF!,"AAAAAG7/zTQ=")</f>
        <v>#REF!</v>
      </c>
      <c r="BB4" t="e">
        <f>AND(#REF!,"AAAAAG7/zTU=")</f>
        <v>#REF!</v>
      </c>
      <c r="BC4" t="e">
        <f>AND(#REF!,"AAAAAG7/zTY=")</f>
        <v>#REF!</v>
      </c>
      <c r="BD4" t="e">
        <f>AND(#REF!,"AAAAAG7/zTc=")</f>
        <v>#REF!</v>
      </c>
      <c r="BE4" t="e">
        <f>AND(#REF!,"AAAAAG7/zTg=")</f>
        <v>#REF!</v>
      </c>
      <c r="BF4" t="e">
        <f>AND(#REF!,"AAAAAG7/zTk=")</f>
        <v>#REF!</v>
      </c>
      <c r="BG4" t="e">
        <f>AND(#REF!,"AAAAAG7/zTo=")</f>
        <v>#REF!</v>
      </c>
      <c r="BH4" t="e">
        <f>AND(#REF!,"AAAAAG7/zTs=")</f>
        <v>#REF!</v>
      </c>
      <c r="BI4" t="e">
        <f>AND(#REF!,"AAAAAG7/zTw=")</f>
        <v>#REF!</v>
      </c>
      <c r="BJ4" t="e">
        <f>AND(#REF!,"AAAAAG7/zT0=")</f>
        <v>#REF!</v>
      </c>
      <c r="BK4" t="e">
        <f>AND(#REF!,"AAAAAG7/zT4=")</f>
        <v>#REF!</v>
      </c>
      <c r="BL4" t="e">
        <f>AND(#REF!,"AAAAAG7/zT8=")</f>
        <v>#REF!</v>
      </c>
      <c r="BM4" t="e">
        <f>AND(#REF!,"AAAAAG7/zUA=")</f>
        <v>#REF!</v>
      </c>
      <c r="BN4" t="e">
        <f>AND(#REF!,"AAAAAG7/zUE=")</f>
        <v>#REF!</v>
      </c>
      <c r="BO4" t="e">
        <f>AND(#REF!,"AAAAAG7/zUI=")</f>
        <v>#REF!</v>
      </c>
      <c r="BP4" t="e">
        <f>AND(#REF!,"AAAAAG7/zUM=")</f>
        <v>#REF!</v>
      </c>
      <c r="BQ4" t="e">
        <f>AND(#REF!,"AAAAAG7/zUQ=")</f>
        <v>#REF!</v>
      </c>
      <c r="BR4" t="e">
        <f>AND(#REF!,"AAAAAG7/zUU=")</f>
        <v>#REF!</v>
      </c>
      <c r="BS4" t="e">
        <f>AND(#REF!,"AAAAAG7/zUY=")</f>
        <v>#REF!</v>
      </c>
      <c r="BT4" t="e">
        <f>AND(#REF!,"AAAAAG7/zUc=")</f>
        <v>#REF!</v>
      </c>
      <c r="BU4" t="e">
        <f>AND(#REF!,"AAAAAG7/zUg=")</f>
        <v>#REF!</v>
      </c>
      <c r="BV4" t="e">
        <f>AND(#REF!,"AAAAAG7/zUk=")</f>
        <v>#REF!</v>
      </c>
      <c r="BW4" t="e">
        <f>AND(#REF!,"AAAAAG7/zUo=")</f>
        <v>#REF!</v>
      </c>
      <c r="BX4" t="e">
        <f>AND(#REF!,"AAAAAG7/zUs=")</f>
        <v>#REF!</v>
      </c>
      <c r="BY4" t="e">
        <f>AND(#REF!,"AAAAAG7/zUw=")</f>
        <v>#REF!</v>
      </c>
      <c r="BZ4" t="e">
        <f>AND(#REF!,"AAAAAG7/zU0=")</f>
        <v>#REF!</v>
      </c>
      <c r="CA4" t="e">
        <f>AND(#REF!,"AAAAAG7/zU4=")</f>
        <v>#REF!</v>
      </c>
      <c r="CB4" t="e">
        <f>AND(#REF!,"AAAAAG7/zU8=")</f>
        <v>#REF!</v>
      </c>
      <c r="CC4" t="e">
        <f>AND(#REF!,"AAAAAG7/zVA=")</f>
        <v>#REF!</v>
      </c>
      <c r="CD4" t="e">
        <f>AND(#REF!,"AAAAAG7/zVE=")</f>
        <v>#REF!</v>
      </c>
      <c r="CE4" t="e">
        <f>AND(#REF!,"AAAAAG7/zVI=")</f>
        <v>#REF!</v>
      </c>
      <c r="CF4" t="e">
        <f>AND(#REF!,"AAAAAG7/zVM=")</f>
        <v>#REF!</v>
      </c>
      <c r="CG4" t="e">
        <f>AND(#REF!,"AAAAAG7/zVQ=")</f>
        <v>#REF!</v>
      </c>
      <c r="CH4" t="e">
        <f>AND(#REF!,"AAAAAG7/zVU=")</f>
        <v>#REF!</v>
      </c>
      <c r="CI4" t="e">
        <f>AND(#REF!,"AAAAAG7/zVY=")</f>
        <v>#REF!</v>
      </c>
      <c r="CJ4" t="e">
        <f>AND(#REF!,"AAAAAG7/zVc=")</f>
        <v>#REF!</v>
      </c>
      <c r="CK4" t="e">
        <f>AND(#REF!,"AAAAAG7/zVg=")</f>
        <v>#REF!</v>
      </c>
      <c r="CL4" t="e">
        <f>AND(#REF!,"AAAAAG7/zVk=")</f>
        <v>#REF!</v>
      </c>
      <c r="CM4" t="e">
        <f>AND(#REF!,"AAAAAG7/zVo=")</f>
        <v>#REF!</v>
      </c>
      <c r="CN4" t="e">
        <f>AND(#REF!,"AAAAAG7/zVs=")</f>
        <v>#REF!</v>
      </c>
      <c r="CO4" t="e">
        <f>AND(#REF!,"AAAAAG7/zVw=")</f>
        <v>#REF!</v>
      </c>
      <c r="CP4" t="e">
        <f>AND(#REF!,"AAAAAG7/zV0=")</f>
        <v>#REF!</v>
      </c>
      <c r="CQ4" t="e">
        <f>AND(#REF!,"AAAAAG7/zV4=")</f>
        <v>#REF!</v>
      </c>
      <c r="CR4" t="e">
        <f>AND(#REF!,"AAAAAG7/zV8=")</f>
        <v>#REF!</v>
      </c>
      <c r="CS4" t="e">
        <f>AND(#REF!,"AAAAAG7/zWA=")</f>
        <v>#REF!</v>
      </c>
      <c r="CT4" t="e">
        <f>AND(#REF!,"AAAAAG7/zWE=")</f>
        <v>#REF!</v>
      </c>
      <c r="CU4" t="e">
        <f>AND(#REF!,"AAAAAG7/zWI=")</f>
        <v>#REF!</v>
      </c>
      <c r="CV4" t="e">
        <f>AND(#REF!,"AAAAAG7/zWM=")</f>
        <v>#REF!</v>
      </c>
      <c r="CW4" t="e">
        <f>AND(#REF!,"AAAAAG7/zWQ=")</f>
        <v>#REF!</v>
      </c>
      <c r="CX4" t="e">
        <f>AND(#REF!,"AAAAAG7/zWU=")</f>
        <v>#REF!</v>
      </c>
      <c r="CY4" t="e">
        <f>AND(#REF!,"AAAAAG7/zWY=")</f>
        <v>#REF!</v>
      </c>
      <c r="CZ4" t="e">
        <f>AND(#REF!,"AAAAAG7/zWc=")</f>
        <v>#REF!</v>
      </c>
      <c r="DA4" t="e">
        <f>AND(#REF!,"AAAAAG7/zWg=")</f>
        <v>#REF!</v>
      </c>
      <c r="DB4" t="e">
        <f>AND(#REF!,"AAAAAG7/zWk=")</f>
        <v>#REF!</v>
      </c>
      <c r="DC4" t="e">
        <f>AND(#REF!,"AAAAAG7/zWo=")</f>
        <v>#REF!</v>
      </c>
      <c r="DD4" t="e">
        <f>AND(#REF!,"AAAAAG7/zWs=")</f>
        <v>#REF!</v>
      </c>
      <c r="DE4" t="e">
        <f>AND(#REF!,"AAAAAG7/zWw=")</f>
        <v>#REF!</v>
      </c>
      <c r="DF4" t="e">
        <f>AND(#REF!,"AAAAAG7/zW0=")</f>
        <v>#REF!</v>
      </c>
      <c r="DG4" t="e">
        <f>AND(#REF!,"AAAAAG7/zW4=")</f>
        <v>#REF!</v>
      </c>
      <c r="DH4" t="e">
        <f>AND(#REF!,"AAAAAG7/zW8=")</f>
        <v>#REF!</v>
      </c>
      <c r="DI4" t="e">
        <f>AND(#REF!,"AAAAAG7/zXA=")</f>
        <v>#REF!</v>
      </c>
      <c r="DJ4" t="e">
        <f>AND(#REF!,"AAAAAG7/zXE=")</f>
        <v>#REF!</v>
      </c>
      <c r="DK4" t="e">
        <f>AND(#REF!,"AAAAAG7/zXI=")</f>
        <v>#REF!</v>
      </c>
      <c r="DL4" t="e">
        <f>AND(#REF!,"AAAAAG7/zXM=")</f>
        <v>#REF!</v>
      </c>
      <c r="DM4" t="e">
        <f>AND(#REF!,"AAAAAG7/zXQ=")</f>
        <v>#REF!</v>
      </c>
      <c r="DN4" t="e">
        <f>AND(#REF!,"AAAAAG7/zXU=")</f>
        <v>#REF!</v>
      </c>
      <c r="DO4" t="e">
        <f>AND(#REF!,"AAAAAG7/zXY=")</f>
        <v>#REF!</v>
      </c>
      <c r="DP4" t="e">
        <f>AND(#REF!,"AAAAAG7/zXc=")</f>
        <v>#REF!</v>
      </c>
      <c r="DQ4" t="e">
        <f>AND(#REF!,"AAAAAG7/zXg=")</f>
        <v>#REF!</v>
      </c>
      <c r="DR4" t="e">
        <f>AND(#REF!,"AAAAAG7/zXk=")</f>
        <v>#REF!</v>
      </c>
      <c r="DS4" t="e">
        <f>AND(#REF!,"AAAAAG7/zXo=")</f>
        <v>#REF!</v>
      </c>
      <c r="DT4" t="e">
        <f>AND(#REF!,"AAAAAG7/zXs=")</f>
        <v>#REF!</v>
      </c>
      <c r="DU4" t="e">
        <f>AND(#REF!,"AAAAAG7/zXw=")</f>
        <v>#REF!</v>
      </c>
      <c r="DV4" t="e">
        <f>AND(#REF!,"AAAAAG7/zX0=")</f>
        <v>#REF!</v>
      </c>
      <c r="DW4" t="e">
        <f>AND(#REF!,"AAAAAG7/zX4=")</f>
        <v>#REF!</v>
      </c>
      <c r="DX4" t="e">
        <f>AND(#REF!,"AAAAAG7/zX8=")</f>
        <v>#REF!</v>
      </c>
      <c r="DY4" t="e">
        <f>AND(#REF!,"AAAAAG7/zYA=")</f>
        <v>#REF!</v>
      </c>
      <c r="DZ4" t="e">
        <f>AND(#REF!,"AAAAAG7/zYE=")</f>
        <v>#REF!</v>
      </c>
      <c r="EA4" t="e">
        <f>AND(#REF!,"AAAAAG7/zYI=")</f>
        <v>#REF!</v>
      </c>
      <c r="EB4" t="e">
        <f>AND(#REF!,"AAAAAG7/zYM=")</f>
        <v>#REF!</v>
      </c>
      <c r="EC4" t="e">
        <f>AND(#REF!,"AAAAAG7/zYQ=")</f>
        <v>#REF!</v>
      </c>
      <c r="ED4" t="e">
        <f>AND(#REF!,"AAAAAG7/zYU=")</f>
        <v>#REF!</v>
      </c>
      <c r="EE4" t="e">
        <f>AND(#REF!,"AAAAAG7/zYY=")</f>
        <v>#REF!</v>
      </c>
      <c r="EF4" t="e">
        <f>AND(#REF!,"AAAAAG7/zYc=")</f>
        <v>#REF!</v>
      </c>
      <c r="EG4" t="e">
        <f>AND(#REF!,"AAAAAG7/zYg=")</f>
        <v>#REF!</v>
      </c>
      <c r="EH4" t="e">
        <f>AND(#REF!,"AAAAAG7/zYk=")</f>
        <v>#REF!</v>
      </c>
      <c r="EI4" t="e">
        <f>AND(#REF!,"AAAAAG7/zYo=")</f>
        <v>#REF!</v>
      </c>
      <c r="EJ4" t="e">
        <f>AND(#REF!,"AAAAAG7/zYs=")</f>
        <v>#REF!</v>
      </c>
      <c r="EK4" t="e">
        <f>AND(#REF!,"AAAAAG7/zYw=")</f>
        <v>#REF!</v>
      </c>
      <c r="EL4" t="e">
        <f>AND(#REF!,"AAAAAG7/zY0=")</f>
        <v>#REF!</v>
      </c>
      <c r="EM4" t="e">
        <f>AND(#REF!,"AAAAAG7/zY4=")</f>
        <v>#REF!</v>
      </c>
      <c r="EN4" t="e">
        <f>AND(#REF!,"AAAAAG7/zY8=")</f>
        <v>#REF!</v>
      </c>
      <c r="EO4" t="e">
        <f>AND(#REF!,"AAAAAG7/zZA=")</f>
        <v>#REF!</v>
      </c>
      <c r="EP4" t="e">
        <f>AND(#REF!,"AAAAAG7/zZE=")</f>
        <v>#REF!</v>
      </c>
      <c r="EQ4" t="e">
        <f>AND(#REF!,"AAAAAG7/zZI=")</f>
        <v>#REF!</v>
      </c>
      <c r="ER4" t="e">
        <f>AND(#REF!,"AAAAAG7/zZM=")</f>
        <v>#REF!</v>
      </c>
      <c r="ES4" t="e">
        <f>AND(#REF!,"AAAAAG7/zZQ=")</f>
        <v>#REF!</v>
      </c>
      <c r="ET4" t="e">
        <f>AND(#REF!,"AAAAAG7/zZU=")</f>
        <v>#REF!</v>
      </c>
      <c r="EU4" t="e">
        <f>AND(#REF!,"AAAAAG7/zZY=")</f>
        <v>#REF!</v>
      </c>
      <c r="EV4" t="e">
        <f>AND(#REF!,"AAAAAG7/zZc=")</f>
        <v>#REF!</v>
      </c>
      <c r="EW4" t="e">
        <f>AND(#REF!,"AAAAAG7/zZg=")</f>
        <v>#REF!</v>
      </c>
      <c r="EX4" t="e">
        <f>AND(#REF!,"AAAAAG7/zZk=")</f>
        <v>#REF!</v>
      </c>
      <c r="EY4" t="e">
        <f>AND(#REF!,"AAAAAG7/zZo=")</f>
        <v>#REF!</v>
      </c>
      <c r="EZ4" t="e">
        <f>AND(#REF!,"AAAAAG7/zZs=")</f>
        <v>#REF!</v>
      </c>
      <c r="FA4" t="e">
        <f>AND(#REF!,"AAAAAG7/zZw=")</f>
        <v>#REF!</v>
      </c>
      <c r="FB4" t="e">
        <f>AND(#REF!,"AAAAAG7/zZ0=")</f>
        <v>#REF!</v>
      </c>
      <c r="FC4" t="e">
        <f>AND(#REF!,"AAAAAG7/zZ4=")</f>
        <v>#REF!</v>
      </c>
      <c r="FD4" t="e">
        <f>AND(#REF!,"AAAAAG7/zZ8=")</f>
        <v>#REF!</v>
      </c>
      <c r="FE4" t="e">
        <f>AND(#REF!,"AAAAAG7/zaA=")</f>
        <v>#REF!</v>
      </c>
      <c r="FF4" t="e">
        <f>AND(#REF!,"AAAAAG7/zaE=")</f>
        <v>#REF!</v>
      </c>
      <c r="FG4" t="e">
        <f>AND(#REF!,"AAAAAG7/zaI=")</f>
        <v>#REF!</v>
      </c>
      <c r="FH4" t="e">
        <f>AND(#REF!,"AAAAAG7/zaM=")</f>
        <v>#REF!</v>
      </c>
      <c r="FI4" t="e">
        <f>AND(#REF!,"AAAAAG7/zaQ=")</f>
        <v>#REF!</v>
      </c>
      <c r="FJ4" t="e">
        <f>AND(#REF!,"AAAAAG7/zaU=")</f>
        <v>#REF!</v>
      </c>
      <c r="FK4" t="e">
        <f>AND(#REF!,"AAAAAG7/zaY=")</f>
        <v>#REF!</v>
      </c>
      <c r="FL4" t="e">
        <f>AND(#REF!,"AAAAAG7/zac=")</f>
        <v>#REF!</v>
      </c>
      <c r="FM4" t="e">
        <f>AND(#REF!,"AAAAAG7/zag=")</f>
        <v>#REF!</v>
      </c>
      <c r="FN4" t="e">
        <f>AND(#REF!,"AAAAAG7/zak=")</f>
        <v>#REF!</v>
      </c>
      <c r="FO4" t="e">
        <f>AND(#REF!,"AAAAAG7/zao=")</f>
        <v>#REF!</v>
      </c>
      <c r="FP4" t="e">
        <f>AND(#REF!,"AAAAAG7/zas=")</f>
        <v>#REF!</v>
      </c>
      <c r="FQ4" t="e">
        <f>AND(#REF!,"AAAAAG7/zaw=")</f>
        <v>#REF!</v>
      </c>
      <c r="FR4" t="e">
        <f>AND(#REF!,"AAAAAG7/za0=")</f>
        <v>#REF!</v>
      </c>
      <c r="FS4" t="e">
        <f>AND(#REF!,"AAAAAG7/za4=")</f>
        <v>#REF!</v>
      </c>
      <c r="FT4" t="e">
        <f>AND(#REF!,"AAAAAG7/za8=")</f>
        <v>#REF!</v>
      </c>
      <c r="FU4" t="e">
        <f>AND(#REF!,"AAAAAG7/zbA=")</f>
        <v>#REF!</v>
      </c>
      <c r="FV4" t="e">
        <f>AND(#REF!,"AAAAAG7/zbE=")</f>
        <v>#REF!</v>
      </c>
      <c r="FW4" t="e">
        <f>AND(#REF!,"AAAAAG7/zbI=")</f>
        <v>#REF!</v>
      </c>
      <c r="FX4" t="e">
        <f>AND(#REF!,"AAAAAG7/zbM=")</f>
        <v>#REF!</v>
      </c>
      <c r="FY4" t="e">
        <f>AND(#REF!,"AAAAAG7/zbQ=")</f>
        <v>#REF!</v>
      </c>
      <c r="FZ4" t="e">
        <f>AND(#REF!,"AAAAAG7/zbU=")</f>
        <v>#REF!</v>
      </c>
      <c r="GA4" t="e">
        <f>AND(#REF!,"AAAAAG7/zbY=")</f>
        <v>#REF!</v>
      </c>
      <c r="GB4" t="e">
        <f>AND(#REF!,"AAAAAG7/zbc=")</f>
        <v>#REF!</v>
      </c>
      <c r="GC4" t="e">
        <f>AND(#REF!,"AAAAAG7/zbg=")</f>
        <v>#REF!</v>
      </c>
      <c r="GD4" t="e">
        <f>AND(#REF!,"AAAAAG7/zbk=")</f>
        <v>#REF!</v>
      </c>
      <c r="GE4" t="e">
        <f>AND(#REF!,"AAAAAG7/zbo=")</f>
        <v>#REF!</v>
      </c>
      <c r="GF4" t="e">
        <f>AND(#REF!,"AAAAAG7/zbs=")</f>
        <v>#REF!</v>
      </c>
      <c r="GG4" t="e">
        <f>AND(#REF!,"AAAAAG7/zbw=")</f>
        <v>#REF!</v>
      </c>
      <c r="GH4" t="e">
        <f>AND(#REF!,"AAAAAG7/zb0=")</f>
        <v>#REF!</v>
      </c>
      <c r="GI4" t="e">
        <f>AND(#REF!,"AAAAAG7/zb4=")</f>
        <v>#REF!</v>
      </c>
      <c r="GJ4" t="e">
        <f>AND(#REF!,"AAAAAG7/zb8=")</f>
        <v>#REF!</v>
      </c>
      <c r="GK4" t="e">
        <f>AND(#REF!,"AAAAAG7/zcA=")</f>
        <v>#REF!</v>
      </c>
      <c r="GL4" t="e">
        <f>AND(#REF!,"AAAAAG7/zcE=")</f>
        <v>#REF!</v>
      </c>
      <c r="GM4" t="e">
        <f>AND(#REF!,"AAAAAG7/zcI=")</f>
        <v>#REF!</v>
      </c>
      <c r="GN4" t="e">
        <f>AND(#REF!,"AAAAAG7/zcM=")</f>
        <v>#REF!</v>
      </c>
      <c r="GO4" t="e">
        <f>AND(#REF!,"AAAAAG7/zcQ=")</f>
        <v>#REF!</v>
      </c>
      <c r="GP4" t="e">
        <f>AND(#REF!,"AAAAAG7/zcU=")</f>
        <v>#REF!</v>
      </c>
      <c r="GQ4" t="e">
        <f>AND(#REF!,"AAAAAG7/zcY=")</f>
        <v>#REF!</v>
      </c>
      <c r="GR4" t="e">
        <f>AND(#REF!,"AAAAAG7/zcc=")</f>
        <v>#REF!</v>
      </c>
      <c r="GS4" t="e">
        <f>AND(#REF!,"AAAAAG7/zcg=")</f>
        <v>#REF!</v>
      </c>
      <c r="GT4" t="e">
        <f>AND(#REF!,"AAAAAG7/zck=")</f>
        <v>#REF!</v>
      </c>
      <c r="GU4" t="e">
        <f>AND(#REF!,"AAAAAG7/zco=")</f>
        <v>#REF!</v>
      </c>
      <c r="GV4" t="e">
        <f>AND(#REF!,"AAAAAG7/zcs=")</f>
        <v>#REF!</v>
      </c>
      <c r="GW4" t="e">
        <f>AND(#REF!,"AAAAAG7/zcw=")</f>
        <v>#REF!</v>
      </c>
      <c r="GX4" t="e">
        <f>AND(#REF!,"AAAAAG7/zc0=")</f>
        <v>#REF!</v>
      </c>
      <c r="GY4" t="e">
        <f>AND(#REF!,"AAAAAG7/zc4=")</f>
        <v>#REF!</v>
      </c>
      <c r="GZ4" t="e">
        <f>AND(#REF!,"AAAAAG7/zc8=")</f>
        <v>#REF!</v>
      </c>
      <c r="HA4" t="e">
        <f>AND(#REF!,"AAAAAG7/zdA=")</f>
        <v>#REF!</v>
      </c>
      <c r="HB4" t="e">
        <f>AND(#REF!,"AAAAAG7/zdE=")</f>
        <v>#REF!</v>
      </c>
      <c r="HC4" t="e">
        <f>AND(#REF!,"AAAAAG7/zdI=")</f>
        <v>#REF!</v>
      </c>
      <c r="HD4" t="e">
        <f>AND(#REF!,"AAAAAG7/zdM=")</f>
        <v>#REF!</v>
      </c>
      <c r="HE4" t="e">
        <f>AND(#REF!,"AAAAAG7/zdQ=")</f>
        <v>#REF!</v>
      </c>
      <c r="HF4" t="e">
        <f>AND(#REF!,"AAAAAG7/zdU=")</f>
        <v>#REF!</v>
      </c>
      <c r="HG4" t="e">
        <f>IF(#REF!,"AAAAAG7/zdY=",0)</f>
        <v>#REF!</v>
      </c>
      <c r="HH4" t="e">
        <f>AND(#REF!,"AAAAAG7/zdc=")</f>
        <v>#REF!</v>
      </c>
      <c r="HI4" t="e">
        <f>AND(#REF!,"AAAAAG7/zdg=")</f>
        <v>#REF!</v>
      </c>
      <c r="HJ4" t="e">
        <f>AND(#REF!,"AAAAAG7/zdk=")</f>
        <v>#REF!</v>
      </c>
      <c r="HK4" t="e">
        <f>AND(#REF!,"AAAAAG7/zdo=")</f>
        <v>#REF!</v>
      </c>
      <c r="HL4" t="e">
        <f>AND(#REF!,"AAAAAG7/zds=")</f>
        <v>#REF!</v>
      </c>
      <c r="HM4" t="e">
        <f>AND(#REF!,"AAAAAG7/zdw=")</f>
        <v>#REF!</v>
      </c>
      <c r="HN4" t="e">
        <f>AND(#REF!,"AAAAAG7/zd0=")</f>
        <v>#REF!</v>
      </c>
      <c r="HO4" t="e">
        <f>AND(#REF!,"AAAAAG7/zd4=")</f>
        <v>#REF!</v>
      </c>
      <c r="HP4" t="e">
        <f>AND(#REF!,"AAAAAG7/zd8=")</f>
        <v>#REF!</v>
      </c>
      <c r="HQ4" t="e">
        <f>AND(#REF!,"AAAAAG7/zeA=")</f>
        <v>#REF!</v>
      </c>
      <c r="HR4" t="e">
        <f>AND(#REF!,"AAAAAG7/zeE=")</f>
        <v>#REF!</v>
      </c>
      <c r="HS4" t="e">
        <f>AND(#REF!,"AAAAAG7/zeI=")</f>
        <v>#REF!</v>
      </c>
      <c r="HT4" t="e">
        <f>AND(#REF!,"AAAAAG7/zeM=")</f>
        <v>#REF!</v>
      </c>
      <c r="HU4" t="e">
        <f>AND(#REF!,"AAAAAG7/zeQ=")</f>
        <v>#REF!</v>
      </c>
      <c r="HV4" t="e">
        <f>AND(#REF!,"AAAAAG7/zeU=")</f>
        <v>#REF!</v>
      </c>
      <c r="HW4" t="e">
        <f>AND(#REF!,"AAAAAG7/zeY=")</f>
        <v>#REF!</v>
      </c>
      <c r="HX4" t="e">
        <f>AND(#REF!,"AAAAAG7/zec=")</f>
        <v>#REF!</v>
      </c>
      <c r="HY4" t="e">
        <f>AND(#REF!,"AAAAAG7/zeg=")</f>
        <v>#REF!</v>
      </c>
      <c r="HZ4" t="e">
        <f>AND(#REF!,"AAAAAG7/zek=")</f>
        <v>#REF!</v>
      </c>
      <c r="IA4" t="e">
        <f>AND(#REF!,"AAAAAG7/zeo=")</f>
        <v>#REF!</v>
      </c>
      <c r="IB4" t="e">
        <f>AND(#REF!,"AAAAAG7/zes=")</f>
        <v>#REF!</v>
      </c>
      <c r="IC4" t="e">
        <f>AND(#REF!,"AAAAAG7/zew=")</f>
        <v>#REF!</v>
      </c>
      <c r="ID4" t="e">
        <f>AND(#REF!,"AAAAAG7/ze0=")</f>
        <v>#REF!</v>
      </c>
      <c r="IE4" t="e">
        <f>AND(#REF!,"AAAAAG7/ze4=")</f>
        <v>#REF!</v>
      </c>
      <c r="IF4" t="e">
        <f>AND(#REF!,"AAAAAG7/ze8=")</f>
        <v>#REF!</v>
      </c>
      <c r="IG4" t="e">
        <f>AND(#REF!,"AAAAAG7/zfA=")</f>
        <v>#REF!</v>
      </c>
      <c r="IH4" t="e">
        <f>AND(#REF!,"AAAAAG7/zfE=")</f>
        <v>#REF!</v>
      </c>
      <c r="II4" t="e">
        <f>AND(#REF!,"AAAAAG7/zfI=")</f>
        <v>#REF!</v>
      </c>
      <c r="IJ4" t="e">
        <f>AND(#REF!,"AAAAAG7/zfM=")</f>
        <v>#REF!</v>
      </c>
      <c r="IK4" t="e">
        <f>AND(#REF!,"AAAAAG7/zfQ=")</f>
        <v>#REF!</v>
      </c>
      <c r="IL4" t="e">
        <f>AND(#REF!,"AAAAAG7/zfU=")</f>
        <v>#REF!</v>
      </c>
      <c r="IM4" t="e">
        <f>AND(#REF!,"AAAAAG7/zfY=")</f>
        <v>#REF!</v>
      </c>
      <c r="IN4" t="e">
        <f>AND(#REF!,"AAAAAG7/zfc=")</f>
        <v>#REF!</v>
      </c>
      <c r="IO4" t="e">
        <f>AND(#REF!,"AAAAAG7/zfg=")</f>
        <v>#REF!</v>
      </c>
      <c r="IP4" t="e">
        <f>AND(#REF!,"AAAAAG7/zfk=")</f>
        <v>#REF!</v>
      </c>
      <c r="IQ4" t="e">
        <f>AND(#REF!,"AAAAAG7/zfo=")</f>
        <v>#REF!</v>
      </c>
      <c r="IR4" t="e">
        <f>AND(#REF!,"AAAAAG7/zfs=")</f>
        <v>#REF!</v>
      </c>
      <c r="IS4" t="e">
        <f>AND(#REF!,"AAAAAG7/zfw=")</f>
        <v>#REF!</v>
      </c>
      <c r="IT4" t="e">
        <f>AND(#REF!,"AAAAAG7/zf0=")</f>
        <v>#REF!</v>
      </c>
      <c r="IU4" t="e">
        <f>AND(#REF!,"AAAAAG7/zf4=")</f>
        <v>#REF!</v>
      </c>
      <c r="IV4" t="e">
        <f>AND(#REF!,"AAAAAG7/zf8=")</f>
        <v>#REF!</v>
      </c>
    </row>
    <row r="5" spans="1:256" x14ac:dyDescent="0.25">
      <c r="A5" t="e">
        <f>AND(#REF!,"AAAAAGm//QA=")</f>
        <v>#REF!</v>
      </c>
      <c r="B5" t="e">
        <f>AND(#REF!,"AAAAAGm//QE=")</f>
        <v>#REF!</v>
      </c>
      <c r="C5" t="e">
        <f>AND(#REF!,"AAAAAGm//QI=")</f>
        <v>#REF!</v>
      </c>
      <c r="D5" t="e">
        <f>AND(#REF!,"AAAAAGm//QM=")</f>
        <v>#REF!</v>
      </c>
      <c r="E5" t="e">
        <f>AND(#REF!,"AAAAAGm//QQ=")</f>
        <v>#REF!</v>
      </c>
      <c r="F5" t="e">
        <f>AND(#REF!,"AAAAAGm//QU=")</f>
        <v>#REF!</v>
      </c>
      <c r="G5" t="e">
        <f>AND(#REF!,"AAAAAGm//QY=")</f>
        <v>#REF!</v>
      </c>
      <c r="H5" t="e">
        <f>AND(#REF!,"AAAAAGm//Qc=")</f>
        <v>#REF!</v>
      </c>
      <c r="I5" t="e">
        <f>AND(#REF!,"AAAAAGm//Qg=")</f>
        <v>#REF!</v>
      </c>
      <c r="J5" t="e">
        <f>AND(#REF!,"AAAAAGm//Qk=")</f>
        <v>#REF!</v>
      </c>
      <c r="K5" t="e">
        <f>AND(#REF!,"AAAAAGm//Qo=")</f>
        <v>#REF!</v>
      </c>
      <c r="L5" t="e">
        <f>AND(#REF!,"AAAAAGm//Qs=")</f>
        <v>#REF!</v>
      </c>
      <c r="M5" t="e">
        <f>AND(#REF!,"AAAAAGm//Qw=")</f>
        <v>#REF!</v>
      </c>
      <c r="N5" t="e">
        <f>AND(#REF!,"AAAAAGm//Q0=")</f>
        <v>#REF!</v>
      </c>
      <c r="O5" t="e">
        <f>AND(#REF!,"AAAAAGm//Q4=")</f>
        <v>#REF!</v>
      </c>
      <c r="P5" t="e">
        <f>AND(#REF!,"AAAAAGm//Q8=")</f>
        <v>#REF!</v>
      </c>
      <c r="Q5" t="e">
        <f>AND(#REF!,"AAAAAGm//RA=")</f>
        <v>#REF!</v>
      </c>
      <c r="R5" t="e">
        <f>AND(#REF!,"AAAAAGm//RE=")</f>
        <v>#REF!</v>
      </c>
      <c r="S5" t="e">
        <f>AND(#REF!,"AAAAAGm//RI=")</f>
        <v>#REF!</v>
      </c>
      <c r="T5" t="e">
        <f>AND(#REF!,"AAAAAGm//RM=")</f>
        <v>#REF!</v>
      </c>
      <c r="U5" t="e">
        <f>AND(#REF!,"AAAAAGm//RQ=")</f>
        <v>#REF!</v>
      </c>
      <c r="V5" t="e">
        <f>AND(#REF!,"AAAAAGm//RU=")</f>
        <v>#REF!</v>
      </c>
      <c r="W5" t="e">
        <f>AND(#REF!,"AAAAAGm//RY=")</f>
        <v>#REF!</v>
      </c>
      <c r="X5" t="e">
        <f>AND(#REF!,"AAAAAGm//Rc=")</f>
        <v>#REF!</v>
      </c>
      <c r="Y5" t="e">
        <f>AND(#REF!,"AAAAAGm//Rg=")</f>
        <v>#REF!</v>
      </c>
      <c r="Z5" t="e">
        <f>AND(#REF!,"AAAAAGm//Rk=")</f>
        <v>#REF!</v>
      </c>
      <c r="AA5" t="e">
        <f>AND(#REF!,"AAAAAGm//Ro=")</f>
        <v>#REF!</v>
      </c>
      <c r="AB5" t="e">
        <f>AND(#REF!,"AAAAAGm//Rs=")</f>
        <v>#REF!</v>
      </c>
      <c r="AC5" t="e">
        <f>AND(#REF!,"AAAAAGm//Rw=")</f>
        <v>#REF!</v>
      </c>
      <c r="AD5" t="e">
        <f>AND(#REF!,"AAAAAGm//R0=")</f>
        <v>#REF!</v>
      </c>
      <c r="AE5" t="e">
        <f>AND(#REF!,"AAAAAGm//R4=")</f>
        <v>#REF!</v>
      </c>
      <c r="AF5" t="e">
        <f>AND(#REF!,"AAAAAGm//R8=")</f>
        <v>#REF!</v>
      </c>
      <c r="AG5" t="e">
        <f>AND(#REF!,"AAAAAGm//SA=")</f>
        <v>#REF!</v>
      </c>
      <c r="AH5" t="e">
        <f>AND(#REF!,"AAAAAGm//SE=")</f>
        <v>#REF!</v>
      </c>
      <c r="AI5" t="e">
        <f>AND(#REF!,"AAAAAGm//SI=")</f>
        <v>#REF!</v>
      </c>
      <c r="AJ5" t="e">
        <f>AND(#REF!,"AAAAAGm//SM=")</f>
        <v>#REF!</v>
      </c>
      <c r="AK5" t="e">
        <f>AND(#REF!,"AAAAAGm//SQ=")</f>
        <v>#REF!</v>
      </c>
      <c r="AL5" t="e">
        <f>AND(#REF!,"AAAAAGm//SU=")</f>
        <v>#REF!</v>
      </c>
      <c r="AM5" t="e">
        <f>AND(#REF!,"AAAAAGm//SY=")</f>
        <v>#REF!</v>
      </c>
      <c r="AN5" t="e">
        <f>AND(#REF!,"AAAAAGm//Sc=")</f>
        <v>#REF!</v>
      </c>
      <c r="AO5" t="e">
        <f>AND(#REF!,"AAAAAGm//Sg=")</f>
        <v>#REF!</v>
      </c>
      <c r="AP5" t="e">
        <f>AND(#REF!,"AAAAAGm//Sk=")</f>
        <v>#REF!</v>
      </c>
      <c r="AQ5" t="e">
        <f>AND(#REF!,"AAAAAGm//So=")</f>
        <v>#REF!</v>
      </c>
      <c r="AR5" t="e">
        <f>AND(#REF!,"AAAAAGm//Ss=")</f>
        <v>#REF!</v>
      </c>
      <c r="AS5" t="e">
        <f>AND(#REF!,"AAAAAGm//Sw=")</f>
        <v>#REF!</v>
      </c>
      <c r="AT5" t="e">
        <f>AND(#REF!,"AAAAAGm//S0=")</f>
        <v>#REF!</v>
      </c>
      <c r="AU5" t="e">
        <f>AND(#REF!,"AAAAAGm//S4=")</f>
        <v>#REF!</v>
      </c>
      <c r="AV5" t="e">
        <f>AND(#REF!,"AAAAAGm//S8=")</f>
        <v>#REF!</v>
      </c>
      <c r="AW5" t="e">
        <f>AND(#REF!,"AAAAAGm//TA=")</f>
        <v>#REF!</v>
      </c>
      <c r="AX5" t="e">
        <f>AND(#REF!,"AAAAAGm//TE=")</f>
        <v>#REF!</v>
      </c>
      <c r="AY5" t="e">
        <f>AND(#REF!,"AAAAAGm//TI=")</f>
        <v>#REF!</v>
      </c>
      <c r="AZ5" t="e">
        <f>AND(#REF!,"AAAAAGm//TM=")</f>
        <v>#REF!</v>
      </c>
      <c r="BA5" t="e">
        <f>AND(#REF!,"AAAAAGm//TQ=")</f>
        <v>#REF!</v>
      </c>
      <c r="BB5" t="e">
        <f>AND(#REF!,"AAAAAGm//TU=")</f>
        <v>#REF!</v>
      </c>
      <c r="BC5" t="e">
        <f>AND(#REF!,"AAAAAGm//TY=")</f>
        <v>#REF!</v>
      </c>
      <c r="BD5" t="e">
        <f>AND(#REF!,"AAAAAGm//Tc=")</f>
        <v>#REF!</v>
      </c>
      <c r="BE5" t="e">
        <f>AND(#REF!,"AAAAAGm//Tg=")</f>
        <v>#REF!</v>
      </c>
      <c r="BF5" t="e">
        <f>AND(#REF!,"AAAAAGm//Tk=")</f>
        <v>#REF!</v>
      </c>
      <c r="BG5" t="e">
        <f>AND(#REF!,"AAAAAGm//To=")</f>
        <v>#REF!</v>
      </c>
      <c r="BH5" t="e">
        <f>AND(#REF!,"AAAAAGm//Ts=")</f>
        <v>#REF!</v>
      </c>
      <c r="BI5" t="e">
        <f>AND(#REF!,"AAAAAGm//Tw=")</f>
        <v>#REF!</v>
      </c>
      <c r="BJ5" t="e">
        <f>AND(#REF!,"AAAAAGm//T0=")</f>
        <v>#REF!</v>
      </c>
      <c r="BK5" t="e">
        <f>AND(#REF!,"AAAAAGm//T4=")</f>
        <v>#REF!</v>
      </c>
      <c r="BL5" t="e">
        <f>AND(#REF!,"AAAAAGm//T8=")</f>
        <v>#REF!</v>
      </c>
      <c r="BM5" t="e">
        <f>AND(#REF!,"AAAAAGm//UA=")</f>
        <v>#REF!</v>
      </c>
      <c r="BN5" t="e">
        <f>AND(#REF!,"AAAAAGm//UE=")</f>
        <v>#REF!</v>
      </c>
      <c r="BO5" t="e">
        <f>AND(#REF!,"AAAAAGm//UI=")</f>
        <v>#REF!</v>
      </c>
      <c r="BP5" t="e">
        <f>AND(#REF!,"AAAAAGm//UM=")</f>
        <v>#REF!</v>
      </c>
      <c r="BQ5" t="e">
        <f>AND(#REF!,"AAAAAGm//UQ=")</f>
        <v>#REF!</v>
      </c>
      <c r="BR5" t="e">
        <f>AND(#REF!,"AAAAAGm//UU=")</f>
        <v>#REF!</v>
      </c>
      <c r="BS5" t="e">
        <f>AND(#REF!,"AAAAAGm//UY=")</f>
        <v>#REF!</v>
      </c>
      <c r="BT5" t="e">
        <f>AND(#REF!,"AAAAAGm//Uc=")</f>
        <v>#REF!</v>
      </c>
      <c r="BU5" t="e">
        <f>AND(#REF!,"AAAAAGm//Ug=")</f>
        <v>#REF!</v>
      </c>
      <c r="BV5" t="e">
        <f>AND(#REF!,"AAAAAGm//Uk=")</f>
        <v>#REF!</v>
      </c>
      <c r="BW5" t="e">
        <f>AND(#REF!,"AAAAAGm//Uo=")</f>
        <v>#REF!</v>
      </c>
      <c r="BX5" t="e">
        <f>AND(#REF!,"AAAAAGm//Us=")</f>
        <v>#REF!</v>
      </c>
      <c r="BY5" t="e">
        <f>AND(#REF!,"AAAAAGm//Uw=")</f>
        <v>#REF!</v>
      </c>
      <c r="BZ5" t="e">
        <f>AND(#REF!,"AAAAAGm//U0=")</f>
        <v>#REF!</v>
      </c>
      <c r="CA5" t="e">
        <f>AND(#REF!,"AAAAAGm//U4=")</f>
        <v>#REF!</v>
      </c>
      <c r="CB5" t="e">
        <f>AND(#REF!,"AAAAAGm//U8=")</f>
        <v>#REF!</v>
      </c>
      <c r="CC5" t="e">
        <f>AND(#REF!,"AAAAAGm//VA=")</f>
        <v>#REF!</v>
      </c>
      <c r="CD5" t="e">
        <f>AND(#REF!,"AAAAAGm//VE=")</f>
        <v>#REF!</v>
      </c>
      <c r="CE5" t="e">
        <f>AND(#REF!,"AAAAAGm//VI=")</f>
        <v>#REF!</v>
      </c>
      <c r="CF5" t="e">
        <f>AND(#REF!,"AAAAAGm//VM=")</f>
        <v>#REF!</v>
      </c>
      <c r="CG5" t="e">
        <f>AND(#REF!,"AAAAAGm//VQ=")</f>
        <v>#REF!</v>
      </c>
      <c r="CH5" t="e">
        <f>AND(#REF!,"AAAAAGm//VU=")</f>
        <v>#REF!</v>
      </c>
      <c r="CI5" t="e">
        <f>AND(#REF!,"AAAAAGm//VY=")</f>
        <v>#REF!</v>
      </c>
      <c r="CJ5" t="e">
        <f>AND(#REF!,"AAAAAGm//Vc=")</f>
        <v>#REF!</v>
      </c>
      <c r="CK5" t="e">
        <f>AND(#REF!,"AAAAAGm//Vg=")</f>
        <v>#REF!</v>
      </c>
      <c r="CL5" t="e">
        <f>AND(#REF!,"AAAAAGm//Vk=")</f>
        <v>#REF!</v>
      </c>
      <c r="CM5" t="e">
        <f>AND(#REF!,"AAAAAGm//Vo=")</f>
        <v>#REF!</v>
      </c>
      <c r="CN5" t="e">
        <f>AND(#REF!,"AAAAAGm//Vs=")</f>
        <v>#REF!</v>
      </c>
      <c r="CO5" t="e">
        <f>AND(#REF!,"AAAAAGm//Vw=")</f>
        <v>#REF!</v>
      </c>
      <c r="CP5" t="e">
        <f>AND(#REF!,"AAAAAGm//V0=")</f>
        <v>#REF!</v>
      </c>
      <c r="CQ5" t="e">
        <f>AND(#REF!,"AAAAAGm//V4=")</f>
        <v>#REF!</v>
      </c>
      <c r="CR5" t="e">
        <f>AND(#REF!,"AAAAAGm//V8=")</f>
        <v>#REF!</v>
      </c>
      <c r="CS5" t="e">
        <f>AND(#REF!,"AAAAAGm//WA=")</f>
        <v>#REF!</v>
      </c>
      <c r="CT5" t="e">
        <f>AND(#REF!,"AAAAAGm//WE=")</f>
        <v>#REF!</v>
      </c>
      <c r="CU5" t="e">
        <f>AND(#REF!,"AAAAAGm//WI=")</f>
        <v>#REF!</v>
      </c>
      <c r="CV5" t="e">
        <f>AND(#REF!,"AAAAAGm//WM=")</f>
        <v>#REF!</v>
      </c>
      <c r="CW5" t="e">
        <f>AND(#REF!,"AAAAAGm//WQ=")</f>
        <v>#REF!</v>
      </c>
      <c r="CX5" t="e">
        <f>AND(#REF!,"AAAAAGm//WU=")</f>
        <v>#REF!</v>
      </c>
      <c r="CY5" t="e">
        <f>AND(#REF!,"AAAAAGm//WY=")</f>
        <v>#REF!</v>
      </c>
      <c r="CZ5" t="e">
        <f>AND(#REF!,"AAAAAGm//Wc=")</f>
        <v>#REF!</v>
      </c>
      <c r="DA5" t="e">
        <f>AND(#REF!,"AAAAAGm//Wg=")</f>
        <v>#REF!</v>
      </c>
      <c r="DB5" t="e">
        <f>AND(#REF!,"AAAAAGm//Wk=")</f>
        <v>#REF!</v>
      </c>
      <c r="DC5" t="e">
        <f>AND(#REF!,"AAAAAGm//Wo=")</f>
        <v>#REF!</v>
      </c>
      <c r="DD5" t="e">
        <f>AND(#REF!,"AAAAAGm//Ws=")</f>
        <v>#REF!</v>
      </c>
      <c r="DE5" t="e">
        <f>AND(#REF!,"AAAAAGm//Ww=")</f>
        <v>#REF!</v>
      </c>
      <c r="DF5" t="e">
        <f>AND(#REF!,"AAAAAGm//W0=")</f>
        <v>#REF!</v>
      </c>
      <c r="DG5" t="e">
        <f>AND(#REF!,"AAAAAGm//W4=")</f>
        <v>#REF!</v>
      </c>
      <c r="DH5" t="e">
        <f>AND(#REF!,"AAAAAGm//W8=")</f>
        <v>#REF!</v>
      </c>
      <c r="DI5" t="e">
        <f>AND(#REF!,"AAAAAGm//XA=")</f>
        <v>#REF!</v>
      </c>
      <c r="DJ5" t="e">
        <f>AND(#REF!,"AAAAAGm//XE=")</f>
        <v>#REF!</v>
      </c>
      <c r="DK5" t="e">
        <f>AND(#REF!,"AAAAAGm//XI=")</f>
        <v>#REF!</v>
      </c>
      <c r="DL5" t="e">
        <f>AND(#REF!,"AAAAAGm//XM=")</f>
        <v>#REF!</v>
      </c>
      <c r="DM5" t="e">
        <f>AND(#REF!,"AAAAAGm//XQ=")</f>
        <v>#REF!</v>
      </c>
      <c r="DN5" t="e">
        <f>AND(#REF!,"AAAAAGm//XU=")</f>
        <v>#REF!</v>
      </c>
      <c r="DO5" t="e">
        <f>AND(#REF!,"AAAAAGm//XY=")</f>
        <v>#REF!</v>
      </c>
      <c r="DP5" t="e">
        <f>AND(#REF!,"AAAAAGm//Xc=")</f>
        <v>#REF!</v>
      </c>
      <c r="DQ5" t="e">
        <f>AND(#REF!,"AAAAAGm//Xg=")</f>
        <v>#REF!</v>
      </c>
      <c r="DR5" t="e">
        <f>AND(#REF!,"AAAAAGm//Xk=")</f>
        <v>#REF!</v>
      </c>
      <c r="DS5" t="e">
        <f>AND(#REF!,"AAAAAGm//Xo=")</f>
        <v>#REF!</v>
      </c>
      <c r="DT5" t="e">
        <f>AND(#REF!,"AAAAAGm//Xs=")</f>
        <v>#REF!</v>
      </c>
      <c r="DU5" t="e">
        <f>AND(#REF!,"AAAAAGm//Xw=")</f>
        <v>#REF!</v>
      </c>
      <c r="DV5" t="e">
        <f>AND(#REF!,"AAAAAGm//X0=")</f>
        <v>#REF!</v>
      </c>
      <c r="DW5" t="e">
        <f>AND(#REF!,"AAAAAGm//X4=")</f>
        <v>#REF!</v>
      </c>
      <c r="DX5" t="e">
        <f>AND(#REF!,"AAAAAGm//X8=")</f>
        <v>#REF!</v>
      </c>
      <c r="DY5" t="e">
        <f>AND(#REF!,"AAAAAGm//YA=")</f>
        <v>#REF!</v>
      </c>
      <c r="DZ5" t="e">
        <f>AND(#REF!,"AAAAAGm//YE=")</f>
        <v>#REF!</v>
      </c>
      <c r="EA5" t="e">
        <f>AND(#REF!,"AAAAAGm//YI=")</f>
        <v>#REF!</v>
      </c>
      <c r="EB5" t="e">
        <f>AND(#REF!,"AAAAAGm//YM=")</f>
        <v>#REF!</v>
      </c>
      <c r="EC5" t="e">
        <f>AND(#REF!,"AAAAAGm//YQ=")</f>
        <v>#REF!</v>
      </c>
      <c r="ED5" t="e">
        <f>AND(#REF!,"AAAAAGm//YU=")</f>
        <v>#REF!</v>
      </c>
      <c r="EE5" t="e">
        <f>AND(#REF!,"AAAAAGm//YY=")</f>
        <v>#REF!</v>
      </c>
      <c r="EF5" t="e">
        <f>AND(#REF!,"AAAAAGm//Yc=")</f>
        <v>#REF!</v>
      </c>
      <c r="EG5" t="e">
        <f>AND(#REF!,"AAAAAGm//Yg=")</f>
        <v>#REF!</v>
      </c>
      <c r="EH5" t="e">
        <f>AND(#REF!,"AAAAAGm//Yk=")</f>
        <v>#REF!</v>
      </c>
      <c r="EI5" t="e">
        <f>AND(#REF!,"AAAAAGm//Yo=")</f>
        <v>#REF!</v>
      </c>
      <c r="EJ5" t="e">
        <f>AND(#REF!,"AAAAAGm//Ys=")</f>
        <v>#REF!</v>
      </c>
      <c r="EK5" t="e">
        <f>AND(#REF!,"AAAAAGm//Yw=")</f>
        <v>#REF!</v>
      </c>
      <c r="EL5" t="e">
        <f>AND(#REF!,"AAAAAGm//Y0=")</f>
        <v>#REF!</v>
      </c>
      <c r="EM5" t="e">
        <f>AND(#REF!,"AAAAAGm//Y4=")</f>
        <v>#REF!</v>
      </c>
      <c r="EN5" t="e">
        <f>AND(#REF!,"AAAAAGm//Y8=")</f>
        <v>#REF!</v>
      </c>
      <c r="EO5" t="e">
        <f>AND(#REF!,"AAAAAGm//ZA=")</f>
        <v>#REF!</v>
      </c>
      <c r="EP5" t="e">
        <f>AND(#REF!,"AAAAAGm//ZE=")</f>
        <v>#REF!</v>
      </c>
      <c r="EQ5" t="e">
        <f>AND(#REF!,"AAAAAGm//ZI=")</f>
        <v>#REF!</v>
      </c>
      <c r="ER5" t="e">
        <f>IF(#REF!,"AAAAAGm//ZM=",0)</f>
        <v>#REF!</v>
      </c>
      <c r="ES5" t="e">
        <f>AND(#REF!,"AAAAAGm//ZQ=")</f>
        <v>#REF!</v>
      </c>
      <c r="ET5" t="e">
        <f>AND(#REF!,"AAAAAGm//ZU=")</f>
        <v>#REF!</v>
      </c>
      <c r="EU5" t="e">
        <f>AND(#REF!,"AAAAAGm//ZY=")</f>
        <v>#REF!</v>
      </c>
      <c r="EV5" t="e">
        <f>AND(#REF!,"AAAAAGm//Zc=")</f>
        <v>#REF!</v>
      </c>
      <c r="EW5" t="e">
        <f>AND(#REF!,"AAAAAGm//Zg=")</f>
        <v>#REF!</v>
      </c>
      <c r="EX5" t="e">
        <f>AND(#REF!,"AAAAAGm//Zk=")</f>
        <v>#REF!</v>
      </c>
      <c r="EY5" t="e">
        <f>AND(#REF!,"AAAAAGm//Zo=")</f>
        <v>#REF!</v>
      </c>
      <c r="EZ5" t="e">
        <f>AND(#REF!,"AAAAAGm//Zs=")</f>
        <v>#REF!</v>
      </c>
      <c r="FA5" t="e">
        <f>AND(#REF!,"AAAAAGm//Zw=")</f>
        <v>#REF!</v>
      </c>
      <c r="FB5" t="e">
        <f>AND(#REF!,"AAAAAGm//Z0=")</f>
        <v>#REF!</v>
      </c>
      <c r="FC5" t="e">
        <f>AND(#REF!,"AAAAAGm//Z4=")</f>
        <v>#REF!</v>
      </c>
      <c r="FD5" t="e">
        <f>AND(#REF!,"AAAAAGm//Z8=")</f>
        <v>#REF!</v>
      </c>
      <c r="FE5" t="e">
        <f>AND(#REF!,"AAAAAGm//aA=")</f>
        <v>#REF!</v>
      </c>
      <c r="FF5" t="e">
        <f>AND(#REF!,"AAAAAGm//aE=")</f>
        <v>#REF!</v>
      </c>
      <c r="FG5" t="e">
        <f>AND(#REF!,"AAAAAGm//aI=")</f>
        <v>#REF!</v>
      </c>
      <c r="FH5" t="e">
        <f>AND(#REF!,"AAAAAGm//aM=")</f>
        <v>#REF!</v>
      </c>
      <c r="FI5" t="e">
        <f>AND(#REF!,"AAAAAGm//aQ=")</f>
        <v>#REF!</v>
      </c>
      <c r="FJ5" t="e">
        <f>AND(#REF!,"AAAAAGm//aU=")</f>
        <v>#REF!</v>
      </c>
      <c r="FK5" t="e">
        <f>AND(#REF!,"AAAAAGm//aY=")</f>
        <v>#REF!</v>
      </c>
      <c r="FL5" t="e">
        <f>AND(#REF!,"AAAAAGm//ac=")</f>
        <v>#REF!</v>
      </c>
      <c r="FM5" t="e">
        <f>AND(#REF!,"AAAAAGm//ag=")</f>
        <v>#REF!</v>
      </c>
      <c r="FN5" t="e">
        <f>AND(#REF!,"AAAAAGm//ak=")</f>
        <v>#REF!</v>
      </c>
      <c r="FO5" t="e">
        <f>AND(#REF!,"AAAAAGm//ao=")</f>
        <v>#REF!</v>
      </c>
      <c r="FP5" t="e">
        <f>AND(#REF!,"AAAAAGm//as=")</f>
        <v>#REF!</v>
      </c>
      <c r="FQ5" t="e">
        <f>AND(#REF!,"AAAAAGm//aw=")</f>
        <v>#REF!</v>
      </c>
      <c r="FR5" t="e">
        <f>AND(#REF!,"AAAAAGm//a0=")</f>
        <v>#REF!</v>
      </c>
      <c r="FS5" t="e">
        <f>AND(#REF!,"AAAAAGm//a4=")</f>
        <v>#REF!</v>
      </c>
      <c r="FT5" t="e">
        <f>AND(#REF!,"AAAAAGm//a8=")</f>
        <v>#REF!</v>
      </c>
      <c r="FU5" t="e">
        <f>AND(#REF!,"AAAAAGm//bA=")</f>
        <v>#REF!</v>
      </c>
      <c r="FV5" t="e">
        <f>AND(#REF!,"AAAAAGm//bE=")</f>
        <v>#REF!</v>
      </c>
      <c r="FW5" t="e">
        <f>AND(#REF!,"AAAAAGm//bI=")</f>
        <v>#REF!</v>
      </c>
      <c r="FX5" t="e">
        <f>AND(#REF!,"AAAAAGm//bM=")</f>
        <v>#REF!</v>
      </c>
      <c r="FY5" t="e">
        <f>AND(#REF!,"AAAAAGm//bQ=")</f>
        <v>#REF!</v>
      </c>
      <c r="FZ5" t="e">
        <f>AND(#REF!,"AAAAAGm//bU=")</f>
        <v>#REF!</v>
      </c>
      <c r="GA5" t="e">
        <f>AND(#REF!,"AAAAAGm//bY=")</f>
        <v>#REF!</v>
      </c>
      <c r="GB5" t="e">
        <f>AND(#REF!,"AAAAAGm//bc=")</f>
        <v>#REF!</v>
      </c>
      <c r="GC5" t="e">
        <f>AND(#REF!,"AAAAAGm//bg=")</f>
        <v>#REF!</v>
      </c>
      <c r="GD5" t="e">
        <f>AND(#REF!,"AAAAAGm//bk=")</f>
        <v>#REF!</v>
      </c>
      <c r="GE5" t="e">
        <f>AND(#REF!,"AAAAAGm//bo=")</f>
        <v>#REF!</v>
      </c>
      <c r="GF5" t="e">
        <f>AND(#REF!,"AAAAAGm//bs=")</f>
        <v>#REF!</v>
      </c>
      <c r="GG5" t="e">
        <f>AND(#REF!,"AAAAAGm//bw=")</f>
        <v>#REF!</v>
      </c>
      <c r="GH5" t="e">
        <f>AND(#REF!,"AAAAAGm//b0=")</f>
        <v>#REF!</v>
      </c>
      <c r="GI5" t="e">
        <f>AND(#REF!,"AAAAAGm//b4=")</f>
        <v>#REF!</v>
      </c>
      <c r="GJ5" t="e">
        <f>AND(#REF!,"AAAAAGm//b8=")</f>
        <v>#REF!</v>
      </c>
      <c r="GK5" t="e">
        <f>AND(#REF!,"AAAAAGm//cA=")</f>
        <v>#REF!</v>
      </c>
      <c r="GL5" t="e">
        <f>AND(#REF!,"AAAAAGm//cE=")</f>
        <v>#REF!</v>
      </c>
      <c r="GM5" t="e">
        <f>AND(#REF!,"AAAAAGm//cI=")</f>
        <v>#REF!</v>
      </c>
      <c r="GN5" t="e">
        <f>AND(#REF!,"AAAAAGm//cM=")</f>
        <v>#REF!</v>
      </c>
      <c r="GO5" t="e">
        <f>AND(#REF!,"AAAAAGm//cQ=")</f>
        <v>#REF!</v>
      </c>
      <c r="GP5" t="e">
        <f>AND(#REF!,"AAAAAGm//cU=")</f>
        <v>#REF!</v>
      </c>
      <c r="GQ5" t="e">
        <f>AND(#REF!,"AAAAAGm//cY=")</f>
        <v>#REF!</v>
      </c>
      <c r="GR5" t="e">
        <f>AND(#REF!,"AAAAAGm//cc=")</f>
        <v>#REF!</v>
      </c>
      <c r="GS5" t="e">
        <f>AND(#REF!,"AAAAAGm//cg=")</f>
        <v>#REF!</v>
      </c>
      <c r="GT5" t="e">
        <f>AND(#REF!,"AAAAAGm//ck=")</f>
        <v>#REF!</v>
      </c>
      <c r="GU5" t="e">
        <f>AND(#REF!,"AAAAAGm//co=")</f>
        <v>#REF!</v>
      </c>
      <c r="GV5" t="e">
        <f>AND(#REF!,"AAAAAGm//cs=")</f>
        <v>#REF!</v>
      </c>
      <c r="GW5" t="e">
        <f>AND(#REF!,"AAAAAGm//cw=")</f>
        <v>#REF!</v>
      </c>
      <c r="GX5" t="e">
        <f>AND(#REF!,"AAAAAGm//c0=")</f>
        <v>#REF!</v>
      </c>
      <c r="GY5" t="e">
        <f>AND(#REF!,"AAAAAGm//c4=")</f>
        <v>#REF!</v>
      </c>
      <c r="GZ5" t="e">
        <f>AND(#REF!,"AAAAAGm//c8=")</f>
        <v>#REF!</v>
      </c>
      <c r="HA5" t="e">
        <f>AND(#REF!,"AAAAAGm//dA=")</f>
        <v>#REF!</v>
      </c>
      <c r="HB5" t="e">
        <f>AND(#REF!,"AAAAAGm//dE=")</f>
        <v>#REF!</v>
      </c>
      <c r="HC5" t="e">
        <f>AND(#REF!,"AAAAAGm//dI=")</f>
        <v>#REF!</v>
      </c>
      <c r="HD5" t="e">
        <f>AND(#REF!,"AAAAAGm//dM=")</f>
        <v>#REF!</v>
      </c>
      <c r="HE5" t="e">
        <f>AND(#REF!,"AAAAAGm//dQ=")</f>
        <v>#REF!</v>
      </c>
      <c r="HF5" t="e">
        <f>AND(#REF!,"AAAAAGm//dU=")</f>
        <v>#REF!</v>
      </c>
      <c r="HG5" t="e">
        <f>AND(#REF!,"AAAAAGm//dY=")</f>
        <v>#REF!</v>
      </c>
      <c r="HH5" t="e">
        <f>AND(#REF!,"AAAAAGm//dc=")</f>
        <v>#REF!</v>
      </c>
      <c r="HI5" t="e">
        <f>AND(#REF!,"AAAAAGm//dg=")</f>
        <v>#REF!</v>
      </c>
      <c r="HJ5" t="e">
        <f>AND(#REF!,"AAAAAGm//dk=")</f>
        <v>#REF!</v>
      </c>
      <c r="HK5" t="e">
        <f>AND(#REF!,"AAAAAGm//do=")</f>
        <v>#REF!</v>
      </c>
      <c r="HL5" t="e">
        <f>AND(#REF!,"AAAAAGm//ds=")</f>
        <v>#REF!</v>
      </c>
      <c r="HM5" t="e">
        <f>AND(#REF!,"AAAAAGm//dw=")</f>
        <v>#REF!</v>
      </c>
      <c r="HN5" t="e">
        <f>AND(#REF!,"AAAAAGm//d0=")</f>
        <v>#REF!</v>
      </c>
      <c r="HO5" t="e">
        <f>AND(#REF!,"AAAAAGm//d4=")</f>
        <v>#REF!</v>
      </c>
      <c r="HP5" t="e">
        <f>AND(#REF!,"AAAAAGm//d8=")</f>
        <v>#REF!</v>
      </c>
      <c r="HQ5" t="e">
        <f>AND(#REF!,"AAAAAGm//eA=")</f>
        <v>#REF!</v>
      </c>
      <c r="HR5" t="e">
        <f>AND(#REF!,"AAAAAGm//eE=")</f>
        <v>#REF!</v>
      </c>
      <c r="HS5" t="e">
        <f>AND(#REF!,"AAAAAGm//eI=")</f>
        <v>#REF!</v>
      </c>
      <c r="HT5" t="e">
        <f>AND(#REF!,"AAAAAGm//eM=")</f>
        <v>#REF!</v>
      </c>
      <c r="HU5" t="e">
        <f>AND(#REF!,"AAAAAGm//eQ=")</f>
        <v>#REF!</v>
      </c>
      <c r="HV5" t="e">
        <f>AND(#REF!,"AAAAAGm//eU=")</f>
        <v>#REF!</v>
      </c>
      <c r="HW5" t="e">
        <f>AND(#REF!,"AAAAAGm//eY=")</f>
        <v>#REF!</v>
      </c>
      <c r="HX5" t="e">
        <f>AND(#REF!,"AAAAAGm//ec=")</f>
        <v>#REF!</v>
      </c>
      <c r="HY5" t="e">
        <f>AND(#REF!,"AAAAAGm//eg=")</f>
        <v>#REF!</v>
      </c>
      <c r="HZ5" t="e">
        <f>AND(#REF!,"AAAAAGm//ek=")</f>
        <v>#REF!</v>
      </c>
      <c r="IA5" t="e">
        <f>AND(#REF!,"AAAAAGm//eo=")</f>
        <v>#REF!</v>
      </c>
      <c r="IB5" t="e">
        <f>AND(#REF!,"AAAAAGm//es=")</f>
        <v>#REF!</v>
      </c>
      <c r="IC5" t="e">
        <f>AND(#REF!,"AAAAAGm//ew=")</f>
        <v>#REF!</v>
      </c>
      <c r="ID5" t="e">
        <f>AND(#REF!,"AAAAAGm//e0=")</f>
        <v>#REF!</v>
      </c>
      <c r="IE5" t="e">
        <f>AND(#REF!,"AAAAAGm//e4=")</f>
        <v>#REF!</v>
      </c>
      <c r="IF5" t="e">
        <f>AND(#REF!,"AAAAAGm//e8=")</f>
        <v>#REF!</v>
      </c>
      <c r="IG5" t="e">
        <f>AND(#REF!,"AAAAAGm//fA=")</f>
        <v>#REF!</v>
      </c>
      <c r="IH5" t="e">
        <f>AND(#REF!,"AAAAAGm//fE=")</f>
        <v>#REF!</v>
      </c>
      <c r="II5" t="e">
        <f>AND(#REF!,"AAAAAGm//fI=")</f>
        <v>#REF!</v>
      </c>
      <c r="IJ5" t="e">
        <f>AND(#REF!,"AAAAAGm//fM=")</f>
        <v>#REF!</v>
      </c>
      <c r="IK5" t="e">
        <f>AND(#REF!,"AAAAAGm//fQ=")</f>
        <v>#REF!</v>
      </c>
      <c r="IL5" t="e">
        <f>AND(#REF!,"AAAAAGm//fU=")</f>
        <v>#REF!</v>
      </c>
      <c r="IM5" t="e">
        <f>AND(#REF!,"AAAAAGm//fY=")</f>
        <v>#REF!</v>
      </c>
      <c r="IN5" t="e">
        <f>AND(#REF!,"AAAAAGm//fc=")</f>
        <v>#REF!</v>
      </c>
      <c r="IO5" t="e">
        <f>AND(#REF!,"AAAAAGm//fg=")</f>
        <v>#REF!</v>
      </c>
      <c r="IP5" t="e">
        <f>AND(#REF!,"AAAAAGm//fk=")</f>
        <v>#REF!</v>
      </c>
      <c r="IQ5" t="e">
        <f>AND(#REF!,"AAAAAGm//fo=")</f>
        <v>#REF!</v>
      </c>
      <c r="IR5" t="e">
        <f>AND(#REF!,"AAAAAGm//fs=")</f>
        <v>#REF!</v>
      </c>
      <c r="IS5" t="e">
        <f>AND(#REF!,"AAAAAGm//fw=")</f>
        <v>#REF!</v>
      </c>
      <c r="IT5" t="e">
        <f>AND(#REF!,"AAAAAGm//f0=")</f>
        <v>#REF!</v>
      </c>
      <c r="IU5" t="e">
        <f>AND(#REF!,"AAAAAGm//f4=")</f>
        <v>#REF!</v>
      </c>
      <c r="IV5" t="e">
        <f>AND(#REF!,"AAAAAGm//f8=")</f>
        <v>#REF!</v>
      </c>
    </row>
    <row r="6" spans="1:256" x14ac:dyDescent="0.25">
      <c r="A6" t="e">
        <f>AND(#REF!,"AAAAAHL7bwA=")</f>
        <v>#REF!</v>
      </c>
      <c r="B6" t="e">
        <f>AND(#REF!,"AAAAAHL7bwE=")</f>
        <v>#REF!</v>
      </c>
      <c r="C6" t="e">
        <f>AND(#REF!,"AAAAAHL7bwI=")</f>
        <v>#REF!</v>
      </c>
      <c r="D6" t="e">
        <f>AND(#REF!,"AAAAAHL7bwM=")</f>
        <v>#REF!</v>
      </c>
      <c r="E6" t="e">
        <f>AND(#REF!,"AAAAAHL7bwQ=")</f>
        <v>#REF!</v>
      </c>
      <c r="F6" t="e">
        <f>AND(#REF!,"AAAAAHL7bwU=")</f>
        <v>#REF!</v>
      </c>
      <c r="G6" t="e">
        <f>AND(#REF!,"AAAAAHL7bwY=")</f>
        <v>#REF!</v>
      </c>
      <c r="H6" t="e">
        <f>AND(#REF!,"AAAAAHL7bwc=")</f>
        <v>#REF!</v>
      </c>
      <c r="I6" t="e">
        <f>AND(#REF!,"AAAAAHL7bwg=")</f>
        <v>#REF!</v>
      </c>
      <c r="J6" t="e">
        <f>AND(#REF!,"AAAAAHL7bwk=")</f>
        <v>#REF!</v>
      </c>
      <c r="K6" t="e">
        <f>AND(#REF!,"AAAAAHL7bwo=")</f>
        <v>#REF!</v>
      </c>
      <c r="L6" t="e">
        <f>AND(#REF!,"AAAAAHL7bws=")</f>
        <v>#REF!</v>
      </c>
      <c r="M6" t="e">
        <f>AND(#REF!,"AAAAAHL7bww=")</f>
        <v>#REF!</v>
      </c>
      <c r="N6" t="e">
        <f>AND(#REF!,"AAAAAHL7bw0=")</f>
        <v>#REF!</v>
      </c>
      <c r="O6" t="e">
        <f>AND(#REF!,"AAAAAHL7bw4=")</f>
        <v>#REF!</v>
      </c>
      <c r="P6" t="e">
        <f>AND(#REF!,"AAAAAHL7bw8=")</f>
        <v>#REF!</v>
      </c>
      <c r="Q6" t="e">
        <f>AND(#REF!,"AAAAAHL7bxA=")</f>
        <v>#REF!</v>
      </c>
      <c r="R6" t="e">
        <f>AND(#REF!,"AAAAAHL7bxE=")</f>
        <v>#REF!</v>
      </c>
      <c r="S6" t="e">
        <f>AND(#REF!,"AAAAAHL7bxI=")</f>
        <v>#REF!</v>
      </c>
      <c r="T6" t="e">
        <f>AND(#REF!,"AAAAAHL7bxM=")</f>
        <v>#REF!</v>
      </c>
      <c r="U6" t="e">
        <f>AND(#REF!,"AAAAAHL7bxQ=")</f>
        <v>#REF!</v>
      </c>
      <c r="V6" t="e">
        <f>AND(#REF!,"AAAAAHL7bxU=")</f>
        <v>#REF!</v>
      </c>
      <c r="W6" t="e">
        <f>AND(#REF!,"AAAAAHL7bxY=")</f>
        <v>#REF!</v>
      </c>
      <c r="X6" t="e">
        <f>AND(#REF!,"AAAAAHL7bxc=")</f>
        <v>#REF!</v>
      </c>
      <c r="Y6" t="e">
        <f>AND(#REF!,"AAAAAHL7bxg=")</f>
        <v>#REF!</v>
      </c>
      <c r="Z6" t="e">
        <f>AND(#REF!,"AAAAAHL7bxk=")</f>
        <v>#REF!</v>
      </c>
      <c r="AA6" t="e">
        <f>AND(#REF!,"AAAAAHL7bxo=")</f>
        <v>#REF!</v>
      </c>
      <c r="AB6" t="e">
        <f>AND(#REF!,"AAAAAHL7bxs=")</f>
        <v>#REF!</v>
      </c>
      <c r="AC6" t="e">
        <f>AND(#REF!,"AAAAAHL7bxw=")</f>
        <v>#REF!</v>
      </c>
      <c r="AD6" t="e">
        <f>AND(#REF!,"AAAAAHL7bx0=")</f>
        <v>#REF!</v>
      </c>
      <c r="AE6" t="e">
        <f>AND(#REF!,"AAAAAHL7bx4=")</f>
        <v>#REF!</v>
      </c>
      <c r="AF6" t="e">
        <f>AND(#REF!,"AAAAAHL7bx8=")</f>
        <v>#REF!</v>
      </c>
      <c r="AG6" t="e">
        <f>AND(#REF!,"AAAAAHL7byA=")</f>
        <v>#REF!</v>
      </c>
      <c r="AH6" t="e">
        <f>AND(#REF!,"AAAAAHL7byE=")</f>
        <v>#REF!</v>
      </c>
      <c r="AI6" t="e">
        <f>AND(#REF!,"AAAAAHL7byI=")</f>
        <v>#REF!</v>
      </c>
      <c r="AJ6" t="e">
        <f>AND(#REF!,"AAAAAHL7byM=")</f>
        <v>#REF!</v>
      </c>
      <c r="AK6" t="e">
        <f>AND(#REF!,"AAAAAHL7byQ=")</f>
        <v>#REF!</v>
      </c>
      <c r="AL6" t="e">
        <f>AND(#REF!,"AAAAAHL7byU=")</f>
        <v>#REF!</v>
      </c>
      <c r="AM6" t="e">
        <f>AND(#REF!,"AAAAAHL7byY=")</f>
        <v>#REF!</v>
      </c>
      <c r="AN6" t="e">
        <f>AND(#REF!,"AAAAAHL7byc=")</f>
        <v>#REF!</v>
      </c>
      <c r="AO6" t="e">
        <f>AND(#REF!,"AAAAAHL7byg=")</f>
        <v>#REF!</v>
      </c>
      <c r="AP6" t="e">
        <f>AND(#REF!,"AAAAAHL7byk=")</f>
        <v>#REF!</v>
      </c>
      <c r="AQ6" t="e">
        <f>AND(#REF!,"AAAAAHL7byo=")</f>
        <v>#REF!</v>
      </c>
      <c r="AR6" t="e">
        <f>AND(#REF!,"AAAAAHL7bys=")</f>
        <v>#REF!</v>
      </c>
      <c r="AS6" t="e">
        <f>AND(#REF!,"AAAAAHL7byw=")</f>
        <v>#REF!</v>
      </c>
      <c r="AT6" t="e">
        <f>AND(#REF!,"AAAAAHL7by0=")</f>
        <v>#REF!</v>
      </c>
      <c r="AU6" t="e">
        <f>AND(#REF!,"AAAAAHL7by4=")</f>
        <v>#REF!</v>
      </c>
      <c r="AV6" t="e">
        <f>AND(#REF!,"AAAAAHL7by8=")</f>
        <v>#REF!</v>
      </c>
      <c r="AW6" t="e">
        <f>AND(#REF!,"AAAAAHL7bzA=")</f>
        <v>#REF!</v>
      </c>
      <c r="AX6" t="e">
        <f>AND(#REF!,"AAAAAHL7bzE=")</f>
        <v>#REF!</v>
      </c>
      <c r="AY6" t="e">
        <f>AND(#REF!,"AAAAAHL7bzI=")</f>
        <v>#REF!</v>
      </c>
      <c r="AZ6" t="e">
        <f>AND(#REF!,"AAAAAHL7bzM=")</f>
        <v>#REF!</v>
      </c>
      <c r="BA6" t="e">
        <f>AND(#REF!,"AAAAAHL7bzQ=")</f>
        <v>#REF!</v>
      </c>
      <c r="BB6" t="e">
        <f>AND(#REF!,"AAAAAHL7bzU=")</f>
        <v>#REF!</v>
      </c>
      <c r="BC6" t="e">
        <f>AND(#REF!,"AAAAAHL7bzY=")</f>
        <v>#REF!</v>
      </c>
      <c r="BD6" t="e">
        <f>AND(#REF!,"AAAAAHL7bzc=")</f>
        <v>#REF!</v>
      </c>
      <c r="BE6" t="e">
        <f>AND(#REF!,"AAAAAHL7bzg=")</f>
        <v>#REF!</v>
      </c>
      <c r="BF6" t="e">
        <f>AND(#REF!,"AAAAAHL7bzk=")</f>
        <v>#REF!</v>
      </c>
      <c r="BG6" t="e">
        <f>AND(#REF!,"AAAAAHL7bzo=")</f>
        <v>#REF!</v>
      </c>
      <c r="BH6" t="e">
        <f>AND(#REF!,"AAAAAHL7bzs=")</f>
        <v>#REF!</v>
      </c>
      <c r="BI6" t="e">
        <f>AND(#REF!,"AAAAAHL7bzw=")</f>
        <v>#REF!</v>
      </c>
      <c r="BJ6" t="e">
        <f>AND(#REF!,"AAAAAHL7bz0=")</f>
        <v>#REF!</v>
      </c>
      <c r="BK6" t="e">
        <f>AND(#REF!,"AAAAAHL7bz4=")</f>
        <v>#REF!</v>
      </c>
      <c r="BL6" t="e">
        <f>AND(#REF!,"AAAAAHL7bz8=")</f>
        <v>#REF!</v>
      </c>
      <c r="BM6" t="e">
        <f>AND(#REF!,"AAAAAHL7b0A=")</f>
        <v>#REF!</v>
      </c>
      <c r="BN6" t="e">
        <f>AND(#REF!,"AAAAAHL7b0E=")</f>
        <v>#REF!</v>
      </c>
      <c r="BO6" t="e">
        <f>AND(#REF!,"AAAAAHL7b0I=")</f>
        <v>#REF!</v>
      </c>
      <c r="BP6" t="e">
        <f>AND(#REF!,"AAAAAHL7b0M=")</f>
        <v>#REF!</v>
      </c>
      <c r="BQ6" t="e">
        <f>AND(#REF!,"AAAAAHL7b0Q=")</f>
        <v>#REF!</v>
      </c>
      <c r="BR6" t="e">
        <f>AND(#REF!,"AAAAAHL7b0U=")</f>
        <v>#REF!</v>
      </c>
      <c r="BS6" t="e">
        <f>AND(#REF!,"AAAAAHL7b0Y=")</f>
        <v>#REF!</v>
      </c>
      <c r="BT6" t="e">
        <f>AND(#REF!,"AAAAAHL7b0c=")</f>
        <v>#REF!</v>
      </c>
      <c r="BU6" t="e">
        <f>AND(#REF!,"AAAAAHL7b0g=")</f>
        <v>#REF!</v>
      </c>
      <c r="BV6" t="e">
        <f>AND(#REF!,"AAAAAHL7b0k=")</f>
        <v>#REF!</v>
      </c>
      <c r="BW6" t="e">
        <f>AND(#REF!,"AAAAAHL7b0o=")</f>
        <v>#REF!</v>
      </c>
      <c r="BX6" t="e">
        <f>AND(#REF!,"AAAAAHL7b0s=")</f>
        <v>#REF!</v>
      </c>
      <c r="BY6" t="e">
        <f>AND(#REF!,"AAAAAHL7b0w=")</f>
        <v>#REF!</v>
      </c>
      <c r="BZ6" t="e">
        <f>AND(#REF!,"AAAAAHL7b00=")</f>
        <v>#REF!</v>
      </c>
      <c r="CA6" t="e">
        <f>AND(#REF!,"AAAAAHL7b04=")</f>
        <v>#REF!</v>
      </c>
      <c r="CB6" t="e">
        <f>AND(#REF!,"AAAAAHL7b08=")</f>
        <v>#REF!</v>
      </c>
      <c r="CC6" t="e">
        <f>IF(#REF!,"AAAAAHL7b1A=",0)</f>
        <v>#REF!</v>
      </c>
      <c r="CD6" t="e">
        <f>AND(#REF!,"AAAAAHL7b1E=")</f>
        <v>#REF!</v>
      </c>
      <c r="CE6" t="e">
        <f>AND(#REF!,"AAAAAHL7b1I=")</f>
        <v>#REF!</v>
      </c>
      <c r="CF6" t="e">
        <f>AND(#REF!,"AAAAAHL7b1M=")</f>
        <v>#REF!</v>
      </c>
      <c r="CG6" t="e">
        <f>AND(#REF!,"AAAAAHL7b1Q=")</f>
        <v>#REF!</v>
      </c>
      <c r="CH6" t="e">
        <f>AND(#REF!,"AAAAAHL7b1U=")</f>
        <v>#REF!</v>
      </c>
      <c r="CI6" t="e">
        <f>AND(#REF!,"AAAAAHL7b1Y=")</f>
        <v>#REF!</v>
      </c>
      <c r="CJ6" t="e">
        <f>AND(#REF!,"AAAAAHL7b1c=")</f>
        <v>#REF!</v>
      </c>
      <c r="CK6" t="e">
        <f>AND(#REF!,"AAAAAHL7b1g=")</f>
        <v>#REF!</v>
      </c>
      <c r="CL6" t="e">
        <f>AND(#REF!,"AAAAAHL7b1k=")</f>
        <v>#REF!</v>
      </c>
      <c r="CM6" t="e">
        <f>AND(#REF!,"AAAAAHL7b1o=")</f>
        <v>#REF!</v>
      </c>
      <c r="CN6" t="e">
        <f>AND(#REF!,"AAAAAHL7b1s=")</f>
        <v>#REF!</v>
      </c>
      <c r="CO6" t="e">
        <f>AND(#REF!,"AAAAAHL7b1w=")</f>
        <v>#REF!</v>
      </c>
      <c r="CP6" t="e">
        <f>AND(#REF!,"AAAAAHL7b10=")</f>
        <v>#REF!</v>
      </c>
      <c r="CQ6" t="e">
        <f>AND(#REF!,"AAAAAHL7b14=")</f>
        <v>#REF!</v>
      </c>
      <c r="CR6" t="e">
        <f>AND(#REF!,"AAAAAHL7b18=")</f>
        <v>#REF!</v>
      </c>
      <c r="CS6" t="e">
        <f>AND(#REF!,"AAAAAHL7b2A=")</f>
        <v>#REF!</v>
      </c>
      <c r="CT6" t="e">
        <f>AND(#REF!,"AAAAAHL7b2E=")</f>
        <v>#REF!</v>
      </c>
      <c r="CU6" t="e">
        <f>AND(#REF!,"AAAAAHL7b2I=")</f>
        <v>#REF!</v>
      </c>
      <c r="CV6" t="e">
        <f>AND(#REF!,"AAAAAHL7b2M=")</f>
        <v>#REF!</v>
      </c>
      <c r="CW6" t="e">
        <f>AND(#REF!,"AAAAAHL7b2Q=")</f>
        <v>#REF!</v>
      </c>
      <c r="CX6" t="e">
        <f>AND(#REF!,"AAAAAHL7b2U=")</f>
        <v>#REF!</v>
      </c>
      <c r="CY6" t="e">
        <f>AND(#REF!,"AAAAAHL7b2Y=")</f>
        <v>#REF!</v>
      </c>
      <c r="CZ6" t="e">
        <f>AND(#REF!,"AAAAAHL7b2c=")</f>
        <v>#REF!</v>
      </c>
      <c r="DA6" t="e">
        <f>AND(#REF!,"AAAAAHL7b2g=")</f>
        <v>#REF!</v>
      </c>
      <c r="DB6" t="e">
        <f>AND(#REF!,"AAAAAHL7b2k=")</f>
        <v>#REF!</v>
      </c>
      <c r="DC6" t="e">
        <f>AND(#REF!,"AAAAAHL7b2o=")</f>
        <v>#REF!</v>
      </c>
      <c r="DD6" t="e">
        <f>AND(#REF!,"AAAAAHL7b2s=")</f>
        <v>#REF!</v>
      </c>
      <c r="DE6" t="e">
        <f>AND(#REF!,"AAAAAHL7b2w=")</f>
        <v>#REF!</v>
      </c>
      <c r="DF6" t="e">
        <f>AND(#REF!,"AAAAAHL7b20=")</f>
        <v>#REF!</v>
      </c>
      <c r="DG6" t="e">
        <f>AND(#REF!,"AAAAAHL7b24=")</f>
        <v>#REF!</v>
      </c>
      <c r="DH6" t="e">
        <f>AND(#REF!,"AAAAAHL7b28=")</f>
        <v>#REF!</v>
      </c>
      <c r="DI6" t="e">
        <f>AND(#REF!,"AAAAAHL7b3A=")</f>
        <v>#REF!</v>
      </c>
      <c r="DJ6" t="e">
        <f>AND(#REF!,"AAAAAHL7b3E=")</f>
        <v>#REF!</v>
      </c>
      <c r="DK6" t="e">
        <f>AND(#REF!,"AAAAAHL7b3I=")</f>
        <v>#REF!</v>
      </c>
      <c r="DL6" t="e">
        <f>AND(#REF!,"AAAAAHL7b3M=")</f>
        <v>#REF!</v>
      </c>
      <c r="DM6" t="e">
        <f>AND(#REF!,"AAAAAHL7b3Q=")</f>
        <v>#REF!</v>
      </c>
      <c r="DN6" t="e">
        <f>AND(#REF!,"AAAAAHL7b3U=")</f>
        <v>#REF!</v>
      </c>
      <c r="DO6" t="e">
        <f>AND(#REF!,"AAAAAHL7b3Y=")</f>
        <v>#REF!</v>
      </c>
      <c r="DP6" t="e">
        <f>AND(#REF!,"AAAAAHL7b3c=")</f>
        <v>#REF!</v>
      </c>
      <c r="DQ6" t="e">
        <f>AND(#REF!,"AAAAAHL7b3g=")</f>
        <v>#REF!</v>
      </c>
      <c r="DR6" t="e">
        <f>AND(#REF!,"AAAAAHL7b3k=")</f>
        <v>#REF!</v>
      </c>
      <c r="DS6" t="e">
        <f>AND(#REF!,"AAAAAHL7b3o=")</f>
        <v>#REF!</v>
      </c>
      <c r="DT6" t="e">
        <f>AND(#REF!,"AAAAAHL7b3s=")</f>
        <v>#REF!</v>
      </c>
      <c r="DU6" t="e">
        <f>AND(#REF!,"AAAAAHL7b3w=")</f>
        <v>#REF!</v>
      </c>
      <c r="DV6" t="e">
        <f>AND(#REF!,"AAAAAHL7b30=")</f>
        <v>#REF!</v>
      </c>
      <c r="DW6" t="e">
        <f>AND(#REF!,"AAAAAHL7b34=")</f>
        <v>#REF!</v>
      </c>
      <c r="DX6" t="e">
        <f>AND(#REF!,"AAAAAHL7b38=")</f>
        <v>#REF!</v>
      </c>
      <c r="DY6" t="e">
        <f>AND(#REF!,"AAAAAHL7b4A=")</f>
        <v>#REF!</v>
      </c>
      <c r="DZ6" t="e">
        <f>AND(#REF!,"AAAAAHL7b4E=")</f>
        <v>#REF!</v>
      </c>
      <c r="EA6" t="e">
        <f>AND(#REF!,"AAAAAHL7b4I=")</f>
        <v>#REF!</v>
      </c>
      <c r="EB6" t="e">
        <f>AND(#REF!,"AAAAAHL7b4M=")</f>
        <v>#REF!</v>
      </c>
      <c r="EC6" t="e">
        <f>AND(#REF!,"AAAAAHL7b4Q=")</f>
        <v>#REF!</v>
      </c>
      <c r="ED6" t="e">
        <f>AND(#REF!,"AAAAAHL7b4U=")</f>
        <v>#REF!</v>
      </c>
      <c r="EE6" t="e">
        <f>AND(#REF!,"AAAAAHL7b4Y=")</f>
        <v>#REF!</v>
      </c>
      <c r="EF6" t="e">
        <f>AND(#REF!,"AAAAAHL7b4c=")</f>
        <v>#REF!</v>
      </c>
      <c r="EG6" t="e">
        <f>AND(#REF!,"AAAAAHL7b4g=")</f>
        <v>#REF!</v>
      </c>
      <c r="EH6" t="e">
        <f>AND(#REF!,"AAAAAHL7b4k=")</f>
        <v>#REF!</v>
      </c>
      <c r="EI6" t="e">
        <f>AND(#REF!,"AAAAAHL7b4o=")</f>
        <v>#REF!</v>
      </c>
      <c r="EJ6" t="e">
        <f>AND(#REF!,"AAAAAHL7b4s=")</f>
        <v>#REF!</v>
      </c>
      <c r="EK6" t="e">
        <f>AND(#REF!,"AAAAAHL7b4w=")</f>
        <v>#REF!</v>
      </c>
      <c r="EL6" t="e">
        <f>AND(#REF!,"AAAAAHL7b40=")</f>
        <v>#REF!</v>
      </c>
      <c r="EM6" t="e">
        <f>AND(#REF!,"AAAAAHL7b44=")</f>
        <v>#REF!</v>
      </c>
      <c r="EN6" t="e">
        <f>AND(#REF!,"AAAAAHL7b48=")</f>
        <v>#REF!</v>
      </c>
      <c r="EO6" t="e">
        <f>AND(#REF!,"AAAAAHL7b5A=")</f>
        <v>#REF!</v>
      </c>
      <c r="EP6" t="e">
        <f>AND(#REF!,"AAAAAHL7b5E=")</f>
        <v>#REF!</v>
      </c>
      <c r="EQ6" t="e">
        <f>AND(#REF!,"AAAAAHL7b5I=")</f>
        <v>#REF!</v>
      </c>
      <c r="ER6" t="e">
        <f>AND(#REF!,"AAAAAHL7b5M=")</f>
        <v>#REF!</v>
      </c>
      <c r="ES6" t="e">
        <f>AND(#REF!,"AAAAAHL7b5Q=")</f>
        <v>#REF!</v>
      </c>
      <c r="ET6" t="e">
        <f>AND(#REF!,"AAAAAHL7b5U=")</f>
        <v>#REF!</v>
      </c>
      <c r="EU6" t="e">
        <f>AND(#REF!,"AAAAAHL7b5Y=")</f>
        <v>#REF!</v>
      </c>
      <c r="EV6" t="e">
        <f>AND(#REF!,"AAAAAHL7b5c=")</f>
        <v>#REF!</v>
      </c>
      <c r="EW6" t="e">
        <f>AND(#REF!,"AAAAAHL7b5g=")</f>
        <v>#REF!</v>
      </c>
      <c r="EX6" t="e">
        <f>AND(#REF!,"AAAAAHL7b5k=")</f>
        <v>#REF!</v>
      </c>
      <c r="EY6" t="e">
        <f>AND(#REF!,"AAAAAHL7b5o=")</f>
        <v>#REF!</v>
      </c>
      <c r="EZ6" t="e">
        <f>AND(#REF!,"AAAAAHL7b5s=")</f>
        <v>#REF!</v>
      </c>
      <c r="FA6" t="e">
        <f>AND(#REF!,"AAAAAHL7b5w=")</f>
        <v>#REF!</v>
      </c>
      <c r="FB6" t="e">
        <f>AND(#REF!,"AAAAAHL7b50=")</f>
        <v>#REF!</v>
      </c>
      <c r="FC6" t="e">
        <f>AND(#REF!,"AAAAAHL7b54=")</f>
        <v>#REF!</v>
      </c>
      <c r="FD6" t="e">
        <f>AND(#REF!,"AAAAAHL7b58=")</f>
        <v>#REF!</v>
      </c>
      <c r="FE6" t="e">
        <f>AND(#REF!,"AAAAAHL7b6A=")</f>
        <v>#REF!</v>
      </c>
      <c r="FF6" t="e">
        <f>AND(#REF!,"AAAAAHL7b6E=")</f>
        <v>#REF!</v>
      </c>
      <c r="FG6" t="e">
        <f>AND(#REF!,"AAAAAHL7b6I=")</f>
        <v>#REF!</v>
      </c>
      <c r="FH6" t="e">
        <f>AND(#REF!,"AAAAAHL7b6M=")</f>
        <v>#REF!</v>
      </c>
      <c r="FI6" t="e">
        <f>AND(#REF!,"AAAAAHL7b6Q=")</f>
        <v>#REF!</v>
      </c>
      <c r="FJ6" t="e">
        <f>AND(#REF!,"AAAAAHL7b6U=")</f>
        <v>#REF!</v>
      </c>
      <c r="FK6" t="e">
        <f>AND(#REF!,"AAAAAHL7b6Y=")</f>
        <v>#REF!</v>
      </c>
      <c r="FL6" t="e">
        <f>AND(#REF!,"AAAAAHL7b6c=")</f>
        <v>#REF!</v>
      </c>
      <c r="FM6" t="e">
        <f>AND(#REF!,"AAAAAHL7b6g=")</f>
        <v>#REF!</v>
      </c>
      <c r="FN6" t="e">
        <f>AND(#REF!,"AAAAAHL7b6k=")</f>
        <v>#REF!</v>
      </c>
      <c r="FO6" t="e">
        <f>AND(#REF!,"AAAAAHL7b6o=")</f>
        <v>#REF!</v>
      </c>
      <c r="FP6" t="e">
        <f>AND(#REF!,"AAAAAHL7b6s=")</f>
        <v>#REF!</v>
      </c>
      <c r="FQ6" t="e">
        <f>AND(#REF!,"AAAAAHL7b6w=")</f>
        <v>#REF!</v>
      </c>
      <c r="FR6" t="e">
        <f>AND(#REF!,"AAAAAHL7b60=")</f>
        <v>#REF!</v>
      </c>
      <c r="FS6" t="e">
        <f>AND(#REF!,"AAAAAHL7b64=")</f>
        <v>#REF!</v>
      </c>
      <c r="FT6" t="e">
        <f>AND(#REF!,"AAAAAHL7b68=")</f>
        <v>#REF!</v>
      </c>
      <c r="FU6" t="e">
        <f>AND(#REF!,"AAAAAHL7b7A=")</f>
        <v>#REF!</v>
      </c>
      <c r="FV6" t="e">
        <f>AND(#REF!,"AAAAAHL7b7E=")</f>
        <v>#REF!</v>
      </c>
      <c r="FW6" t="e">
        <f>AND(#REF!,"AAAAAHL7b7I=")</f>
        <v>#REF!</v>
      </c>
      <c r="FX6" t="e">
        <f>AND(#REF!,"AAAAAHL7b7M=")</f>
        <v>#REF!</v>
      </c>
      <c r="FY6" t="e">
        <f>AND(#REF!,"AAAAAHL7b7Q=")</f>
        <v>#REF!</v>
      </c>
      <c r="FZ6" t="e">
        <f>AND(#REF!,"AAAAAHL7b7U=")</f>
        <v>#REF!</v>
      </c>
      <c r="GA6" t="e">
        <f>AND(#REF!,"AAAAAHL7b7Y=")</f>
        <v>#REF!</v>
      </c>
      <c r="GB6" t="e">
        <f>AND(#REF!,"AAAAAHL7b7c=")</f>
        <v>#REF!</v>
      </c>
      <c r="GC6" t="e">
        <f>AND(#REF!,"AAAAAHL7b7g=")</f>
        <v>#REF!</v>
      </c>
      <c r="GD6" t="e">
        <f>AND(#REF!,"AAAAAHL7b7k=")</f>
        <v>#REF!</v>
      </c>
      <c r="GE6" t="e">
        <f>AND(#REF!,"AAAAAHL7b7o=")</f>
        <v>#REF!</v>
      </c>
      <c r="GF6" t="e">
        <f>AND(#REF!,"AAAAAHL7b7s=")</f>
        <v>#REF!</v>
      </c>
      <c r="GG6" t="e">
        <f>AND(#REF!,"AAAAAHL7b7w=")</f>
        <v>#REF!</v>
      </c>
      <c r="GH6" t="e">
        <f>AND(#REF!,"AAAAAHL7b70=")</f>
        <v>#REF!</v>
      </c>
      <c r="GI6" t="e">
        <f>AND(#REF!,"AAAAAHL7b74=")</f>
        <v>#REF!</v>
      </c>
      <c r="GJ6" t="e">
        <f>AND(#REF!,"AAAAAHL7b78=")</f>
        <v>#REF!</v>
      </c>
      <c r="GK6" t="e">
        <f>AND(#REF!,"AAAAAHL7b8A=")</f>
        <v>#REF!</v>
      </c>
      <c r="GL6" t="e">
        <f>AND(#REF!,"AAAAAHL7b8E=")</f>
        <v>#REF!</v>
      </c>
      <c r="GM6" t="e">
        <f>AND(#REF!,"AAAAAHL7b8I=")</f>
        <v>#REF!</v>
      </c>
      <c r="GN6" t="e">
        <f>AND(#REF!,"AAAAAHL7b8M=")</f>
        <v>#REF!</v>
      </c>
      <c r="GO6" t="e">
        <f>AND(#REF!,"AAAAAHL7b8Q=")</f>
        <v>#REF!</v>
      </c>
      <c r="GP6" t="e">
        <f>AND(#REF!,"AAAAAHL7b8U=")</f>
        <v>#REF!</v>
      </c>
      <c r="GQ6" t="e">
        <f>AND(#REF!,"AAAAAHL7b8Y=")</f>
        <v>#REF!</v>
      </c>
      <c r="GR6" t="e">
        <f>AND(#REF!,"AAAAAHL7b8c=")</f>
        <v>#REF!</v>
      </c>
      <c r="GS6" t="e">
        <f>AND(#REF!,"AAAAAHL7b8g=")</f>
        <v>#REF!</v>
      </c>
      <c r="GT6" t="e">
        <f>AND(#REF!,"AAAAAHL7b8k=")</f>
        <v>#REF!</v>
      </c>
      <c r="GU6" t="e">
        <f>AND(#REF!,"AAAAAHL7b8o=")</f>
        <v>#REF!</v>
      </c>
      <c r="GV6" t="e">
        <f>AND(#REF!,"AAAAAHL7b8s=")</f>
        <v>#REF!</v>
      </c>
      <c r="GW6" t="e">
        <f>AND(#REF!,"AAAAAHL7b8w=")</f>
        <v>#REF!</v>
      </c>
      <c r="GX6" t="e">
        <f>AND(#REF!,"AAAAAHL7b80=")</f>
        <v>#REF!</v>
      </c>
      <c r="GY6" t="e">
        <f>AND(#REF!,"AAAAAHL7b84=")</f>
        <v>#REF!</v>
      </c>
      <c r="GZ6" t="e">
        <f>AND(#REF!,"AAAAAHL7b88=")</f>
        <v>#REF!</v>
      </c>
      <c r="HA6" t="e">
        <f>AND(#REF!,"AAAAAHL7b9A=")</f>
        <v>#REF!</v>
      </c>
      <c r="HB6" t="e">
        <f>AND(#REF!,"AAAAAHL7b9E=")</f>
        <v>#REF!</v>
      </c>
      <c r="HC6" t="e">
        <f>AND(#REF!,"AAAAAHL7b9I=")</f>
        <v>#REF!</v>
      </c>
      <c r="HD6" t="e">
        <f>AND(#REF!,"AAAAAHL7b9M=")</f>
        <v>#REF!</v>
      </c>
      <c r="HE6" t="e">
        <f>AND(#REF!,"AAAAAHL7b9Q=")</f>
        <v>#REF!</v>
      </c>
      <c r="HF6" t="e">
        <f>AND(#REF!,"AAAAAHL7b9U=")</f>
        <v>#REF!</v>
      </c>
      <c r="HG6" t="e">
        <f>AND(#REF!,"AAAAAHL7b9Y=")</f>
        <v>#REF!</v>
      </c>
      <c r="HH6" t="e">
        <f>AND(#REF!,"AAAAAHL7b9c=")</f>
        <v>#REF!</v>
      </c>
      <c r="HI6" t="e">
        <f>AND(#REF!,"AAAAAHL7b9g=")</f>
        <v>#REF!</v>
      </c>
      <c r="HJ6" t="e">
        <f>AND(#REF!,"AAAAAHL7b9k=")</f>
        <v>#REF!</v>
      </c>
      <c r="HK6" t="e">
        <f>AND(#REF!,"AAAAAHL7b9o=")</f>
        <v>#REF!</v>
      </c>
      <c r="HL6" t="e">
        <f>AND(#REF!,"AAAAAHL7b9s=")</f>
        <v>#REF!</v>
      </c>
      <c r="HM6" t="e">
        <f>AND(#REF!,"AAAAAHL7b9w=")</f>
        <v>#REF!</v>
      </c>
      <c r="HN6" t="e">
        <f>AND(#REF!,"AAAAAHL7b90=")</f>
        <v>#REF!</v>
      </c>
      <c r="HO6" t="e">
        <f>AND(#REF!,"AAAAAHL7b94=")</f>
        <v>#REF!</v>
      </c>
      <c r="HP6" t="e">
        <f>AND(#REF!,"AAAAAHL7b98=")</f>
        <v>#REF!</v>
      </c>
      <c r="HQ6" t="e">
        <f>AND(#REF!,"AAAAAHL7b+A=")</f>
        <v>#REF!</v>
      </c>
      <c r="HR6" t="e">
        <f>AND(#REF!,"AAAAAHL7b+E=")</f>
        <v>#REF!</v>
      </c>
      <c r="HS6" t="e">
        <f>AND(#REF!,"AAAAAHL7b+I=")</f>
        <v>#REF!</v>
      </c>
      <c r="HT6" t="e">
        <f>AND(#REF!,"AAAAAHL7b+M=")</f>
        <v>#REF!</v>
      </c>
      <c r="HU6" t="e">
        <f>AND(#REF!,"AAAAAHL7b+Q=")</f>
        <v>#REF!</v>
      </c>
      <c r="HV6" t="e">
        <f>AND(#REF!,"AAAAAHL7b+U=")</f>
        <v>#REF!</v>
      </c>
      <c r="HW6" t="e">
        <f>AND(#REF!,"AAAAAHL7b+Y=")</f>
        <v>#REF!</v>
      </c>
      <c r="HX6" t="e">
        <f>AND(#REF!,"AAAAAHL7b+c=")</f>
        <v>#REF!</v>
      </c>
      <c r="HY6" t="e">
        <f>AND(#REF!,"AAAAAHL7b+g=")</f>
        <v>#REF!</v>
      </c>
      <c r="HZ6" t="e">
        <f>AND(#REF!,"AAAAAHL7b+k=")</f>
        <v>#REF!</v>
      </c>
      <c r="IA6" t="e">
        <f>AND(#REF!,"AAAAAHL7b+o=")</f>
        <v>#REF!</v>
      </c>
      <c r="IB6" t="e">
        <f>AND(#REF!,"AAAAAHL7b+s=")</f>
        <v>#REF!</v>
      </c>
      <c r="IC6" t="e">
        <f>AND(#REF!,"AAAAAHL7b+w=")</f>
        <v>#REF!</v>
      </c>
      <c r="ID6" t="e">
        <f>AND(#REF!,"AAAAAHL7b+0=")</f>
        <v>#REF!</v>
      </c>
      <c r="IE6" t="e">
        <f>AND(#REF!,"AAAAAHL7b+4=")</f>
        <v>#REF!</v>
      </c>
      <c r="IF6" t="e">
        <f>AND(#REF!,"AAAAAHL7b+8=")</f>
        <v>#REF!</v>
      </c>
      <c r="IG6" t="e">
        <f>AND(#REF!,"AAAAAHL7b/A=")</f>
        <v>#REF!</v>
      </c>
      <c r="IH6" t="e">
        <f>AND(#REF!,"AAAAAHL7b/E=")</f>
        <v>#REF!</v>
      </c>
      <c r="II6" t="e">
        <f>AND(#REF!,"AAAAAHL7b/I=")</f>
        <v>#REF!</v>
      </c>
      <c r="IJ6" t="e">
        <f>AND(#REF!,"AAAAAHL7b/M=")</f>
        <v>#REF!</v>
      </c>
      <c r="IK6" t="e">
        <f>AND(#REF!,"AAAAAHL7b/Q=")</f>
        <v>#REF!</v>
      </c>
      <c r="IL6" t="e">
        <f>AND(#REF!,"AAAAAHL7b/U=")</f>
        <v>#REF!</v>
      </c>
      <c r="IM6" t="e">
        <f>AND(#REF!,"AAAAAHL7b/Y=")</f>
        <v>#REF!</v>
      </c>
      <c r="IN6" t="e">
        <f>AND(#REF!,"AAAAAHL7b/c=")</f>
        <v>#REF!</v>
      </c>
      <c r="IO6" t="e">
        <f>AND(#REF!,"AAAAAHL7b/g=")</f>
        <v>#REF!</v>
      </c>
      <c r="IP6" t="e">
        <f>AND(#REF!,"AAAAAHL7b/k=")</f>
        <v>#REF!</v>
      </c>
      <c r="IQ6" t="e">
        <f>AND(#REF!,"AAAAAHL7b/o=")</f>
        <v>#REF!</v>
      </c>
      <c r="IR6" t="e">
        <f>AND(#REF!,"AAAAAHL7b/s=")</f>
        <v>#REF!</v>
      </c>
      <c r="IS6" t="e">
        <f>AND(#REF!,"AAAAAHL7b/w=")</f>
        <v>#REF!</v>
      </c>
      <c r="IT6" t="e">
        <f>AND(#REF!,"AAAAAHL7b/0=")</f>
        <v>#REF!</v>
      </c>
      <c r="IU6" t="e">
        <f>AND(#REF!,"AAAAAHL7b/4=")</f>
        <v>#REF!</v>
      </c>
      <c r="IV6" t="e">
        <f>AND(#REF!,"AAAAAHL7b/8=")</f>
        <v>#REF!</v>
      </c>
    </row>
    <row r="7" spans="1:256" x14ac:dyDescent="0.25">
      <c r="A7" t="e">
        <f>AND(#REF!,"AAAAAHmfnQA=")</f>
        <v>#REF!</v>
      </c>
      <c r="B7" t="e">
        <f>AND(#REF!,"AAAAAHmfnQE=")</f>
        <v>#REF!</v>
      </c>
      <c r="C7" t="e">
        <f>AND(#REF!,"AAAAAHmfnQI=")</f>
        <v>#REF!</v>
      </c>
      <c r="D7" t="e">
        <f>AND(#REF!,"AAAAAHmfnQM=")</f>
        <v>#REF!</v>
      </c>
      <c r="E7" t="e">
        <f>AND(#REF!,"AAAAAHmfnQQ=")</f>
        <v>#REF!</v>
      </c>
      <c r="F7" t="e">
        <f>AND(#REF!,"AAAAAHmfnQU=")</f>
        <v>#REF!</v>
      </c>
      <c r="G7" t="e">
        <f>AND(#REF!,"AAAAAHmfnQY=")</f>
        <v>#REF!</v>
      </c>
      <c r="H7" t="e">
        <f>AND(#REF!,"AAAAAHmfnQc=")</f>
        <v>#REF!</v>
      </c>
      <c r="I7" t="e">
        <f>AND(#REF!,"AAAAAHmfnQg=")</f>
        <v>#REF!</v>
      </c>
      <c r="J7" t="e">
        <f>AND(#REF!,"AAAAAHmfnQk=")</f>
        <v>#REF!</v>
      </c>
      <c r="K7" t="e">
        <f>AND(#REF!,"AAAAAHmfnQo=")</f>
        <v>#REF!</v>
      </c>
      <c r="L7" t="e">
        <f>AND(#REF!,"AAAAAHmfnQs=")</f>
        <v>#REF!</v>
      </c>
      <c r="M7" t="e">
        <f>AND(#REF!,"AAAAAHmfnQw=")</f>
        <v>#REF!</v>
      </c>
      <c r="N7" t="e">
        <f>IF(#REF!,"AAAAAHmfnQ0=",0)</f>
        <v>#REF!</v>
      </c>
      <c r="O7" t="e">
        <f>AND(#REF!,"AAAAAHmfnQ4=")</f>
        <v>#REF!</v>
      </c>
      <c r="P7" t="e">
        <f>AND(#REF!,"AAAAAHmfnQ8=")</f>
        <v>#REF!</v>
      </c>
      <c r="Q7" t="e">
        <f>AND(#REF!,"AAAAAHmfnRA=")</f>
        <v>#REF!</v>
      </c>
      <c r="R7" t="e">
        <f>AND(#REF!,"AAAAAHmfnRE=")</f>
        <v>#REF!</v>
      </c>
      <c r="S7" t="e">
        <f>AND(#REF!,"AAAAAHmfnRI=")</f>
        <v>#REF!</v>
      </c>
      <c r="T7" t="e">
        <f>AND(#REF!,"AAAAAHmfnRM=")</f>
        <v>#REF!</v>
      </c>
      <c r="U7" t="e">
        <f>AND(#REF!,"AAAAAHmfnRQ=")</f>
        <v>#REF!</v>
      </c>
      <c r="V7" t="e">
        <f>AND(#REF!,"AAAAAHmfnRU=")</f>
        <v>#REF!</v>
      </c>
      <c r="W7" t="e">
        <f>AND(#REF!,"AAAAAHmfnRY=")</f>
        <v>#REF!</v>
      </c>
      <c r="X7" t="e">
        <f>AND(#REF!,"AAAAAHmfnRc=")</f>
        <v>#REF!</v>
      </c>
      <c r="Y7" t="e">
        <f>AND(#REF!,"AAAAAHmfnRg=")</f>
        <v>#REF!</v>
      </c>
      <c r="Z7" t="e">
        <f>AND(#REF!,"AAAAAHmfnRk=")</f>
        <v>#REF!</v>
      </c>
      <c r="AA7" t="e">
        <f>AND(#REF!,"AAAAAHmfnRo=")</f>
        <v>#REF!</v>
      </c>
      <c r="AB7" t="e">
        <f>AND(#REF!,"AAAAAHmfnRs=")</f>
        <v>#REF!</v>
      </c>
      <c r="AC7" t="e">
        <f>AND(#REF!,"AAAAAHmfnRw=")</f>
        <v>#REF!</v>
      </c>
      <c r="AD7" t="e">
        <f>AND(#REF!,"AAAAAHmfnR0=")</f>
        <v>#REF!</v>
      </c>
      <c r="AE7" t="e">
        <f>AND(#REF!,"AAAAAHmfnR4=")</f>
        <v>#REF!</v>
      </c>
      <c r="AF7" t="e">
        <f>AND(#REF!,"AAAAAHmfnR8=")</f>
        <v>#REF!</v>
      </c>
      <c r="AG7" t="e">
        <f>AND(#REF!,"AAAAAHmfnSA=")</f>
        <v>#REF!</v>
      </c>
      <c r="AH7" t="e">
        <f>AND(#REF!,"AAAAAHmfnSE=")</f>
        <v>#REF!</v>
      </c>
      <c r="AI7" t="e">
        <f>AND(#REF!,"AAAAAHmfnSI=")</f>
        <v>#REF!</v>
      </c>
      <c r="AJ7" t="e">
        <f>AND(#REF!,"AAAAAHmfnSM=")</f>
        <v>#REF!</v>
      </c>
      <c r="AK7" t="e">
        <f>AND(#REF!,"AAAAAHmfnSQ=")</f>
        <v>#REF!</v>
      </c>
      <c r="AL7" t="e">
        <f>AND(#REF!,"AAAAAHmfnSU=")</f>
        <v>#REF!</v>
      </c>
      <c r="AM7" t="e">
        <f>AND(#REF!,"AAAAAHmfnSY=")</f>
        <v>#REF!</v>
      </c>
      <c r="AN7" t="e">
        <f>AND(#REF!,"AAAAAHmfnSc=")</f>
        <v>#REF!</v>
      </c>
      <c r="AO7" t="e">
        <f>AND(#REF!,"AAAAAHmfnSg=")</f>
        <v>#REF!</v>
      </c>
      <c r="AP7" t="e">
        <f>AND(#REF!,"AAAAAHmfnSk=")</f>
        <v>#REF!</v>
      </c>
      <c r="AQ7" t="e">
        <f>AND(#REF!,"AAAAAHmfnSo=")</f>
        <v>#REF!</v>
      </c>
      <c r="AR7" t="e">
        <f>AND(#REF!,"AAAAAHmfnSs=")</f>
        <v>#REF!</v>
      </c>
      <c r="AS7" t="e">
        <f>AND(#REF!,"AAAAAHmfnSw=")</f>
        <v>#REF!</v>
      </c>
      <c r="AT7" t="e">
        <f>AND(#REF!,"AAAAAHmfnS0=")</f>
        <v>#REF!</v>
      </c>
      <c r="AU7" t="e">
        <f>AND(#REF!,"AAAAAHmfnS4=")</f>
        <v>#REF!</v>
      </c>
      <c r="AV7" t="e">
        <f>AND(#REF!,"AAAAAHmfnS8=")</f>
        <v>#REF!</v>
      </c>
      <c r="AW7" t="e">
        <f>AND(#REF!,"AAAAAHmfnTA=")</f>
        <v>#REF!</v>
      </c>
      <c r="AX7" t="e">
        <f>AND(#REF!,"AAAAAHmfnTE=")</f>
        <v>#REF!</v>
      </c>
      <c r="AY7" t="e">
        <f>AND(#REF!,"AAAAAHmfnTI=")</f>
        <v>#REF!</v>
      </c>
      <c r="AZ7" t="e">
        <f>AND(#REF!,"AAAAAHmfnTM=")</f>
        <v>#REF!</v>
      </c>
      <c r="BA7" t="e">
        <f>AND(#REF!,"AAAAAHmfnTQ=")</f>
        <v>#REF!</v>
      </c>
      <c r="BB7" t="e">
        <f>AND(#REF!,"AAAAAHmfnTU=")</f>
        <v>#REF!</v>
      </c>
      <c r="BC7" t="e">
        <f>AND(#REF!,"AAAAAHmfnTY=")</f>
        <v>#REF!</v>
      </c>
      <c r="BD7" t="e">
        <f>AND(#REF!,"AAAAAHmfnTc=")</f>
        <v>#REF!</v>
      </c>
      <c r="BE7" t="e">
        <f>AND(#REF!,"AAAAAHmfnTg=")</f>
        <v>#REF!</v>
      </c>
      <c r="BF7" t="e">
        <f>AND(#REF!,"AAAAAHmfnTk=")</f>
        <v>#REF!</v>
      </c>
      <c r="BG7" t="e">
        <f>AND(#REF!,"AAAAAHmfnTo=")</f>
        <v>#REF!</v>
      </c>
      <c r="BH7" t="e">
        <f>AND(#REF!,"AAAAAHmfnTs=")</f>
        <v>#REF!</v>
      </c>
      <c r="BI7" t="e">
        <f>AND(#REF!,"AAAAAHmfnTw=")</f>
        <v>#REF!</v>
      </c>
      <c r="BJ7" t="e">
        <f>AND(#REF!,"AAAAAHmfnT0=")</f>
        <v>#REF!</v>
      </c>
      <c r="BK7" t="e">
        <f>AND(#REF!,"AAAAAHmfnT4=")</f>
        <v>#REF!</v>
      </c>
      <c r="BL7" t="e">
        <f>AND(#REF!,"AAAAAHmfnT8=")</f>
        <v>#REF!</v>
      </c>
      <c r="BM7" t="e">
        <f>AND(#REF!,"AAAAAHmfnUA=")</f>
        <v>#REF!</v>
      </c>
      <c r="BN7" t="e">
        <f>AND(#REF!,"AAAAAHmfnUE=")</f>
        <v>#REF!</v>
      </c>
      <c r="BO7" t="e">
        <f>AND(#REF!,"AAAAAHmfnUI=")</f>
        <v>#REF!</v>
      </c>
      <c r="BP7" t="e">
        <f>AND(#REF!,"AAAAAHmfnUM=")</f>
        <v>#REF!</v>
      </c>
      <c r="BQ7" t="e">
        <f>AND(#REF!,"AAAAAHmfnUQ=")</f>
        <v>#REF!</v>
      </c>
      <c r="BR7" t="e">
        <f>AND(#REF!,"AAAAAHmfnUU=")</f>
        <v>#REF!</v>
      </c>
      <c r="BS7" t="e">
        <f>AND(#REF!,"AAAAAHmfnUY=")</f>
        <v>#REF!</v>
      </c>
      <c r="BT7" t="e">
        <f>AND(#REF!,"AAAAAHmfnUc=")</f>
        <v>#REF!</v>
      </c>
      <c r="BU7" t="e">
        <f>AND(#REF!,"AAAAAHmfnUg=")</f>
        <v>#REF!</v>
      </c>
      <c r="BV7" t="e">
        <f>AND(#REF!,"AAAAAHmfnUk=")</f>
        <v>#REF!</v>
      </c>
      <c r="BW7" t="e">
        <f>AND(#REF!,"AAAAAHmfnUo=")</f>
        <v>#REF!</v>
      </c>
      <c r="BX7" t="e">
        <f>AND(#REF!,"AAAAAHmfnUs=")</f>
        <v>#REF!</v>
      </c>
      <c r="BY7" t="e">
        <f>AND(#REF!,"AAAAAHmfnUw=")</f>
        <v>#REF!</v>
      </c>
      <c r="BZ7" t="e">
        <f>AND(#REF!,"AAAAAHmfnU0=")</f>
        <v>#REF!</v>
      </c>
      <c r="CA7" t="e">
        <f>AND(#REF!,"AAAAAHmfnU4=")</f>
        <v>#REF!</v>
      </c>
      <c r="CB7" t="e">
        <f>AND(#REF!,"AAAAAHmfnU8=")</f>
        <v>#REF!</v>
      </c>
      <c r="CC7" t="e">
        <f>AND(#REF!,"AAAAAHmfnVA=")</f>
        <v>#REF!</v>
      </c>
      <c r="CD7" t="e">
        <f>AND(#REF!,"AAAAAHmfnVE=")</f>
        <v>#REF!</v>
      </c>
      <c r="CE7" t="e">
        <f>AND(#REF!,"AAAAAHmfnVI=")</f>
        <v>#REF!</v>
      </c>
      <c r="CF7" t="e">
        <f>AND(#REF!,"AAAAAHmfnVM=")</f>
        <v>#REF!</v>
      </c>
      <c r="CG7" t="e">
        <f>AND(#REF!,"AAAAAHmfnVQ=")</f>
        <v>#REF!</v>
      </c>
      <c r="CH7" t="e">
        <f>AND(#REF!,"AAAAAHmfnVU=")</f>
        <v>#REF!</v>
      </c>
      <c r="CI7" t="e">
        <f>AND(#REF!,"AAAAAHmfnVY=")</f>
        <v>#REF!</v>
      </c>
      <c r="CJ7" t="e">
        <f>AND(#REF!,"AAAAAHmfnVc=")</f>
        <v>#REF!</v>
      </c>
      <c r="CK7" t="e">
        <f>AND(#REF!,"AAAAAHmfnVg=")</f>
        <v>#REF!</v>
      </c>
      <c r="CL7" t="e">
        <f>AND(#REF!,"AAAAAHmfnVk=")</f>
        <v>#REF!</v>
      </c>
      <c r="CM7" t="e">
        <f>AND(#REF!,"AAAAAHmfnVo=")</f>
        <v>#REF!</v>
      </c>
      <c r="CN7" t="e">
        <f>AND(#REF!,"AAAAAHmfnVs=")</f>
        <v>#REF!</v>
      </c>
      <c r="CO7" t="e">
        <f>AND(#REF!,"AAAAAHmfnVw=")</f>
        <v>#REF!</v>
      </c>
      <c r="CP7" t="e">
        <f>AND(#REF!,"AAAAAHmfnV0=")</f>
        <v>#REF!</v>
      </c>
      <c r="CQ7" t="e">
        <f>AND(#REF!,"AAAAAHmfnV4=")</f>
        <v>#REF!</v>
      </c>
      <c r="CR7" t="e">
        <f>AND(#REF!,"AAAAAHmfnV8=")</f>
        <v>#REF!</v>
      </c>
      <c r="CS7" t="e">
        <f>AND(#REF!,"AAAAAHmfnWA=")</f>
        <v>#REF!</v>
      </c>
      <c r="CT7" t="e">
        <f>AND(#REF!,"AAAAAHmfnWE=")</f>
        <v>#REF!</v>
      </c>
      <c r="CU7" t="e">
        <f>AND(#REF!,"AAAAAHmfnWI=")</f>
        <v>#REF!</v>
      </c>
      <c r="CV7" t="e">
        <f>AND(#REF!,"AAAAAHmfnWM=")</f>
        <v>#REF!</v>
      </c>
      <c r="CW7" t="e">
        <f>AND(#REF!,"AAAAAHmfnWQ=")</f>
        <v>#REF!</v>
      </c>
      <c r="CX7" t="e">
        <f>AND(#REF!,"AAAAAHmfnWU=")</f>
        <v>#REF!</v>
      </c>
      <c r="CY7" t="e">
        <f>AND(#REF!,"AAAAAHmfnWY=")</f>
        <v>#REF!</v>
      </c>
      <c r="CZ7" t="e">
        <f>AND(#REF!,"AAAAAHmfnWc=")</f>
        <v>#REF!</v>
      </c>
      <c r="DA7" t="e">
        <f>AND(#REF!,"AAAAAHmfnWg=")</f>
        <v>#REF!</v>
      </c>
      <c r="DB7" t="e">
        <f>AND(#REF!,"AAAAAHmfnWk=")</f>
        <v>#REF!</v>
      </c>
      <c r="DC7" t="e">
        <f>AND(#REF!,"AAAAAHmfnWo=")</f>
        <v>#REF!</v>
      </c>
      <c r="DD7" t="e">
        <f>AND(#REF!,"AAAAAHmfnWs=")</f>
        <v>#REF!</v>
      </c>
      <c r="DE7" t="e">
        <f>AND(#REF!,"AAAAAHmfnWw=")</f>
        <v>#REF!</v>
      </c>
      <c r="DF7" t="e">
        <f>AND(#REF!,"AAAAAHmfnW0=")</f>
        <v>#REF!</v>
      </c>
      <c r="DG7" t="e">
        <f>AND(#REF!,"AAAAAHmfnW4=")</f>
        <v>#REF!</v>
      </c>
      <c r="DH7" t="e">
        <f>AND(#REF!,"AAAAAHmfnW8=")</f>
        <v>#REF!</v>
      </c>
      <c r="DI7" t="e">
        <f>AND(#REF!,"AAAAAHmfnXA=")</f>
        <v>#REF!</v>
      </c>
      <c r="DJ7" t="e">
        <f>AND(#REF!,"AAAAAHmfnXE=")</f>
        <v>#REF!</v>
      </c>
      <c r="DK7" t="e">
        <f>AND(#REF!,"AAAAAHmfnXI=")</f>
        <v>#REF!</v>
      </c>
      <c r="DL7" t="e">
        <f>AND(#REF!,"AAAAAHmfnXM=")</f>
        <v>#REF!</v>
      </c>
      <c r="DM7" t="e">
        <f>AND(#REF!,"AAAAAHmfnXQ=")</f>
        <v>#REF!</v>
      </c>
      <c r="DN7" t="e">
        <f>AND(#REF!,"AAAAAHmfnXU=")</f>
        <v>#REF!</v>
      </c>
      <c r="DO7" t="e">
        <f>AND(#REF!,"AAAAAHmfnXY=")</f>
        <v>#REF!</v>
      </c>
      <c r="DP7" t="e">
        <f>AND(#REF!,"AAAAAHmfnXc=")</f>
        <v>#REF!</v>
      </c>
      <c r="DQ7" t="e">
        <f>AND(#REF!,"AAAAAHmfnXg=")</f>
        <v>#REF!</v>
      </c>
      <c r="DR7" t="e">
        <f>AND(#REF!,"AAAAAHmfnXk=")</f>
        <v>#REF!</v>
      </c>
      <c r="DS7" t="e">
        <f>AND(#REF!,"AAAAAHmfnXo=")</f>
        <v>#REF!</v>
      </c>
      <c r="DT7" t="e">
        <f>AND(#REF!,"AAAAAHmfnXs=")</f>
        <v>#REF!</v>
      </c>
      <c r="DU7" t="e">
        <f>AND(#REF!,"AAAAAHmfnXw=")</f>
        <v>#REF!</v>
      </c>
      <c r="DV7" t="e">
        <f>AND(#REF!,"AAAAAHmfnX0=")</f>
        <v>#REF!</v>
      </c>
      <c r="DW7" t="e">
        <f>AND(#REF!,"AAAAAHmfnX4=")</f>
        <v>#REF!</v>
      </c>
      <c r="DX7" t="e">
        <f>AND(#REF!,"AAAAAHmfnX8=")</f>
        <v>#REF!</v>
      </c>
      <c r="DY7" t="e">
        <f>AND(#REF!,"AAAAAHmfnYA=")</f>
        <v>#REF!</v>
      </c>
      <c r="DZ7" t="e">
        <f>AND(#REF!,"AAAAAHmfnYE=")</f>
        <v>#REF!</v>
      </c>
      <c r="EA7" t="e">
        <f>AND(#REF!,"AAAAAHmfnYI=")</f>
        <v>#REF!</v>
      </c>
      <c r="EB7" t="e">
        <f>AND(#REF!,"AAAAAHmfnYM=")</f>
        <v>#REF!</v>
      </c>
      <c r="EC7" t="e">
        <f>AND(#REF!,"AAAAAHmfnYQ=")</f>
        <v>#REF!</v>
      </c>
      <c r="ED7" t="e">
        <f>AND(#REF!,"AAAAAHmfnYU=")</f>
        <v>#REF!</v>
      </c>
      <c r="EE7" t="e">
        <f>AND(#REF!,"AAAAAHmfnYY=")</f>
        <v>#REF!</v>
      </c>
      <c r="EF7" t="e">
        <f>AND(#REF!,"AAAAAHmfnYc=")</f>
        <v>#REF!</v>
      </c>
      <c r="EG7" t="e">
        <f>AND(#REF!,"AAAAAHmfnYg=")</f>
        <v>#REF!</v>
      </c>
      <c r="EH7" t="e">
        <f>AND(#REF!,"AAAAAHmfnYk=")</f>
        <v>#REF!</v>
      </c>
      <c r="EI7" t="e">
        <f>AND(#REF!,"AAAAAHmfnYo=")</f>
        <v>#REF!</v>
      </c>
      <c r="EJ7" t="e">
        <f>AND(#REF!,"AAAAAHmfnYs=")</f>
        <v>#REF!</v>
      </c>
      <c r="EK7" t="e">
        <f>AND(#REF!,"AAAAAHmfnYw=")</f>
        <v>#REF!</v>
      </c>
      <c r="EL7" t="e">
        <f>AND(#REF!,"AAAAAHmfnY0=")</f>
        <v>#REF!</v>
      </c>
      <c r="EM7" t="e">
        <f>AND(#REF!,"AAAAAHmfnY4=")</f>
        <v>#REF!</v>
      </c>
      <c r="EN7" t="e">
        <f>AND(#REF!,"AAAAAHmfnY8=")</f>
        <v>#REF!</v>
      </c>
      <c r="EO7" t="e">
        <f>AND(#REF!,"AAAAAHmfnZA=")</f>
        <v>#REF!</v>
      </c>
      <c r="EP7" t="e">
        <f>AND(#REF!,"AAAAAHmfnZE=")</f>
        <v>#REF!</v>
      </c>
      <c r="EQ7" t="e">
        <f>AND(#REF!,"AAAAAHmfnZI=")</f>
        <v>#REF!</v>
      </c>
      <c r="ER7" t="e">
        <f>AND(#REF!,"AAAAAHmfnZM=")</f>
        <v>#REF!</v>
      </c>
      <c r="ES7" t="e">
        <f>AND(#REF!,"AAAAAHmfnZQ=")</f>
        <v>#REF!</v>
      </c>
      <c r="ET7" t="e">
        <f>AND(#REF!,"AAAAAHmfnZU=")</f>
        <v>#REF!</v>
      </c>
      <c r="EU7" t="e">
        <f>AND(#REF!,"AAAAAHmfnZY=")</f>
        <v>#REF!</v>
      </c>
      <c r="EV7" t="e">
        <f>AND(#REF!,"AAAAAHmfnZc=")</f>
        <v>#REF!</v>
      </c>
      <c r="EW7" t="e">
        <f>AND(#REF!,"AAAAAHmfnZg=")</f>
        <v>#REF!</v>
      </c>
      <c r="EX7" t="e">
        <f>AND(#REF!,"AAAAAHmfnZk=")</f>
        <v>#REF!</v>
      </c>
      <c r="EY7" t="e">
        <f>AND(#REF!,"AAAAAHmfnZo=")</f>
        <v>#REF!</v>
      </c>
      <c r="EZ7" t="e">
        <f>AND(#REF!,"AAAAAHmfnZs=")</f>
        <v>#REF!</v>
      </c>
      <c r="FA7" t="e">
        <f>AND(#REF!,"AAAAAHmfnZw=")</f>
        <v>#REF!</v>
      </c>
      <c r="FB7" t="e">
        <f>AND(#REF!,"AAAAAHmfnZ0=")</f>
        <v>#REF!</v>
      </c>
      <c r="FC7" t="e">
        <f>AND(#REF!,"AAAAAHmfnZ4=")</f>
        <v>#REF!</v>
      </c>
      <c r="FD7" t="e">
        <f>AND(#REF!,"AAAAAHmfnZ8=")</f>
        <v>#REF!</v>
      </c>
      <c r="FE7" t="e">
        <f>AND(#REF!,"AAAAAHmfnaA=")</f>
        <v>#REF!</v>
      </c>
      <c r="FF7" t="e">
        <f>AND(#REF!,"AAAAAHmfnaE=")</f>
        <v>#REF!</v>
      </c>
      <c r="FG7" t="e">
        <f>AND(#REF!,"AAAAAHmfnaI=")</f>
        <v>#REF!</v>
      </c>
      <c r="FH7" t="e">
        <f>AND(#REF!,"AAAAAHmfnaM=")</f>
        <v>#REF!</v>
      </c>
      <c r="FI7" t="e">
        <f>AND(#REF!,"AAAAAHmfnaQ=")</f>
        <v>#REF!</v>
      </c>
      <c r="FJ7" t="e">
        <f>AND(#REF!,"AAAAAHmfnaU=")</f>
        <v>#REF!</v>
      </c>
      <c r="FK7" t="e">
        <f>AND(#REF!,"AAAAAHmfnaY=")</f>
        <v>#REF!</v>
      </c>
      <c r="FL7" t="e">
        <f>AND(#REF!,"AAAAAHmfnac=")</f>
        <v>#REF!</v>
      </c>
      <c r="FM7" t="e">
        <f>AND(#REF!,"AAAAAHmfnag=")</f>
        <v>#REF!</v>
      </c>
      <c r="FN7" t="e">
        <f>AND(#REF!,"AAAAAHmfnak=")</f>
        <v>#REF!</v>
      </c>
      <c r="FO7" t="e">
        <f>AND(#REF!,"AAAAAHmfnao=")</f>
        <v>#REF!</v>
      </c>
      <c r="FP7" t="e">
        <f>AND(#REF!,"AAAAAHmfnas=")</f>
        <v>#REF!</v>
      </c>
      <c r="FQ7" t="e">
        <f>AND(#REF!,"AAAAAHmfnaw=")</f>
        <v>#REF!</v>
      </c>
      <c r="FR7" t="e">
        <f>AND(#REF!,"AAAAAHmfna0=")</f>
        <v>#REF!</v>
      </c>
      <c r="FS7" t="e">
        <f>AND(#REF!,"AAAAAHmfna4=")</f>
        <v>#REF!</v>
      </c>
      <c r="FT7" t="e">
        <f>AND(#REF!,"AAAAAHmfna8=")</f>
        <v>#REF!</v>
      </c>
      <c r="FU7" t="e">
        <f>AND(#REF!,"AAAAAHmfnbA=")</f>
        <v>#REF!</v>
      </c>
      <c r="FV7" t="e">
        <f>AND(#REF!,"AAAAAHmfnbE=")</f>
        <v>#REF!</v>
      </c>
      <c r="FW7" t="e">
        <f>AND(#REF!,"AAAAAHmfnbI=")</f>
        <v>#REF!</v>
      </c>
      <c r="FX7" t="e">
        <f>AND(#REF!,"AAAAAHmfnbM=")</f>
        <v>#REF!</v>
      </c>
      <c r="FY7" t="e">
        <f>AND(#REF!,"AAAAAHmfnbQ=")</f>
        <v>#REF!</v>
      </c>
      <c r="FZ7" t="e">
        <f>AND(#REF!,"AAAAAHmfnbU=")</f>
        <v>#REF!</v>
      </c>
      <c r="GA7" t="e">
        <f>AND(#REF!,"AAAAAHmfnbY=")</f>
        <v>#REF!</v>
      </c>
      <c r="GB7" t="e">
        <f>AND(#REF!,"AAAAAHmfnbc=")</f>
        <v>#REF!</v>
      </c>
      <c r="GC7" t="e">
        <f>AND(#REF!,"AAAAAHmfnbg=")</f>
        <v>#REF!</v>
      </c>
      <c r="GD7" t="e">
        <f>AND(#REF!,"AAAAAHmfnbk=")</f>
        <v>#REF!</v>
      </c>
      <c r="GE7" t="e">
        <f>AND(#REF!,"AAAAAHmfnbo=")</f>
        <v>#REF!</v>
      </c>
      <c r="GF7" t="e">
        <f>AND(#REF!,"AAAAAHmfnbs=")</f>
        <v>#REF!</v>
      </c>
      <c r="GG7" t="e">
        <f>AND(#REF!,"AAAAAHmfnbw=")</f>
        <v>#REF!</v>
      </c>
      <c r="GH7" t="e">
        <f>AND(#REF!,"AAAAAHmfnb0=")</f>
        <v>#REF!</v>
      </c>
      <c r="GI7" t="e">
        <f>AND(#REF!,"AAAAAHmfnb4=")</f>
        <v>#REF!</v>
      </c>
      <c r="GJ7" t="e">
        <f>AND(#REF!,"AAAAAHmfnb8=")</f>
        <v>#REF!</v>
      </c>
      <c r="GK7" t="e">
        <f>AND(#REF!,"AAAAAHmfncA=")</f>
        <v>#REF!</v>
      </c>
      <c r="GL7" t="e">
        <f>AND(#REF!,"AAAAAHmfncE=")</f>
        <v>#REF!</v>
      </c>
      <c r="GM7" t="e">
        <f>AND(#REF!,"AAAAAHmfncI=")</f>
        <v>#REF!</v>
      </c>
      <c r="GN7" t="e">
        <f>AND(#REF!,"AAAAAHmfncM=")</f>
        <v>#REF!</v>
      </c>
      <c r="GO7" t="e">
        <f>AND(#REF!,"AAAAAHmfncQ=")</f>
        <v>#REF!</v>
      </c>
      <c r="GP7" t="e">
        <f>AND(#REF!,"AAAAAHmfncU=")</f>
        <v>#REF!</v>
      </c>
      <c r="GQ7" t="e">
        <f>AND(#REF!,"AAAAAHmfncY=")</f>
        <v>#REF!</v>
      </c>
      <c r="GR7" t="e">
        <f>AND(#REF!,"AAAAAHmfncc=")</f>
        <v>#REF!</v>
      </c>
      <c r="GS7" t="e">
        <f>AND(#REF!,"AAAAAHmfncg=")</f>
        <v>#REF!</v>
      </c>
      <c r="GT7" t="e">
        <f>AND(#REF!,"AAAAAHmfnck=")</f>
        <v>#REF!</v>
      </c>
      <c r="GU7" t="e">
        <f>IF(#REF!,"AAAAAHmfnco=",0)</f>
        <v>#REF!</v>
      </c>
      <c r="GV7" t="e">
        <f>AND(#REF!,"AAAAAHmfncs=")</f>
        <v>#REF!</v>
      </c>
      <c r="GW7" t="e">
        <f>AND(#REF!,"AAAAAHmfncw=")</f>
        <v>#REF!</v>
      </c>
      <c r="GX7" t="e">
        <f>AND(#REF!,"AAAAAHmfnc0=")</f>
        <v>#REF!</v>
      </c>
      <c r="GY7" t="e">
        <f>AND(#REF!,"AAAAAHmfnc4=")</f>
        <v>#REF!</v>
      </c>
      <c r="GZ7" t="e">
        <f>AND(#REF!,"AAAAAHmfnc8=")</f>
        <v>#REF!</v>
      </c>
      <c r="HA7" t="e">
        <f>AND(#REF!,"AAAAAHmfndA=")</f>
        <v>#REF!</v>
      </c>
      <c r="HB7" t="e">
        <f>AND(#REF!,"AAAAAHmfndE=")</f>
        <v>#REF!</v>
      </c>
      <c r="HC7" t="e">
        <f>AND(#REF!,"AAAAAHmfndI=")</f>
        <v>#REF!</v>
      </c>
      <c r="HD7" t="e">
        <f>AND(#REF!,"AAAAAHmfndM=")</f>
        <v>#REF!</v>
      </c>
      <c r="HE7" t="e">
        <f>AND(#REF!,"AAAAAHmfndQ=")</f>
        <v>#REF!</v>
      </c>
      <c r="HF7" t="e">
        <f>AND(#REF!,"AAAAAHmfndU=")</f>
        <v>#REF!</v>
      </c>
      <c r="HG7" t="e">
        <f>AND(#REF!,"AAAAAHmfndY=")</f>
        <v>#REF!</v>
      </c>
      <c r="HH7" t="e">
        <f>AND(#REF!,"AAAAAHmfndc=")</f>
        <v>#REF!</v>
      </c>
      <c r="HI7" t="e">
        <f>AND(#REF!,"AAAAAHmfndg=")</f>
        <v>#REF!</v>
      </c>
      <c r="HJ7" t="e">
        <f>AND(#REF!,"AAAAAHmfndk=")</f>
        <v>#REF!</v>
      </c>
      <c r="HK7" t="e">
        <f>AND(#REF!,"AAAAAHmfndo=")</f>
        <v>#REF!</v>
      </c>
      <c r="HL7" t="e">
        <f>AND(#REF!,"AAAAAHmfnds=")</f>
        <v>#REF!</v>
      </c>
      <c r="HM7" t="e">
        <f>AND(#REF!,"AAAAAHmfndw=")</f>
        <v>#REF!</v>
      </c>
      <c r="HN7" t="e">
        <f>AND(#REF!,"AAAAAHmfnd0=")</f>
        <v>#REF!</v>
      </c>
      <c r="HO7" t="e">
        <f>AND(#REF!,"AAAAAHmfnd4=")</f>
        <v>#REF!</v>
      </c>
      <c r="HP7" t="e">
        <f>AND(#REF!,"AAAAAHmfnd8=")</f>
        <v>#REF!</v>
      </c>
      <c r="HQ7" t="e">
        <f>AND(#REF!,"AAAAAHmfneA=")</f>
        <v>#REF!</v>
      </c>
      <c r="HR7" t="e">
        <f>AND(#REF!,"AAAAAHmfneE=")</f>
        <v>#REF!</v>
      </c>
      <c r="HS7" t="e">
        <f>AND(#REF!,"AAAAAHmfneI=")</f>
        <v>#REF!</v>
      </c>
      <c r="HT7" t="e">
        <f>AND(#REF!,"AAAAAHmfneM=")</f>
        <v>#REF!</v>
      </c>
      <c r="HU7" t="e">
        <f>AND(#REF!,"AAAAAHmfneQ=")</f>
        <v>#REF!</v>
      </c>
      <c r="HV7" t="e">
        <f>AND(#REF!,"AAAAAHmfneU=")</f>
        <v>#REF!</v>
      </c>
      <c r="HW7" t="e">
        <f>AND(#REF!,"AAAAAHmfneY=")</f>
        <v>#REF!</v>
      </c>
      <c r="HX7" t="e">
        <f>AND(#REF!,"AAAAAHmfnec=")</f>
        <v>#REF!</v>
      </c>
      <c r="HY7" t="e">
        <f>AND(#REF!,"AAAAAHmfneg=")</f>
        <v>#REF!</v>
      </c>
      <c r="HZ7" t="e">
        <f>AND(#REF!,"AAAAAHmfnek=")</f>
        <v>#REF!</v>
      </c>
      <c r="IA7" t="e">
        <f>AND(#REF!,"AAAAAHmfneo=")</f>
        <v>#REF!</v>
      </c>
      <c r="IB7" t="e">
        <f>AND(#REF!,"AAAAAHmfnes=")</f>
        <v>#REF!</v>
      </c>
      <c r="IC7" t="e">
        <f>AND(#REF!,"AAAAAHmfnew=")</f>
        <v>#REF!</v>
      </c>
      <c r="ID7" t="e">
        <f>AND(#REF!,"AAAAAHmfne0=")</f>
        <v>#REF!</v>
      </c>
      <c r="IE7" t="e">
        <f>AND(#REF!,"AAAAAHmfne4=")</f>
        <v>#REF!</v>
      </c>
      <c r="IF7" t="e">
        <f>AND(#REF!,"AAAAAHmfne8=")</f>
        <v>#REF!</v>
      </c>
      <c r="IG7" t="e">
        <f>AND(#REF!,"AAAAAHmfnfA=")</f>
        <v>#REF!</v>
      </c>
      <c r="IH7" t="e">
        <f>AND(#REF!,"AAAAAHmfnfE=")</f>
        <v>#REF!</v>
      </c>
      <c r="II7" t="e">
        <f>AND(#REF!,"AAAAAHmfnfI=")</f>
        <v>#REF!</v>
      </c>
      <c r="IJ7" t="e">
        <f>AND(#REF!,"AAAAAHmfnfM=")</f>
        <v>#REF!</v>
      </c>
      <c r="IK7" t="e">
        <f>AND(#REF!,"AAAAAHmfnfQ=")</f>
        <v>#REF!</v>
      </c>
      <c r="IL7" t="e">
        <f>AND(#REF!,"AAAAAHmfnfU=")</f>
        <v>#REF!</v>
      </c>
      <c r="IM7" t="e">
        <f>AND(#REF!,"AAAAAHmfnfY=")</f>
        <v>#REF!</v>
      </c>
      <c r="IN7" t="e">
        <f>AND(#REF!,"AAAAAHmfnfc=")</f>
        <v>#REF!</v>
      </c>
      <c r="IO7" t="e">
        <f>AND(#REF!,"AAAAAHmfnfg=")</f>
        <v>#REF!</v>
      </c>
      <c r="IP7" t="e">
        <f>AND(#REF!,"AAAAAHmfnfk=")</f>
        <v>#REF!</v>
      </c>
      <c r="IQ7" t="e">
        <f>AND(#REF!,"AAAAAHmfnfo=")</f>
        <v>#REF!</v>
      </c>
      <c r="IR7" t="e">
        <f>AND(#REF!,"AAAAAHmfnfs=")</f>
        <v>#REF!</v>
      </c>
      <c r="IS7" t="e">
        <f>AND(#REF!,"AAAAAHmfnfw=")</f>
        <v>#REF!</v>
      </c>
      <c r="IT7" t="e">
        <f>AND(#REF!,"AAAAAHmfnf0=")</f>
        <v>#REF!</v>
      </c>
      <c r="IU7" t="e">
        <f>AND(#REF!,"AAAAAHmfnf4=")</f>
        <v>#REF!</v>
      </c>
      <c r="IV7" t="e">
        <f>AND(#REF!,"AAAAAHmfnf8=")</f>
        <v>#REF!</v>
      </c>
    </row>
    <row r="8" spans="1:256" x14ac:dyDescent="0.25">
      <c r="A8" t="e">
        <f>AND(#REF!,"AAAAADne/wA=")</f>
        <v>#REF!</v>
      </c>
      <c r="B8" t="e">
        <f>AND(#REF!,"AAAAADne/wE=")</f>
        <v>#REF!</v>
      </c>
      <c r="C8" t="e">
        <f>AND(#REF!,"AAAAADne/wI=")</f>
        <v>#REF!</v>
      </c>
      <c r="D8" t="e">
        <f>AND(#REF!,"AAAAADne/wM=")</f>
        <v>#REF!</v>
      </c>
      <c r="E8" t="e">
        <f>AND(#REF!,"AAAAADne/wQ=")</f>
        <v>#REF!</v>
      </c>
      <c r="F8" t="e">
        <f>AND(#REF!,"AAAAADne/wU=")</f>
        <v>#REF!</v>
      </c>
      <c r="G8" t="e">
        <f>AND(#REF!,"AAAAADne/wY=")</f>
        <v>#REF!</v>
      </c>
      <c r="H8" t="e">
        <f>AND(#REF!,"AAAAADne/wc=")</f>
        <v>#REF!</v>
      </c>
      <c r="I8" t="e">
        <f>AND(#REF!,"AAAAADne/wg=")</f>
        <v>#REF!</v>
      </c>
      <c r="J8" t="e">
        <f>AND(#REF!,"AAAAADne/wk=")</f>
        <v>#REF!</v>
      </c>
      <c r="K8" t="e">
        <f>AND(#REF!,"AAAAADne/wo=")</f>
        <v>#REF!</v>
      </c>
      <c r="L8" t="e">
        <f>AND(#REF!,"AAAAADne/ws=")</f>
        <v>#REF!</v>
      </c>
      <c r="M8" t="e">
        <f>AND(#REF!,"AAAAADne/ww=")</f>
        <v>#REF!</v>
      </c>
      <c r="N8" t="e">
        <f>AND(#REF!,"AAAAADne/w0=")</f>
        <v>#REF!</v>
      </c>
      <c r="O8" t="e">
        <f>AND(#REF!,"AAAAADne/w4=")</f>
        <v>#REF!</v>
      </c>
      <c r="P8" t="e">
        <f>AND(#REF!,"AAAAADne/w8=")</f>
        <v>#REF!</v>
      </c>
      <c r="Q8" t="e">
        <f>AND(#REF!,"AAAAADne/xA=")</f>
        <v>#REF!</v>
      </c>
      <c r="R8" t="e">
        <f>AND(#REF!,"AAAAADne/xE=")</f>
        <v>#REF!</v>
      </c>
      <c r="S8" t="e">
        <f>AND(#REF!,"AAAAADne/xI=")</f>
        <v>#REF!</v>
      </c>
      <c r="T8" t="e">
        <f>AND(#REF!,"AAAAADne/xM=")</f>
        <v>#REF!</v>
      </c>
      <c r="U8" t="e">
        <f>AND(#REF!,"AAAAADne/xQ=")</f>
        <v>#REF!</v>
      </c>
      <c r="V8" t="e">
        <f>AND(#REF!,"AAAAADne/xU=")</f>
        <v>#REF!</v>
      </c>
      <c r="W8" t="e">
        <f>AND(#REF!,"AAAAADne/xY=")</f>
        <v>#REF!</v>
      </c>
      <c r="X8" t="e">
        <f>AND(#REF!,"AAAAADne/xc=")</f>
        <v>#REF!</v>
      </c>
      <c r="Y8" t="e">
        <f>AND(#REF!,"AAAAADne/xg=")</f>
        <v>#REF!</v>
      </c>
      <c r="Z8" t="e">
        <f>AND(#REF!,"AAAAADne/xk=")</f>
        <v>#REF!</v>
      </c>
      <c r="AA8" t="e">
        <f>AND(#REF!,"AAAAADne/xo=")</f>
        <v>#REF!</v>
      </c>
      <c r="AB8" t="e">
        <f>AND(#REF!,"AAAAADne/xs=")</f>
        <v>#REF!</v>
      </c>
      <c r="AC8" t="e">
        <f>AND(#REF!,"AAAAADne/xw=")</f>
        <v>#REF!</v>
      </c>
      <c r="AD8" t="e">
        <f>AND(#REF!,"AAAAADne/x0=")</f>
        <v>#REF!</v>
      </c>
      <c r="AE8" t="e">
        <f>AND(#REF!,"AAAAADne/x4=")</f>
        <v>#REF!</v>
      </c>
      <c r="AF8" t="e">
        <f>AND(#REF!,"AAAAADne/x8=")</f>
        <v>#REF!</v>
      </c>
      <c r="AG8" t="e">
        <f>AND(#REF!,"AAAAADne/yA=")</f>
        <v>#REF!</v>
      </c>
      <c r="AH8" t="e">
        <f>AND(#REF!,"AAAAADne/yE=")</f>
        <v>#REF!</v>
      </c>
      <c r="AI8" t="e">
        <f>AND(#REF!,"AAAAADne/yI=")</f>
        <v>#REF!</v>
      </c>
      <c r="AJ8" t="e">
        <f>AND(#REF!,"AAAAADne/yM=")</f>
        <v>#REF!</v>
      </c>
      <c r="AK8" t="e">
        <f>AND(#REF!,"AAAAADne/yQ=")</f>
        <v>#REF!</v>
      </c>
      <c r="AL8" t="e">
        <f>AND(#REF!,"AAAAADne/yU=")</f>
        <v>#REF!</v>
      </c>
      <c r="AM8" t="e">
        <f>AND(#REF!,"AAAAADne/yY=")</f>
        <v>#REF!</v>
      </c>
      <c r="AN8" t="e">
        <f>AND(#REF!,"AAAAADne/yc=")</f>
        <v>#REF!</v>
      </c>
      <c r="AO8" t="e">
        <f>AND(#REF!,"AAAAADne/yg=")</f>
        <v>#REF!</v>
      </c>
      <c r="AP8" t="e">
        <f>AND(#REF!,"AAAAADne/yk=")</f>
        <v>#REF!</v>
      </c>
      <c r="AQ8" t="e">
        <f>AND(#REF!,"AAAAADne/yo=")</f>
        <v>#REF!</v>
      </c>
      <c r="AR8" t="e">
        <f>AND(#REF!,"AAAAADne/ys=")</f>
        <v>#REF!</v>
      </c>
      <c r="AS8" t="e">
        <f>AND(#REF!,"AAAAADne/yw=")</f>
        <v>#REF!</v>
      </c>
      <c r="AT8" t="e">
        <f>AND(#REF!,"AAAAADne/y0=")</f>
        <v>#REF!</v>
      </c>
      <c r="AU8" t="e">
        <f>AND(#REF!,"AAAAADne/y4=")</f>
        <v>#REF!</v>
      </c>
      <c r="AV8" t="e">
        <f>AND(#REF!,"AAAAADne/y8=")</f>
        <v>#REF!</v>
      </c>
      <c r="AW8" t="e">
        <f>AND(#REF!,"AAAAADne/zA=")</f>
        <v>#REF!</v>
      </c>
      <c r="AX8" t="e">
        <f>AND(#REF!,"AAAAADne/zE=")</f>
        <v>#REF!</v>
      </c>
      <c r="AY8" t="e">
        <f>AND(#REF!,"AAAAADne/zI=")</f>
        <v>#REF!</v>
      </c>
      <c r="AZ8" t="e">
        <f>AND(#REF!,"AAAAADne/zM=")</f>
        <v>#REF!</v>
      </c>
      <c r="BA8" t="e">
        <f>AND(#REF!,"AAAAADne/zQ=")</f>
        <v>#REF!</v>
      </c>
      <c r="BB8" t="e">
        <f>AND(#REF!,"AAAAADne/zU=")</f>
        <v>#REF!</v>
      </c>
      <c r="BC8" t="e">
        <f>AND(#REF!,"AAAAADne/zY=")</f>
        <v>#REF!</v>
      </c>
      <c r="BD8" t="e">
        <f>AND(#REF!,"AAAAADne/zc=")</f>
        <v>#REF!</v>
      </c>
      <c r="BE8" t="e">
        <f>AND(#REF!,"AAAAADne/zg=")</f>
        <v>#REF!</v>
      </c>
      <c r="BF8" t="e">
        <f>AND(#REF!,"AAAAADne/zk=")</f>
        <v>#REF!</v>
      </c>
      <c r="BG8" t="e">
        <f>AND(#REF!,"AAAAADne/zo=")</f>
        <v>#REF!</v>
      </c>
      <c r="BH8" t="e">
        <f>AND(#REF!,"AAAAADne/zs=")</f>
        <v>#REF!</v>
      </c>
      <c r="BI8" t="e">
        <f>AND(#REF!,"AAAAADne/zw=")</f>
        <v>#REF!</v>
      </c>
      <c r="BJ8" t="e">
        <f>AND(#REF!,"AAAAADne/z0=")</f>
        <v>#REF!</v>
      </c>
      <c r="BK8" t="e">
        <f>AND(#REF!,"AAAAADne/z4=")</f>
        <v>#REF!</v>
      </c>
      <c r="BL8" t="e">
        <f>AND(#REF!,"AAAAADne/z8=")</f>
        <v>#REF!</v>
      </c>
      <c r="BM8" t="e">
        <f>AND(#REF!,"AAAAADne/0A=")</f>
        <v>#REF!</v>
      </c>
      <c r="BN8" t="e">
        <f>AND(#REF!,"AAAAADne/0E=")</f>
        <v>#REF!</v>
      </c>
      <c r="BO8" t="e">
        <f>AND(#REF!,"AAAAADne/0I=")</f>
        <v>#REF!</v>
      </c>
      <c r="BP8" t="e">
        <f>AND(#REF!,"AAAAADne/0M=")</f>
        <v>#REF!</v>
      </c>
      <c r="BQ8" t="e">
        <f>AND(#REF!,"AAAAADne/0Q=")</f>
        <v>#REF!</v>
      </c>
      <c r="BR8" t="e">
        <f>AND(#REF!,"AAAAADne/0U=")</f>
        <v>#REF!</v>
      </c>
      <c r="BS8" t="e">
        <f>AND(#REF!,"AAAAADne/0Y=")</f>
        <v>#REF!</v>
      </c>
      <c r="BT8" t="e">
        <f>AND(#REF!,"AAAAADne/0c=")</f>
        <v>#REF!</v>
      </c>
      <c r="BU8" t="e">
        <f>AND(#REF!,"AAAAADne/0g=")</f>
        <v>#REF!</v>
      </c>
      <c r="BV8" t="e">
        <f>AND(#REF!,"AAAAADne/0k=")</f>
        <v>#REF!</v>
      </c>
      <c r="BW8" t="e">
        <f>AND(#REF!,"AAAAADne/0o=")</f>
        <v>#REF!</v>
      </c>
      <c r="BX8" t="e">
        <f>AND(#REF!,"AAAAADne/0s=")</f>
        <v>#REF!</v>
      </c>
      <c r="BY8" t="e">
        <f>AND(#REF!,"AAAAADne/0w=")</f>
        <v>#REF!</v>
      </c>
      <c r="BZ8" t="e">
        <f>AND(#REF!,"AAAAADne/00=")</f>
        <v>#REF!</v>
      </c>
      <c r="CA8" t="e">
        <f>AND(#REF!,"AAAAADne/04=")</f>
        <v>#REF!</v>
      </c>
      <c r="CB8" t="e">
        <f>AND(#REF!,"AAAAADne/08=")</f>
        <v>#REF!</v>
      </c>
      <c r="CC8" t="e">
        <f>AND(#REF!,"AAAAADne/1A=")</f>
        <v>#REF!</v>
      </c>
      <c r="CD8" t="e">
        <f>AND(#REF!,"AAAAADne/1E=")</f>
        <v>#REF!</v>
      </c>
      <c r="CE8" t="e">
        <f>AND(#REF!,"AAAAADne/1I=")</f>
        <v>#REF!</v>
      </c>
      <c r="CF8" t="e">
        <f>AND(#REF!,"AAAAADne/1M=")</f>
        <v>#REF!</v>
      </c>
      <c r="CG8" t="e">
        <f>AND(#REF!,"AAAAADne/1Q=")</f>
        <v>#REF!</v>
      </c>
      <c r="CH8" t="e">
        <f>AND(#REF!,"AAAAADne/1U=")</f>
        <v>#REF!</v>
      </c>
      <c r="CI8" t="e">
        <f>AND(#REF!,"AAAAADne/1Y=")</f>
        <v>#REF!</v>
      </c>
      <c r="CJ8" t="e">
        <f>AND(#REF!,"AAAAADne/1c=")</f>
        <v>#REF!</v>
      </c>
      <c r="CK8" t="e">
        <f>AND(#REF!,"AAAAADne/1g=")</f>
        <v>#REF!</v>
      </c>
      <c r="CL8" t="e">
        <f>AND(#REF!,"AAAAADne/1k=")</f>
        <v>#REF!</v>
      </c>
      <c r="CM8" t="e">
        <f>AND(#REF!,"AAAAADne/1o=")</f>
        <v>#REF!</v>
      </c>
      <c r="CN8" t="e">
        <f>AND(#REF!,"AAAAADne/1s=")</f>
        <v>#REF!</v>
      </c>
      <c r="CO8" t="e">
        <f>AND(#REF!,"AAAAADne/1w=")</f>
        <v>#REF!</v>
      </c>
      <c r="CP8" t="e">
        <f>AND(#REF!,"AAAAADne/10=")</f>
        <v>#REF!</v>
      </c>
      <c r="CQ8" t="e">
        <f>AND(#REF!,"AAAAADne/14=")</f>
        <v>#REF!</v>
      </c>
      <c r="CR8" t="e">
        <f>AND(#REF!,"AAAAADne/18=")</f>
        <v>#REF!</v>
      </c>
      <c r="CS8" t="e">
        <f>AND(#REF!,"AAAAADne/2A=")</f>
        <v>#REF!</v>
      </c>
      <c r="CT8" t="e">
        <f>AND(#REF!,"AAAAADne/2E=")</f>
        <v>#REF!</v>
      </c>
      <c r="CU8" t="e">
        <f>AND(#REF!,"AAAAADne/2I=")</f>
        <v>#REF!</v>
      </c>
      <c r="CV8" t="e">
        <f>AND(#REF!,"AAAAADne/2M=")</f>
        <v>#REF!</v>
      </c>
      <c r="CW8" t="e">
        <f>AND(#REF!,"AAAAADne/2Q=")</f>
        <v>#REF!</v>
      </c>
      <c r="CX8" t="e">
        <f>AND(#REF!,"AAAAADne/2U=")</f>
        <v>#REF!</v>
      </c>
      <c r="CY8" t="e">
        <f>AND(#REF!,"AAAAADne/2Y=")</f>
        <v>#REF!</v>
      </c>
      <c r="CZ8" t="e">
        <f>AND(#REF!,"AAAAADne/2c=")</f>
        <v>#REF!</v>
      </c>
      <c r="DA8" t="e">
        <f>AND(#REF!,"AAAAADne/2g=")</f>
        <v>#REF!</v>
      </c>
      <c r="DB8" t="e">
        <f>AND(#REF!,"AAAAADne/2k=")</f>
        <v>#REF!</v>
      </c>
      <c r="DC8" t="e">
        <f>AND(#REF!,"AAAAADne/2o=")</f>
        <v>#REF!</v>
      </c>
      <c r="DD8" t="e">
        <f>AND(#REF!,"AAAAADne/2s=")</f>
        <v>#REF!</v>
      </c>
      <c r="DE8" t="e">
        <f>AND(#REF!,"AAAAADne/2w=")</f>
        <v>#REF!</v>
      </c>
      <c r="DF8" t="e">
        <f>AND(#REF!,"AAAAADne/20=")</f>
        <v>#REF!</v>
      </c>
      <c r="DG8" t="e">
        <f>AND(#REF!,"AAAAADne/24=")</f>
        <v>#REF!</v>
      </c>
      <c r="DH8" t="e">
        <f>AND(#REF!,"AAAAADne/28=")</f>
        <v>#REF!</v>
      </c>
      <c r="DI8" t="e">
        <f>AND(#REF!,"AAAAADne/3A=")</f>
        <v>#REF!</v>
      </c>
      <c r="DJ8" t="e">
        <f>AND(#REF!,"AAAAADne/3E=")</f>
        <v>#REF!</v>
      </c>
      <c r="DK8" t="e">
        <f>AND(#REF!,"AAAAADne/3I=")</f>
        <v>#REF!</v>
      </c>
      <c r="DL8" t="e">
        <f>AND(#REF!,"AAAAADne/3M=")</f>
        <v>#REF!</v>
      </c>
      <c r="DM8" t="e">
        <f>AND(#REF!,"AAAAADne/3Q=")</f>
        <v>#REF!</v>
      </c>
      <c r="DN8" t="e">
        <f>AND(#REF!,"AAAAADne/3U=")</f>
        <v>#REF!</v>
      </c>
      <c r="DO8" t="e">
        <f>AND(#REF!,"AAAAADne/3Y=")</f>
        <v>#REF!</v>
      </c>
      <c r="DP8" t="e">
        <f>AND(#REF!,"AAAAADne/3c=")</f>
        <v>#REF!</v>
      </c>
      <c r="DQ8" t="e">
        <f>AND(#REF!,"AAAAADne/3g=")</f>
        <v>#REF!</v>
      </c>
      <c r="DR8" t="e">
        <f>AND(#REF!,"AAAAADne/3k=")</f>
        <v>#REF!</v>
      </c>
      <c r="DS8" t="e">
        <f>AND(#REF!,"AAAAADne/3o=")</f>
        <v>#REF!</v>
      </c>
      <c r="DT8" t="e">
        <f>AND(#REF!,"AAAAADne/3s=")</f>
        <v>#REF!</v>
      </c>
      <c r="DU8" t="e">
        <f>AND(#REF!,"AAAAADne/3w=")</f>
        <v>#REF!</v>
      </c>
      <c r="DV8" t="e">
        <f>AND(#REF!,"AAAAADne/30=")</f>
        <v>#REF!</v>
      </c>
      <c r="DW8" t="e">
        <f>AND(#REF!,"AAAAADne/34=")</f>
        <v>#REF!</v>
      </c>
      <c r="DX8" t="e">
        <f>AND(#REF!,"AAAAADne/38=")</f>
        <v>#REF!</v>
      </c>
      <c r="DY8" t="e">
        <f>AND(#REF!,"AAAAADne/4A=")</f>
        <v>#REF!</v>
      </c>
      <c r="DZ8" t="e">
        <f>AND(#REF!,"AAAAADne/4E=")</f>
        <v>#REF!</v>
      </c>
      <c r="EA8" t="e">
        <f>AND(#REF!,"AAAAADne/4I=")</f>
        <v>#REF!</v>
      </c>
      <c r="EB8" t="e">
        <f>AND(#REF!,"AAAAADne/4M=")</f>
        <v>#REF!</v>
      </c>
      <c r="EC8" t="e">
        <f>AND(#REF!,"AAAAADne/4Q=")</f>
        <v>#REF!</v>
      </c>
      <c r="ED8" t="e">
        <f>AND(#REF!,"AAAAADne/4U=")</f>
        <v>#REF!</v>
      </c>
      <c r="EE8" t="e">
        <f>AND(#REF!,"AAAAADne/4Y=")</f>
        <v>#REF!</v>
      </c>
      <c r="EF8" t="e">
        <f>IF(#REF!,"AAAAADne/4c=",0)</f>
        <v>#REF!</v>
      </c>
      <c r="EG8" t="e">
        <f>AND(#REF!,"AAAAADne/4g=")</f>
        <v>#REF!</v>
      </c>
      <c r="EH8" t="e">
        <f>AND(#REF!,"AAAAADne/4k=")</f>
        <v>#REF!</v>
      </c>
      <c r="EI8" t="e">
        <f>AND(#REF!,"AAAAADne/4o=")</f>
        <v>#REF!</v>
      </c>
      <c r="EJ8" t="e">
        <f>AND(#REF!,"AAAAADne/4s=")</f>
        <v>#REF!</v>
      </c>
      <c r="EK8" t="e">
        <f>AND(#REF!,"AAAAADne/4w=")</f>
        <v>#REF!</v>
      </c>
      <c r="EL8" t="e">
        <f>AND(#REF!,"AAAAADne/40=")</f>
        <v>#REF!</v>
      </c>
      <c r="EM8" t="e">
        <f>AND(#REF!,"AAAAADne/44=")</f>
        <v>#REF!</v>
      </c>
      <c r="EN8" t="e">
        <f>AND(#REF!,"AAAAADne/48=")</f>
        <v>#REF!</v>
      </c>
      <c r="EO8" t="e">
        <f>AND(#REF!,"AAAAADne/5A=")</f>
        <v>#REF!</v>
      </c>
      <c r="EP8" t="e">
        <f>AND(#REF!,"AAAAADne/5E=")</f>
        <v>#REF!</v>
      </c>
      <c r="EQ8" t="e">
        <f>AND(#REF!,"AAAAADne/5I=")</f>
        <v>#REF!</v>
      </c>
      <c r="ER8" t="e">
        <f>AND(#REF!,"AAAAADne/5M=")</f>
        <v>#REF!</v>
      </c>
      <c r="ES8" t="e">
        <f>AND(#REF!,"AAAAADne/5Q=")</f>
        <v>#REF!</v>
      </c>
      <c r="ET8" t="e">
        <f>AND(#REF!,"AAAAADne/5U=")</f>
        <v>#REF!</v>
      </c>
      <c r="EU8" t="e">
        <f>AND(#REF!,"AAAAADne/5Y=")</f>
        <v>#REF!</v>
      </c>
      <c r="EV8" t="e">
        <f>AND(#REF!,"AAAAADne/5c=")</f>
        <v>#REF!</v>
      </c>
      <c r="EW8" t="e">
        <f>AND(#REF!,"AAAAADne/5g=")</f>
        <v>#REF!</v>
      </c>
      <c r="EX8" t="e">
        <f>AND(#REF!,"AAAAADne/5k=")</f>
        <v>#REF!</v>
      </c>
      <c r="EY8" t="e">
        <f>AND(#REF!,"AAAAADne/5o=")</f>
        <v>#REF!</v>
      </c>
      <c r="EZ8" t="e">
        <f>AND(#REF!,"AAAAADne/5s=")</f>
        <v>#REF!</v>
      </c>
      <c r="FA8" t="e">
        <f>AND(#REF!,"AAAAADne/5w=")</f>
        <v>#REF!</v>
      </c>
      <c r="FB8" t="e">
        <f>AND(#REF!,"AAAAADne/50=")</f>
        <v>#REF!</v>
      </c>
      <c r="FC8" t="e">
        <f>AND(#REF!,"AAAAADne/54=")</f>
        <v>#REF!</v>
      </c>
      <c r="FD8" t="e">
        <f>AND(#REF!,"AAAAADne/58=")</f>
        <v>#REF!</v>
      </c>
      <c r="FE8" t="e">
        <f>AND(#REF!,"AAAAADne/6A=")</f>
        <v>#REF!</v>
      </c>
      <c r="FF8" t="e">
        <f>AND(#REF!,"AAAAADne/6E=")</f>
        <v>#REF!</v>
      </c>
      <c r="FG8" t="e">
        <f>AND(#REF!,"AAAAADne/6I=")</f>
        <v>#REF!</v>
      </c>
      <c r="FH8" t="e">
        <f>AND(#REF!,"AAAAADne/6M=")</f>
        <v>#REF!</v>
      </c>
      <c r="FI8" t="e">
        <f>AND(#REF!,"AAAAADne/6Q=")</f>
        <v>#REF!</v>
      </c>
      <c r="FJ8" t="e">
        <f>AND(#REF!,"AAAAADne/6U=")</f>
        <v>#REF!</v>
      </c>
      <c r="FK8" t="e">
        <f>AND(#REF!,"AAAAADne/6Y=")</f>
        <v>#REF!</v>
      </c>
      <c r="FL8" t="e">
        <f>AND(#REF!,"AAAAADne/6c=")</f>
        <v>#REF!</v>
      </c>
      <c r="FM8" t="e">
        <f>AND(#REF!,"AAAAADne/6g=")</f>
        <v>#REF!</v>
      </c>
      <c r="FN8" t="e">
        <f>AND(#REF!,"AAAAADne/6k=")</f>
        <v>#REF!</v>
      </c>
      <c r="FO8" t="e">
        <f>AND(#REF!,"AAAAADne/6o=")</f>
        <v>#REF!</v>
      </c>
      <c r="FP8" t="e">
        <f>AND(#REF!,"AAAAADne/6s=")</f>
        <v>#REF!</v>
      </c>
      <c r="FQ8" t="e">
        <f>AND(#REF!,"AAAAADne/6w=")</f>
        <v>#REF!</v>
      </c>
      <c r="FR8" t="e">
        <f>AND(#REF!,"AAAAADne/60=")</f>
        <v>#REF!</v>
      </c>
      <c r="FS8" t="e">
        <f>AND(#REF!,"AAAAADne/64=")</f>
        <v>#REF!</v>
      </c>
      <c r="FT8" t="e">
        <f>AND(#REF!,"AAAAADne/68=")</f>
        <v>#REF!</v>
      </c>
      <c r="FU8" t="e">
        <f>AND(#REF!,"AAAAADne/7A=")</f>
        <v>#REF!</v>
      </c>
      <c r="FV8" t="e">
        <f>AND(#REF!,"AAAAADne/7E=")</f>
        <v>#REF!</v>
      </c>
      <c r="FW8" t="e">
        <f>AND(#REF!,"AAAAADne/7I=")</f>
        <v>#REF!</v>
      </c>
      <c r="FX8" t="e">
        <f>AND(#REF!,"AAAAADne/7M=")</f>
        <v>#REF!</v>
      </c>
      <c r="FY8" t="e">
        <f>AND(#REF!,"AAAAADne/7Q=")</f>
        <v>#REF!</v>
      </c>
      <c r="FZ8" t="e">
        <f>AND(#REF!,"AAAAADne/7U=")</f>
        <v>#REF!</v>
      </c>
      <c r="GA8" t="e">
        <f>AND(#REF!,"AAAAADne/7Y=")</f>
        <v>#REF!</v>
      </c>
      <c r="GB8" t="e">
        <f>AND(#REF!,"AAAAADne/7c=")</f>
        <v>#REF!</v>
      </c>
      <c r="GC8" t="e">
        <f>AND(#REF!,"AAAAADne/7g=")</f>
        <v>#REF!</v>
      </c>
      <c r="GD8" t="e">
        <f>AND(#REF!,"AAAAADne/7k=")</f>
        <v>#REF!</v>
      </c>
      <c r="GE8" t="e">
        <f>AND(#REF!,"AAAAADne/7o=")</f>
        <v>#REF!</v>
      </c>
      <c r="GF8" t="e">
        <f>AND(#REF!,"AAAAADne/7s=")</f>
        <v>#REF!</v>
      </c>
      <c r="GG8" t="e">
        <f>AND(#REF!,"AAAAADne/7w=")</f>
        <v>#REF!</v>
      </c>
      <c r="GH8" t="e">
        <f>AND(#REF!,"AAAAADne/70=")</f>
        <v>#REF!</v>
      </c>
      <c r="GI8" t="e">
        <f>AND(#REF!,"AAAAADne/74=")</f>
        <v>#REF!</v>
      </c>
      <c r="GJ8" t="e">
        <f>AND(#REF!,"AAAAADne/78=")</f>
        <v>#REF!</v>
      </c>
      <c r="GK8" t="e">
        <f>AND(#REF!,"AAAAADne/8A=")</f>
        <v>#REF!</v>
      </c>
      <c r="GL8" t="e">
        <f>AND(#REF!,"AAAAADne/8E=")</f>
        <v>#REF!</v>
      </c>
      <c r="GM8" t="e">
        <f>AND(#REF!,"AAAAADne/8I=")</f>
        <v>#REF!</v>
      </c>
      <c r="GN8" t="e">
        <f>AND(#REF!,"AAAAADne/8M=")</f>
        <v>#REF!</v>
      </c>
      <c r="GO8" t="e">
        <f>AND(#REF!,"AAAAADne/8Q=")</f>
        <v>#REF!</v>
      </c>
      <c r="GP8" t="e">
        <f>AND(#REF!,"AAAAADne/8U=")</f>
        <v>#REF!</v>
      </c>
      <c r="GQ8" t="e">
        <f>AND(#REF!,"AAAAADne/8Y=")</f>
        <v>#REF!</v>
      </c>
      <c r="GR8" t="e">
        <f>AND(#REF!,"AAAAADne/8c=")</f>
        <v>#REF!</v>
      </c>
      <c r="GS8" t="e">
        <f>AND(#REF!,"AAAAADne/8g=")</f>
        <v>#REF!</v>
      </c>
      <c r="GT8" t="e">
        <f>AND(#REF!,"AAAAADne/8k=")</f>
        <v>#REF!</v>
      </c>
      <c r="GU8" t="e">
        <f>AND(#REF!,"AAAAADne/8o=")</f>
        <v>#REF!</v>
      </c>
      <c r="GV8" t="e">
        <f>AND(#REF!,"AAAAADne/8s=")</f>
        <v>#REF!</v>
      </c>
      <c r="GW8" t="e">
        <f>AND(#REF!,"AAAAADne/8w=")</f>
        <v>#REF!</v>
      </c>
      <c r="GX8" t="e">
        <f>AND(#REF!,"AAAAADne/80=")</f>
        <v>#REF!</v>
      </c>
      <c r="GY8" t="e">
        <f>AND(#REF!,"AAAAADne/84=")</f>
        <v>#REF!</v>
      </c>
      <c r="GZ8" t="e">
        <f>AND(#REF!,"AAAAADne/88=")</f>
        <v>#REF!</v>
      </c>
      <c r="HA8" t="e">
        <f>AND(#REF!,"AAAAADne/9A=")</f>
        <v>#REF!</v>
      </c>
      <c r="HB8" t="e">
        <f>AND(#REF!,"AAAAADne/9E=")</f>
        <v>#REF!</v>
      </c>
      <c r="HC8" t="e">
        <f>AND(#REF!,"AAAAADne/9I=")</f>
        <v>#REF!</v>
      </c>
      <c r="HD8" t="e">
        <f>AND(#REF!,"AAAAADne/9M=")</f>
        <v>#REF!</v>
      </c>
      <c r="HE8" t="e">
        <f>AND(#REF!,"AAAAADne/9Q=")</f>
        <v>#REF!</v>
      </c>
      <c r="HF8" t="e">
        <f>AND(#REF!,"AAAAADne/9U=")</f>
        <v>#REF!</v>
      </c>
      <c r="HG8" t="e">
        <f>AND(#REF!,"AAAAADne/9Y=")</f>
        <v>#REF!</v>
      </c>
      <c r="HH8" t="e">
        <f>AND(#REF!,"AAAAADne/9c=")</f>
        <v>#REF!</v>
      </c>
      <c r="HI8" t="e">
        <f>AND(#REF!,"AAAAADne/9g=")</f>
        <v>#REF!</v>
      </c>
      <c r="HJ8" t="e">
        <f>AND(#REF!,"AAAAADne/9k=")</f>
        <v>#REF!</v>
      </c>
      <c r="HK8" t="e">
        <f>AND(#REF!,"AAAAADne/9o=")</f>
        <v>#REF!</v>
      </c>
      <c r="HL8" t="e">
        <f>AND(#REF!,"AAAAADne/9s=")</f>
        <v>#REF!</v>
      </c>
      <c r="HM8" t="e">
        <f>AND(#REF!,"AAAAADne/9w=")</f>
        <v>#REF!</v>
      </c>
      <c r="HN8" t="e">
        <f>AND(#REF!,"AAAAADne/90=")</f>
        <v>#REF!</v>
      </c>
      <c r="HO8" t="e">
        <f>AND(#REF!,"AAAAADne/94=")</f>
        <v>#REF!</v>
      </c>
      <c r="HP8" t="e">
        <f>AND(#REF!,"AAAAADne/98=")</f>
        <v>#REF!</v>
      </c>
      <c r="HQ8" t="e">
        <f>AND(#REF!,"AAAAADne/+A=")</f>
        <v>#REF!</v>
      </c>
      <c r="HR8" t="e">
        <f>AND(#REF!,"AAAAADne/+E=")</f>
        <v>#REF!</v>
      </c>
      <c r="HS8" t="e">
        <f>AND(#REF!,"AAAAADne/+I=")</f>
        <v>#REF!</v>
      </c>
      <c r="HT8" t="e">
        <f>AND(#REF!,"AAAAADne/+M=")</f>
        <v>#REF!</v>
      </c>
      <c r="HU8" t="e">
        <f>AND(#REF!,"AAAAADne/+Q=")</f>
        <v>#REF!</v>
      </c>
      <c r="HV8" t="e">
        <f>AND(#REF!,"AAAAADne/+U=")</f>
        <v>#REF!</v>
      </c>
      <c r="HW8" t="e">
        <f>AND(#REF!,"AAAAADne/+Y=")</f>
        <v>#REF!</v>
      </c>
      <c r="HX8" t="e">
        <f>AND(#REF!,"AAAAADne/+c=")</f>
        <v>#REF!</v>
      </c>
      <c r="HY8" t="e">
        <f>AND(#REF!,"AAAAADne/+g=")</f>
        <v>#REF!</v>
      </c>
      <c r="HZ8" t="e">
        <f>AND(#REF!,"AAAAADne/+k=")</f>
        <v>#REF!</v>
      </c>
      <c r="IA8" t="e">
        <f>AND(#REF!,"AAAAADne/+o=")</f>
        <v>#REF!</v>
      </c>
      <c r="IB8" t="e">
        <f>AND(#REF!,"AAAAADne/+s=")</f>
        <v>#REF!</v>
      </c>
      <c r="IC8" t="e">
        <f>AND(#REF!,"AAAAADne/+w=")</f>
        <v>#REF!</v>
      </c>
      <c r="ID8" t="e">
        <f>AND(#REF!,"AAAAADne/+0=")</f>
        <v>#REF!</v>
      </c>
      <c r="IE8" t="e">
        <f>AND(#REF!,"AAAAADne/+4=")</f>
        <v>#REF!</v>
      </c>
      <c r="IF8" t="e">
        <f>AND(#REF!,"AAAAADne/+8=")</f>
        <v>#REF!</v>
      </c>
      <c r="IG8" t="e">
        <f>AND(#REF!,"AAAAADne//A=")</f>
        <v>#REF!</v>
      </c>
      <c r="IH8" t="e">
        <f>AND(#REF!,"AAAAADne//E=")</f>
        <v>#REF!</v>
      </c>
      <c r="II8" t="e">
        <f>AND(#REF!,"AAAAADne//I=")</f>
        <v>#REF!</v>
      </c>
      <c r="IJ8" t="e">
        <f>AND(#REF!,"AAAAADne//M=")</f>
        <v>#REF!</v>
      </c>
      <c r="IK8" t="e">
        <f>AND(#REF!,"AAAAADne//Q=")</f>
        <v>#REF!</v>
      </c>
      <c r="IL8" t="e">
        <f>AND(#REF!,"AAAAADne//U=")</f>
        <v>#REF!</v>
      </c>
      <c r="IM8" t="e">
        <f>AND(#REF!,"AAAAADne//Y=")</f>
        <v>#REF!</v>
      </c>
      <c r="IN8" t="e">
        <f>AND(#REF!,"AAAAADne//c=")</f>
        <v>#REF!</v>
      </c>
      <c r="IO8" t="e">
        <f>AND(#REF!,"AAAAADne//g=")</f>
        <v>#REF!</v>
      </c>
      <c r="IP8" t="e">
        <f>AND(#REF!,"AAAAADne//k=")</f>
        <v>#REF!</v>
      </c>
      <c r="IQ8" t="e">
        <f>AND(#REF!,"AAAAADne//o=")</f>
        <v>#REF!</v>
      </c>
      <c r="IR8" t="e">
        <f>AND(#REF!,"AAAAADne//s=")</f>
        <v>#REF!</v>
      </c>
      <c r="IS8" t="e">
        <f>AND(#REF!,"AAAAADne//w=")</f>
        <v>#REF!</v>
      </c>
      <c r="IT8" t="e">
        <f>AND(#REF!,"AAAAADne//0=")</f>
        <v>#REF!</v>
      </c>
      <c r="IU8" t="e">
        <f>AND(#REF!,"AAAAADne//4=")</f>
        <v>#REF!</v>
      </c>
      <c r="IV8" t="e">
        <f>AND(#REF!,"AAAAADne//8=")</f>
        <v>#REF!</v>
      </c>
    </row>
    <row r="9" spans="1:256" x14ac:dyDescent="0.25">
      <c r="A9" t="e">
        <f>AND(#REF!,"AAAAAHP+fgA=")</f>
        <v>#REF!</v>
      </c>
      <c r="B9" t="e">
        <f>AND(#REF!,"AAAAAHP+fgE=")</f>
        <v>#REF!</v>
      </c>
      <c r="C9" t="e">
        <f>AND(#REF!,"AAAAAHP+fgI=")</f>
        <v>#REF!</v>
      </c>
      <c r="D9" t="e">
        <f>AND(#REF!,"AAAAAHP+fgM=")</f>
        <v>#REF!</v>
      </c>
      <c r="E9" t="e">
        <f>AND(#REF!,"AAAAAHP+fgQ=")</f>
        <v>#REF!</v>
      </c>
      <c r="F9" t="e">
        <f>AND(#REF!,"AAAAAHP+fgU=")</f>
        <v>#REF!</v>
      </c>
      <c r="G9" t="e">
        <f>AND(#REF!,"AAAAAHP+fgY=")</f>
        <v>#REF!</v>
      </c>
      <c r="H9" t="e">
        <f>AND(#REF!,"AAAAAHP+fgc=")</f>
        <v>#REF!</v>
      </c>
      <c r="I9" t="e">
        <f>AND(#REF!,"AAAAAHP+fgg=")</f>
        <v>#REF!</v>
      </c>
      <c r="J9" t="e">
        <f>AND(#REF!,"AAAAAHP+fgk=")</f>
        <v>#REF!</v>
      </c>
      <c r="K9" t="e">
        <f>AND(#REF!,"AAAAAHP+fgo=")</f>
        <v>#REF!</v>
      </c>
      <c r="L9" t="e">
        <f>AND(#REF!,"AAAAAHP+fgs=")</f>
        <v>#REF!</v>
      </c>
      <c r="M9" t="e">
        <f>AND(#REF!,"AAAAAHP+fgw=")</f>
        <v>#REF!</v>
      </c>
      <c r="N9" t="e">
        <f>AND(#REF!,"AAAAAHP+fg0=")</f>
        <v>#REF!</v>
      </c>
      <c r="O9" t="e">
        <f>AND(#REF!,"AAAAAHP+fg4=")</f>
        <v>#REF!</v>
      </c>
      <c r="P9" t="e">
        <f>AND(#REF!,"AAAAAHP+fg8=")</f>
        <v>#REF!</v>
      </c>
      <c r="Q9" t="e">
        <f>AND(#REF!,"AAAAAHP+fhA=")</f>
        <v>#REF!</v>
      </c>
      <c r="R9" t="e">
        <f>AND(#REF!,"AAAAAHP+fhE=")</f>
        <v>#REF!</v>
      </c>
      <c r="S9" t="e">
        <f>AND(#REF!,"AAAAAHP+fhI=")</f>
        <v>#REF!</v>
      </c>
      <c r="T9" t="e">
        <f>AND(#REF!,"AAAAAHP+fhM=")</f>
        <v>#REF!</v>
      </c>
      <c r="U9" t="e">
        <f>AND(#REF!,"AAAAAHP+fhQ=")</f>
        <v>#REF!</v>
      </c>
      <c r="V9" t="e">
        <f>AND(#REF!,"AAAAAHP+fhU=")</f>
        <v>#REF!</v>
      </c>
      <c r="W9" t="e">
        <f>AND(#REF!,"AAAAAHP+fhY=")</f>
        <v>#REF!</v>
      </c>
      <c r="X9" t="e">
        <f>AND(#REF!,"AAAAAHP+fhc=")</f>
        <v>#REF!</v>
      </c>
      <c r="Y9" t="e">
        <f>AND(#REF!,"AAAAAHP+fhg=")</f>
        <v>#REF!</v>
      </c>
      <c r="Z9" t="e">
        <f>AND(#REF!,"AAAAAHP+fhk=")</f>
        <v>#REF!</v>
      </c>
      <c r="AA9" t="e">
        <f>AND(#REF!,"AAAAAHP+fho=")</f>
        <v>#REF!</v>
      </c>
      <c r="AB9" t="e">
        <f>AND(#REF!,"AAAAAHP+fhs=")</f>
        <v>#REF!</v>
      </c>
      <c r="AC9" t="e">
        <f>AND(#REF!,"AAAAAHP+fhw=")</f>
        <v>#REF!</v>
      </c>
      <c r="AD9" t="e">
        <f>AND(#REF!,"AAAAAHP+fh0=")</f>
        <v>#REF!</v>
      </c>
      <c r="AE9" t="e">
        <f>AND(#REF!,"AAAAAHP+fh4=")</f>
        <v>#REF!</v>
      </c>
      <c r="AF9" t="e">
        <f>AND(#REF!,"AAAAAHP+fh8=")</f>
        <v>#REF!</v>
      </c>
      <c r="AG9" t="e">
        <f>AND(#REF!,"AAAAAHP+fiA=")</f>
        <v>#REF!</v>
      </c>
      <c r="AH9" t="e">
        <f>AND(#REF!,"AAAAAHP+fiE=")</f>
        <v>#REF!</v>
      </c>
      <c r="AI9" t="e">
        <f>AND(#REF!,"AAAAAHP+fiI=")</f>
        <v>#REF!</v>
      </c>
      <c r="AJ9" t="e">
        <f>AND(#REF!,"AAAAAHP+fiM=")</f>
        <v>#REF!</v>
      </c>
      <c r="AK9" t="e">
        <f>AND(#REF!,"AAAAAHP+fiQ=")</f>
        <v>#REF!</v>
      </c>
      <c r="AL9" t="e">
        <f>AND(#REF!,"AAAAAHP+fiU=")</f>
        <v>#REF!</v>
      </c>
      <c r="AM9" t="e">
        <f>AND(#REF!,"AAAAAHP+fiY=")</f>
        <v>#REF!</v>
      </c>
      <c r="AN9" t="e">
        <f>AND(#REF!,"AAAAAHP+fic=")</f>
        <v>#REF!</v>
      </c>
      <c r="AO9" t="e">
        <f>AND(#REF!,"AAAAAHP+fig=")</f>
        <v>#REF!</v>
      </c>
      <c r="AP9" t="e">
        <f>AND(#REF!,"AAAAAHP+fik=")</f>
        <v>#REF!</v>
      </c>
      <c r="AQ9" t="e">
        <f>AND(#REF!,"AAAAAHP+fio=")</f>
        <v>#REF!</v>
      </c>
      <c r="AR9" t="e">
        <f>AND(#REF!,"AAAAAHP+fis=")</f>
        <v>#REF!</v>
      </c>
      <c r="AS9" t="e">
        <f>AND(#REF!,"AAAAAHP+fiw=")</f>
        <v>#REF!</v>
      </c>
      <c r="AT9" t="e">
        <f>AND(#REF!,"AAAAAHP+fi0=")</f>
        <v>#REF!</v>
      </c>
      <c r="AU9" t="e">
        <f>AND(#REF!,"AAAAAHP+fi4=")</f>
        <v>#REF!</v>
      </c>
      <c r="AV9" t="e">
        <f>AND(#REF!,"AAAAAHP+fi8=")</f>
        <v>#REF!</v>
      </c>
      <c r="AW9" t="e">
        <f>AND(#REF!,"AAAAAHP+fjA=")</f>
        <v>#REF!</v>
      </c>
      <c r="AX9" t="e">
        <f>AND(#REF!,"AAAAAHP+fjE=")</f>
        <v>#REF!</v>
      </c>
      <c r="AY9" t="e">
        <f>AND(#REF!,"AAAAAHP+fjI=")</f>
        <v>#REF!</v>
      </c>
      <c r="AZ9" t="e">
        <f>AND(#REF!,"AAAAAHP+fjM=")</f>
        <v>#REF!</v>
      </c>
      <c r="BA9" t="e">
        <f>AND(#REF!,"AAAAAHP+fjQ=")</f>
        <v>#REF!</v>
      </c>
      <c r="BB9" t="e">
        <f>AND(#REF!,"AAAAAHP+fjU=")</f>
        <v>#REF!</v>
      </c>
      <c r="BC9" t="e">
        <f>AND(#REF!,"AAAAAHP+fjY=")</f>
        <v>#REF!</v>
      </c>
      <c r="BD9" t="e">
        <f>AND(#REF!,"AAAAAHP+fjc=")</f>
        <v>#REF!</v>
      </c>
      <c r="BE9" t="e">
        <f>AND(#REF!,"AAAAAHP+fjg=")</f>
        <v>#REF!</v>
      </c>
      <c r="BF9" t="e">
        <f>AND(#REF!,"AAAAAHP+fjk=")</f>
        <v>#REF!</v>
      </c>
      <c r="BG9" t="e">
        <f>AND(#REF!,"AAAAAHP+fjo=")</f>
        <v>#REF!</v>
      </c>
      <c r="BH9" t="e">
        <f>AND(#REF!,"AAAAAHP+fjs=")</f>
        <v>#REF!</v>
      </c>
      <c r="BI9" t="e">
        <f>AND(#REF!,"AAAAAHP+fjw=")</f>
        <v>#REF!</v>
      </c>
      <c r="BJ9" t="e">
        <f>AND(#REF!,"AAAAAHP+fj0=")</f>
        <v>#REF!</v>
      </c>
      <c r="BK9" t="e">
        <f>AND(#REF!,"AAAAAHP+fj4=")</f>
        <v>#REF!</v>
      </c>
      <c r="BL9" t="e">
        <f>AND(#REF!,"AAAAAHP+fj8=")</f>
        <v>#REF!</v>
      </c>
      <c r="BM9" t="e">
        <f>AND(#REF!,"AAAAAHP+fkA=")</f>
        <v>#REF!</v>
      </c>
      <c r="BN9" t="e">
        <f>AND(#REF!,"AAAAAHP+fkE=")</f>
        <v>#REF!</v>
      </c>
      <c r="BO9" t="e">
        <f>AND(#REF!,"AAAAAHP+fkI=")</f>
        <v>#REF!</v>
      </c>
      <c r="BP9" t="e">
        <f>AND(#REF!,"AAAAAHP+fkM=")</f>
        <v>#REF!</v>
      </c>
      <c r="BQ9" t="e">
        <f>IF(#REF!,"AAAAAHP+fkQ=",0)</f>
        <v>#REF!</v>
      </c>
      <c r="BR9" t="e">
        <f>AND(#REF!,"AAAAAHP+fkU=")</f>
        <v>#REF!</v>
      </c>
      <c r="BS9" t="e">
        <f>AND(#REF!,"AAAAAHP+fkY=")</f>
        <v>#REF!</v>
      </c>
      <c r="BT9" t="e">
        <f>AND(#REF!,"AAAAAHP+fkc=")</f>
        <v>#REF!</v>
      </c>
      <c r="BU9" t="e">
        <f>AND(#REF!,"AAAAAHP+fkg=")</f>
        <v>#REF!</v>
      </c>
      <c r="BV9" t="e">
        <f>AND(#REF!,"AAAAAHP+fkk=")</f>
        <v>#REF!</v>
      </c>
      <c r="BW9" t="e">
        <f>AND(#REF!,"AAAAAHP+fko=")</f>
        <v>#REF!</v>
      </c>
      <c r="BX9" t="e">
        <f>AND(#REF!,"AAAAAHP+fks=")</f>
        <v>#REF!</v>
      </c>
      <c r="BY9" t="e">
        <f>AND(#REF!,"AAAAAHP+fkw=")</f>
        <v>#REF!</v>
      </c>
      <c r="BZ9" t="e">
        <f>AND(#REF!,"AAAAAHP+fk0=")</f>
        <v>#REF!</v>
      </c>
      <c r="CA9" t="e">
        <f>AND(#REF!,"AAAAAHP+fk4=")</f>
        <v>#REF!</v>
      </c>
      <c r="CB9" t="e">
        <f>AND(#REF!,"AAAAAHP+fk8=")</f>
        <v>#REF!</v>
      </c>
      <c r="CC9" t="e">
        <f>AND(#REF!,"AAAAAHP+flA=")</f>
        <v>#REF!</v>
      </c>
      <c r="CD9" t="e">
        <f>AND(#REF!,"AAAAAHP+flE=")</f>
        <v>#REF!</v>
      </c>
      <c r="CE9" t="e">
        <f>AND(#REF!,"AAAAAHP+flI=")</f>
        <v>#REF!</v>
      </c>
      <c r="CF9" t="e">
        <f>AND(#REF!,"AAAAAHP+flM=")</f>
        <v>#REF!</v>
      </c>
      <c r="CG9" t="e">
        <f>AND(#REF!,"AAAAAHP+flQ=")</f>
        <v>#REF!</v>
      </c>
      <c r="CH9" t="e">
        <f>AND(#REF!,"AAAAAHP+flU=")</f>
        <v>#REF!</v>
      </c>
      <c r="CI9" t="e">
        <f>AND(#REF!,"AAAAAHP+flY=")</f>
        <v>#REF!</v>
      </c>
      <c r="CJ9" t="e">
        <f>AND(#REF!,"AAAAAHP+flc=")</f>
        <v>#REF!</v>
      </c>
      <c r="CK9" t="e">
        <f>AND(#REF!,"AAAAAHP+flg=")</f>
        <v>#REF!</v>
      </c>
      <c r="CL9" t="e">
        <f>AND(#REF!,"AAAAAHP+flk=")</f>
        <v>#REF!</v>
      </c>
      <c r="CM9" t="e">
        <f>AND(#REF!,"AAAAAHP+flo=")</f>
        <v>#REF!</v>
      </c>
      <c r="CN9" t="e">
        <f>AND(#REF!,"AAAAAHP+fls=")</f>
        <v>#REF!</v>
      </c>
      <c r="CO9" t="e">
        <f>AND(#REF!,"AAAAAHP+flw=")</f>
        <v>#REF!</v>
      </c>
      <c r="CP9" t="e">
        <f>AND(#REF!,"AAAAAHP+fl0=")</f>
        <v>#REF!</v>
      </c>
      <c r="CQ9" t="e">
        <f>AND(#REF!,"AAAAAHP+fl4=")</f>
        <v>#REF!</v>
      </c>
      <c r="CR9" t="e">
        <f>AND(#REF!,"AAAAAHP+fl8=")</f>
        <v>#REF!</v>
      </c>
      <c r="CS9" t="e">
        <f>AND(#REF!,"AAAAAHP+fmA=")</f>
        <v>#REF!</v>
      </c>
      <c r="CT9" t="e">
        <f>AND(#REF!,"AAAAAHP+fmE=")</f>
        <v>#REF!</v>
      </c>
      <c r="CU9" t="e">
        <f>AND(#REF!,"AAAAAHP+fmI=")</f>
        <v>#REF!</v>
      </c>
      <c r="CV9" t="e">
        <f>AND(#REF!,"AAAAAHP+fmM=")</f>
        <v>#REF!</v>
      </c>
      <c r="CW9" t="e">
        <f>AND(#REF!,"AAAAAHP+fmQ=")</f>
        <v>#REF!</v>
      </c>
      <c r="CX9" t="e">
        <f>AND(#REF!,"AAAAAHP+fmU=")</f>
        <v>#REF!</v>
      </c>
      <c r="CY9" t="e">
        <f>AND(#REF!,"AAAAAHP+fmY=")</f>
        <v>#REF!</v>
      </c>
      <c r="CZ9" t="e">
        <f>AND(#REF!,"AAAAAHP+fmc=")</f>
        <v>#REF!</v>
      </c>
      <c r="DA9" t="e">
        <f>AND(#REF!,"AAAAAHP+fmg=")</f>
        <v>#REF!</v>
      </c>
      <c r="DB9" t="e">
        <f>AND(#REF!,"AAAAAHP+fmk=")</f>
        <v>#REF!</v>
      </c>
      <c r="DC9" t="e">
        <f>AND(#REF!,"AAAAAHP+fmo=")</f>
        <v>#REF!</v>
      </c>
      <c r="DD9" t="e">
        <f>AND(#REF!,"AAAAAHP+fms=")</f>
        <v>#REF!</v>
      </c>
      <c r="DE9" t="e">
        <f>AND(#REF!,"AAAAAHP+fmw=")</f>
        <v>#REF!</v>
      </c>
      <c r="DF9" t="e">
        <f>AND(#REF!,"AAAAAHP+fm0=")</f>
        <v>#REF!</v>
      </c>
      <c r="DG9" t="e">
        <f>AND(#REF!,"AAAAAHP+fm4=")</f>
        <v>#REF!</v>
      </c>
      <c r="DH9" t="e">
        <f>AND(#REF!,"AAAAAHP+fm8=")</f>
        <v>#REF!</v>
      </c>
      <c r="DI9" t="e">
        <f>AND(#REF!,"AAAAAHP+fnA=")</f>
        <v>#REF!</v>
      </c>
      <c r="DJ9" t="e">
        <f>AND(#REF!,"AAAAAHP+fnE=")</f>
        <v>#REF!</v>
      </c>
      <c r="DK9" t="e">
        <f>AND(#REF!,"AAAAAHP+fnI=")</f>
        <v>#REF!</v>
      </c>
      <c r="DL9" t="e">
        <f>AND(#REF!,"AAAAAHP+fnM=")</f>
        <v>#REF!</v>
      </c>
      <c r="DM9" t="e">
        <f>AND(#REF!,"AAAAAHP+fnQ=")</f>
        <v>#REF!</v>
      </c>
      <c r="DN9" t="e">
        <f>AND(#REF!,"AAAAAHP+fnU=")</f>
        <v>#REF!</v>
      </c>
      <c r="DO9" t="e">
        <f>AND(#REF!,"AAAAAHP+fnY=")</f>
        <v>#REF!</v>
      </c>
      <c r="DP9" t="e">
        <f>AND(#REF!,"AAAAAHP+fnc=")</f>
        <v>#REF!</v>
      </c>
      <c r="DQ9" t="e">
        <f>AND(#REF!,"AAAAAHP+fng=")</f>
        <v>#REF!</v>
      </c>
      <c r="DR9" t="e">
        <f>AND(#REF!,"AAAAAHP+fnk=")</f>
        <v>#REF!</v>
      </c>
      <c r="DS9" t="e">
        <f>AND(#REF!,"AAAAAHP+fno=")</f>
        <v>#REF!</v>
      </c>
      <c r="DT9" t="e">
        <f>AND(#REF!,"AAAAAHP+fns=")</f>
        <v>#REF!</v>
      </c>
      <c r="DU9" t="e">
        <f>AND(#REF!,"AAAAAHP+fnw=")</f>
        <v>#REF!</v>
      </c>
      <c r="DV9" t="e">
        <f>AND(#REF!,"AAAAAHP+fn0=")</f>
        <v>#REF!</v>
      </c>
      <c r="DW9" t="e">
        <f>AND(#REF!,"AAAAAHP+fn4=")</f>
        <v>#REF!</v>
      </c>
      <c r="DX9" t="e">
        <f>AND(#REF!,"AAAAAHP+fn8=")</f>
        <v>#REF!</v>
      </c>
      <c r="DY9" t="e">
        <f>AND(#REF!,"AAAAAHP+foA=")</f>
        <v>#REF!</v>
      </c>
      <c r="DZ9" t="e">
        <f>AND(#REF!,"AAAAAHP+foE=")</f>
        <v>#REF!</v>
      </c>
      <c r="EA9" t="e">
        <f>AND(#REF!,"AAAAAHP+foI=")</f>
        <v>#REF!</v>
      </c>
      <c r="EB9" t="e">
        <f>AND(#REF!,"AAAAAHP+foM=")</f>
        <v>#REF!</v>
      </c>
      <c r="EC9" t="e">
        <f>AND(#REF!,"AAAAAHP+foQ=")</f>
        <v>#REF!</v>
      </c>
      <c r="ED9" t="e">
        <f>AND(#REF!,"AAAAAHP+foU=")</f>
        <v>#REF!</v>
      </c>
      <c r="EE9" t="e">
        <f>AND(#REF!,"AAAAAHP+foY=")</f>
        <v>#REF!</v>
      </c>
      <c r="EF9" t="e">
        <f>AND(#REF!,"AAAAAHP+foc=")</f>
        <v>#REF!</v>
      </c>
      <c r="EG9" t="e">
        <f>AND(#REF!,"AAAAAHP+fog=")</f>
        <v>#REF!</v>
      </c>
      <c r="EH9" t="e">
        <f>AND(#REF!,"AAAAAHP+fok=")</f>
        <v>#REF!</v>
      </c>
      <c r="EI9" t="e">
        <f>AND(#REF!,"AAAAAHP+foo=")</f>
        <v>#REF!</v>
      </c>
      <c r="EJ9" t="e">
        <f>AND(#REF!,"AAAAAHP+fos=")</f>
        <v>#REF!</v>
      </c>
      <c r="EK9" t="e">
        <f>AND(#REF!,"AAAAAHP+fow=")</f>
        <v>#REF!</v>
      </c>
      <c r="EL9" t="e">
        <f>AND(#REF!,"AAAAAHP+fo0=")</f>
        <v>#REF!</v>
      </c>
      <c r="EM9" t="e">
        <f>AND(#REF!,"AAAAAHP+fo4=")</f>
        <v>#REF!</v>
      </c>
      <c r="EN9" t="e">
        <f>AND(#REF!,"AAAAAHP+fo8=")</f>
        <v>#REF!</v>
      </c>
      <c r="EO9" t="e">
        <f>AND(#REF!,"AAAAAHP+fpA=")</f>
        <v>#REF!</v>
      </c>
      <c r="EP9" t="e">
        <f>AND(#REF!,"AAAAAHP+fpE=")</f>
        <v>#REF!</v>
      </c>
      <c r="EQ9" t="e">
        <f>AND(#REF!,"AAAAAHP+fpI=")</f>
        <v>#REF!</v>
      </c>
      <c r="ER9" t="e">
        <f>AND(#REF!,"AAAAAHP+fpM=")</f>
        <v>#REF!</v>
      </c>
      <c r="ES9" t="e">
        <f>AND(#REF!,"AAAAAHP+fpQ=")</f>
        <v>#REF!</v>
      </c>
      <c r="ET9" t="e">
        <f>AND(#REF!,"AAAAAHP+fpU=")</f>
        <v>#REF!</v>
      </c>
      <c r="EU9" t="e">
        <f>AND(#REF!,"AAAAAHP+fpY=")</f>
        <v>#REF!</v>
      </c>
      <c r="EV9" t="e">
        <f>AND(#REF!,"AAAAAHP+fpc=")</f>
        <v>#REF!</v>
      </c>
      <c r="EW9" t="e">
        <f>AND(#REF!,"AAAAAHP+fpg=")</f>
        <v>#REF!</v>
      </c>
      <c r="EX9" t="e">
        <f>AND(#REF!,"AAAAAHP+fpk=")</f>
        <v>#REF!</v>
      </c>
      <c r="EY9" t="e">
        <f>AND(#REF!,"AAAAAHP+fpo=")</f>
        <v>#REF!</v>
      </c>
      <c r="EZ9" t="e">
        <f>AND(#REF!,"AAAAAHP+fps=")</f>
        <v>#REF!</v>
      </c>
      <c r="FA9" t="e">
        <f>AND(#REF!,"AAAAAHP+fpw=")</f>
        <v>#REF!</v>
      </c>
      <c r="FB9" t="e">
        <f>AND(#REF!,"AAAAAHP+fp0=")</f>
        <v>#REF!</v>
      </c>
      <c r="FC9" t="e">
        <f>AND(#REF!,"AAAAAHP+fp4=")</f>
        <v>#REF!</v>
      </c>
      <c r="FD9" t="e">
        <f>AND(#REF!,"AAAAAHP+fp8=")</f>
        <v>#REF!</v>
      </c>
      <c r="FE9" t="e">
        <f>AND(#REF!,"AAAAAHP+fqA=")</f>
        <v>#REF!</v>
      </c>
      <c r="FF9" t="e">
        <f>AND(#REF!,"AAAAAHP+fqE=")</f>
        <v>#REF!</v>
      </c>
      <c r="FG9" t="e">
        <f>AND(#REF!,"AAAAAHP+fqI=")</f>
        <v>#REF!</v>
      </c>
      <c r="FH9" t="e">
        <f>AND(#REF!,"AAAAAHP+fqM=")</f>
        <v>#REF!</v>
      </c>
      <c r="FI9" t="e">
        <f>AND(#REF!,"AAAAAHP+fqQ=")</f>
        <v>#REF!</v>
      </c>
      <c r="FJ9" t="e">
        <f>AND(#REF!,"AAAAAHP+fqU=")</f>
        <v>#REF!</v>
      </c>
      <c r="FK9" t="e">
        <f>AND(#REF!,"AAAAAHP+fqY=")</f>
        <v>#REF!</v>
      </c>
      <c r="FL9" t="e">
        <f>AND(#REF!,"AAAAAHP+fqc=")</f>
        <v>#REF!</v>
      </c>
      <c r="FM9" t="e">
        <f>AND(#REF!,"AAAAAHP+fqg=")</f>
        <v>#REF!</v>
      </c>
      <c r="FN9" t="e">
        <f>AND(#REF!,"AAAAAHP+fqk=")</f>
        <v>#REF!</v>
      </c>
      <c r="FO9" t="e">
        <f>AND(#REF!,"AAAAAHP+fqo=")</f>
        <v>#REF!</v>
      </c>
      <c r="FP9" t="e">
        <f>AND(#REF!,"AAAAAHP+fqs=")</f>
        <v>#REF!</v>
      </c>
      <c r="FQ9" t="e">
        <f>AND(#REF!,"AAAAAHP+fqw=")</f>
        <v>#REF!</v>
      </c>
      <c r="FR9" t="e">
        <f>AND(#REF!,"AAAAAHP+fq0=")</f>
        <v>#REF!</v>
      </c>
      <c r="FS9" t="e">
        <f>AND(#REF!,"AAAAAHP+fq4=")</f>
        <v>#REF!</v>
      </c>
      <c r="FT9" t="e">
        <f>AND(#REF!,"AAAAAHP+fq8=")</f>
        <v>#REF!</v>
      </c>
      <c r="FU9" t="e">
        <f>AND(#REF!,"AAAAAHP+frA=")</f>
        <v>#REF!</v>
      </c>
      <c r="FV9" t="e">
        <f>AND(#REF!,"AAAAAHP+frE=")</f>
        <v>#REF!</v>
      </c>
      <c r="FW9" t="e">
        <f>AND(#REF!,"AAAAAHP+frI=")</f>
        <v>#REF!</v>
      </c>
      <c r="FX9" t="e">
        <f>AND(#REF!,"AAAAAHP+frM=")</f>
        <v>#REF!</v>
      </c>
      <c r="FY9" t="e">
        <f>AND(#REF!,"AAAAAHP+frQ=")</f>
        <v>#REF!</v>
      </c>
      <c r="FZ9" t="e">
        <f>AND(#REF!,"AAAAAHP+frU=")</f>
        <v>#REF!</v>
      </c>
      <c r="GA9" t="e">
        <f>AND(#REF!,"AAAAAHP+frY=")</f>
        <v>#REF!</v>
      </c>
      <c r="GB9" t="e">
        <f>AND(#REF!,"AAAAAHP+frc=")</f>
        <v>#REF!</v>
      </c>
      <c r="GC9" t="e">
        <f>AND(#REF!,"AAAAAHP+frg=")</f>
        <v>#REF!</v>
      </c>
      <c r="GD9" t="e">
        <f>AND(#REF!,"AAAAAHP+frk=")</f>
        <v>#REF!</v>
      </c>
      <c r="GE9" t="e">
        <f>AND(#REF!,"AAAAAHP+fro=")</f>
        <v>#REF!</v>
      </c>
      <c r="GF9" t="e">
        <f>AND(#REF!,"AAAAAHP+frs=")</f>
        <v>#REF!</v>
      </c>
      <c r="GG9" t="e">
        <f>AND(#REF!,"AAAAAHP+frw=")</f>
        <v>#REF!</v>
      </c>
      <c r="GH9" t="e">
        <f>AND(#REF!,"AAAAAHP+fr0=")</f>
        <v>#REF!</v>
      </c>
      <c r="GI9" t="e">
        <f>AND(#REF!,"AAAAAHP+fr4=")</f>
        <v>#REF!</v>
      </c>
      <c r="GJ9" t="e">
        <f>AND(#REF!,"AAAAAHP+fr8=")</f>
        <v>#REF!</v>
      </c>
      <c r="GK9" t="e">
        <f>AND(#REF!,"AAAAAHP+fsA=")</f>
        <v>#REF!</v>
      </c>
      <c r="GL9" t="e">
        <f>AND(#REF!,"AAAAAHP+fsE=")</f>
        <v>#REF!</v>
      </c>
      <c r="GM9" t="e">
        <f>AND(#REF!,"AAAAAHP+fsI=")</f>
        <v>#REF!</v>
      </c>
      <c r="GN9" t="e">
        <f>AND(#REF!,"AAAAAHP+fsM=")</f>
        <v>#REF!</v>
      </c>
      <c r="GO9" t="e">
        <f>AND(#REF!,"AAAAAHP+fsQ=")</f>
        <v>#REF!</v>
      </c>
      <c r="GP9" t="e">
        <f>AND(#REF!,"AAAAAHP+fsU=")</f>
        <v>#REF!</v>
      </c>
      <c r="GQ9" t="e">
        <f>AND(#REF!,"AAAAAHP+fsY=")</f>
        <v>#REF!</v>
      </c>
      <c r="GR9" t="e">
        <f>AND(#REF!,"AAAAAHP+fsc=")</f>
        <v>#REF!</v>
      </c>
      <c r="GS9" t="e">
        <f>AND(#REF!,"AAAAAHP+fsg=")</f>
        <v>#REF!</v>
      </c>
      <c r="GT9" t="e">
        <f>AND(#REF!,"AAAAAHP+fsk=")</f>
        <v>#REF!</v>
      </c>
      <c r="GU9" t="e">
        <f>AND(#REF!,"AAAAAHP+fso=")</f>
        <v>#REF!</v>
      </c>
      <c r="GV9" t="e">
        <f>AND(#REF!,"AAAAAHP+fss=")</f>
        <v>#REF!</v>
      </c>
      <c r="GW9" t="e">
        <f>AND(#REF!,"AAAAAHP+fsw=")</f>
        <v>#REF!</v>
      </c>
      <c r="GX9" t="e">
        <f>AND(#REF!,"AAAAAHP+fs0=")</f>
        <v>#REF!</v>
      </c>
      <c r="GY9" t="e">
        <f>AND(#REF!,"AAAAAHP+fs4=")</f>
        <v>#REF!</v>
      </c>
      <c r="GZ9" t="e">
        <f>AND(#REF!,"AAAAAHP+fs8=")</f>
        <v>#REF!</v>
      </c>
      <c r="HA9" t="e">
        <f>AND(#REF!,"AAAAAHP+ftA=")</f>
        <v>#REF!</v>
      </c>
      <c r="HB9" t="e">
        <f>AND(#REF!,"AAAAAHP+ftE=")</f>
        <v>#REF!</v>
      </c>
      <c r="HC9" t="e">
        <f>AND(#REF!,"AAAAAHP+ftI=")</f>
        <v>#REF!</v>
      </c>
      <c r="HD9" t="e">
        <f>AND(#REF!,"AAAAAHP+ftM=")</f>
        <v>#REF!</v>
      </c>
      <c r="HE9" t="e">
        <f>AND(#REF!,"AAAAAHP+ftQ=")</f>
        <v>#REF!</v>
      </c>
      <c r="HF9" t="e">
        <f>AND(#REF!,"AAAAAHP+ftU=")</f>
        <v>#REF!</v>
      </c>
      <c r="HG9" t="e">
        <f>AND(#REF!,"AAAAAHP+ftY=")</f>
        <v>#REF!</v>
      </c>
      <c r="HH9" t="e">
        <f>AND(#REF!,"AAAAAHP+ftc=")</f>
        <v>#REF!</v>
      </c>
      <c r="HI9" t="e">
        <f>AND(#REF!,"AAAAAHP+ftg=")</f>
        <v>#REF!</v>
      </c>
      <c r="HJ9" t="e">
        <f>AND(#REF!,"AAAAAHP+ftk=")</f>
        <v>#REF!</v>
      </c>
      <c r="HK9" t="e">
        <f>AND(#REF!,"AAAAAHP+fto=")</f>
        <v>#REF!</v>
      </c>
      <c r="HL9" t="e">
        <f>AND(#REF!,"AAAAAHP+fts=")</f>
        <v>#REF!</v>
      </c>
      <c r="HM9" t="e">
        <f>AND(#REF!,"AAAAAHP+ftw=")</f>
        <v>#REF!</v>
      </c>
      <c r="HN9" t="e">
        <f>AND(#REF!,"AAAAAHP+ft0=")</f>
        <v>#REF!</v>
      </c>
      <c r="HO9" t="e">
        <f>AND(#REF!,"AAAAAHP+ft4=")</f>
        <v>#REF!</v>
      </c>
      <c r="HP9" t="e">
        <f>AND(#REF!,"AAAAAHP+ft8=")</f>
        <v>#REF!</v>
      </c>
      <c r="HQ9" t="e">
        <f>AND(#REF!,"AAAAAHP+fuA=")</f>
        <v>#REF!</v>
      </c>
      <c r="HR9" t="e">
        <f>AND(#REF!,"AAAAAHP+fuE=")</f>
        <v>#REF!</v>
      </c>
      <c r="HS9" t="e">
        <f>AND(#REF!,"AAAAAHP+fuI=")</f>
        <v>#REF!</v>
      </c>
      <c r="HT9" t="e">
        <f>AND(#REF!,"AAAAAHP+fuM=")</f>
        <v>#REF!</v>
      </c>
      <c r="HU9" t="e">
        <f>AND(#REF!,"AAAAAHP+fuQ=")</f>
        <v>#REF!</v>
      </c>
      <c r="HV9" t="e">
        <f>AND(#REF!,"AAAAAHP+fuU=")</f>
        <v>#REF!</v>
      </c>
      <c r="HW9" t="e">
        <f>AND(#REF!,"AAAAAHP+fuY=")</f>
        <v>#REF!</v>
      </c>
      <c r="HX9" t="e">
        <f>AND(#REF!,"AAAAAHP+fuc=")</f>
        <v>#REF!</v>
      </c>
      <c r="HY9" t="e">
        <f>AND(#REF!,"AAAAAHP+fug=")</f>
        <v>#REF!</v>
      </c>
      <c r="HZ9" t="e">
        <f>AND(#REF!,"AAAAAHP+fuk=")</f>
        <v>#REF!</v>
      </c>
      <c r="IA9" t="e">
        <f>AND(#REF!,"AAAAAHP+fuo=")</f>
        <v>#REF!</v>
      </c>
      <c r="IB9" t="e">
        <f>AND(#REF!,"AAAAAHP+fus=")</f>
        <v>#REF!</v>
      </c>
      <c r="IC9" t="e">
        <f>AND(#REF!,"AAAAAHP+fuw=")</f>
        <v>#REF!</v>
      </c>
      <c r="ID9" t="e">
        <f>AND(#REF!,"AAAAAHP+fu0=")</f>
        <v>#REF!</v>
      </c>
      <c r="IE9" t="e">
        <f>AND(#REF!,"AAAAAHP+fu4=")</f>
        <v>#REF!</v>
      </c>
      <c r="IF9" t="e">
        <f>AND(#REF!,"AAAAAHP+fu8=")</f>
        <v>#REF!</v>
      </c>
      <c r="IG9" t="e">
        <f>AND(#REF!,"AAAAAHP+fvA=")</f>
        <v>#REF!</v>
      </c>
      <c r="IH9" t="e">
        <f>AND(#REF!,"AAAAAHP+fvE=")</f>
        <v>#REF!</v>
      </c>
      <c r="II9" t="e">
        <f>AND(#REF!,"AAAAAHP+fvI=")</f>
        <v>#REF!</v>
      </c>
      <c r="IJ9" t="e">
        <f>AND(#REF!,"AAAAAHP+fvM=")</f>
        <v>#REF!</v>
      </c>
      <c r="IK9" t="e">
        <f>AND(#REF!,"AAAAAHP+fvQ=")</f>
        <v>#REF!</v>
      </c>
      <c r="IL9" t="e">
        <f>AND(#REF!,"AAAAAHP+fvU=")</f>
        <v>#REF!</v>
      </c>
      <c r="IM9" t="e">
        <f>AND(#REF!,"AAAAAHP+fvY=")</f>
        <v>#REF!</v>
      </c>
      <c r="IN9" t="e">
        <f>AND(#REF!,"AAAAAHP+fvc=")</f>
        <v>#REF!</v>
      </c>
      <c r="IO9" t="e">
        <f>AND(#REF!,"AAAAAHP+fvg=")</f>
        <v>#REF!</v>
      </c>
      <c r="IP9" t="e">
        <f>AND(#REF!,"AAAAAHP+fvk=")</f>
        <v>#REF!</v>
      </c>
      <c r="IQ9" t="e">
        <f>AND(#REF!,"AAAAAHP+fvo=")</f>
        <v>#REF!</v>
      </c>
      <c r="IR9" t="e">
        <f>AND(#REF!,"AAAAAHP+fvs=")</f>
        <v>#REF!</v>
      </c>
      <c r="IS9" t="e">
        <f>AND(#REF!,"AAAAAHP+fvw=")</f>
        <v>#REF!</v>
      </c>
      <c r="IT9" t="e">
        <f>AND(#REF!,"AAAAAHP+fv0=")</f>
        <v>#REF!</v>
      </c>
      <c r="IU9" t="e">
        <f>AND(#REF!,"AAAAAHP+fv4=")</f>
        <v>#REF!</v>
      </c>
      <c r="IV9" t="e">
        <f>AND(#REF!,"AAAAAHP+fv8=")</f>
        <v>#REF!</v>
      </c>
    </row>
    <row r="10" spans="1:256" x14ac:dyDescent="0.25">
      <c r="A10" t="e">
        <f>AND(#REF!,"AAAAAG7f9wA=")</f>
        <v>#REF!</v>
      </c>
      <c r="B10" t="e">
        <f>IF(#REF!,"AAAAAG7f9wE=",0)</f>
        <v>#REF!</v>
      </c>
      <c r="C10" t="e">
        <f>AND(#REF!,"AAAAAG7f9wI=")</f>
        <v>#REF!</v>
      </c>
      <c r="D10" t="e">
        <f>AND(#REF!,"AAAAAG7f9wM=")</f>
        <v>#REF!</v>
      </c>
      <c r="E10" t="e">
        <f>AND(#REF!,"AAAAAG7f9wQ=")</f>
        <v>#REF!</v>
      </c>
      <c r="F10" t="e">
        <f>AND(#REF!,"AAAAAG7f9wU=")</f>
        <v>#REF!</v>
      </c>
      <c r="G10" t="e">
        <f>AND(#REF!,"AAAAAG7f9wY=")</f>
        <v>#REF!</v>
      </c>
      <c r="H10" t="e">
        <f>AND(#REF!,"AAAAAG7f9wc=")</f>
        <v>#REF!</v>
      </c>
      <c r="I10" t="e">
        <f>AND(#REF!,"AAAAAG7f9wg=")</f>
        <v>#REF!</v>
      </c>
      <c r="J10" t="e">
        <f>AND(#REF!,"AAAAAG7f9wk=")</f>
        <v>#REF!</v>
      </c>
      <c r="K10" t="e">
        <f>AND(#REF!,"AAAAAG7f9wo=")</f>
        <v>#REF!</v>
      </c>
      <c r="L10" t="e">
        <f>AND(#REF!,"AAAAAG7f9ws=")</f>
        <v>#REF!</v>
      </c>
      <c r="M10" t="e">
        <f>AND(#REF!,"AAAAAG7f9ww=")</f>
        <v>#REF!</v>
      </c>
      <c r="N10" t="e">
        <f>AND(#REF!,"AAAAAG7f9w0=")</f>
        <v>#REF!</v>
      </c>
      <c r="O10" t="e">
        <f>AND(#REF!,"AAAAAG7f9w4=")</f>
        <v>#REF!</v>
      </c>
      <c r="P10" t="e">
        <f>AND(#REF!,"AAAAAG7f9w8=")</f>
        <v>#REF!</v>
      </c>
      <c r="Q10" t="e">
        <f>AND(#REF!,"AAAAAG7f9xA=")</f>
        <v>#REF!</v>
      </c>
      <c r="R10" t="e">
        <f>AND(#REF!,"AAAAAG7f9xE=")</f>
        <v>#REF!</v>
      </c>
      <c r="S10" t="e">
        <f>AND(#REF!,"AAAAAG7f9xI=")</f>
        <v>#REF!</v>
      </c>
      <c r="T10" t="e">
        <f>AND(#REF!,"AAAAAG7f9xM=")</f>
        <v>#REF!</v>
      </c>
      <c r="U10" t="e">
        <f>AND(#REF!,"AAAAAG7f9xQ=")</f>
        <v>#REF!</v>
      </c>
      <c r="V10" t="e">
        <f>AND(#REF!,"AAAAAG7f9xU=")</f>
        <v>#REF!</v>
      </c>
      <c r="W10" t="e">
        <f>AND(#REF!,"AAAAAG7f9xY=")</f>
        <v>#REF!</v>
      </c>
      <c r="X10" t="e">
        <f>AND(#REF!,"AAAAAG7f9xc=")</f>
        <v>#REF!</v>
      </c>
      <c r="Y10" t="e">
        <f>AND(#REF!,"AAAAAG7f9xg=")</f>
        <v>#REF!</v>
      </c>
      <c r="Z10" t="e">
        <f>AND(#REF!,"AAAAAG7f9xk=")</f>
        <v>#REF!</v>
      </c>
      <c r="AA10" t="e">
        <f>AND(#REF!,"AAAAAG7f9xo=")</f>
        <v>#REF!</v>
      </c>
      <c r="AB10" t="e">
        <f>AND(#REF!,"AAAAAG7f9xs=")</f>
        <v>#REF!</v>
      </c>
      <c r="AC10" t="e">
        <f>AND(#REF!,"AAAAAG7f9xw=")</f>
        <v>#REF!</v>
      </c>
      <c r="AD10" t="e">
        <f>AND(#REF!,"AAAAAG7f9x0=")</f>
        <v>#REF!</v>
      </c>
      <c r="AE10" t="e">
        <f>AND(#REF!,"AAAAAG7f9x4=")</f>
        <v>#REF!</v>
      </c>
      <c r="AF10" t="e">
        <f>AND(#REF!,"AAAAAG7f9x8=")</f>
        <v>#REF!</v>
      </c>
      <c r="AG10" t="e">
        <f>AND(#REF!,"AAAAAG7f9yA=")</f>
        <v>#REF!</v>
      </c>
      <c r="AH10" t="e">
        <f>AND(#REF!,"AAAAAG7f9yE=")</f>
        <v>#REF!</v>
      </c>
      <c r="AI10" t="e">
        <f>AND(#REF!,"AAAAAG7f9yI=")</f>
        <v>#REF!</v>
      </c>
      <c r="AJ10" t="e">
        <f>AND(#REF!,"AAAAAG7f9yM=")</f>
        <v>#REF!</v>
      </c>
      <c r="AK10" t="e">
        <f>AND(#REF!,"AAAAAG7f9yQ=")</f>
        <v>#REF!</v>
      </c>
      <c r="AL10" t="e">
        <f>AND(#REF!,"AAAAAG7f9yU=")</f>
        <v>#REF!</v>
      </c>
      <c r="AM10" t="e">
        <f>AND(#REF!,"AAAAAG7f9yY=")</f>
        <v>#REF!</v>
      </c>
      <c r="AN10" t="e">
        <f>AND(#REF!,"AAAAAG7f9yc=")</f>
        <v>#REF!</v>
      </c>
      <c r="AO10" t="e">
        <f>AND(#REF!,"AAAAAG7f9yg=")</f>
        <v>#REF!</v>
      </c>
      <c r="AP10" t="e">
        <f>AND(#REF!,"AAAAAG7f9yk=")</f>
        <v>#REF!</v>
      </c>
      <c r="AQ10" t="e">
        <f>AND(#REF!,"AAAAAG7f9yo=")</f>
        <v>#REF!</v>
      </c>
      <c r="AR10" t="e">
        <f>AND(#REF!,"AAAAAG7f9ys=")</f>
        <v>#REF!</v>
      </c>
      <c r="AS10" t="e">
        <f>AND(#REF!,"AAAAAG7f9yw=")</f>
        <v>#REF!</v>
      </c>
      <c r="AT10" t="e">
        <f>AND(#REF!,"AAAAAG7f9y0=")</f>
        <v>#REF!</v>
      </c>
      <c r="AU10" t="e">
        <f>AND(#REF!,"AAAAAG7f9y4=")</f>
        <v>#REF!</v>
      </c>
      <c r="AV10" t="e">
        <f>AND(#REF!,"AAAAAG7f9y8=")</f>
        <v>#REF!</v>
      </c>
      <c r="AW10" t="e">
        <f>AND(#REF!,"AAAAAG7f9zA=")</f>
        <v>#REF!</v>
      </c>
      <c r="AX10" t="e">
        <f>AND(#REF!,"AAAAAG7f9zE=")</f>
        <v>#REF!</v>
      </c>
      <c r="AY10" t="e">
        <f>AND(#REF!,"AAAAAG7f9zI=")</f>
        <v>#REF!</v>
      </c>
      <c r="AZ10" t="e">
        <f>AND(#REF!,"AAAAAG7f9zM=")</f>
        <v>#REF!</v>
      </c>
      <c r="BA10" t="e">
        <f>AND(#REF!,"AAAAAG7f9zQ=")</f>
        <v>#REF!</v>
      </c>
      <c r="BB10" t="e">
        <f>AND(#REF!,"AAAAAG7f9zU=")</f>
        <v>#REF!</v>
      </c>
      <c r="BC10" t="e">
        <f>AND(#REF!,"AAAAAG7f9zY=")</f>
        <v>#REF!</v>
      </c>
      <c r="BD10" t="e">
        <f>AND(#REF!,"AAAAAG7f9zc=")</f>
        <v>#REF!</v>
      </c>
      <c r="BE10" t="e">
        <f>AND(#REF!,"AAAAAG7f9zg=")</f>
        <v>#REF!</v>
      </c>
      <c r="BF10" t="e">
        <f>AND(#REF!,"AAAAAG7f9zk=")</f>
        <v>#REF!</v>
      </c>
      <c r="BG10" t="e">
        <f>AND(#REF!,"AAAAAG7f9zo=")</f>
        <v>#REF!</v>
      </c>
      <c r="BH10" t="e">
        <f>AND(#REF!,"AAAAAG7f9zs=")</f>
        <v>#REF!</v>
      </c>
      <c r="BI10" t="e">
        <f>AND(#REF!,"AAAAAG7f9zw=")</f>
        <v>#REF!</v>
      </c>
      <c r="BJ10" t="e">
        <f>AND(#REF!,"AAAAAG7f9z0=")</f>
        <v>#REF!</v>
      </c>
      <c r="BK10" t="e">
        <f>AND(#REF!,"AAAAAG7f9z4=")</f>
        <v>#REF!</v>
      </c>
      <c r="BL10" t="e">
        <f>AND(#REF!,"AAAAAG7f9z8=")</f>
        <v>#REF!</v>
      </c>
      <c r="BM10" t="e">
        <f>AND(#REF!,"AAAAAG7f90A=")</f>
        <v>#REF!</v>
      </c>
      <c r="BN10" t="e">
        <f>AND(#REF!,"AAAAAG7f90E=")</f>
        <v>#REF!</v>
      </c>
      <c r="BO10" t="e">
        <f>AND(#REF!,"AAAAAG7f90I=")</f>
        <v>#REF!</v>
      </c>
      <c r="BP10" t="e">
        <f>AND(#REF!,"AAAAAG7f90M=")</f>
        <v>#REF!</v>
      </c>
      <c r="BQ10" t="e">
        <f>AND(#REF!,"AAAAAG7f90Q=")</f>
        <v>#REF!</v>
      </c>
      <c r="BR10" t="e">
        <f>AND(#REF!,"AAAAAG7f90U=")</f>
        <v>#REF!</v>
      </c>
      <c r="BS10" t="e">
        <f>AND(#REF!,"AAAAAG7f90Y=")</f>
        <v>#REF!</v>
      </c>
      <c r="BT10" t="e">
        <f>AND(#REF!,"AAAAAG7f90c=")</f>
        <v>#REF!</v>
      </c>
      <c r="BU10" t="e">
        <f>AND(#REF!,"AAAAAG7f90g=")</f>
        <v>#REF!</v>
      </c>
      <c r="BV10" t="e">
        <f>AND(#REF!,"AAAAAG7f90k=")</f>
        <v>#REF!</v>
      </c>
      <c r="BW10" t="e">
        <f>AND(#REF!,"AAAAAG7f90o=")</f>
        <v>#REF!</v>
      </c>
      <c r="BX10" t="e">
        <f>AND(#REF!,"AAAAAG7f90s=")</f>
        <v>#REF!</v>
      </c>
      <c r="BY10" t="e">
        <f>AND(#REF!,"AAAAAG7f90w=")</f>
        <v>#REF!</v>
      </c>
      <c r="BZ10" t="e">
        <f>AND(#REF!,"AAAAAG7f900=")</f>
        <v>#REF!</v>
      </c>
      <c r="CA10" t="e">
        <f>AND(#REF!,"AAAAAG7f904=")</f>
        <v>#REF!</v>
      </c>
      <c r="CB10" t="e">
        <f>AND(#REF!,"AAAAAG7f908=")</f>
        <v>#REF!</v>
      </c>
      <c r="CC10" t="e">
        <f>AND(#REF!,"AAAAAG7f91A=")</f>
        <v>#REF!</v>
      </c>
      <c r="CD10" t="e">
        <f>AND(#REF!,"AAAAAG7f91E=")</f>
        <v>#REF!</v>
      </c>
      <c r="CE10" t="e">
        <f>AND(#REF!,"AAAAAG7f91I=")</f>
        <v>#REF!</v>
      </c>
      <c r="CF10" t="e">
        <f>AND(#REF!,"AAAAAG7f91M=")</f>
        <v>#REF!</v>
      </c>
      <c r="CG10" t="e">
        <f>AND(#REF!,"AAAAAG7f91Q=")</f>
        <v>#REF!</v>
      </c>
      <c r="CH10" t="e">
        <f>AND(#REF!,"AAAAAG7f91U=")</f>
        <v>#REF!</v>
      </c>
      <c r="CI10" t="e">
        <f>AND(#REF!,"AAAAAG7f91Y=")</f>
        <v>#REF!</v>
      </c>
      <c r="CJ10" t="e">
        <f>AND(#REF!,"AAAAAG7f91c=")</f>
        <v>#REF!</v>
      </c>
      <c r="CK10" t="e">
        <f>AND(#REF!,"AAAAAG7f91g=")</f>
        <v>#REF!</v>
      </c>
      <c r="CL10" t="e">
        <f>AND(#REF!,"AAAAAG7f91k=")</f>
        <v>#REF!</v>
      </c>
      <c r="CM10" t="e">
        <f>AND(#REF!,"AAAAAG7f91o=")</f>
        <v>#REF!</v>
      </c>
      <c r="CN10" t="e">
        <f>AND(#REF!,"AAAAAG7f91s=")</f>
        <v>#REF!</v>
      </c>
      <c r="CO10" t="e">
        <f>AND(#REF!,"AAAAAG7f91w=")</f>
        <v>#REF!</v>
      </c>
      <c r="CP10" t="e">
        <f>AND(#REF!,"AAAAAG7f910=")</f>
        <v>#REF!</v>
      </c>
      <c r="CQ10" t="e">
        <f>AND(#REF!,"AAAAAG7f914=")</f>
        <v>#REF!</v>
      </c>
      <c r="CR10" t="e">
        <f>AND(#REF!,"AAAAAG7f918=")</f>
        <v>#REF!</v>
      </c>
      <c r="CS10" t="e">
        <f>AND(#REF!,"AAAAAG7f92A=")</f>
        <v>#REF!</v>
      </c>
      <c r="CT10" t="e">
        <f>AND(#REF!,"AAAAAG7f92E=")</f>
        <v>#REF!</v>
      </c>
      <c r="CU10" t="e">
        <f>AND(#REF!,"AAAAAG7f92I=")</f>
        <v>#REF!</v>
      </c>
      <c r="CV10" t="e">
        <f>AND(#REF!,"AAAAAG7f92M=")</f>
        <v>#REF!</v>
      </c>
      <c r="CW10" t="e">
        <f>AND(#REF!,"AAAAAG7f92Q=")</f>
        <v>#REF!</v>
      </c>
      <c r="CX10" t="e">
        <f>AND(#REF!,"AAAAAG7f92U=")</f>
        <v>#REF!</v>
      </c>
      <c r="CY10" t="e">
        <f>AND(#REF!,"AAAAAG7f92Y=")</f>
        <v>#REF!</v>
      </c>
      <c r="CZ10" t="e">
        <f>AND(#REF!,"AAAAAG7f92c=")</f>
        <v>#REF!</v>
      </c>
      <c r="DA10" t="e">
        <f>AND(#REF!,"AAAAAG7f92g=")</f>
        <v>#REF!</v>
      </c>
      <c r="DB10" t="e">
        <f>AND(#REF!,"AAAAAG7f92k=")</f>
        <v>#REF!</v>
      </c>
      <c r="DC10" t="e">
        <f>AND(#REF!,"AAAAAG7f92o=")</f>
        <v>#REF!</v>
      </c>
      <c r="DD10" t="e">
        <f>AND(#REF!,"AAAAAG7f92s=")</f>
        <v>#REF!</v>
      </c>
      <c r="DE10" t="e">
        <f>AND(#REF!,"AAAAAG7f92w=")</f>
        <v>#REF!</v>
      </c>
      <c r="DF10" t="e">
        <f>AND(#REF!,"AAAAAG7f920=")</f>
        <v>#REF!</v>
      </c>
      <c r="DG10" t="e">
        <f>AND(#REF!,"AAAAAG7f924=")</f>
        <v>#REF!</v>
      </c>
      <c r="DH10" t="e">
        <f>AND(#REF!,"AAAAAG7f928=")</f>
        <v>#REF!</v>
      </c>
      <c r="DI10" t="e">
        <f>AND(#REF!,"AAAAAG7f93A=")</f>
        <v>#REF!</v>
      </c>
      <c r="DJ10" t="e">
        <f>AND(#REF!,"AAAAAG7f93E=")</f>
        <v>#REF!</v>
      </c>
      <c r="DK10" t="e">
        <f>AND(#REF!,"AAAAAG7f93I=")</f>
        <v>#REF!</v>
      </c>
      <c r="DL10" t="e">
        <f>AND(#REF!,"AAAAAG7f93M=")</f>
        <v>#REF!</v>
      </c>
      <c r="DM10" t="e">
        <f>AND(#REF!,"AAAAAG7f93Q=")</f>
        <v>#REF!</v>
      </c>
      <c r="DN10" t="e">
        <f>AND(#REF!,"AAAAAG7f93U=")</f>
        <v>#REF!</v>
      </c>
      <c r="DO10" t="e">
        <f>AND(#REF!,"AAAAAG7f93Y=")</f>
        <v>#REF!</v>
      </c>
      <c r="DP10" t="e">
        <f>AND(#REF!,"AAAAAG7f93c=")</f>
        <v>#REF!</v>
      </c>
      <c r="DQ10" t="e">
        <f>AND(#REF!,"AAAAAG7f93g=")</f>
        <v>#REF!</v>
      </c>
      <c r="DR10" t="e">
        <f>AND(#REF!,"AAAAAG7f93k=")</f>
        <v>#REF!</v>
      </c>
      <c r="DS10" t="e">
        <f>AND(#REF!,"AAAAAG7f93o=")</f>
        <v>#REF!</v>
      </c>
      <c r="DT10" t="e">
        <f>AND(#REF!,"AAAAAG7f93s=")</f>
        <v>#REF!</v>
      </c>
      <c r="DU10" t="e">
        <f>AND(#REF!,"AAAAAG7f93w=")</f>
        <v>#REF!</v>
      </c>
      <c r="DV10" t="e">
        <f>AND(#REF!,"AAAAAG7f930=")</f>
        <v>#REF!</v>
      </c>
      <c r="DW10" t="e">
        <f>AND(#REF!,"AAAAAG7f934=")</f>
        <v>#REF!</v>
      </c>
      <c r="DX10" t="e">
        <f>AND(#REF!,"AAAAAG7f938=")</f>
        <v>#REF!</v>
      </c>
      <c r="DY10" t="e">
        <f>AND(#REF!,"AAAAAG7f94A=")</f>
        <v>#REF!</v>
      </c>
      <c r="DZ10" t="e">
        <f>AND(#REF!,"AAAAAG7f94E=")</f>
        <v>#REF!</v>
      </c>
      <c r="EA10" t="e">
        <f>AND(#REF!,"AAAAAG7f94I=")</f>
        <v>#REF!</v>
      </c>
      <c r="EB10" t="e">
        <f>AND(#REF!,"AAAAAG7f94M=")</f>
        <v>#REF!</v>
      </c>
      <c r="EC10" t="e">
        <f>AND(#REF!,"AAAAAG7f94Q=")</f>
        <v>#REF!</v>
      </c>
      <c r="ED10" t="e">
        <f>AND(#REF!,"AAAAAG7f94U=")</f>
        <v>#REF!</v>
      </c>
      <c r="EE10" t="e">
        <f>AND(#REF!,"AAAAAG7f94Y=")</f>
        <v>#REF!</v>
      </c>
      <c r="EF10" t="e">
        <f>AND(#REF!,"AAAAAG7f94c=")</f>
        <v>#REF!</v>
      </c>
      <c r="EG10" t="e">
        <f>AND(#REF!,"AAAAAG7f94g=")</f>
        <v>#REF!</v>
      </c>
      <c r="EH10" t="e">
        <f>AND(#REF!,"AAAAAG7f94k=")</f>
        <v>#REF!</v>
      </c>
      <c r="EI10" t="e">
        <f>AND(#REF!,"AAAAAG7f94o=")</f>
        <v>#REF!</v>
      </c>
      <c r="EJ10" t="e">
        <f>AND(#REF!,"AAAAAG7f94s=")</f>
        <v>#REF!</v>
      </c>
      <c r="EK10" t="e">
        <f>AND(#REF!,"AAAAAG7f94w=")</f>
        <v>#REF!</v>
      </c>
      <c r="EL10" t="e">
        <f>AND(#REF!,"AAAAAG7f940=")</f>
        <v>#REF!</v>
      </c>
      <c r="EM10" t="e">
        <f>AND(#REF!,"AAAAAG7f944=")</f>
        <v>#REF!</v>
      </c>
      <c r="EN10" t="e">
        <f>AND(#REF!,"AAAAAG7f948=")</f>
        <v>#REF!</v>
      </c>
      <c r="EO10" t="e">
        <f>AND(#REF!,"AAAAAG7f95A=")</f>
        <v>#REF!</v>
      </c>
      <c r="EP10" t="e">
        <f>AND(#REF!,"AAAAAG7f95E=")</f>
        <v>#REF!</v>
      </c>
      <c r="EQ10" t="e">
        <f>AND(#REF!,"AAAAAG7f95I=")</f>
        <v>#REF!</v>
      </c>
      <c r="ER10" t="e">
        <f>AND(#REF!,"AAAAAG7f95M=")</f>
        <v>#REF!</v>
      </c>
      <c r="ES10" t="e">
        <f>AND(#REF!,"AAAAAG7f95Q=")</f>
        <v>#REF!</v>
      </c>
      <c r="ET10" t="e">
        <f>AND(#REF!,"AAAAAG7f95U=")</f>
        <v>#REF!</v>
      </c>
      <c r="EU10" t="e">
        <f>AND(#REF!,"AAAAAG7f95Y=")</f>
        <v>#REF!</v>
      </c>
      <c r="EV10" t="e">
        <f>AND(#REF!,"AAAAAG7f95c=")</f>
        <v>#REF!</v>
      </c>
      <c r="EW10" t="e">
        <f>AND(#REF!,"AAAAAG7f95g=")</f>
        <v>#REF!</v>
      </c>
      <c r="EX10" t="e">
        <f>AND(#REF!,"AAAAAG7f95k=")</f>
        <v>#REF!</v>
      </c>
      <c r="EY10" t="e">
        <f>AND(#REF!,"AAAAAG7f95o=")</f>
        <v>#REF!</v>
      </c>
      <c r="EZ10" t="e">
        <f>AND(#REF!,"AAAAAG7f95s=")</f>
        <v>#REF!</v>
      </c>
      <c r="FA10" t="e">
        <f>AND(#REF!,"AAAAAG7f95w=")</f>
        <v>#REF!</v>
      </c>
      <c r="FB10" t="e">
        <f>AND(#REF!,"AAAAAG7f950=")</f>
        <v>#REF!</v>
      </c>
      <c r="FC10" t="e">
        <f>AND(#REF!,"AAAAAG7f954=")</f>
        <v>#REF!</v>
      </c>
      <c r="FD10" t="e">
        <f>AND(#REF!,"AAAAAG7f958=")</f>
        <v>#REF!</v>
      </c>
      <c r="FE10" t="e">
        <f>AND(#REF!,"AAAAAG7f96A=")</f>
        <v>#REF!</v>
      </c>
      <c r="FF10" t="e">
        <f>AND(#REF!,"AAAAAG7f96E=")</f>
        <v>#REF!</v>
      </c>
      <c r="FG10" t="e">
        <f>AND(#REF!,"AAAAAG7f96I=")</f>
        <v>#REF!</v>
      </c>
      <c r="FH10" t="e">
        <f>AND(#REF!,"AAAAAG7f96M=")</f>
        <v>#REF!</v>
      </c>
      <c r="FI10" t="e">
        <f>AND(#REF!,"AAAAAG7f96Q=")</f>
        <v>#REF!</v>
      </c>
      <c r="FJ10" t="e">
        <f>AND(#REF!,"AAAAAG7f96U=")</f>
        <v>#REF!</v>
      </c>
      <c r="FK10" t="e">
        <f>AND(#REF!,"AAAAAG7f96Y=")</f>
        <v>#REF!</v>
      </c>
      <c r="FL10" t="e">
        <f>AND(#REF!,"AAAAAG7f96c=")</f>
        <v>#REF!</v>
      </c>
      <c r="FM10" t="e">
        <f>AND(#REF!,"AAAAAG7f96g=")</f>
        <v>#REF!</v>
      </c>
      <c r="FN10" t="e">
        <f>AND(#REF!,"AAAAAG7f96k=")</f>
        <v>#REF!</v>
      </c>
      <c r="FO10" t="e">
        <f>AND(#REF!,"AAAAAG7f96o=")</f>
        <v>#REF!</v>
      </c>
      <c r="FP10" t="e">
        <f>AND(#REF!,"AAAAAG7f96s=")</f>
        <v>#REF!</v>
      </c>
      <c r="FQ10" t="e">
        <f>AND(#REF!,"AAAAAG7f96w=")</f>
        <v>#REF!</v>
      </c>
      <c r="FR10" t="e">
        <f>AND(#REF!,"AAAAAG7f960=")</f>
        <v>#REF!</v>
      </c>
      <c r="FS10" t="e">
        <f>AND(#REF!,"AAAAAG7f964=")</f>
        <v>#REF!</v>
      </c>
      <c r="FT10" t="e">
        <f>AND(#REF!,"AAAAAG7f968=")</f>
        <v>#REF!</v>
      </c>
      <c r="FU10" t="e">
        <f>AND(#REF!,"AAAAAG7f97A=")</f>
        <v>#REF!</v>
      </c>
      <c r="FV10" t="e">
        <f>AND(#REF!,"AAAAAG7f97E=")</f>
        <v>#REF!</v>
      </c>
      <c r="FW10" t="e">
        <f>AND(#REF!,"AAAAAG7f97I=")</f>
        <v>#REF!</v>
      </c>
      <c r="FX10" t="e">
        <f>AND(#REF!,"AAAAAG7f97M=")</f>
        <v>#REF!</v>
      </c>
      <c r="FY10" t="e">
        <f>AND(#REF!,"AAAAAG7f97Q=")</f>
        <v>#REF!</v>
      </c>
      <c r="FZ10" t="e">
        <f>AND(#REF!,"AAAAAG7f97U=")</f>
        <v>#REF!</v>
      </c>
      <c r="GA10" t="e">
        <f>AND(#REF!,"AAAAAG7f97Y=")</f>
        <v>#REF!</v>
      </c>
      <c r="GB10" t="e">
        <f>AND(#REF!,"AAAAAG7f97c=")</f>
        <v>#REF!</v>
      </c>
      <c r="GC10" t="e">
        <f>AND(#REF!,"AAAAAG7f97g=")</f>
        <v>#REF!</v>
      </c>
      <c r="GD10" t="e">
        <f>AND(#REF!,"AAAAAG7f97k=")</f>
        <v>#REF!</v>
      </c>
      <c r="GE10" t="e">
        <f>AND(#REF!,"AAAAAG7f97o=")</f>
        <v>#REF!</v>
      </c>
      <c r="GF10" t="e">
        <f>AND(#REF!,"AAAAAG7f97s=")</f>
        <v>#REF!</v>
      </c>
      <c r="GG10" t="e">
        <f>AND(#REF!,"AAAAAG7f97w=")</f>
        <v>#REF!</v>
      </c>
      <c r="GH10" t="e">
        <f>AND(#REF!,"AAAAAG7f970=")</f>
        <v>#REF!</v>
      </c>
      <c r="GI10" t="e">
        <f>IF(#REF!,"AAAAAG7f974=",0)</f>
        <v>#REF!</v>
      </c>
      <c r="GJ10" t="e">
        <f>AND(#REF!,"AAAAAG7f978=")</f>
        <v>#REF!</v>
      </c>
      <c r="GK10" t="e">
        <f>AND(#REF!,"AAAAAG7f98A=")</f>
        <v>#REF!</v>
      </c>
      <c r="GL10" t="e">
        <f>AND(#REF!,"AAAAAG7f98E=")</f>
        <v>#REF!</v>
      </c>
      <c r="GM10" t="e">
        <f>AND(#REF!,"AAAAAG7f98I=")</f>
        <v>#REF!</v>
      </c>
      <c r="GN10" t="e">
        <f>AND(#REF!,"AAAAAG7f98M=")</f>
        <v>#REF!</v>
      </c>
      <c r="GO10" t="e">
        <f>AND(#REF!,"AAAAAG7f98Q=")</f>
        <v>#REF!</v>
      </c>
      <c r="GP10" t="e">
        <f>AND(#REF!,"AAAAAG7f98U=")</f>
        <v>#REF!</v>
      </c>
      <c r="GQ10" t="e">
        <f>AND(#REF!,"AAAAAG7f98Y=")</f>
        <v>#REF!</v>
      </c>
      <c r="GR10" t="e">
        <f>AND(#REF!,"AAAAAG7f98c=")</f>
        <v>#REF!</v>
      </c>
      <c r="GS10" t="e">
        <f>AND(#REF!,"AAAAAG7f98g=")</f>
        <v>#REF!</v>
      </c>
      <c r="GT10" t="e">
        <f>AND(#REF!,"AAAAAG7f98k=")</f>
        <v>#REF!</v>
      </c>
      <c r="GU10" t="e">
        <f>AND(#REF!,"AAAAAG7f98o=")</f>
        <v>#REF!</v>
      </c>
      <c r="GV10" t="e">
        <f>AND(#REF!,"AAAAAG7f98s=")</f>
        <v>#REF!</v>
      </c>
      <c r="GW10" t="e">
        <f>AND(#REF!,"AAAAAG7f98w=")</f>
        <v>#REF!</v>
      </c>
      <c r="GX10" t="e">
        <f>AND(#REF!,"AAAAAG7f980=")</f>
        <v>#REF!</v>
      </c>
      <c r="GY10" t="e">
        <f>AND(#REF!,"AAAAAG7f984=")</f>
        <v>#REF!</v>
      </c>
      <c r="GZ10" t="e">
        <f>AND(#REF!,"AAAAAG7f988=")</f>
        <v>#REF!</v>
      </c>
      <c r="HA10" t="e">
        <f>AND(#REF!,"AAAAAG7f99A=")</f>
        <v>#REF!</v>
      </c>
      <c r="HB10" t="e">
        <f>AND(#REF!,"AAAAAG7f99E=")</f>
        <v>#REF!</v>
      </c>
      <c r="HC10" t="e">
        <f>AND(#REF!,"AAAAAG7f99I=")</f>
        <v>#REF!</v>
      </c>
      <c r="HD10" t="e">
        <f>AND(#REF!,"AAAAAG7f99M=")</f>
        <v>#REF!</v>
      </c>
      <c r="HE10" t="e">
        <f>AND(#REF!,"AAAAAG7f99Q=")</f>
        <v>#REF!</v>
      </c>
      <c r="HF10" t="e">
        <f>AND(#REF!,"AAAAAG7f99U=")</f>
        <v>#REF!</v>
      </c>
      <c r="HG10" t="e">
        <f>AND(#REF!,"AAAAAG7f99Y=")</f>
        <v>#REF!</v>
      </c>
      <c r="HH10" t="e">
        <f>AND(#REF!,"AAAAAG7f99c=")</f>
        <v>#REF!</v>
      </c>
      <c r="HI10" t="e">
        <f>AND(#REF!,"AAAAAG7f99g=")</f>
        <v>#REF!</v>
      </c>
      <c r="HJ10" t="e">
        <f>AND(#REF!,"AAAAAG7f99k=")</f>
        <v>#REF!</v>
      </c>
      <c r="HK10" t="e">
        <f>AND(#REF!,"AAAAAG7f99o=")</f>
        <v>#REF!</v>
      </c>
      <c r="HL10" t="e">
        <f>AND(#REF!,"AAAAAG7f99s=")</f>
        <v>#REF!</v>
      </c>
      <c r="HM10" t="e">
        <f>AND(#REF!,"AAAAAG7f99w=")</f>
        <v>#REF!</v>
      </c>
      <c r="HN10" t="e">
        <f>AND(#REF!,"AAAAAG7f990=")</f>
        <v>#REF!</v>
      </c>
      <c r="HO10" t="e">
        <f>AND(#REF!,"AAAAAG7f994=")</f>
        <v>#REF!</v>
      </c>
      <c r="HP10" t="e">
        <f>AND(#REF!,"AAAAAG7f998=")</f>
        <v>#REF!</v>
      </c>
      <c r="HQ10" t="e">
        <f>AND(#REF!,"AAAAAG7f9+A=")</f>
        <v>#REF!</v>
      </c>
      <c r="HR10" t="e">
        <f>AND(#REF!,"AAAAAG7f9+E=")</f>
        <v>#REF!</v>
      </c>
      <c r="HS10" t="e">
        <f>AND(#REF!,"AAAAAG7f9+I=")</f>
        <v>#REF!</v>
      </c>
      <c r="HT10" t="e">
        <f>AND(#REF!,"AAAAAG7f9+M=")</f>
        <v>#REF!</v>
      </c>
      <c r="HU10" t="e">
        <f>AND(#REF!,"AAAAAG7f9+Q=")</f>
        <v>#REF!</v>
      </c>
      <c r="HV10" t="e">
        <f>AND(#REF!,"AAAAAG7f9+U=")</f>
        <v>#REF!</v>
      </c>
      <c r="HW10" t="e">
        <f>AND(#REF!,"AAAAAG7f9+Y=")</f>
        <v>#REF!</v>
      </c>
      <c r="HX10" t="e">
        <f>AND(#REF!,"AAAAAG7f9+c=")</f>
        <v>#REF!</v>
      </c>
      <c r="HY10" t="e">
        <f>AND(#REF!,"AAAAAG7f9+g=")</f>
        <v>#REF!</v>
      </c>
      <c r="HZ10" t="e">
        <f>AND(#REF!,"AAAAAG7f9+k=")</f>
        <v>#REF!</v>
      </c>
      <c r="IA10" t="e">
        <f>AND(#REF!,"AAAAAG7f9+o=")</f>
        <v>#REF!</v>
      </c>
      <c r="IB10" t="e">
        <f>AND(#REF!,"AAAAAG7f9+s=")</f>
        <v>#REF!</v>
      </c>
      <c r="IC10" t="e">
        <f>AND(#REF!,"AAAAAG7f9+w=")</f>
        <v>#REF!</v>
      </c>
      <c r="ID10" t="e">
        <f>AND(#REF!,"AAAAAG7f9+0=")</f>
        <v>#REF!</v>
      </c>
      <c r="IE10" t="e">
        <f>AND(#REF!,"AAAAAG7f9+4=")</f>
        <v>#REF!</v>
      </c>
      <c r="IF10" t="e">
        <f>AND(#REF!,"AAAAAG7f9+8=")</f>
        <v>#REF!</v>
      </c>
      <c r="IG10" t="e">
        <f>AND(#REF!,"AAAAAG7f9/A=")</f>
        <v>#REF!</v>
      </c>
      <c r="IH10" t="e">
        <f>AND(#REF!,"AAAAAG7f9/E=")</f>
        <v>#REF!</v>
      </c>
      <c r="II10" t="e">
        <f>AND(#REF!,"AAAAAG7f9/I=")</f>
        <v>#REF!</v>
      </c>
      <c r="IJ10" t="e">
        <f>AND(#REF!,"AAAAAG7f9/M=")</f>
        <v>#REF!</v>
      </c>
      <c r="IK10" t="e">
        <f>AND(#REF!,"AAAAAG7f9/Q=")</f>
        <v>#REF!</v>
      </c>
      <c r="IL10" t="e">
        <f>AND(#REF!,"AAAAAG7f9/U=")</f>
        <v>#REF!</v>
      </c>
      <c r="IM10" t="e">
        <f>AND(#REF!,"AAAAAG7f9/Y=")</f>
        <v>#REF!</v>
      </c>
      <c r="IN10" t="e">
        <f>AND(#REF!,"AAAAAG7f9/c=")</f>
        <v>#REF!</v>
      </c>
      <c r="IO10" t="e">
        <f>AND(#REF!,"AAAAAG7f9/g=")</f>
        <v>#REF!</v>
      </c>
      <c r="IP10" t="e">
        <f>AND(#REF!,"AAAAAG7f9/k=")</f>
        <v>#REF!</v>
      </c>
      <c r="IQ10" t="e">
        <f>AND(#REF!,"AAAAAG7f9/o=")</f>
        <v>#REF!</v>
      </c>
      <c r="IR10" t="e">
        <f>AND(#REF!,"AAAAAG7f9/s=")</f>
        <v>#REF!</v>
      </c>
      <c r="IS10" t="e">
        <f>AND(#REF!,"AAAAAG7f9/w=")</f>
        <v>#REF!</v>
      </c>
      <c r="IT10" t="e">
        <f>AND(#REF!,"AAAAAG7f9/0=")</f>
        <v>#REF!</v>
      </c>
      <c r="IU10" t="e">
        <f>AND(#REF!,"AAAAAG7f9/4=")</f>
        <v>#REF!</v>
      </c>
      <c r="IV10" t="e">
        <f>AND(#REF!,"AAAAAG7f9/8=")</f>
        <v>#REF!</v>
      </c>
    </row>
    <row r="11" spans="1:256" x14ac:dyDescent="0.25">
      <c r="A11" t="e">
        <f>AND(#REF!,"AAAAAH6/VwA=")</f>
        <v>#REF!</v>
      </c>
      <c r="B11" t="e">
        <f>AND(#REF!,"AAAAAH6/VwE=")</f>
        <v>#REF!</v>
      </c>
      <c r="C11" t="e">
        <f>AND(#REF!,"AAAAAH6/VwI=")</f>
        <v>#REF!</v>
      </c>
      <c r="D11" t="e">
        <f>AND(#REF!,"AAAAAH6/VwM=")</f>
        <v>#REF!</v>
      </c>
      <c r="E11" t="e">
        <f>AND(#REF!,"AAAAAH6/VwQ=")</f>
        <v>#REF!</v>
      </c>
      <c r="F11" t="e">
        <f>AND(#REF!,"AAAAAH6/VwU=")</f>
        <v>#REF!</v>
      </c>
      <c r="G11" t="e">
        <f>AND(#REF!,"AAAAAH6/VwY=")</f>
        <v>#REF!</v>
      </c>
      <c r="H11" t="e">
        <f>AND(#REF!,"AAAAAH6/Vwc=")</f>
        <v>#REF!</v>
      </c>
      <c r="I11" t="e">
        <f>AND(#REF!,"AAAAAH6/Vwg=")</f>
        <v>#REF!</v>
      </c>
      <c r="J11" t="e">
        <f>AND(#REF!,"AAAAAH6/Vwk=")</f>
        <v>#REF!</v>
      </c>
      <c r="K11" t="e">
        <f>AND(#REF!,"AAAAAH6/Vwo=")</f>
        <v>#REF!</v>
      </c>
      <c r="L11" t="e">
        <f>AND(#REF!,"AAAAAH6/Vws=")</f>
        <v>#REF!</v>
      </c>
      <c r="M11" t="e">
        <f>AND(#REF!,"AAAAAH6/Vww=")</f>
        <v>#REF!</v>
      </c>
      <c r="N11" t="e">
        <f>AND(#REF!,"AAAAAH6/Vw0=")</f>
        <v>#REF!</v>
      </c>
      <c r="O11" t="e">
        <f>AND(#REF!,"AAAAAH6/Vw4=")</f>
        <v>#REF!</v>
      </c>
      <c r="P11" t="e">
        <f>AND(#REF!,"AAAAAH6/Vw8=")</f>
        <v>#REF!</v>
      </c>
      <c r="Q11" t="e">
        <f>AND(#REF!,"AAAAAH6/VxA=")</f>
        <v>#REF!</v>
      </c>
      <c r="R11" t="e">
        <f>AND(#REF!,"AAAAAH6/VxE=")</f>
        <v>#REF!</v>
      </c>
      <c r="S11" t="e">
        <f>AND(#REF!,"AAAAAH6/VxI=")</f>
        <v>#REF!</v>
      </c>
      <c r="T11" t="e">
        <f>AND(#REF!,"AAAAAH6/VxM=")</f>
        <v>#REF!</v>
      </c>
      <c r="U11" t="e">
        <f>AND(#REF!,"AAAAAH6/VxQ=")</f>
        <v>#REF!</v>
      </c>
      <c r="V11" t="e">
        <f>AND(#REF!,"AAAAAH6/VxU=")</f>
        <v>#REF!</v>
      </c>
      <c r="W11" t="e">
        <f>AND(#REF!,"AAAAAH6/VxY=")</f>
        <v>#REF!</v>
      </c>
      <c r="X11" t="e">
        <f>AND(#REF!,"AAAAAH6/Vxc=")</f>
        <v>#REF!</v>
      </c>
      <c r="Y11" t="e">
        <f>AND(#REF!,"AAAAAH6/Vxg=")</f>
        <v>#REF!</v>
      </c>
      <c r="Z11" t="e">
        <f>AND(#REF!,"AAAAAH6/Vxk=")</f>
        <v>#REF!</v>
      </c>
      <c r="AA11" t="e">
        <f>AND(#REF!,"AAAAAH6/Vxo=")</f>
        <v>#REF!</v>
      </c>
      <c r="AB11" t="e">
        <f>AND(#REF!,"AAAAAH6/Vxs=")</f>
        <v>#REF!</v>
      </c>
      <c r="AC11" t="e">
        <f>AND(#REF!,"AAAAAH6/Vxw=")</f>
        <v>#REF!</v>
      </c>
      <c r="AD11" t="e">
        <f>AND(#REF!,"AAAAAH6/Vx0=")</f>
        <v>#REF!</v>
      </c>
      <c r="AE11" t="e">
        <f>AND(#REF!,"AAAAAH6/Vx4=")</f>
        <v>#REF!</v>
      </c>
      <c r="AF11" t="e">
        <f>AND(#REF!,"AAAAAH6/Vx8=")</f>
        <v>#REF!</v>
      </c>
      <c r="AG11" t="e">
        <f>AND(#REF!,"AAAAAH6/VyA=")</f>
        <v>#REF!</v>
      </c>
      <c r="AH11" t="e">
        <f>AND(#REF!,"AAAAAH6/VyE=")</f>
        <v>#REF!</v>
      </c>
      <c r="AI11" t="e">
        <f>AND(#REF!,"AAAAAH6/VyI=")</f>
        <v>#REF!</v>
      </c>
      <c r="AJ11" t="e">
        <f>AND(#REF!,"AAAAAH6/VyM=")</f>
        <v>#REF!</v>
      </c>
      <c r="AK11" t="e">
        <f>AND(#REF!,"AAAAAH6/VyQ=")</f>
        <v>#REF!</v>
      </c>
      <c r="AL11" t="e">
        <f>AND(#REF!,"AAAAAH6/VyU=")</f>
        <v>#REF!</v>
      </c>
      <c r="AM11" t="e">
        <f>AND(#REF!,"AAAAAH6/VyY=")</f>
        <v>#REF!</v>
      </c>
      <c r="AN11" t="e">
        <f>AND(#REF!,"AAAAAH6/Vyc=")</f>
        <v>#REF!</v>
      </c>
      <c r="AO11" t="e">
        <f>AND(#REF!,"AAAAAH6/Vyg=")</f>
        <v>#REF!</v>
      </c>
      <c r="AP11" t="e">
        <f>AND(#REF!,"AAAAAH6/Vyk=")</f>
        <v>#REF!</v>
      </c>
      <c r="AQ11" t="e">
        <f>AND(#REF!,"AAAAAH6/Vyo=")</f>
        <v>#REF!</v>
      </c>
      <c r="AR11" t="e">
        <f>AND(#REF!,"AAAAAH6/Vys=")</f>
        <v>#REF!</v>
      </c>
      <c r="AS11" t="e">
        <f>AND(#REF!,"AAAAAH6/Vyw=")</f>
        <v>#REF!</v>
      </c>
      <c r="AT11" t="e">
        <f>AND(#REF!,"AAAAAH6/Vy0=")</f>
        <v>#REF!</v>
      </c>
      <c r="AU11" t="e">
        <f>AND(#REF!,"AAAAAH6/Vy4=")</f>
        <v>#REF!</v>
      </c>
      <c r="AV11" t="e">
        <f>AND(#REF!,"AAAAAH6/Vy8=")</f>
        <v>#REF!</v>
      </c>
      <c r="AW11" t="e">
        <f>AND(#REF!,"AAAAAH6/VzA=")</f>
        <v>#REF!</v>
      </c>
      <c r="AX11" t="e">
        <f>AND(#REF!,"AAAAAH6/VzE=")</f>
        <v>#REF!</v>
      </c>
      <c r="AY11" t="e">
        <f>AND(#REF!,"AAAAAH6/VzI=")</f>
        <v>#REF!</v>
      </c>
      <c r="AZ11" t="e">
        <f>AND(#REF!,"AAAAAH6/VzM=")</f>
        <v>#REF!</v>
      </c>
      <c r="BA11" t="e">
        <f>AND(#REF!,"AAAAAH6/VzQ=")</f>
        <v>#REF!</v>
      </c>
      <c r="BB11" t="e">
        <f>AND(#REF!,"AAAAAH6/VzU=")</f>
        <v>#REF!</v>
      </c>
      <c r="BC11" t="e">
        <f>AND(#REF!,"AAAAAH6/VzY=")</f>
        <v>#REF!</v>
      </c>
      <c r="BD11" t="e">
        <f>AND(#REF!,"AAAAAH6/Vzc=")</f>
        <v>#REF!</v>
      </c>
      <c r="BE11" t="e">
        <f>AND(#REF!,"AAAAAH6/Vzg=")</f>
        <v>#REF!</v>
      </c>
      <c r="BF11" t="e">
        <f>AND(#REF!,"AAAAAH6/Vzk=")</f>
        <v>#REF!</v>
      </c>
      <c r="BG11" t="e">
        <f>AND(#REF!,"AAAAAH6/Vzo=")</f>
        <v>#REF!</v>
      </c>
      <c r="BH11" t="e">
        <f>AND(#REF!,"AAAAAH6/Vzs=")</f>
        <v>#REF!</v>
      </c>
      <c r="BI11" t="e">
        <f>AND(#REF!,"AAAAAH6/Vzw=")</f>
        <v>#REF!</v>
      </c>
      <c r="BJ11" t="e">
        <f>AND(#REF!,"AAAAAH6/Vz0=")</f>
        <v>#REF!</v>
      </c>
      <c r="BK11" t="e">
        <f>AND(#REF!,"AAAAAH6/Vz4=")</f>
        <v>#REF!</v>
      </c>
      <c r="BL11" t="e">
        <f>AND(#REF!,"AAAAAH6/Vz8=")</f>
        <v>#REF!</v>
      </c>
      <c r="BM11" t="e">
        <f>AND(#REF!,"AAAAAH6/V0A=")</f>
        <v>#REF!</v>
      </c>
      <c r="BN11" t="e">
        <f>AND(#REF!,"AAAAAH6/V0E=")</f>
        <v>#REF!</v>
      </c>
      <c r="BO11" t="e">
        <f>AND(#REF!,"AAAAAH6/V0I=")</f>
        <v>#REF!</v>
      </c>
      <c r="BP11" t="e">
        <f>AND(#REF!,"AAAAAH6/V0M=")</f>
        <v>#REF!</v>
      </c>
      <c r="BQ11" t="e">
        <f>AND(#REF!,"AAAAAH6/V0Q=")</f>
        <v>#REF!</v>
      </c>
      <c r="BR11" t="e">
        <f>AND(#REF!,"AAAAAH6/V0U=")</f>
        <v>#REF!</v>
      </c>
      <c r="BS11" t="e">
        <f>AND(#REF!,"AAAAAH6/V0Y=")</f>
        <v>#REF!</v>
      </c>
      <c r="BT11" t="e">
        <f>AND(#REF!,"AAAAAH6/V0c=")</f>
        <v>#REF!</v>
      </c>
      <c r="BU11" t="e">
        <f>AND(#REF!,"AAAAAH6/V0g=")</f>
        <v>#REF!</v>
      </c>
      <c r="BV11" t="e">
        <f>AND(#REF!,"AAAAAH6/V0k=")</f>
        <v>#REF!</v>
      </c>
      <c r="BW11" t="e">
        <f>AND(#REF!,"AAAAAH6/V0o=")</f>
        <v>#REF!</v>
      </c>
      <c r="BX11" t="e">
        <f>AND(#REF!,"AAAAAH6/V0s=")</f>
        <v>#REF!</v>
      </c>
      <c r="BY11" t="e">
        <f>AND(#REF!,"AAAAAH6/V0w=")</f>
        <v>#REF!</v>
      </c>
      <c r="BZ11" t="e">
        <f>AND(#REF!,"AAAAAH6/V00=")</f>
        <v>#REF!</v>
      </c>
      <c r="CA11" t="e">
        <f>AND(#REF!,"AAAAAH6/V04=")</f>
        <v>#REF!</v>
      </c>
      <c r="CB11" t="e">
        <f>AND(#REF!,"AAAAAH6/V08=")</f>
        <v>#REF!</v>
      </c>
      <c r="CC11" t="e">
        <f>AND(#REF!,"AAAAAH6/V1A=")</f>
        <v>#REF!</v>
      </c>
      <c r="CD11" t="e">
        <f>AND(#REF!,"AAAAAH6/V1E=")</f>
        <v>#REF!</v>
      </c>
      <c r="CE11" t="e">
        <f>AND(#REF!,"AAAAAH6/V1I=")</f>
        <v>#REF!</v>
      </c>
      <c r="CF11" t="e">
        <f>AND(#REF!,"AAAAAH6/V1M=")</f>
        <v>#REF!</v>
      </c>
      <c r="CG11" t="e">
        <f>AND(#REF!,"AAAAAH6/V1Q=")</f>
        <v>#REF!</v>
      </c>
      <c r="CH11" t="e">
        <f>AND(#REF!,"AAAAAH6/V1U=")</f>
        <v>#REF!</v>
      </c>
      <c r="CI11" t="e">
        <f>AND(#REF!,"AAAAAH6/V1Y=")</f>
        <v>#REF!</v>
      </c>
      <c r="CJ11" t="e">
        <f>AND(#REF!,"AAAAAH6/V1c=")</f>
        <v>#REF!</v>
      </c>
      <c r="CK11" t="e">
        <f>AND(#REF!,"AAAAAH6/V1g=")</f>
        <v>#REF!</v>
      </c>
      <c r="CL11" t="e">
        <f>AND(#REF!,"AAAAAH6/V1k=")</f>
        <v>#REF!</v>
      </c>
      <c r="CM11" t="e">
        <f>AND(#REF!,"AAAAAH6/V1o=")</f>
        <v>#REF!</v>
      </c>
      <c r="CN11" t="e">
        <f>AND(#REF!,"AAAAAH6/V1s=")</f>
        <v>#REF!</v>
      </c>
      <c r="CO11" t="e">
        <f>AND(#REF!,"AAAAAH6/V1w=")</f>
        <v>#REF!</v>
      </c>
      <c r="CP11" t="e">
        <f>AND(#REF!,"AAAAAH6/V10=")</f>
        <v>#REF!</v>
      </c>
      <c r="CQ11" t="e">
        <f>AND(#REF!,"AAAAAH6/V14=")</f>
        <v>#REF!</v>
      </c>
      <c r="CR11" t="e">
        <f>AND(#REF!,"AAAAAH6/V18=")</f>
        <v>#REF!</v>
      </c>
      <c r="CS11" t="e">
        <f>AND(#REF!,"AAAAAH6/V2A=")</f>
        <v>#REF!</v>
      </c>
      <c r="CT11" t="e">
        <f>AND(#REF!,"AAAAAH6/V2E=")</f>
        <v>#REF!</v>
      </c>
      <c r="CU11" t="e">
        <f>AND(#REF!,"AAAAAH6/V2I=")</f>
        <v>#REF!</v>
      </c>
      <c r="CV11" t="e">
        <f>AND(#REF!,"AAAAAH6/V2M=")</f>
        <v>#REF!</v>
      </c>
      <c r="CW11" t="e">
        <f>AND(#REF!,"AAAAAH6/V2Q=")</f>
        <v>#REF!</v>
      </c>
      <c r="CX11" t="e">
        <f>AND(#REF!,"AAAAAH6/V2U=")</f>
        <v>#REF!</v>
      </c>
      <c r="CY11" t="e">
        <f>AND(#REF!,"AAAAAH6/V2Y=")</f>
        <v>#REF!</v>
      </c>
      <c r="CZ11" t="e">
        <f>AND(#REF!,"AAAAAH6/V2c=")</f>
        <v>#REF!</v>
      </c>
      <c r="DA11" t="e">
        <f>AND(#REF!,"AAAAAH6/V2g=")</f>
        <v>#REF!</v>
      </c>
      <c r="DB11" t="e">
        <f>AND(#REF!,"AAAAAH6/V2k=")</f>
        <v>#REF!</v>
      </c>
      <c r="DC11" t="e">
        <f>AND(#REF!,"AAAAAH6/V2o=")</f>
        <v>#REF!</v>
      </c>
      <c r="DD11" t="e">
        <f>AND(#REF!,"AAAAAH6/V2s=")</f>
        <v>#REF!</v>
      </c>
      <c r="DE11" t="e">
        <f>AND(#REF!,"AAAAAH6/V2w=")</f>
        <v>#REF!</v>
      </c>
      <c r="DF11" t="e">
        <f>AND(#REF!,"AAAAAH6/V20=")</f>
        <v>#REF!</v>
      </c>
      <c r="DG11" t="e">
        <f>AND(#REF!,"AAAAAH6/V24=")</f>
        <v>#REF!</v>
      </c>
      <c r="DH11" t="e">
        <f>AND(#REF!,"AAAAAH6/V28=")</f>
        <v>#REF!</v>
      </c>
      <c r="DI11" t="e">
        <f>AND(#REF!,"AAAAAH6/V3A=")</f>
        <v>#REF!</v>
      </c>
      <c r="DJ11" t="e">
        <f>AND(#REF!,"AAAAAH6/V3E=")</f>
        <v>#REF!</v>
      </c>
      <c r="DK11" t="e">
        <f>AND(#REF!,"AAAAAH6/V3I=")</f>
        <v>#REF!</v>
      </c>
      <c r="DL11" t="e">
        <f>AND(#REF!,"AAAAAH6/V3M=")</f>
        <v>#REF!</v>
      </c>
      <c r="DM11" t="e">
        <f>AND(#REF!,"AAAAAH6/V3Q=")</f>
        <v>#REF!</v>
      </c>
      <c r="DN11" t="e">
        <f>AND(#REF!,"AAAAAH6/V3U=")</f>
        <v>#REF!</v>
      </c>
      <c r="DO11" t="e">
        <f>AND(#REF!,"AAAAAH6/V3Y=")</f>
        <v>#REF!</v>
      </c>
      <c r="DP11" t="e">
        <f>AND(#REF!,"AAAAAH6/V3c=")</f>
        <v>#REF!</v>
      </c>
      <c r="DQ11" t="e">
        <f>AND(#REF!,"AAAAAH6/V3g=")</f>
        <v>#REF!</v>
      </c>
      <c r="DR11" t="e">
        <f>AND(#REF!,"AAAAAH6/V3k=")</f>
        <v>#REF!</v>
      </c>
      <c r="DS11" t="e">
        <f>AND(#REF!,"AAAAAH6/V3o=")</f>
        <v>#REF!</v>
      </c>
      <c r="DT11" t="e">
        <f>IF(#REF!,"AAAAAH6/V3s=",0)</f>
        <v>#REF!</v>
      </c>
      <c r="DU11" t="e">
        <f>AND(#REF!,"AAAAAH6/V3w=")</f>
        <v>#REF!</v>
      </c>
      <c r="DV11" t="e">
        <f>AND(#REF!,"AAAAAH6/V30=")</f>
        <v>#REF!</v>
      </c>
      <c r="DW11" t="e">
        <f>AND(#REF!,"AAAAAH6/V34=")</f>
        <v>#REF!</v>
      </c>
      <c r="DX11" t="e">
        <f>AND(#REF!,"AAAAAH6/V38=")</f>
        <v>#REF!</v>
      </c>
      <c r="DY11" t="e">
        <f>AND(#REF!,"AAAAAH6/V4A=")</f>
        <v>#REF!</v>
      </c>
      <c r="DZ11" t="e">
        <f>AND(#REF!,"AAAAAH6/V4E=")</f>
        <v>#REF!</v>
      </c>
      <c r="EA11" t="e">
        <f>AND(#REF!,"AAAAAH6/V4I=")</f>
        <v>#REF!</v>
      </c>
      <c r="EB11" t="e">
        <f>AND(#REF!,"AAAAAH6/V4M=")</f>
        <v>#REF!</v>
      </c>
      <c r="EC11" t="e">
        <f>AND(#REF!,"AAAAAH6/V4Q=")</f>
        <v>#REF!</v>
      </c>
      <c r="ED11" t="e">
        <f>AND(#REF!,"AAAAAH6/V4U=")</f>
        <v>#REF!</v>
      </c>
      <c r="EE11" t="e">
        <f>AND(#REF!,"AAAAAH6/V4Y=")</f>
        <v>#REF!</v>
      </c>
      <c r="EF11" t="e">
        <f>AND(#REF!,"AAAAAH6/V4c=")</f>
        <v>#REF!</v>
      </c>
      <c r="EG11" t="e">
        <f>AND(#REF!,"AAAAAH6/V4g=")</f>
        <v>#REF!</v>
      </c>
      <c r="EH11" t="e">
        <f>AND(#REF!,"AAAAAH6/V4k=")</f>
        <v>#REF!</v>
      </c>
      <c r="EI11" t="e">
        <f>AND(#REF!,"AAAAAH6/V4o=")</f>
        <v>#REF!</v>
      </c>
      <c r="EJ11" t="e">
        <f>AND(#REF!,"AAAAAH6/V4s=")</f>
        <v>#REF!</v>
      </c>
      <c r="EK11" t="e">
        <f>AND(#REF!,"AAAAAH6/V4w=")</f>
        <v>#REF!</v>
      </c>
      <c r="EL11" t="e">
        <f>AND(#REF!,"AAAAAH6/V40=")</f>
        <v>#REF!</v>
      </c>
      <c r="EM11" t="e">
        <f>AND(#REF!,"AAAAAH6/V44=")</f>
        <v>#REF!</v>
      </c>
      <c r="EN11" t="e">
        <f>AND(#REF!,"AAAAAH6/V48=")</f>
        <v>#REF!</v>
      </c>
      <c r="EO11" t="e">
        <f>AND(#REF!,"AAAAAH6/V5A=")</f>
        <v>#REF!</v>
      </c>
      <c r="EP11" t="e">
        <f>AND(#REF!,"AAAAAH6/V5E=")</f>
        <v>#REF!</v>
      </c>
      <c r="EQ11" t="e">
        <f>AND(#REF!,"AAAAAH6/V5I=")</f>
        <v>#REF!</v>
      </c>
      <c r="ER11" t="e">
        <f>AND(#REF!,"AAAAAH6/V5M=")</f>
        <v>#REF!</v>
      </c>
      <c r="ES11" t="e">
        <f>AND(#REF!,"AAAAAH6/V5Q=")</f>
        <v>#REF!</v>
      </c>
      <c r="ET11" t="e">
        <f>AND(#REF!,"AAAAAH6/V5U=")</f>
        <v>#REF!</v>
      </c>
      <c r="EU11" t="e">
        <f>AND(#REF!,"AAAAAH6/V5Y=")</f>
        <v>#REF!</v>
      </c>
      <c r="EV11" t="e">
        <f>AND(#REF!,"AAAAAH6/V5c=")</f>
        <v>#REF!</v>
      </c>
      <c r="EW11" t="e">
        <f>AND(#REF!,"AAAAAH6/V5g=")</f>
        <v>#REF!</v>
      </c>
      <c r="EX11" t="e">
        <f>AND(#REF!,"AAAAAH6/V5k=")</f>
        <v>#REF!</v>
      </c>
      <c r="EY11" t="e">
        <f>AND(#REF!,"AAAAAH6/V5o=")</f>
        <v>#REF!</v>
      </c>
      <c r="EZ11" t="e">
        <f>AND(#REF!,"AAAAAH6/V5s=")</f>
        <v>#REF!</v>
      </c>
      <c r="FA11" t="e">
        <f>AND(#REF!,"AAAAAH6/V5w=")</f>
        <v>#REF!</v>
      </c>
      <c r="FB11" t="e">
        <f>AND(#REF!,"AAAAAH6/V50=")</f>
        <v>#REF!</v>
      </c>
      <c r="FC11" t="e">
        <f>AND(#REF!,"AAAAAH6/V54=")</f>
        <v>#REF!</v>
      </c>
      <c r="FD11" t="e">
        <f>AND(#REF!,"AAAAAH6/V58=")</f>
        <v>#REF!</v>
      </c>
      <c r="FE11" t="e">
        <f>AND(#REF!,"AAAAAH6/V6A=")</f>
        <v>#REF!</v>
      </c>
      <c r="FF11" t="e">
        <f>AND(#REF!,"AAAAAH6/V6E=")</f>
        <v>#REF!</v>
      </c>
      <c r="FG11" t="e">
        <f>AND(#REF!,"AAAAAH6/V6I=")</f>
        <v>#REF!</v>
      </c>
      <c r="FH11" t="e">
        <f>AND(#REF!,"AAAAAH6/V6M=")</f>
        <v>#REF!</v>
      </c>
      <c r="FI11" t="e">
        <f>AND(#REF!,"AAAAAH6/V6Q=")</f>
        <v>#REF!</v>
      </c>
      <c r="FJ11" t="e">
        <f>AND(#REF!,"AAAAAH6/V6U=")</f>
        <v>#REF!</v>
      </c>
      <c r="FK11" t="e">
        <f>AND(#REF!,"AAAAAH6/V6Y=")</f>
        <v>#REF!</v>
      </c>
      <c r="FL11" t="e">
        <f>AND(#REF!,"AAAAAH6/V6c=")</f>
        <v>#REF!</v>
      </c>
      <c r="FM11" t="e">
        <f>AND(#REF!,"AAAAAH6/V6g=")</f>
        <v>#REF!</v>
      </c>
      <c r="FN11" t="e">
        <f>AND(#REF!,"AAAAAH6/V6k=")</f>
        <v>#REF!</v>
      </c>
      <c r="FO11" t="e">
        <f>AND(#REF!,"AAAAAH6/V6o=")</f>
        <v>#REF!</v>
      </c>
      <c r="FP11" t="e">
        <f>AND(#REF!,"AAAAAH6/V6s=")</f>
        <v>#REF!</v>
      </c>
      <c r="FQ11" t="e">
        <f>AND(#REF!,"AAAAAH6/V6w=")</f>
        <v>#REF!</v>
      </c>
      <c r="FR11" t="e">
        <f>AND(#REF!,"AAAAAH6/V60=")</f>
        <v>#REF!</v>
      </c>
      <c r="FS11" t="e">
        <f>AND(#REF!,"AAAAAH6/V64=")</f>
        <v>#REF!</v>
      </c>
      <c r="FT11" t="e">
        <f>AND(#REF!,"AAAAAH6/V68=")</f>
        <v>#REF!</v>
      </c>
      <c r="FU11" t="e">
        <f>AND(#REF!,"AAAAAH6/V7A=")</f>
        <v>#REF!</v>
      </c>
      <c r="FV11" t="e">
        <f>AND(#REF!,"AAAAAH6/V7E=")</f>
        <v>#REF!</v>
      </c>
      <c r="FW11" t="e">
        <f>AND(#REF!,"AAAAAH6/V7I=")</f>
        <v>#REF!</v>
      </c>
      <c r="FX11" t="e">
        <f>AND(#REF!,"AAAAAH6/V7M=")</f>
        <v>#REF!</v>
      </c>
      <c r="FY11" t="e">
        <f>AND(#REF!,"AAAAAH6/V7Q=")</f>
        <v>#REF!</v>
      </c>
      <c r="FZ11" t="e">
        <f>AND(#REF!,"AAAAAH6/V7U=")</f>
        <v>#REF!</v>
      </c>
      <c r="GA11" t="e">
        <f>AND(#REF!,"AAAAAH6/V7Y=")</f>
        <v>#REF!</v>
      </c>
      <c r="GB11" t="e">
        <f>AND(#REF!,"AAAAAH6/V7c=")</f>
        <v>#REF!</v>
      </c>
      <c r="GC11" t="e">
        <f>AND(#REF!,"AAAAAH6/V7g=")</f>
        <v>#REF!</v>
      </c>
      <c r="GD11" t="e">
        <f>AND(#REF!,"AAAAAH6/V7k=")</f>
        <v>#REF!</v>
      </c>
      <c r="GE11" t="e">
        <f>AND(#REF!,"AAAAAH6/V7o=")</f>
        <v>#REF!</v>
      </c>
      <c r="GF11" t="e">
        <f>AND(#REF!,"AAAAAH6/V7s=")</f>
        <v>#REF!</v>
      </c>
      <c r="GG11" t="e">
        <f>AND(#REF!,"AAAAAH6/V7w=")</f>
        <v>#REF!</v>
      </c>
      <c r="GH11" t="e">
        <f>AND(#REF!,"AAAAAH6/V70=")</f>
        <v>#REF!</v>
      </c>
      <c r="GI11" t="e">
        <f>AND(#REF!,"AAAAAH6/V74=")</f>
        <v>#REF!</v>
      </c>
      <c r="GJ11" t="e">
        <f>AND(#REF!,"AAAAAH6/V78=")</f>
        <v>#REF!</v>
      </c>
      <c r="GK11" t="e">
        <f>AND(#REF!,"AAAAAH6/V8A=")</f>
        <v>#REF!</v>
      </c>
      <c r="GL11" t="e">
        <f>AND(#REF!,"AAAAAH6/V8E=")</f>
        <v>#REF!</v>
      </c>
      <c r="GM11" t="e">
        <f>AND(#REF!,"AAAAAH6/V8I=")</f>
        <v>#REF!</v>
      </c>
      <c r="GN11" t="e">
        <f>AND(#REF!,"AAAAAH6/V8M=")</f>
        <v>#REF!</v>
      </c>
      <c r="GO11" t="e">
        <f>AND(#REF!,"AAAAAH6/V8Q=")</f>
        <v>#REF!</v>
      </c>
      <c r="GP11" t="e">
        <f>AND(#REF!,"AAAAAH6/V8U=")</f>
        <v>#REF!</v>
      </c>
      <c r="GQ11" t="e">
        <f>AND(#REF!,"AAAAAH6/V8Y=")</f>
        <v>#REF!</v>
      </c>
      <c r="GR11" t="e">
        <f>AND(#REF!,"AAAAAH6/V8c=")</f>
        <v>#REF!</v>
      </c>
      <c r="GS11" t="e">
        <f>AND(#REF!,"AAAAAH6/V8g=")</f>
        <v>#REF!</v>
      </c>
      <c r="GT11" t="e">
        <f>AND(#REF!,"AAAAAH6/V8k=")</f>
        <v>#REF!</v>
      </c>
      <c r="GU11" t="e">
        <f>AND(#REF!,"AAAAAH6/V8o=")</f>
        <v>#REF!</v>
      </c>
      <c r="GV11" t="e">
        <f>AND(#REF!,"AAAAAH6/V8s=")</f>
        <v>#REF!</v>
      </c>
      <c r="GW11" t="e">
        <f>AND(#REF!,"AAAAAH6/V8w=")</f>
        <v>#REF!</v>
      </c>
      <c r="GX11" t="e">
        <f>AND(#REF!,"AAAAAH6/V80=")</f>
        <v>#REF!</v>
      </c>
      <c r="GY11" t="e">
        <f>AND(#REF!,"AAAAAH6/V84=")</f>
        <v>#REF!</v>
      </c>
      <c r="GZ11" t="e">
        <f>AND(#REF!,"AAAAAH6/V88=")</f>
        <v>#REF!</v>
      </c>
      <c r="HA11" t="e">
        <f>AND(#REF!,"AAAAAH6/V9A=")</f>
        <v>#REF!</v>
      </c>
      <c r="HB11" t="e">
        <f>AND(#REF!,"AAAAAH6/V9E=")</f>
        <v>#REF!</v>
      </c>
      <c r="HC11" t="e">
        <f>AND(#REF!,"AAAAAH6/V9I=")</f>
        <v>#REF!</v>
      </c>
      <c r="HD11" t="e">
        <f>AND(#REF!,"AAAAAH6/V9M=")</f>
        <v>#REF!</v>
      </c>
      <c r="HE11" t="e">
        <f>AND(#REF!,"AAAAAH6/V9Q=")</f>
        <v>#REF!</v>
      </c>
      <c r="HF11" t="e">
        <f>AND(#REF!,"AAAAAH6/V9U=")</f>
        <v>#REF!</v>
      </c>
      <c r="HG11" t="e">
        <f>AND(#REF!,"AAAAAH6/V9Y=")</f>
        <v>#REF!</v>
      </c>
      <c r="HH11" t="e">
        <f>AND(#REF!,"AAAAAH6/V9c=")</f>
        <v>#REF!</v>
      </c>
      <c r="HI11" t="e">
        <f>AND(#REF!,"AAAAAH6/V9g=")</f>
        <v>#REF!</v>
      </c>
      <c r="HJ11" t="e">
        <f>AND(#REF!,"AAAAAH6/V9k=")</f>
        <v>#REF!</v>
      </c>
      <c r="HK11" t="e">
        <f>AND(#REF!,"AAAAAH6/V9o=")</f>
        <v>#REF!</v>
      </c>
      <c r="HL11" t="e">
        <f>AND(#REF!,"AAAAAH6/V9s=")</f>
        <v>#REF!</v>
      </c>
      <c r="HM11" t="e">
        <f>AND(#REF!,"AAAAAH6/V9w=")</f>
        <v>#REF!</v>
      </c>
      <c r="HN11" t="e">
        <f>AND(#REF!,"AAAAAH6/V90=")</f>
        <v>#REF!</v>
      </c>
      <c r="HO11" t="e">
        <f>AND(#REF!,"AAAAAH6/V94=")</f>
        <v>#REF!</v>
      </c>
      <c r="HP11" t="e">
        <f>AND(#REF!,"AAAAAH6/V98=")</f>
        <v>#REF!</v>
      </c>
      <c r="HQ11" t="e">
        <f>AND(#REF!,"AAAAAH6/V+A=")</f>
        <v>#REF!</v>
      </c>
      <c r="HR11" t="e">
        <f>AND(#REF!,"AAAAAH6/V+E=")</f>
        <v>#REF!</v>
      </c>
      <c r="HS11" t="e">
        <f>AND(#REF!,"AAAAAH6/V+I=")</f>
        <v>#REF!</v>
      </c>
      <c r="HT11" t="e">
        <f>AND(#REF!,"AAAAAH6/V+M=")</f>
        <v>#REF!</v>
      </c>
      <c r="HU11" t="e">
        <f>AND(#REF!,"AAAAAH6/V+Q=")</f>
        <v>#REF!</v>
      </c>
      <c r="HV11" t="e">
        <f>AND(#REF!,"AAAAAH6/V+U=")</f>
        <v>#REF!</v>
      </c>
      <c r="HW11" t="e">
        <f>AND(#REF!,"AAAAAH6/V+Y=")</f>
        <v>#REF!</v>
      </c>
      <c r="HX11" t="e">
        <f>AND(#REF!,"AAAAAH6/V+c=")</f>
        <v>#REF!</v>
      </c>
      <c r="HY11" t="e">
        <f>AND(#REF!,"AAAAAH6/V+g=")</f>
        <v>#REF!</v>
      </c>
      <c r="HZ11" t="e">
        <f>AND(#REF!,"AAAAAH6/V+k=")</f>
        <v>#REF!</v>
      </c>
      <c r="IA11" t="e">
        <f>AND(#REF!,"AAAAAH6/V+o=")</f>
        <v>#REF!</v>
      </c>
      <c r="IB11" t="e">
        <f>AND(#REF!,"AAAAAH6/V+s=")</f>
        <v>#REF!</v>
      </c>
      <c r="IC11" t="e">
        <f>AND(#REF!,"AAAAAH6/V+w=")</f>
        <v>#REF!</v>
      </c>
      <c r="ID11" t="e">
        <f>AND(#REF!,"AAAAAH6/V+0=")</f>
        <v>#REF!</v>
      </c>
      <c r="IE11" t="e">
        <f>AND(#REF!,"AAAAAH6/V+4=")</f>
        <v>#REF!</v>
      </c>
      <c r="IF11" t="e">
        <f>AND(#REF!,"AAAAAH6/V+8=")</f>
        <v>#REF!</v>
      </c>
      <c r="IG11" t="e">
        <f>AND(#REF!,"AAAAAH6/V/A=")</f>
        <v>#REF!</v>
      </c>
      <c r="IH11" t="e">
        <f>AND(#REF!,"AAAAAH6/V/E=")</f>
        <v>#REF!</v>
      </c>
      <c r="II11" t="e">
        <f>AND(#REF!,"AAAAAH6/V/I=")</f>
        <v>#REF!</v>
      </c>
      <c r="IJ11" t="e">
        <f>AND(#REF!,"AAAAAH6/V/M=")</f>
        <v>#REF!</v>
      </c>
      <c r="IK11" t="e">
        <f>AND(#REF!,"AAAAAH6/V/Q=")</f>
        <v>#REF!</v>
      </c>
      <c r="IL11" t="e">
        <f>AND(#REF!,"AAAAAH6/V/U=")</f>
        <v>#REF!</v>
      </c>
      <c r="IM11" t="e">
        <f>AND(#REF!,"AAAAAH6/V/Y=")</f>
        <v>#REF!</v>
      </c>
      <c r="IN11" t="e">
        <f>AND(#REF!,"AAAAAH6/V/c=")</f>
        <v>#REF!</v>
      </c>
      <c r="IO11" t="e">
        <f>AND(#REF!,"AAAAAH6/V/g=")</f>
        <v>#REF!</v>
      </c>
      <c r="IP11" t="e">
        <f>AND(#REF!,"AAAAAH6/V/k=")</f>
        <v>#REF!</v>
      </c>
      <c r="IQ11" t="e">
        <f>AND(#REF!,"AAAAAH6/V/o=")</f>
        <v>#REF!</v>
      </c>
      <c r="IR11" t="e">
        <f>AND(#REF!,"AAAAAH6/V/s=")</f>
        <v>#REF!</v>
      </c>
      <c r="IS11" t="e">
        <f>AND(#REF!,"AAAAAH6/V/w=")</f>
        <v>#REF!</v>
      </c>
      <c r="IT11" t="e">
        <f>AND(#REF!,"AAAAAH6/V/0=")</f>
        <v>#REF!</v>
      </c>
      <c r="IU11" t="e">
        <f>AND(#REF!,"AAAAAH6/V/4=")</f>
        <v>#REF!</v>
      </c>
      <c r="IV11" t="e">
        <f>AND(#REF!,"AAAAAH6/V/8=")</f>
        <v>#REF!</v>
      </c>
    </row>
    <row r="12" spans="1:256" x14ac:dyDescent="0.25">
      <c r="A12" t="e">
        <f>AND(#REF!,"AAAAAH979wA=")</f>
        <v>#REF!</v>
      </c>
      <c r="B12" t="e">
        <f>AND(#REF!,"AAAAAH979wE=")</f>
        <v>#REF!</v>
      </c>
      <c r="C12" t="e">
        <f>AND(#REF!,"AAAAAH979wI=")</f>
        <v>#REF!</v>
      </c>
      <c r="D12" t="e">
        <f>AND(#REF!,"AAAAAH979wM=")</f>
        <v>#REF!</v>
      </c>
      <c r="E12" t="e">
        <f>AND(#REF!,"AAAAAH979wQ=")</f>
        <v>#REF!</v>
      </c>
      <c r="F12" t="e">
        <f>AND(#REF!,"AAAAAH979wU=")</f>
        <v>#REF!</v>
      </c>
      <c r="G12" t="e">
        <f>AND(#REF!,"AAAAAH979wY=")</f>
        <v>#REF!</v>
      </c>
      <c r="H12" t="e">
        <f>AND(#REF!,"AAAAAH979wc=")</f>
        <v>#REF!</v>
      </c>
      <c r="I12" t="e">
        <f>AND(#REF!,"AAAAAH979wg=")</f>
        <v>#REF!</v>
      </c>
      <c r="J12" t="e">
        <f>AND(#REF!,"AAAAAH979wk=")</f>
        <v>#REF!</v>
      </c>
      <c r="K12" t="e">
        <f>AND(#REF!,"AAAAAH979wo=")</f>
        <v>#REF!</v>
      </c>
      <c r="L12" t="e">
        <f>AND(#REF!,"AAAAAH979ws=")</f>
        <v>#REF!</v>
      </c>
      <c r="M12" t="e">
        <f>AND(#REF!,"AAAAAH979ww=")</f>
        <v>#REF!</v>
      </c>
      <c r="N12" t="e">
        <f>AND(#REF!,"AAAAAH979w0=")</f>
        <v>#REF!</v>
      </c>
      <c r="O12" t="e">
        <f>AND(#REF!,"AAAAAH979w4=")</f>
        <v>#REF!</v>
      </c>
      <c r="P12" t="e">
        <f>AND(#REF!,"AAAAAH979w8=")</f>
        <v>#REF!</v>
      </c>
      <c r="Q12" t="e">
        <f>AND(#REF!,"AAAAAH979xA=")</f>
        <v>#REF!</v>
      </c>
      <c r="R12" t="e">
        <f>AND(#REF!,"AAAAAH979xE=")</f>
        <v>#REF!</v>
      </c>
      <c r="S12" t="e">
        <f>AND(#REF!,"AAAAAH979xI=")</f>
        <v>#REF!</v>
      </c>
      <c r="T12" t="e">
        <f>AND(#REF!,"AAAAAH979xM=")</f>
        <v>#REF!</v>
      </c>
      <c r="U12" t="e">
        <f>AND(#REF!,"AAAAAH979xQ=")</f>
        <v>#REF!</v>
      </c>
      <c r="V12" t="e">
        <f>AND(#REF!,"AAAAAH979xU=")</f>
        <v>#REF!</v>
      </c>
      <c r="W12" t="e">
        <f>AND(#REF!,"AAAAAH979xY=")</f>
        <v>#REF!</v>
      </c>
      <c r="X12" t="e">
        <f>AND(#REF!,"AAAAAH979xc=")</f>
        <v>#REF!</v>
      </c>
      <c r="Y12" t="e">
        <f>AND(#REF!,"AAAAAH979xg=")</f>
        <v>#REF!</v>
      </c>
      <c r="Z12" t="e">
        <f>AND(#REF!,"AAAAAH979xk=")</f>
        <v>#REF!</v>
      </c>
      <c r="AA12" t="e">
        <f>AND(#REF!,"AAAAAH979xo=")</f>
        <v>#REF!</v>
      </c>
      <c r="AB12" t="e">
        <f>AND(#REF!,"AAAAAH979xs=")</f>
        <v>#REF!</v>
      </c>
      <c r="AC12" t="e">
        <f>AND(#REF!,"AAAAAH979xw=")</f>
        <v>#REF!</v>
      </c>
      <c r="AD12" t="e">
        <f>AND(#REF!,"AAAAAH979x0=")</f>
        <v>#REF!</v>
      </c>
      <c r="AE12" t="e">
        <f>AND(#REF!,"AAAAAH979x4=")</f>
        <v>#REF!</v>
      </c>
      <c r="AF12" t="e">
        <f>AND(#REF!,"AAAAAH979x8=")</f>
        <v>#REF!</v>
      </c>
      <c r="AG12" t="e">
        <f>AND(#REF!,"AAAAAH979yA=")</f>
        <v>#REF!</v>
      </c>
      <c r="AH12" t="e">
        <f>AND(#REF!,"AAAAAH979yE=")</f>
        <v>#REF!</v>
      </c>
      <c r="AI12" t="e">
        <f>AND(#REF!,"AAAAAH979yI=")</f>
        <v>#REF!</v>
      </c>
      <c r="AJ12" t="e">
        <f>AND(#REF!,"AAAAAH979yM=")</f>
        <v>#REF!</v>
      </c>
      <c r="AK12" t="e">
        <f>AND(#REF!,"AAAAAH979yQ=")</f>
        <v>#REF!</v>
      </c>
      <c r="AL12" t="e">
        <f>AND(#REF!,"AAAAAH979yU=")</f>
        <v>#REF!</v>
      </c>
      <c r="AM12" t="e">
        <f>AND(#REF!,"AAAAAH979yY=")</f>
        <v>#REF!</v>
      </c>
      <c r="AN12" t="e">
        <f>AND(#REF!,"AAAAAH979yc=")</f>
        <v>#REF!</v>
      </c>
      <c r="AO12" t="e">
        <f>AND(#REF!,"AAAAAH979yg=")</f>
        <v>#REF!</v>
      </c>
      <c r="AP12" t="e">
        <f>AND(#REF!,"AAAAAH979yk=")</f>
        <v>#REF!</v>
      </c>
      <c r="AQ12" t="e">
        <f>AND(#REF!,"AAAAAH979yo=")</f>
        <v>#REF!</v>
      </c>
      <c r="AR12" t="e">
        <f>AND(#REF!,"AAAAAH979ys=")</f>
        <v>#REF!</v>
      </c>
      <c r="AS12" t="e">
        <f>AND(#REF!,"AAAAAH979yw=")</f>
        <v>#REF!</v>
      </c>
      <c r="AT12" t="e">
        <f>AND(#REF!,"AAAAAH979y0=")</f>
        <v>#REF!</v>
      </c>
      <c r="AU12" t="e">
        <f>AND(#REF!,"AAAAAH979y4=")</f>
        <v>#REF!</v>
      </c>
      <c r="AV12" t="e">
        <f>AND(#REF!,"AAAAAH979y8=")</f>
        <v>#REF!</v>
      </c>
      <c r="AW12" t="e">
        <f>AND(#REF!,"AAAAAH979zA=")</f>
        <v>#REF!</v>
      </c>
      <c r="AX12" t="e">
        <f>AND(#REF!,"AAAAAH979zE=")</f>
        <v>#REF!</v>
      </c>
      <c r="AY12" t="e">
        <f>AND(#REF!,"AAAAAH979zI=")</f>
        <v>#REF!</v>
      </c>
      <c r="AZ12" t="e">
        <f>AND(#REF!,"AAAAAH979zM=")</f>
        <v>#REF!</v>
      </c>
      <c r="BA12" t="e">
        <f>AND(#REF!,"AAAAAH979zQ=")</f>
        <v>#REF!</v>
      </c>
      <c r="BB12" t="e">
        <f>AND(#REF!,"AAAAAH979zU=")</f>
        <v>#REF!</v>
      </c>
      <c r="BC12" t="e">
        <f>AND(#REF!,"AAAAAH979zY=")</f>
        <v>#REF!</v>
      </c>
      <c r="BD12" t="e">
        <f>AND(#REF!,"AAAAAH979zc=")</f>
        <v>#REF!</v>
      </c>
      <c r="BE12" t="e">
        <f>IF(#REF!,"AAAAAH979zg=",0)</f>
        <v>#REF!</v>
      </c>
      <c r="BF12" t="e">
        <f>AND(#REF!,"AAAAAH979zk=")</f>
        <v>#REF!</v>
      </c>
      <c r="BG12" t="e">
        <f>AND(#REF!,"AAAAAH979zo=")</f>
        <v>#REF!</v>
      </c>
      <c r="BH12" t="e">
        <f>AND(#REF!,"AAAAAH979zs=")</f>
        <v>#REF!</v>
      </c>
      <c r="BI12" t="e">
        <f>AND(#REF!,"AAAAAH979zw=")</f>
        <v>#REF!</v>
      </c>
      <c r="BJ12" t="e">
        <f>AND(#REF!,"AAAAAH979z0=")</f>
        <v>#REF!</v>
      </c>
      <c r="BK12" t="e">
        <f>AND(#REF!,"AAAAAH979z4=")</f>
        <v>#REF!</v>
      </c>
      <c r="BL12" t="e">
        <f>AND(#REF!,"AAAAAH979z8=")</f>
        <v>#REF!</v>
      </c>
      <c r="BM12" t="e">
        <f>AND(#REF!,"AAAAAH9790A=")</f>
        <v>#REF!</v>
      </c>
      <c r="BN12" t="e">
        <f>AND(#REF!,"AAAAAH9790E=")</f>
        <v>#REF!</v>
      </c>
      <c r="BO12" t="e">
        <f>AND(#REF!,"AAAAAH9790I=")</f>
        <v>#REF!</v>
      </c>
      <c r="BP12" t="e">
        <f>AND(#REF!,"AAAAAH9790M=")</f>
        <v>#REF!</v>
      </c>
      <c r="BQ12" t="e">
        <f>AND(#REF!,"AAAAAH9790Q=")</f>
        <v>#REF!</v>
      </c>
      <c r="BR12" t="e">
        <f>AND(#REF!,"AAAAAH9790U=")</f>
        <v>#REF!</v>
      </c>
      <c r="BS12" t="e">
        <f>AND(#REF!,"AAAAAH9790Y=")</f>
        <v>#REF!</v>
      </c>
      <c r="BT12" t="e">
        <f>AND(#REF!,"AAAAAH9790c=")</f>
        <v>#REF!</v>
      </c>
      <c r="BU12" t="e">
        <f>AND(#REF!,"AAAAAH9790g=")</f>
        <v>#REF!</v>
      </c>
      <c r="BV12" t="e">
        <f>AND(#REF!,"AAAAAH9790k=")</f>
        <v>#REF!</v>
      </c>
      <c r="BW12" t="e">
        <f>AND(#REF!,"AAAAAH9790o=")</f>
        <v>#REF!</v>
      </c>
      <c r="BX12" t="e">
        <f>AND(#REF!,"AAAAAH9790s=")</f>
        <v>#REF!</v>
      </c>
      <c r="BY12" t="e">
        <f>AND(#REF!,"AAAAAH9790w=")</f>
        <v>#REF!</v>
      </c>
      <c r="BZ12" t="e">
        <f>AND(#REF!,"AAAAAH97900=")</f>
        <v>#REF!</v>
      </c>
      <c r="CA12" t="e">
        <f>AND(#REF!,"AAAAAH97904=")</f>
        <v>#REF!</v>
      </c>
      <c r="CB12" t="e">
        <f>AND(#REF!,"AAAAAH97908=")</f>
        <v>#REF!</v>
      </c>
      <c r="CC12" t="e">
        <f>AND(#REF!,"AAAAAH9791A=")</f>
        <v>#REF!</v>
      </c>
      <c r="CD12" t="e">
        <f>AND(#REF!,"AAAAAH9791E=")</f>
        <v>#REF!</v>
      </c>
      <c r="CE12" t="e">
        <f>AND(#REF!,"AAAAAH9791I=")</f>
        <v>#REF!</v>
      </c>
      <c r="CF12" t="e">
        <f>AND(#REF!,"AAAAAH9791M=")</f>
        <v>#REF!</v>
      </c>
      <c r="CG12" t="e">
        <f>AND(#REF!,"AAAAAH9791Q=")</f>
        <v>#REF!</v>
      </c>
      <c r="CH12" t="e">
        <f>AND(#REF!,"AAAAAH9791U=")</f>
        <v>#REF!</v>
      </c>
      <c r="CI12" t="e">
        <f>AND(#REF!,"AAAAAH9791Y=")</f>
        <v>#REF!</v>
      </c>
      <c r="CJ12" t="e">
        <f>AND(#REF!,"AAAAAH9791c=")</f>
        <v>#REF!</v>
      </c>
      <c r="CK12" t="e">
        <f>AND(#REF!,"AAAAAH9791g=")</f>
        <v>#REF!</v>
      </c>
      <c r="CL12" t="e">
        <f>AND(#REF!,"AAAAAH9791k=")</f>
        <v>#REF!</v>
      </c>
      <c r="CM12" t="e">
        <f>AND(#REF!,"AAAAAH9791o=")</f>
        <v>#REF!</v>
      </c>
      <c r="CN12" t="e">
        <f>AND(#REF!,"AAAAAH9791s=")</f>
        <v>#REF!</v>
      </c>
      <c r="CO12" t="e">
        <f>AND(#REF!,"AAAAAH9791w=")</f>
        <v>#REF!</v>
      </c>
      <c r="CP12" t="e">
        <f>AND(#REF!,"AAAAAH97910=")</f>
        <v>#REF!</v>
      </c>
      <c r="CQ12" t="e">
        <f>AND(#REF!,"AAAAAH97914=")</f>
        <v>#REF!</v>
      </c>
      <c r="CR12" t="e">
        <f>AND(#REF!,"AAAAAH97918=")</f>
        <v>#REF!</v>
      </c>
      <c r="CS12" t="e">
        <f>AND(#REF!,"AAAAAH9792A=")</f>
        <v>#REF!</v>
      </c>
      <c r="CT12" t="e">
        <f>AND(#REF!,"AAAAAH9792E=")</f>
        <v>#REF!</v>
      </c>
      <c r="CU12" t="e">
        <f>AND(#REF!,"AAAAAH9792I=")</f>
        <v>#REF!</v>
      </c>
      <c r="CV12" t="e">
        <f>AND(#REF!,"AAAAAH9792M=")</f>
        <v>#REF!</v>
      </c>
      <c r="CW12" t="e">
        <f>AND(#REF!,"AAAAAH9792Q=")</f>
        <v>#REF!</v>
      </c>
      <c r="CX12" t="e">
        <f>AND(#REF!,"AAAAAH9792U=")</f>
        <v>#REF!</v>
      </c>
      <c r="CY12" t="e">
        <f>AND(#REF!,"AAAAAH9792Y=")</f>
        <v>#REF!</v>
      </c>
      <c r="CZ12" t="e">
        <f>AND(#REF!,"AAAAAH9792c=")</f>
        <v>#REF!</v>
      </c>
      <c r="DA12" t="e">
        <f>AND(#REF!,"AAAAAH9792g=")</f>
        <v>#REF!</v>
      </c>
      <c r="DB12" t="e">
        <f>AND(#REF!,"AAAAAH9792k=")</f>
        <v>#REF!</v>
      </c>
      <c r="DC12" t="e">
        <f>AND(#REF!,"AAAAAH9792o=")</f>
        <v>#REF!</v>
      </c>
      <c r="DD12" t="e">
        <f>AND(#REF!,"AAAAAH9792s=")</f>
        <v>#REF!</v>
      </c>
      <c r="DE12" t="e">
        <f>AND(#REF!,"AAAAAH9792w=")</f>
        <v>#REF!</v>
      </c>
      <c r="DF12" t="e">
        <f>AND(#REF!,"AAAAAH97920=")</f>
        <v>#REF!</v>
      </c>
      <c r="DG12" t="e">
        <f>AND(#REF!,"AAAAAH97924=")</f>
        <v>#REF!</v>
      </c>
      <c r="DH12" t="e">
        <f>AND(#REF!,"AAAAAH97928=")</f>
        <v>#REF!</v>
      </c>
      <c r="DI12" t="e">
        <f>AND(#REF!,"AAAAAH9793A=")</f>
        <v>#REF!</v>
      </c>
      <c r="DJ12" t="e">
        <f>AND(#REF!,"AAAAAH9793E=")</f>
        <v>#REF!</v>
      </c>
      <c r="DK12" t="e">
        <f>AND(#REF!,"AAAAAH9793I=")</f>
        <v>#REF!</v>
      </c>
      <c r="DL12" t="e">
        <f>AND(#REF!,"AAAAAH9793M=")</f>
        <v>#REF!</v>
      </c>
      <c r="DM12" t="e">
        <f>AND(#REF!,"AAAAAH9793Q=")</f>
        <v>#REF!</v>
      </c>
      <c r="DN12" t="e">
        <f>AND(#REF!,"AAAAAH9793U=")</f>
        <v>#REF!</v>
      </c>
      <c r="DO12" t="e">
        <f>AND(#REF!,"AAAAAH9793Y=")</f>
        <v>#REF!</v>
      </c>
      <c r="DP12" t="e">
        <f>AND(#REF!,"AAAAAH9793c=")</f>
        <v>#REF!</v>
      </c>
      <c r="DQ12" t="e">
        <f>AND(#REF!,"AAAAAH9793g=")</f>
        <v>#REF!</v>
      </c>
      <c r="DR12" t="e">
        <f>AND(#REF!,"AAAAAH9793k=")</f>
        <v>#REF!</v>
      </c>
      <c r="DS12" t="e">
        <f>AND(#REF!,"AAAAAH9793o=")</f>
        <v>#REF!</v>
      </c>
      <c r="DT12" t="e">
        <f>AND(#REF!,"AAAAAH9793s=")</f>
        <v>#REF!</v>
      </c>
      <c r="DU12" t="e">
        <f>AND(#REF!,"AAAAAH9793w=")</f>
        <v>#REF!</v>
      </c>
      <c r="DV12" t="e">
        <f>AND(#REF!,"AAAAAH97930=")</f>
        <v>#REF!</v>
      </c>
      <c r="DW12" t="e">
        <f>AND(#REF!,"AAAAAH97934=")</f>
        <v>#REF!</v>
      </c>
      <c r="DX12" t="e">
        <f>AND(#REF!,"AAAAAH97938=")</f>
        <v>#REF!</v>
      </c>
      <c r="DY12" t="e">
        <f>AND(#REF!,"AAAAAH9794A=")</f>
        <v>#REF!</v>
      </c>
      <c r="DZ12" t="e">
        <f>AND(#REF!,"AAAAAH9794E=")</f>
        <v>#REF!</v>
      </c>
      <c r="EA12" t="e">
        <f>AND(#REF!,"AAAAAH9794I=")</f>
        <v>#REF!</v>
      </c>
      <c r="EB12" t="e">
        <f>AND(#REF!,"AAAAAH9794M=")</f>
        <v>#REF!</v>
      </c>
      <c r="EC12" t="e">
        <f>AND(#REF!,"AAAAAH9794Q=")</f>
        <v>#REF!</v>
      </c>
      <c r="ED12" t="e">
        <f>AND(#REF!,"AAAAAH9794U=")</f>
        <v>#REF!</v>
      </c>
      <c r="EE12" t="e">
        <f>AND(#REF!,"AAAAAH9794Y=")</f>
        <v>#REF!</v>
      </c>
      <c r="EF12" t="e">
        <f>AND(#REF!,"AAAAAH9794c=")</f>
        <v>#REF!</v>
      </c>
      <c r="EG12" t="e">
        <f>AND(#REF!,"AAAAAH9794g=")</f>
        <v>#REF!</v>
      </c>
      <c r="EH12" t="e">
        <f>AND(#REF!,"AAAAAH9794k=")</f>
        <v>#REF!</v>
      </c>
      <c r="EI12" t="e">
        <f>AND(#REF!,"AAAAAH9794o=")</f>
        <v>#REF!</v>
      </c>
      <c r="EJ12" t="e">
        <f>AND(#REF!,"AAAAAH9794s=")</f>
        <v>#REF!</v>
      </c>
      <c r="EK12" t="e">
        <f>AND(#REF!,"AAAAAH9794w=")</f>
        <v>#REF!</v>
      </c>
      <c r="EL12" t="e">
        <f>AND(#REF!,"AAAAAH97940=")</f>
        <v>#REF!</v>
      </c>
      <c r="EM12" t="e">
        <f>AND(#REF!,"AAAAAH97944=")</f>
        <v>#REF!</v>
      </c>
      <c r="EN12" t="e">
        <f>AND(#REF!,"AAAAAH97948=")</f>
        <v>#REF!</v>
      </c>
      <c r="EO12" t="e">
        <f>AND(#REF!,"AAAAAH9795A=")</f>
        <v>#REF!</v>
      </c>
      <c r="EP12" t="e">
        <f>AND(#REF!,"AAAAAH9795E=")</f>
        <v>#REF!</v>
      </c>
      <c r="EQ12" t="e">
        <f>AND(#REF!,"AAAAAH9795I=")</f>
        <v>#REF!</v>
      </c>
      <c r="ER12" t="e">
        <f>AND(#REF!,"AAAAAH9795M=")</f>
        <v>#REF!</v>
      </c>
      <c r="ES12" t="e">
        <f>AND(#REF!,"AAAAAH9795Q=")</f>
        <v>#REF!</v>
      </c>
      <c r="ET12" t="e">
        <f>AND(#REF!,"AAAAAH9795U=")</f>
        <v>#REF!</v>
      </c>
      <c r="EU12" t="e">
        <f>AND(#REF!,"AAAAAH9795Y=")</f>
        <v>#REF!</v>
      </c>
      <c r="EV12" t="e">
        <f>AND(#REF!,"AAAAAH9795c=")</f>
        <v>#REF!</v>
      </c>
      <c r="EW12" t="e">
        <f>AND(#REF!,"AAAAAH9795g=")</f>
        <v>#REF!</v>
      </c>
      <c r="EX12" t="e">
        <f>AND(#REF!,"AAAAAH9795k=")</f>
        <v>#REF!</v>
      </c>
      <c r="EY12" t="e">
        <f>AND(#REF!,"AAAAAH9795o=")</f>
        <v>#REF!</v>
      </c>
      <c r="EZ12" t="e">
        <f>AND(#REF!,"AAAAAH9795s=")</f>
        <v>#REF!</v>
      </c>
      <c r="FA12" t="e">
        <f>AND(#REF!,"AAAAAH9795w=")</f>
        <v>#REF!</v>
      </c>
      <c r="FB12" t="e">
        <f>AND(#REF!,"AAAAAH97950=")</f>
        <v>#REF!</v>
      </c>
      <c r="FC12" t="e">
        <f>AND(#REF!,"AAAAAH97954=")</f>
        <v>#REF!</v>
      </c>
      <c r="FD12" t="e">
        <f>AND(#REF!,"AAAAAH97958=")</f>
        <v>#REF!</v>
      </c>
      <c r="FE12" t="e">
        <f>AND(#REF!,"AAAAAH9796A=")</f>
        <v>#REF!</v>
      </c>
      <c r="FF12" t="e">
        <f>AND(#REF!,"AAAAAH9796E=")</f>
        <v>#REF!</v>
      </c>
      <c r="FG12" t="e">
        <f>AND(#REF!,"AAAAAH9796I=")</f>
        <v>#REF!</v>
      </c>
      <c r="FH12" t="e">
        <f>AND(#REF!,"AAAAAH9796M=")</f>
        <v>#REF!</v>
      </c>
      <c r="FI12" t="e">
        <f>AND(#REF!,"AAAAAH9796Q=")</f>
        <v>#REF!</v>
      </c>
      <c r="FJ12" t="e">
        <f>AND(#REF!,"AAAAAH9796U=")</f>
        <v>#REF!</v>
      </c>
      <c r="FK12" t="e">
        <f>AND(#REF!,"AAAAAH9796Y=")</f>
        <v>#REF!</v>
      </c>
      <c r="FL12" t="e">
        <f>AND(#REF!,"AAAAAH9796c=")</f>
        <v>#REF!</v>
      </c>
      <c r="FM12" t="e">
        <f>AND(#REF!,"AAAAAH9796g=")</f>
        <v>#REF!</v>
      </c>
      <c r="FN12" t="e">
        <f>AND(#REF!,"AAAAAH9796k=")</f>
        <v>#REF!</v>
      </c>
      <c r="FO12" t="e">
        <f>AND(#REF!,"AAAAAH9796o=")</f>
        <v>#REF!</v>
      </c>
      <c r="FP12" t="e">
        <f>AND(#REF!,"AAAAAH9796s=")</f>
        <v>#REF!</v>
      </c>
      <c r="FQ12" t="e">
        <f>AND(#REF!,"AAAAAH9796w=")</f>
        <v>#REF!</v>
      </c>
      <c r="FR12" t="e">
        <f>AND(#REF!,"AAAAAH97960=")</f>
        <v>#REF!</v>
      </c>
      <c r="FS12" t="e">
        <f>AND(#REF!,"AAAAAH97964=")</f>
        <v>#REF!</v>
      </c>
      <c r="FT12" t="e">
        <f>AND(#REF!,"AAAAAH97968=")</f>
        <v>#REF!</v>
      </c>
      <c r="FU12" t="e">
        <f>AND(#REF!,"AAAAAH9797A=")</f>
        <v>#REF!</v>
      </c>
      <c r="FV12" t="e">
        <f>AND(#REF!,"AAAAAH9797E=")</f>
        <v>#REF!</v>
      </c>
      <c r="FW12" t="e">
        <f>AND(#REF!,"AAAAAH9797I=")</f>
        <v>#REF!</v>
      </c>
      <c r="FX12" t="e">
        <f>AND(#REF!,"AAAAAH9797M=")</f>
        <v>#REF!</v>
      </c>
      <c r="FY12" t="e">
        <f>AND(#REF!,"AAAAAH9797Q=")</f>
        <v>#REF!</v>
      </c>
      <c r="FZ12" t="e">
        <f>AND(#REF!,"AAAAAH9797U=")</f>
        <v>#REF!</v>
      </c>
      <c r="GA12" t="e">
        <f>AND(#REF!,"AAAAAH9797Y=")</f>
        <v>#REF!</v>
      </c>
      <c r="GB12" t="e">
        <f>AND(#REF!,"AAAAAH9797c=")</f>
        <v>#REF!</v>
      </c>
      <c r="GC12" t="e">
        <f>AND(#REF!,"AAAAAH9797g=")</f>
        <v>#REF!</v>
      </c>
      <c r="GD12" t="e">
        <f>AND(#REF!,"AAAAAH9797k=")</f>
        <v>#REF!</v>
      </c>
      <c r="GE12" t="e">
        <f>AND(#REF!,"AAAAAH9797o=")</f>
        <v>#REF!</v>
      </c>
      <c r="GF12" t="e">
        <f>AND(#REF!,"AAAAAH9797s=")</f>
        <v>#REF!</v>
      </c>
      <c r="GG12" t="e">
        <f>AND(#REF!,"AAAAAH9797w=")</f>
        <v>#REF!</v>
      </c>
      <c r="GH12" t="e">
        <f>AND(#REF!,"AAAAAH97970=")</f>
        <v>#REF!</v>
      </c>
      <c r="GI12" t="e">
        <f>AND(#REF!,"AAAAAH97974=")</f>
        <v>#REF!</v>
      </c>
      <c r="GJ12" t="e">
        <f>AND(#REF!,"AAAAAH97978=")</f>
        <v>#REF!</v>
      </c>
      <c r="GK12" t="e">
        <f>AND(#REF!,"AAAAAH9798A=")</f>
        <v>#REF!</v>
      </c>
      <c r="GL12" t="e">
        <f>AND(#REF!,"AAAAAH9798E=")</f>
        <v>#REF!</v>
      </c>
      <c r="GM12" t="e">
        <f>AND(#REF!,"AAAAAH9798I=")</f>
        <v>#REF!</v>
      </c>
      <c r="GN12" t="e">
        <f>AND(#REF!,"AAAAAH9798M=")</f>
        <v>#REF!</v>
      </c>
      <c r="GO12" t="e">
        <f>AND(#REF!,"AAAAAH9798Q=")</f>
        <v>#REF!</v>
      </c>
      <c r="GP12" t="e">
        <f>AND(#REF!,"AAAAAH9798U=")</f>
        <v>#REF!</v>
      </c>
      <c r="GQ12" t="e">
        <f>AND(#REF!,"AAAAAH9798Y=")</f>
        <v>#REF!</v>
      </c>
      <c r="GR12" t="e">
        <f>AND(#REF!,"AAAAAH9798c=")</f>
        <v>#REF!</v>
      </c>
      <c r="GS12" t="e">
        <f>AND(#REF!,"AAAAAH9798g=")</f>
        <v>#REF!</v>
      </c>
      <c r="GT12" t="e">
        <f>AND(#REF!,"AAAAAH9798k=")</f>
        <v>#REF!</v>
      </c>
      <c r="GU12" t="e">
        <f>AND(#REF!,"AAAAAH9798o=")</f>
        <v>#REF!</v>
      </c>
      <c r="GV12" t="e">
        <f>AND(#REF!,"AAAAAH9798s=")</f>
        <v>#REF!</v>
      </c>
      <c r="GW12" t="e">
        <f>AND(#REF!,"AAAAAH9798w=")</f>
        <v>#REF!</v>
      </c>
      <c r="GX12" t="e">
        <f>AND(#REF!,"AAAAAH97980=")</f>
        <v>#REF!</v>
      </c>
      <c r="GY12" t="e">
        <f>AND(#REF!,"AAAAAH97984=")</f>
        <v>#REF!</v>
      </c>
      <c r="GZ12" t="e">
        <f>AND(#REF!,"AAAAAH97988=")</f>
        <v>#REF!</v>
      </c>
      <c r="HA12" t="e">
        <f>AND(#REF!,"AAAAAH9799A=")</f>
        <v>#REF!</v>
      </c>
      <c r="HB12" t="e">
        <f>AND(#REF!,"AAAAAH9799E=")</f>
        <v>#REF!</v>
      </c>
      <c r="HC12" t="e">
        <f>AND(#REF!,"AAAAAH9799I=")</f>
        <v>#REF!</v>
      </c>
      <c r="HD12" t="e">
        <f>AND(#REF!,"AAAAAH9799M=")</f>
        <v>#REF!</v>
      </c>
      <c r="HE12" t="e">
        <f>AND(#REF!,"AAAAAH9799Q=")</f>
        <v>#REF!</v>
      </c>
      <c r="HF12" t="e">
        <f>AND(#REF!,"AAAAAH9799U=")</f>
        <v>#REF!</v>
      </c>
      <c r="HG12" t="e">
        <f>AND(#REF!,"AAAAAH9799Y=")</f>
        <v>#REF!</v>
      </c>
      <c r="HH12" t="e">
        <f>AND(#REF!,"AAAAAH9799c=")</f>
        <v>#REF!</v>
      </c>
      <c r="HI12" t="e">
        <f>AND(#REF!,"AAAAAH9799g=")</f>
        <v>#REF!</v>
      </c>
      <c r="HJ12" t="e">
        <f>AND(#REF!,"AAAAAH9799k=")</f>
        <v>#REF!</v>
      </c>
      <c r="HK12" t="e">
        <f>AND(#REF!,"AAAAAH9799o=")</f>
        <v>#REF!</v>
      </c>
      <c r="HL12" t="e">
        <f>AND(#REF!,"AAAAAH9799s=")</f>
        <v>#REF!</v>
      </c>
      <c r="HM12" t="e">
        <f>AND(#REF!,"AAAAAH9799w=")</f>
        <v>#REF!</v>
      </c>
      <c r="HN12" t="e">
        <f>AND(#REF!,"AAAAAH97990=")</f>
        <v>#REF!</v>
      </c>
      <c r="HO12" t="e">
        <f>AND(#REF!,"AAAAAH97994=")</f>
        <v>#REF!</v>
      </c>
      <c r="HP12" t="e">
        <f>AND(#REF!,"AAAAAH97998=")</f>
        <v>#REF!</v>
      </c>
      <c r="HQ12" t="e">
        <f>AND(#REF!,"AAAAAH979+A=")</f>
        <v>#REF!</v>
      </c>
      <c r="HR12" t="e">
        <f>AND(#REF!,"AAAAAH979+E=")</f>
        <v>#REF!</v>
      </c>
      <c r="HS12" t="e">
        <f>AND(#REF!,"AAAAAH979+I=")</f>
        <v>#REF!</v>
      </c>
      <c r="HT12" t="e">
        <f>AND(#REF!,"AAAAAH979+M=")</f>
        <v>#REF!</v>
      </c>
      <c r="HU12" t="e">
        <f>AND(#REF!,"AAAAAH979+Q=")</f>
        <v>#REF!</v>
      </c>
      <c r="HV12" t="e">
        <f>AND(#REF!,"AAAAAH979+U=")</f>
        <v>#REF!</v>
      </c>
      <c r="HW12" t="e">
        <f>AND(#REF!,"AAAAAH979+Y=")</f>
        <v>#REF!</v>
      </c>
      <c r="HX12" t="e">
        <f>AND(#REF!,"AAAAAH979+c=")</f>
        <v>#REF!</v>
      </c>
      <c r="HY12" t="e">
        <f>AND(#REF!,"AAAAAH979+g=")</f>
        <v>#REF!</v>
      </c>
      <c r="HZ12" t="e">
        <f>AND(#REF!,"AAAAAH979+k=")</f>
        <v>#REF!</v>
      </c>
      <c r="IA12" t="e">
        <f>AND(#REF!,"AAAAAH979+o=")</f>
        <v>#REF!</v>
      </c>
      <c r="IB12" t="e">
        <f>AND(#REF!,"AAAAAH979+s=")</f>
        <v>#REF!</v>
      </c>
      <c r="IC12" t="e">
        <f>AND(#REF!,"AAAAAH979+w=")</f>
        <v>#REF!</v>
      </c>
      <c r="ID12" t="e">
        <f>AND(#REF!,"AAAAAH979+0=")</f>
        <v>#REF!</v>
      </c>
      <c r="IE12" t="e">
        <f>AND(#REF!,"AAAAAH979+4=")</f>
        <v>#REF!</v>
      </c>
      <c r="IF12" t="e">
        <f>AND(#REF!,"AAAAAH979+8=")</f>
        <v>#REF!</v>
      </c>
      <c r="IG12" t="e">
        <f>AND(#REF!,"AAAAAH979/A=")</f>
        <v>#REF!</v>
      </c>
      <c r="IH12" t="e">
        <f>AND(#REF!,"AAAAAH979/E=")</f>
        <v>#REF!</v>
      </c>
      <c r="II12" t="e">
        <f>AND(#REF!,"AAAAAH979/I=")</f>
        <v>#REF!</v>
      </c>
      <c r="IJ12" t="e">
        <f>AND(#REF!,"AAAAAH979/M=")</f>
        <v>#REF!</v>
      </c>
      <c r="IK12" t="e">
        <f>AND(#REF!,"AAAAAH979/Q=")</f>
        <v>#REF!</v>
      </c>
      <c r="IL12" t="e">
        <f>IF(#REF!,"AAAAAH979/U=",0)</f>
        <v>#REF!</v>
      </c>
      <c r="IM12" t="e">
        <f>AND(#REF!,"AAAAAH979/Y=")</f>
        <v>#REF!</v>
      </c>
      <c r="IN12" t="e">
        <f>AND(#REF!,"AAAAAH979/c=")</f>
        <v>#REF!</v>
      </c>
      <c r="IO12" t="e">
        <f>AND(#REF!,"AAAAAH979/g=")</f>
        <v>#REF!</v>
      </c>
      <c r="IP12" t="e">
        <f>AND(#REF!,"AAAAAH979/k=")</f>
        <v>#REF!</v>
      </c>
      <c r="IQ12" t="e">
        <f>AND(#REF!,"AAAAAH979/o=")</f>
        <v>#REF!</v>
      </c>
      <c r="IR12" t="e">
        <f>AND(#REF!,"AAAAAH979/s=")</f>
        <v>#REF!</v>
      </c>
      <c r="IS12" t="e">
        <f>AND(#REF!,"AAAAAH979/w=")</f>
        <v>#REF!</v>
      </c>
      <c r="IT12" t="e">
        <f>AND(#REF!,"AAAAAH979/0=")</f>
        <v>#REF!</v>
      </c>
      <c r="IU12" t="e">
        <f>AND(#REF!,"AAAAAH979/4=")</f>
        <v>#REF!</v>
      </c>
      <c r="IV12" t="e">
        <f>AND(#REF!,"AAAAAH979/8=")</f>
        <v>#REF!</v>
      </c>
    </row>
    <row r="13" spans="1:256" x14ac:dyDescent="0.25">
      <c r="A13" t="e">
        <f>AND(#REF!,"AAAAAC/tzAA=")</f>
        <v>#REF!</v>
      </c>
      <c r="B13" t="e">
        <f>AND(#REF!,"AAAAAC/tzAE=")</f>
        <v>#REF!</v>
      </c>
      <c r="C13" t="e">
        <f>AND(#REF!,"AAAAAC/tzAI=")</f>
        <v>#REF!</v>
      </c>
      <c r="D13" t="e">
        <f>AND(#REF!,"AAAAAC/tzAM=")</f>
        <v>#REF!</v>
      </c>
      <c r="E13" t="e">
        <f>AND(#REF!,"AAAAAC/tzAQ=")</f>
        <v>#REF!</v>
      </c>
      <c r="F13" t="e">
        <f>AND(#REF!,"AAAAAC/tzAU=")</f>
        <v>#REF!</v>
      </c>
      <c r="G13" t="e">
        <f>AND(#REF!,"AAAAAC/tzAY=")</f>
        <v>#REF!</v>
      </c>
      <c r="H13" t="e">
        <f>AND(#REF!,"AAAAAC/tzAc=")</f>
        <v>#REF!</v>
      </c>
      <c r="I13" t="e">
        <f>AND(#REF!,"AAAAAC/tzAg=")</f>
        <v>#REF!</v>
      </c>
      <c r="J13" t="e">
        <f>AND(#REF!,"AAAAAC/tzAk=")</f>
        <v>#REF!</v>
      </c>
      <c r="K13" t="e">
        <f>AND(#REF!,"AAAAAC/tzAo=")</f>
        <v>#REF!</v>
      </c>
      <c r="L13" t="e">
        <f>AND(#REF!,"AAAAAC/tzAs=")</f>
        <v>#REF!</v>
      </c>
      <c r="M13" t="e">
        <f>AND(#REF!,"AAAAAC/tzAw=")</f>
        <v>#REF!</v>
      </c>
      <c r="N13" t="e">
        <f>AND(#REF!,"AAAAAC/tzA0=")</f>
        <v>#REF!</v>
      </c>
      <c r="O13" t="e">
        <f>AND(#REF!,"AAAAAC/tzA4=")</f>
        <v>#REF!</v>
      </c>
      <c r="P13" t="e">
        <f>AND(#REF!,"AAAAAC/tzA8=")</f>
        <v>#REF!</v>
      </c>
      <c r="Q13" t="e">
        <f>AND(#REF!,"AAAAAC/tzBA=")</f>
        <v>#REF!</v>
      </c>
      <c r="R13" t="e">
        <f>AND(#REF!,"AAAAAC/tzBE=")</f>
        <v>#REF!</v>
      </c>
      <c r="S13" t="e">
        <f>AND(#REF!,"AAAAAC/tzBI=")</f>
        <v>#REF!</v>
      </c>
      <c r="T13" t="e">
        <f>AND(#REF!,"AAAAAC/tzBM=")</f>
        <v>#REF!</v>
      </c>
      <c r="U13" t="e">
        <f>AND(#REF!,"AAAAAC/tzBQ=")</f>
        <v>#REF!</v>
      </c>
      <c r="V13" t="e">
        <f>AND(#REF!,"AAAAAC/tzBU=")</f>
        <v>#REF!</v>
      </c>
      <c r="W13" t="e">
        <f>AND(#REF!,"AAAAAC/tzBY=")</f>
        <v>#REF!</v>
      </c>
      <c r="X13" t="e">
        <f>AND(#REF!,"AAAAAC/tzBc=")</f>
        <v>#REF!</v>
      </c>
      <c r="Y13" t="e">
        <f>AND(#REF!,"AAAAAC/tzBg=")</f>
        <v>#REF!</v>
      </c>
      <c r="Z13" t="e">
        <f>AND(#REF!,"AAAAAC/tzBk=")</f>
        <v>#REF!</v>
      </c>
      <c r="AA13" t="e">
        <f>AND(#REF!,"AAAAAC/tzBo=")</f>
        <v>#REF!</v>
      </c>
      <c r="AB13" t="e">
        <f>AND(#REF!,"AAAAAC/tzBs=")</f>
        <v>#REF!</v>
      </c>
      <c r="AC13" t="e">
        <f>AND(#REF!,"AAAAAC/tzBw=")</f>
        <v>#REF!</v>
      </c>
      <c r="AD13" t="e">
        <f>AND(#REF!,"AAAAAC/tzB0=")</f>
        <v>#REF!</v>
      </c>
      <c r="AE13" t="e">
        <f>AND(#REF!,"AAAAAC/tzB4=")</f>
        <v>#REF!</v>
      </c>
      <c r="AF13" t="e">
        <f>AND(#REF!,"AAAAAC/tzB8=")</f>
        <v>#REF!</v>
      </c>
      <c r="AG13" t="e">
        <f>AND(#REF!,"AAAAAC/tzCA=")</f>
        <v>#REF!</v>
      </c>
      <c r="AH13" t="e">
        <f>AND(#REF!,"AAAAAC/tzCE=")</f>
        <v>#REF!</v>
      </c>
      <c r="AI13" t="e">
        <f>AND(#REF!,"AAAAAC/tzCI=")</f>
        <v>#REF!</v>
      </c>
      <c r="AJ13" t="e">
        <f>AND(#REF!,"AAAAAC/tzCM=")</f>
        <v>#REF!</v>
      </c>
      <c r="AK13" t="e">
        <f>AND(#REF!,"AAAAAC/tzCQ=")</f>
        <v>#REF!</v>
      </c>
      <c r="AL13" t="e">
        <f>AND(#REF!,"AAAAAC/tzCU=")</f>
        <v>#REF!</v>
      </c>
      <c r="AM13" t="e">
        <f>AND(#REF!,"AAAAAC/tzCY=")</f>
        <v>#REF!</v>
      </c>
      <c r="AN13" t="e">
        <f>AND(#REF!,"AAAAAC/tzCc=")</f>
        <v>#REF!</v>
      </c>
      <c r="AO13" t="e">
        <f>AND(#REF!,"AAAAAC/tzCg=")</f>
        <v>#REF!</v>
      </c>
      <c r="AP13" t="e">
        <f>AND(#REF!,"AAAAAC/tzCk=")</f>
        <v>#REF!</v>
      </c>
      <c r="AQ13" t="e">
        <f>AND(#REF!,"AAAAAC/tzCo=")</f>
        <v>#REF!</v>
      </c>
      <c r="AR13" t="e">
        <f>AND(#REF!,"AAAAAC/tzCs=")</f>
        <v>#REF!</v>
      </c>
      <c r="AS13" t="e">
        <f>AND(#REF!,"AAAAAC/tzCw=")</f>
        <v>#REF!</v>
      </c>
      <c r="AT13" t="e">
        <f>AND(#REF!,"AAAAAC/tzC0=")</f>
        <v>#REF!</v>
      </c>
      <c r="AU13" t="e">
        <f>AND(#REF!,"AAAAAC/tzC4=")</f>
        <v>#REF!</v>
      </c>
      <c r="AV13" t="e">
        <f>AND(#REF!,"AAAAAC/tzC8=")</f>
        <v>#REF!</v>
      </c>
      <c r="AW13" t="e">
        <f>AND(#REF!,"AAAAAC/tzDA=")</f>
        <v>#REF!</v>
      </c>
      <c r="AX13" t="e">
        <f>AND(#REF!,"AAAAAC/tzDE=")</f>
        <v>#REF!</v>
      </c>
      <c r="AY13" t="e">
        <f>AND(#REF!,"AAAAAC/tzDI=")</f>
        <v>#REF!</v>
      </c>
      <c r="AZ13" t="e">
        <f>AND(#REF!,"AAAAAC/tzDM=")</f>
        <v>#REF!</v>
      </c>
      <c r="BA13" t="e">
        <f>AND(#REF!,"AAAAAC/tzDQ=")</f>
        <v>#REF!</v>
      </c>
      <c r="BB13" t="e">
        <f>AND(#REF!,"AAAAAC/tzDU=")</f>
        <v>#REF!</v>
      </c>
      <c r="BC13" t="e">
        <f>AND(#REF!,"AAAAAC/tzDY=")</f>
        <v>#REF!</v>
      </c>
      <c r="BD13" t="e">
        <f>AND(#REF!,"AAAAAC/tzDc=")</f>
        <v>#REF!</v>
      </c>
      <c r="BE13" t="e">
        <f>AND(#REF!,"AAAAAC/tzDg=")</f>
        <v>#REF!</v>
      </c>
      <c r="BF13" t="e">
        <f>AND(#REF!,"AAAAAC/tzDk=")</f>
        <v>#REF!</v>
      </c>
      <c r="BG13" t="e">
        <f>AND(#REF!,"AAAAAC/tzDo=")</f>
        <v>#REF!</v>
      </c>
      <c r="BH13" t="e">
        <f>AND(#REF!,"AAAAAC/tzDs=")</f>
        <v>#REF!</v>
      </c>
      <c r="BI13" t="e">
        <f>AND(#REF!,"AAAAAC/tzDw=")</f>
        <v>#REF!</v>
      </c>
      <c r="BJ13" t="e">
        <f>AND(#REF!,"AAAAAC/tzD0=")</f>
        <v>#REF!</v>
      </c>
      <c r="BK13" t="e">
        <f>AND(#REF!,"AAAAAC/tzD4=")</f>
        <v>#REF!</v>
      </c>
      <c r="BL13" t="e">
        <f>AND(#REF!,"AAAAAC/tzD8=")</f>
        <v>#REF!</v>
      </c>
      <c r="BM13" t="e">
        <f>AND(#REF!,"AAAAAC/tzEA=")</f>
        <v>#REF!</v>
      </c>
      <c r="BN13" t="e">
        <f>AND(#REF!,"AAAAAC/tzEE=")</f>
        <v>#REF!</v>
      </c>
      <c r="BO13" t="e">
        <f>AND(#REF!,"AAAAAC/tzEI=")</f>
        <v>#REF!</v>
      </c>
      <c r="BP13" t="e">
        <f>AND(#REF!,"AAAAAC/tzEM=")</f>
        <v>#REF!</v>
      </c>
      <c r="BQ13" t="e">
        <f>AND(#REF!,"AAAAAC/tzEQ=")</f>
        <v>#REF!</v>
      </c>
      <c r="BR13" t="e">
        <f>AND(#REF!,"AAAAAC/tzEU=")</f>
        <v>#REF!</v>
      </c>
      <c r="BS13" t="e">
        <f>AND(#REF!,"AAAAAC/tzEY=")</f>
        <v>#REF!</v>
      </c>
      <c r="BT13" t="e">
        <f>AND(#REF!,"AAAAAC/tzEc=")</f>
        <v>#REF!</v>
      </c>
      <c r="BU13" t="e">
        <f>AND(#REF!,"AAAAAC/tzEg=")</f>
        <v>#REF!</v>
      </c>
      <c r="BV13" t="e">
        <f>AND(#REF!,"AAAAAC/tzEk=")</f>
        <v>#REF!</v>
      </c>
      <c r="BW13" t="e">
        <f>AND(#REF!,"AAAAAC/tzEo=")</f>
        <v>#REF!</v>
      </c>
      <c r="BX13" t="e">
        <f>AND(#REF!,"AAAAAC/tzEs=")</f>
        <v>#REF!</v>
      </c>
      <c r="BY13" t="e">
        <f>AND(#REF!,"AAAAAC/tzEw=")</f>
        <v>#REF!</v>
      </c>
      <c r="BZ13" t="e">
        <f>AND(#REF!,"AAAAAC/tzE0=")</f>
        <v>#REF!</v>
      </c>
      <c r="CA13" t="e">
        <f>AND(#REF!,"AAAAAC/tzE4=")</f>
        <v>#REF!</v>
      </c>
      <c r="CB13" t="e">
        <f>AND(#REF!,"AAAAAC/tzE8=")</f>
        <v>#REF!</v>
      </c>
      <c r="CC13" t="e">
        <f>AND(#REF!,"AAAAAC/tzFA=")</f>
        <v>#REF!</v>
      </c>
      <c r="CD13" t="e">
        <f>AND(#REF!,"AAAAAC/tzFE=")</f>
        <v>#REF!</v>
      </c>
      <c r="CE13" t="e">
        <f>AND(#REF!,"AAAAAC/tzFI=")</f>
        <v>#REF!</v>
      </c>
      <c r="CF13" t="e">
        <f>AND(#REF!,"AAAAAC/tzFM=")</f>
        <v>#REF!</v>
      </c>
      <c r="CG13" t="e">
        <f>AND(#REF!,"AAAAAC/tzFQ=")</f>
        <v>#REF!</v>
      </c>
      <c r="CH13" t="e">
        <f>AND(#REF!,"AAAAAC/tzFU=")</f>
        <v>#REF!</v>
      </c>
      <c r="CI13" t="e">
        <f>AND(#REF!,"AAAAAC/tzFY=")</f>
        <v>#REF!</v>
      </c>
      <c r="CJ13" t="e">
        <f>AND(#REF!,"AAAAAC/tzFc=")</f>
        <v>#REF!</v>
      </c>
      <c r="CK13" t="e">
        <f>AND(#REF!,"AAAAAC/tzFg=")</f>
        <v>#REF!</v>
      </c>
      <c r="CL13" t="e">
        <f>AND(#REF!,"AAAAAC/tzFk=")</f>
        <v>#REF!</v>
      </c>
      <c r="CM13" t="e">
        <f>AND(#REF!,"AAAAAC/tzFo=")</f>
        <v>#REF!</v>
      </c>
      <c r="CN13" t="e">
        <f>AND(#REF!,"AAAAAC/tzFs=")</f>
        <v>#REF!</v>
      </c>
      <c r="CO13" t="e">
        <f>AND(#REF!,"AAAAAC/tzFw=")</f>
        <v>#REF!</v>
      </c>
      <c r="CP13" t="e">
        <f>AND(#REF!,"AAAAAC/tzF0=")</f>
        <v>#REF!</v>
      </c>
      <c r="CQ13" t="e">
        <f>AND(#REF!,"AAAAAC/tzF4=")</f>
        <v>#REF!</v>
      </c>
      <c r="CR13" t="e">
        <f>AND(#REF!,"AAAAAC/tzF8=")</f>
        <v>#REF!</v>
      </c>
      <c r="CS13" t="e">
        <f>AND(#REF!,"AAAAAC/tzGA=")</f>
        <v>#REF!</v>
      </c>
      <c r="CT13" t="e">
        <f>AND(#REF!,"AAAAAC/tzGE=")</f>
        <v>#REF!</v>
      </c>
      <c r="CU13" t="e">
        <f>AND(#REF!,"AAAAAC/tzGI=")</f>
        <v>#REF!</v>
      </c>
      <c r="CV13" t="e">
        <f>AND(#REF!,"AAAAAC/tzGM=")</f>
        <v>#REF!</v>
      </c>
      <c r="CW13" t="e">
        <f>AND(#REF!,"AAAAAC/tzGQ=")</f>
        <v>#REF!</v>
      </c>
      <c r="CX13" t="e">
        <f>AND(#REF!,"AAAAAC/tzGU=")</f>
        <v>#REF!</v>
      </c>
      <c r="CY13" t="e">
        <f>AND(#REF!,"AAAAAC/tzGY=")</f>
        <v>#REF!</v>
      </c>
      <c r="CZ13" t="e">
        <f>AND(#REF!,"AAAAAC/tzGc=")</f>
        <v>#REF!</v>
      </c>
      <c r="DA13" t="e">
        <f>AND(#REF!,"AAAAAC/tzGg=")</f>
        <v>#REF!</v>
      </c>
      <c r="DB13" t="e">
        <f>AND(#REF!,"AAAAAC/tzGk=")</f>
        <v>#REF!</v>
      </c>
      <c r="DC13" t="e">
        <f>AND(#REF!,"AAAAAC/tzGo=")</f>
        <v>#REF!</v>
      </c>
      <c r="DD13" t="e">
        <f>AND(#REF!,"AAAAAC/tzGs=")</f>
        <v>#REF!</v>
      </c>
      <c r="DE13" t="e">
        <f>AND(#REF!,"AAAAAC/tzGw=")</f>
        <v>#REF!</v>
      </c>
      <c r="DF13" t="e">
        <f>AND(#REF!,"AAAAAC/tzG0=")</f>
        <v>#REF!</v>
      </c>
      <c r="DG13" t="e">
        <f>AND(#REF!,"AAAAAC/tzG4=")</f>
        <v>#REF!</v>
      </c>
      <c r="DH13" t="e">
        <f>AND(#REF!,"AAAAAC/tzG8=")</f>
        <v>#REF!</v>
      </c>
      <c r="DI13" t="e">
        <f>AND(#REF!,"AAAAAC/tzHA=")</f>
        <v>#REF!</v>
      </c>
      <c r="DJ13" t="e">
        <f>AND(#REF!,"AAAAAC/tzHE=")</f>
        <v>#REF!</v>
      </c>
      <c r="DK13" t="e">
        <f>AND(#REF!,"AAAAAC/tzHI=")</f>
        <v>#REF!</v>
      </c>
      <c r="DL13" t="e">
        <f>AND(#REF!,"AAAAAC/tzHM=")</f>
        <v>#REF!</v>
      </c>
      <c r="DM13" t="e">
        <f>AND(#REF!,"AAAAAC/tzHQ=")</f>
        <v>#REF!</v>
      </c>
      <c r="DN13" t="e">
        <f>AND(#REF!,"AAAAAC/tzHU=")</f>
        <v>#REF!</v>
      </c>
      <c r="DO13" t="e">
        <f>AND(#REF!,"AAAAAC/tzHY=")</f>
        <v>#REF!</v>
      </c>
      <c r="DP13" t="e">
        <f>AND(#REF!,"AAAAAC/tzHc=")</f>
        <v>#REF!</v>
      </c>
      <c r="DQ13" t="e">
        <f>AND(#REF!,"AAAAAC/tzHg=")</f>
        <v>#REF!</v>
      </c>
      <c r="DR13" t="e">
        <f>AND(#REF!,"AAAAAC/tzHk=")</f>
        <v>#REF!</v>
      </c>
      <c r="DS13" t="e">
        <f>AND(#REF!,"AAAAAC/tzHo=")</f>
        <v>#REF!</v>
      </c>
      <c r="DT13" t="e">
        <f>AND(#REF!,"AAAAAC/tzHs=")</f>
        <v>#REF!</v>
      </c>
      <c r="DU13" t="e">
        <f>AND(#REF!,"AAAAAC/tzHw=")</f>
        <v>#REF!</v>
      </c>
      <c r="DV13" t="e">
        <f>AND(#REF!,"AAAAAC/tzH0=")</f>
        <v>#REF!</v>
      </c>
      <c r="DW13" t="e">
        <f>AND(#REF!,"AAAAAC/tzH4=")</f>
        <v>#REF!</v>
      </c>
      <c r="DX13" t="e">
        <f>AND(#REF!,"AAAAAC/tzH8=")</f>
        <v>#REF!</v>
      </c>
      <c r="DY13" t="e">
        <f>AND(#REF!,"AAAAAC/tzIA=")</f>
        <v>#REF!</v>
      </c>
      <c r="DZ13" t="e">
        <f>AND(#REF!,"AAAAAC/tzIE=")</f>
        <v>#REF!</v>
      </c>
      <c r="EA13" t="e">
        <f>AND(#REF!,"AAAAAC/tzII=")</f>
        <v>#REF!</v>
      </c>
      <c r="EB13" t="e">
        <f>AND(#REF!,"AAAAAC/tzIM=")</f>
        <v>#REF!</v>
      </c>
      <c r="EC13" t="e">
        <f>AND(#REF!,"AAAAAC/tzIQ=")</f>
        <v>#REF!</v>
      </c>
      <c r="ED13" t="e">
        <f>AND(#REF!,"AAAAAC/tzIU=")</f>
        <v>#REF!</v>
      </c>
      <c r="EE13" t="e">
        <f>AND(#REF!,"AAAAAC/tzIY=")</f>
        <v>#REF!</v>
      </c>
      <c r="EF13" t="e">
        <f>AND(#REF!,"AAAAAC/tzIc=")</f>
        <v>#REF!</v>
      </c>
      <c r="EG13" t="e">
        <f>AND(#REF!,"AAAAAC/tzIg=")</f>
        <v>#REF!</v>
      </c>
      <c r="EH13" t="e">
        <f>AND(#REF!,"AAAAAC/tzIk=")</f>
        <v>#REF!</v>
      </c>
      <c r="EI13" t="e">
        <f>AND(#REF!,"AAAAAC/tzIo=")</f>
        <v>#REF!</v>
      </c>
      <c r="EJ13" t="e">
        <f>AND(#REF!,"AAAAAC/tzIs=")</f>
        <v>#REF!</v>
      </c>
      <c r="EK13" t="e">
        <f>AND(#REF!,"AAAAAC/tzIw=")</f>
        <v>#REF!</v>
      </c>
      <c r="EL13" t="e">
        <f>AND(#REF!,"AAAAAC/tzI0=")</f>
        <v>#REF!</v>
      </c>
      <c r="EM13" t="e">
        <f>AND(#REF!,"AAAAAC/tzI4=")</f>
        <v>#REF!</v>
      </c>
      <c r="EN13" t="e">
        <f>AND(#REF!,"AAAAAC/tzI8=")</f>
        <v>#REF!</v>
      </c>
      <c r="EO13" t="e">
        <f>AND(#REF!,"AAAAAC/tzJA=")</f>
        <v>#REF!</v>
      </c>
      <c r="EP13" t="e">
        <f>AND(#REF!,"AAAAAC/tzJE=")</f>
        <v>#REF!</v>
      </c>
      <c r="EQ13" t="e">
        <f>AND(#REF!,"AAAAAC/tzJI=")</f>
        <v>#REF!</v>
      </c>
      <c r="ER13" t="e">
        <f>AND(#REF!,"AAAAAC/tzJM=")</f>
        <v>#REF!</v>
      </c>
      <c r="ES13" t="e">
        <f>AND(#REF!,"AAAAAC/tzJQ=")</f>
        <v>#REF!</v>
      </c>
      <c r="ET13" t="e">
        <f>AND(#REF!,"AAAAAC/tzJU=")</f>
        <v>#REF!</v>
      </c>
      <c r="EU13" t="e">
        <f>AND(#REF!,"AAAAAC/tzJY=")</f>
        <v>#REF!</v>
      </c>
      <c r="EV13" t="e">
        <f>AND(#REF!,"AAAAAC/tzJc=")</f>
        <v>#REF!</v>
      </c>
      <c r="EW13" t="e">
        <f>AND(#REF!,"AAAAAC/tzJg=")</f>
        <v>#REF!</v>
      </c>
      <c r="EX13" t="e">
        <f>AND(#REF!,"AAAAAC/tzJk=")</f>
        <v>#REF!</v>
      </c>
      <c r="EY13" t="e">
        <f>AND(#REF!,"AAAAAC/tzJo=")</f>
        <v>#REF!</v>
      </c>
      <c r="EZ13" t="e">
        <f>AND(#REF!,"AAAAAC/tzJs=")</f>
        <v>#REF!</v>
      </c>
      <c r="FA13" t="e">
        <f>AND(#REF!,"AAAAAC/tzJw=")</f>
        <v>#REF!</v>
      </c>
      <c r="FB13" t="e">
        <f>AND(#REF!,"AAAAAC/tzJ0=")</f>
        <v>#REF!</v>
      </c>
      <c r="FC13" t="e">
        <f>AND(#REF!,"AAAAAC/tzJ4=")</f>
        <v>#REF!</v>
      </c>
      <c r="FD13" t="e">
        <f>AND(#REF!,"AAAAAC/tzJ8=")</f>
        <v>#REF!</v>
      </c>
      <c r="FE13" t="e">
        <f>AND(#REF!,"AAAAAC/tzKA=")</f>
        <v>#REF!</v>
      </c>
      <c r="FF13" t="e">
        <f>AND(#REF!,"AAAAAC/tzKE=")</f>
        <v>#REF!</v>
      </c>
      <c r="FG13" t="e">
        <f>AND(#REF!,"AAAAAC/tzKI=")</f>
        <v>#REF!</v>
      </c>
      <c r="FH13" t="e">
        <f>AND(#REF!,"AAAAAC/tzKM=")</f>
        <v>#REF!</v>
      </c>
      <c r="FI13" t="e">
        <f>AND(#REF!,"AAAAAC/tzKQ=")</f>
        <v>#REF!</v>
      </c>
      <c r="FJ13" t="e">
        <f>AND(#REF!,"AAAAAC/tzKU=")</f>
        <v>#REF!</v>
      </c>
      <c r="FK13" t="e">
        <f>AND(#REF!,"AAAAAC/tzKY=")</f>
        <v>#REF!</v>
      </c>
      <c r="FL13" t="e">
        <f>AND(#REF!,"AAAAAC/tzKc=")</f>
        <v>#REF!</v>
      </c>
      <c r="FM13" t="e">
        <f>AND(#REF!,"AAAAAC/tzKg=")</f>
        <v>#REF!</v>
      </c>
      <c r="FN13" t="e">
        <f>AND(#REF!,"AAAAAC/tzKk=")</f>
        <v>#REF!</v>
      </c>
      <c r="FO13" t="e">
        <f>AND(#REF!,"AAAAAC/tzKo=")</f>
        <v>#REF!</v>
      </c>
      <c r="FP13" t="e">
        <f>AND(#REF!,"AAAAAC/tzKs=")</f>
        <v>#REF!</v>
      </c>
      <c r="FQ13" t="e">
        <f>AND(#REF!,"AAAAAC/tzKw=")</f>
        <v>#REF!</v>
      </c>
      <c r="FR13" t="e">
        <f>AND(#REF!,"AAAAAC/tzK0=")</f>
        <v>#REF!</v>
      </c>
      <c r="FS13" t="e">
        <f>AND(#REF!,"AAAAAC/tzK4=")</f>
        <v>#REF!</v>
      </c>
      <c r="FT13" t="e">
        <f>AND(#REF!,"AAAAAC/tzK8=")</f>
        <v>#REF!</v>
      </c>
      <c r="FU13" t="e">
        <f>AND(#REF!,"AAAAAC/tzLA=")</f>
        <v>#REF!</v>
      </c>
      <c r="FV13" t="e">
        <f>AND(#REF!,"AAAAAC/tzLE=")</f>
        <v>#REF!</v>
      </c>
      <c r="FW13" t="e">
        <f>IF(#REF!,"AAAAAC/tzLI=",0)</f>
        <v>#REF!</v>
      </c>
      <c r="FX13" t="e">
        <f>AND(#REF!,"AAAAAC/tzLM=")</f>
        <v>#REF!</v>
      </c>
      <c r="FY13" t="e">
        <f>AND(#REF!,"AAAAAC/tzLQ=")</f>
        <v>#REF!</v>
      </c>
      <c r="FZ13" t="e">
        <f>AND(#REF!,"AAAAAC/tzLU=")</f>
        <v>#REF!</v>
      </c>
      <c r="GA13" t="e">
        <f>AND(#REF!,"AAAAAC/tzLY=")</f>
        <v>#REF!</v>
      </c>
      <c r="GB13" t="e">
        <f>AND(#REF!,"AAAAAC/tzLc=")</f>
        <v>#REF!</v>
      </c>
      <c r="GC13" t="e">
        <f>AND(#REF!,"AAAAAC/tzLg=")</f>
        <v>#REF!</v>
      </c>
      <c r="GD13" t="e">
        <f>AND(#REF!,"AAAAAC/tzLk=")</f>
        <v>#REF!</v>
      </c>
      <c r="GE13" t="e">
        <f>AND(#REF!,"AAAAAC/tzLo=")</f>
        <v>#REF!</v>
      </c>
      <c r="GF13" t="e">
        <f>AND(#REF!,"AAAAAC/tzLs=")</f>
        <v>#REF!</v>
      </c>
      <c r="GG13" t="e">
        <f>AND(#REF!,"AAAAAC/tzLw=")</f>
        <v>#REF!</v>
      </c>
      <c r="GH13" t="e">
        <f>AND(#REF!,"AAAAAC/tzL0=")</f>
        <v>#REF!</v>
      </c>
      <c r="GI13" t="e">
        <f>AND(#REF!,"AAAAAC/tzL4=")</f>
        <v>#REF!</v>
      </c>
      <c r="GJ13" t="e">
        <f>AND(#REF!,"AAAAAC/tzL8=")</f>
        <v>#REF!</v>
      </c>
      <c r="GK13" t="e">
        <f>AND(#REF!,"AAAAAC/tzMA=")</f>
        <v>#REF!</v>
      </c>
      <c r="GL13" t="e">
        <f>AND(#REF!,"AAAAAC/tzME=")</f>
        <v>#REF!</v>
      </c>
      <c r="GM13" t="e">
        <f>AND(#REF!,"AAAAAC/tzMI=")</f>
        <v>#REF!</v>
      </c>
      <c r="GN13" t="e">
        <f>AND(#REF!,"AAAAAC/tzMM=")</f>
        <v>#REF!</v>
      </c>
      <c r="GO13" t="e">
        <f>AND(#REF!,"AAAAAC/tzMQ=")</f>
        <v>#REF!</v>
      </c>
      <c r="GP13" t="e">
        <f>AND(#REF!,"AAAAAC/tzMU=")</f>
        <v>#REF!</v>
      </c>
      <c r="GQ13" t="e">
        <f>AND(#REF!,"AAAAAC/tzMY=")</f>
        <v>#REF!</v>
      </c>
      <c r="GR13" t="e">
        <f>AND(#REF!,"AAAAAC/tzMc=")</f>
        <v>#REF!</v>
      </c>
      <c r="GS13" t="e">
        <f>AND(#REF!,"AAAAAC/tzMg=")</f>
        <v>#REF!</v>
      </c>
      <c r="GT13" t="e">
        <f>AND(#REF!,"AAAAAC/tzMk=")</f>
        <v>#REF!</v>
      </c>
      <c r="GU13" t="e">
        <f>AND(#REF!,"AAAAAC/tzMo=")</f>
        <v>#REF!</v>
      </c>
      <c r="GV13" t="e">
        <f>AND(#REF!,"AAAAAC/tzMs=")</f>
        <v>#REF!</v>
      </c>
      <c r="GW13" t="e">
        <f>AND(#REF!,"AAAAAC/tzMw=")</f>
        <v>#REF!</v>
      </c>
      <c r="GX13" t="e">
        <f>AND(#REF!,"AAAAAC/tzM0=")</f>
        <v>#REF!</v>
      </c>
      <c r="GY13" t="e">
        <f>AND(#REF!,"AAAAAC/tzM4=")</f>
        <v>#REF!</v>
      </c>
      <c r="GZ13" t="e">
        <f>AND(#REF!,"AAAAAC/tzM8=")</f>
        <v>#REF!</v>
      </c>
      <c r="HA13" t="e">
        <f>AND(#REF!,"AAAAAC/tzNA=")</f>
        <v>#REF!</v>
      </c>
      <c r="HB13" t="e">
        <f>AND(#REF!,"AAAAAC/tzNE=")</f>
        <v>#REF!</v>
      </c>
      <c r="HC13" t="e">
        <f>AND(#REF!,"AAAAAC/tzNI=")</f>
        <v>#REF!</v>
      </c>
      <c r="HD13" t="e">
        <f>AND(#REF!,"AAAAAC/tzNM=")</f>
        <v>#REF!</v>
      </c>
      <c r="HE13" t="e">
        <f>AND(#REF!,"AAAAAC/tzNQ=")</f>
        <v>#REF!</v>
      </c>
      <c r="HF13" t="e">
        <f>AND(#REF!,"AAAAAC/tzNU=")</f>
        <v>#REF!</v>
      </c>
      <c r="HG13" t="e">
        <f>AND(#REF!,"AAAAAC/tzNY=")</f>
        <v>#REF!</v>
      </c>
      <c r="HH13" t="e">
        <f>AND(#REF!,"AAAAAC/tzNc=")</f>
        <v>#REF!</v>
      </c>
      <c r="HI13" t="e">
        <f>AND(#REF!,"AAAAAC/tzNg=")</f>
        <v>#REF!</v>
      </c>
      <c r="HJ13" t="e">
        <f>AND(#REF!,"AAAAAC/tzNk=")</f>
        <v>#REF!</v>
      </c>
      <c r="HK13" t="e">
        <f>AND(#REF!,"AAAAAC/tzNo=")</f>
        <v>#REF!</v>
      </c>
      <c r="HL13" t="e">
        <f>AND(#REF!,"AAAAAC/tzNs=")</f>
        <v>#REF!</v>
      </c>
      <c r="HM13" t="e">
        <f>AND(#REF!,"AAAAAC/tzNw=")</f>
        <v>#REF!</v>
      </c>
      <c r="HN13" t="e">
        <f>AND(#REF!,"AAAAAC/tzN0=")</f>
        <v>#REF!</v>
      </c>
      <c r="HO13" t="e">
        <f>AND(#REF!,"AAAAAC/tzN4=")</f>
        <v>#REF!</v>
      </c>
      <c r="HP13" t="e">
        <f>AND(#REF!,"AAAAAC/tzN8=")</f>
        <v>#REF!</v>
      </c>
      <c r="HQ13" t="e">
        <f>AND(#REF!,"AAAAAC/tzOA=")</f>
        <v>#REF!</v>
      </c>
      <c r="HR13" t="e">
        <f>AND(#REF!,"AAAAAC/tzOE=")</f>
        <v>#REF!</v>
      </c>
      <c r="HS13" t="e">
        <f>AND(#REF!,"AAAAAC/tzOI=")</f>
        <v>#REF!</v>
      </c>
      <c r="HT13" t="e">
        <f>AND(#REF!,"AAAAAC/tzOM=")</f>
        <v>#REF!</v>
      </c>
      <c r="HU13" t="e">
        <f>AND(#REF!,"AAAAAC/tzOQ=")</f>
        <v>#REF!</v>
      </c>
      <c r="HV13" t="e">
        <f>AND(#REF!,"AAAAAC/tzOU=")</f>
        <v>#REF!</v>
      </c>
      <c r="HW13" t="e">
        <f>AND(#REF!,"AAAAAC/tzOY=")</f>
        <v>#REF!</v>
      </c>
      <c r="HX13" t="e">
        <f>AND(#REF!,"AAAAAC/tzOc=")</f>
        <v>#REF!</v>
      </c>
      <c r="HY13" t="e">
        <f>AND(#REF!,"AAAAAC/tzOg=")</f>
        <v>#REF!</v>
      </c>
      <c r="HZ13" t="e">
        <f>AND(#REF!,"AAAAAC/tzOk=")</f>
        <v>#REF!</v>
      </c>
      <c r="IA13" t="e">
        <f>AND(#REF!,"AAAAAC/tzOo=")</f>
        <v>#REF!</v>
      </c>
      <c r="IB13" t="e">
        <f>AND(#REF!,"AAAAAC/tzOs=")</f>
        <v>#REF!</v>
      </c>
      <c r="IC13" t="e">
        <f>AND(#REF!,"AAAAAC/tzOw=")</f>
        <v>#REF!</v>
      </c>
      <c r="ID13" t="e">
        <f>AND(#REF!,"AAAAAC/tzO0=")</f>
        <v>#REF!</v>
      </c>
      <c r="IE13" t="e">
        <f>AND(#REF!,"AAAAAC/tzO4=")</f>
        <v>#REF!</v>
      </c>
      <c r="IF13" t="e">
        <f>AND(#REF!,"AAAAAC/tzO8=")</f>
        <v>#REF!</v>
      </c>
      <c r="IG13" t="e">
        <f>AND(#REF!,"AAAAAC/tzPA=")</f>
        <v>#REF!</v>
      </c>
      <c r="IH13" t="e">
        <f>AND(#REF!,"AAAAAC/tzPE=")</f>
        <v>#REF!</v>
      </c>
      <c r="II13" t="e">
        <f>AND(#REF!,"AAAAAC/tzPI=")</f>
        <v>#REF!</v>
      </c>
      <c r="IJ13" t="e">
        <f>AND(#REF!,"AAAAAC/tzPM=")</f>
        <v>#REF!</v>
      </c>
      <c r="IK13" t="e">
        <f>AND(#REF!,"AAAAAC/tzPQ=")</f>
        <v>#REF!</v>
      </c>
      <c r="IL13" t="e">
        <f>AND(#REF!,"AAAAAC/tzPU=")</f>
        <v>#REF!</v>
      </c>
      <c r="IM13" t="e">
        <f>AND(#REF!,"AAAAAC/tzPY=")</f>
        <v>#REF!</v>
      </c>
      <c r="IN13" t="e">
        <f>AND(#REF!,"AAAAAC/tzPc=")</f>
        <v>#REF!</v>
      </c>
      <c r="IO13" t="e">
        <f>AND(#REF!,"AAAAAC/tzPg=")</f>
        <v>#REF!</v>
      </c>
      <c r="IP13" t="e">
        <f>AND(#REF!,"AAAAAC/tzPk=")</f>
        <v>#REF!</v>
      </c>
      <c r="IQ13" t="e">
        <f>AND(#REF!,"AAAAAC/tzPo=")</f>
        <v>#REF!</v>
      </c>
      <c r="IR13" t="e">
        <f>AND(#REF!,"AAAAAC/tzPs=")</f>
        <v>#REF!</v>
      </c>
      <c r="IS13" t="e">
        <f>AND(#REF!,"AAAAAC/tzPw=")</f>
        <v>#REF!</v>
      </c>
      <c r="IT13" t="e">
        <f>AND(#REF!,"AAAAAC/tzP0=")</f>
        <v>#REF!</v>
      </c>
      <c r="IU13" t="e">
        <f>AND(#REF!,"AAAAAC/tzP4=")</f>
        <v>#REF!</v>
      </c>
      <c r="IV13" t="e">
        <f>AND(#REF!,"AAAAAC/tzP8=")</f>
        <v>#REF!</v>
      </c>
    </row>
    <row r="14" spans="1:256" x14ac:dyDescent="0.25">
      <c r="A14" t="e">
        <f>AND(#REF!,"AAAAAH/bfQA=")</f>
        <v>#REF!</v>
      </c>
      <c r="B14" t="e">
        <f>AND(#REF!,"AAAAAH/bfQE=")</f>
        <v>#REF!</v>
      </c>
      <c r="C14" t="e">
        <f>AND(#REF!,"AAAAAH/bfQI=")</f>
        <v>#REF!</v>
      </c>
      <c r="D14" t="e">
        <f>AND(#REF!,"AAAAAH/bfQM=")</f>
        <v>#REF!</v>
      </c>
      <c r="E14" t="e">
        <f>AND(#REF!,"AAAAAH/bfQQ=")</f>
        <v>#REF!</v>
      </c>
      <c r="F14" t="e">
        <f>AND(#REF!,"AAAAAH/bfQU=")</f>
        <v>#REF!</v>
      </c>
      <c r="G14" t="e">
        <f>AND(#REF!,"AAAAAH/bfQY=")</f>
        <v>#REF!</v>
      </c>
      <c r="H14" t="e">
        <f>AND(#REF!,"AAAAAH/bfQc=")</f>
        <v>#REF!</v>
      </c>
      <c r="I14" t="e">
        <f>AND(#REF!,"AAAAAH/bfQg=")</f>
        <v>#REF!</v>
      </c>
      <c r="J14" t="e">
        <f>AND(#REF!,"AAAAAH/bfQk=")</f>
        <v>#REF!</v>
      </c>
      <c r="K14" t="e">
        <f>AND(#REF!,"AAAAAH/bfQo=")</f>
        <v>#REF!</v>
      </c>
      <c r="L14" t="e">
        <f>AND(#REF!,"AAAAAH/bfQs=")</f>
        <v>#REF!</v>
      </c>
      <c r="M14" t="e">
        <f>AND(#REF!,"AAAAAH/bfQw=")</f>
        <v>#REF!</v>
      </c>
      <c r="N14" t="e">
        <f>AND(#REF!,"AAAAAH/bfQ0=")</f>
        <v>#REF!</v>
      </c>
      <c r="O14" t="e">
        <f>AND(#REF!,"AAAAAH/bfQ4=")</f>
        <v>#REF!</v>
      </c>
      <c r="P14" t="e">
        <f>AND(#REF!,"AAAAAH/bfQ8=")</f>
        <v>#REF!</v>
      </c>
      <c r="Q14" t="e">
        <f>AND(#REF!,"AAAAAH/bfRA=")</f>
        <v>#REF!</v>
      </c>
      <c r="R14" t="e">
        <f>AND(#REF!,"AAAAAH/bfRE=")</f>
        <v>#REF!</v>
      </c>
      <c r="S14" t="e">
        <f>AND(#REF!,"AAAAAH/bfRI=")</f>
        <v>#REF!</v>
      </c>
      <c r="T14" t="e">
        <f>AND(#REF!,"AAAAAH/bfRM=")</f>
        <v>#REF!</v>
      </c>
      <c r="U14" t="e">
        <f>AND(#REF!,"AAAAAH/bfRQ=")</f>
        <v>#REF!</v>
      </c>
      <c r="V14" t="e">
        <f>AND(#REF!,"AAAAAH/bfRU=")</f>
        <v>#REF!</v>
      </c>
      <c r="W14" t="e">
        <f>AND(#REF!,"AAAAAH/bfRY=")</f>
        <v>#REF!</v>
      </c>
      <c r="X14" t="e">
        <f>AND(#REF!,"AAAAAH/bfRc=")</f>
        <v>#REF!</v>
      </c>
      <c r="Y14" t="e">
        <f>AND(#REF!,"AAAAAH/bfRg=")</f>
        <v>#REF!</v>
      </c>
      <c r="Z14" t="e">
        <f>AND(#REF!,"AAAAAH/bfRk=")</f>
        <v>#REF!</v>
      </c>
      <c r="AA14" t="e">
        <f>AND(#REF!,"AAAAAH/bfRo=")</f>
        <v>#REF!</v>
      </c>
      <c r="AB14" t="e">
        <f>AND(#REF!,"AAAAAH/bfRs=")</f>
        <v>#REF!</v>
      </c>
      <c r="AC14" t="e">
        <f>AND(#REF!,"AAAAAH/bfRw=")</f>
        <v>#REF!</v>
      </c>
      <c r="AD14" t="e">
        <f>AND(#REF!,"AAAAAH/bfR0=")</f>
        <v>#REF!</v>
      </c>
      <c r="AE14" t="e">
        <f>AND(#REF!,"AAAAAH/bfR4=")</f>
        <v>#REF!</v>
      </c>
      <c r="AF14" t="e">
        <f>AND(#REF!,"AAAAAH/bfR8=")</f>
        <v>#REF!</v>
      </c>
      <c r="AG14" t="e">
        <f>AND(#REF!,"AAAAAH/bfSA=")</f>
        <v>#REF!</v>
      </c>
      <c r="AH14" t="e">
        <f>AND(#REF!,"AAAAAH/bfSE=")</f>
        <v>#REF!</v>
      </c>
      <c r="AI14" t="e">
        <f>AND(#REF!,"AAAAAH/bfSI=")</f>
        <v>#REF!</v>
      </c>
      <c r="AJ14" t="e">
        <f>AND(#REF!,"AAAAAH/bfSM=")</f>
        <v>#REF!</v>
      </c>
      <c r="AK14" t="e">
        <f>AND(#REF!,"AAAAAH/bfSQ=")</f>
        <v>#REF!</v>
      </c>
      <c r="AL14" t="e">
        <f>AND(#REF!,"AAAAAH/bfSU=")</f>
        <v>#REF!</v>
      </c>
      <c r="AM14" t="e">
        <f>AND(#REF!,"AAAAAH/bfSY=")</f>
        <v>#REF!</v>
      </c>
      <c r="AN14" t="e">
        <f>AND(#REF!,"AAAAAH/bfSc=")</f>
        <v>#REF!</v>
      </c>
      <c r="AO14" t="e">
        <f>AND(#REF!,"AAAAAH/bfSg=")</f>
        <v>#REF!</v>
      </c>
      <c r="AP14" t="e">
        <f>AND(#REF!,"AAAAAH/bfSk=")</f>
        <v>#REF!</v>
      </c>
      <c r="AQ14" t="e">
        <f>AND(#REF!,"AAAAAH/bfSo=")</f>
        <v>#REF!</v>
      </c>
      <c r="AR14" t="e">
        <f>AND(#REF!,"AAAAAH/bfSs=")</f>
        <v>#REF!</v>
      </c>
      <c r="AS14" t="e">
        <f>AND(#REF!,"AAAAAH/bfSw=")</f>
        <v>#REF!</v>
      </c>
      <c r="AT14" t="e">
        <f>AND(#REF!,"AAAAAH/bfS0=")</f>
        <v>#REF!</v>
      </c>
      <c r="AU14" t="e">
        <f>AND(#REF!,"AAAAAH/bfS4=")</f>
        <v>#REF!</v>
      </c>
      <c r="AV14" t="e">
        <f>AND(#REF!,"AAAAAH/bfS8=")</f>
        <v>#REF!</v>
      </c>
      <c r="AW14" t="e">
        <f>AND(#REF!,"AAAAAH/bfTA=")</f>
        <v>#REF!</v>
      </c>
      <c r="AX14" t="e">
        <f>AND(#REF!,"AAAAAH/bfTE=")</f>
        <v>#REF!</v>
      </c>
      <c r="AY14" t="e">
        <f>AND(#REF!,"AAAAAH/bfTI=")</f>
        <v>#REF!</v>
      </c>
      <c r="AZ14" t="e">
        <f>AND(#REF!,"AAAAAH/bfTM=")</f>
        <v>#REF!</v>
      </c>
      <c r="BA14" t="e">
        <f>AND(#REF!,"AAAAAH/bfTQ=")</f>
        <v>#REF!</v>
      </c>
      <c r="BB14" t="e">
        <f>AND(#REF!,"AAAAAH/bfTU=")</f>
        <v>#REF!</v>
      </c>
      <c r="BC14" t="e">
        <f>AND(#REF!,"AAAAAH/bfTY=")</f>
        <v>#REF!</v>
      </c>
      <c r="BD14" t="e">
        <f>AND(#REF!,"AAAAAH/bfTc=")</f>
        <v>#REF!</v>
      </c>
      <c r="BE14" t="e">
        <f>AND(#REF!,"AAAAAH/bfTg=")</f>
        <v>#REF!</v>
      </c>
      <c r="BF14" t="e">
        <f>AND(#REF!,"AAAAAH/bfTk=")</f>
        <v>#REF!</v>
      </c>
      <c r="BG14" t="e">
        <f>AND(#REF!,"AAAAAH/bfTo=")</f>
        <v>#REF!</v>
      </c>
      <c r="BH14" t="e">
        <f>AND(#REF!,"AAAAAH/bfTs=")</f>
        <v>#REF!</v>
      </c>
      <c r="BI14" t="e">
        <f>AND(#REF!,"AAAAAH/bfTw=")</f>
        <v>#REF!</v>
      </c>
      <c r="BJ14" t="e">
        <f>AND(#REF!,"AAAAAH/bfT0=")</f>
        <v>#REF!</v>
      </c>
      <c r="BK14" t="e">
        <f>AND(#REF!,"AAAAAH/bfT4=")</f>
        <v>#REF!</v>
      </c>
      <c r="BL14" t="e">
        <f>AND(#REF!,"AAAAAH/bfT8=")</f>
        <v>#REF!</v>
      </c>
      <c r="BM14" t="e">
        <f>AND(#REF!,"AAAAAH/bfUA=")</f>
        <v>#REF!</v>
      </c>
      <c r="BN14" t="e">
        <f>AND(#REF!,"AAAAAH/bfUE=")</f>
        <v>#REF!</v>
      </c>
      <c r="BO14" t="e">
        <f>AND(#REF!,"AAAAAH/bfUI=")</f>
        <v>#REF!</v>
      </c>
      <c r="BP14" t="e">
        <f>AND(#REF!,"AAAAAH/bfUM=")</f>
        <v>#REF!</v>
      </c>
      <c r="BQ14" t="e">
        <f>AND(#REF!,"AAAAAH/bfUQ=")</f>
        <v>#REF!</v>
      </c>
      <c r="BR14" t="e">
        <f>AND(#REF!,"AAAAAH/bfUU=")</f>
        <v>#REF!</v>
      </c>
      <c r="BS14" t="e">
        <f>AND(#REF!,"AAAAAH/bfUY=")</f>
        <v>#REF!</v>
      </c>
      <c r="BT14" t="e">
        <f>AND(#REF!,"AAAAAH/bfUc=")</f>
        <v>#REF!</v>
      </c>
      <c r="BU14" t="e">
        <f>AND(#REF!,"AAAAAH/bfUg=")</f>
        <v>#REF!</v>
      </c>
      <c r="BV14" t="e">
        <f>AND(#REF!,"AAAAAH/bfUk=")</f>
        <v>#REF!</v>
      </c>
      <c r="BW14" t="e">
        <f>AND(#REF!,"AAAAAH/bfUo=")</f>
        <v>#REF!</v>
      </c>
      <c r="BX14" t="e">
        <f>AND(#REF!,"AAAAAH/bfUs=")</f>
        <v>#REF!</v>
      </c>
      <c r="BY14" t="e">
        <f>AND(#REF!,"AAAAAH/bfUw=")</f>
        <v>#REF!</v>
      </c>
      <c r="BZ14" t="e">
        <f>AND(#REF!,"AAAAAH/bfU0=")</f>
        <v>#REF!</v>
      </c>
      <c r="CA14" t="e">
        <f>AND(#REF!,"AAAAAH/bfU4=")</f>
        <v>#REF!</v>
      </c>
      <c r="CB14" t="e">
        <f>AND(#REF!,"AAAAAH/bfU8=")</f>
        <v>#REF!</v>
      </c>
      <c r="CC14" t="e">
        <f>AND(#REF!,"AAAAAH/bfVA=")</f>
        <v>#REF!</v>
      </c>
      <c r="CD14" t="e">
        <f>AND(#REF!,"AAAAAH/bfVE=")</f>
        <v>#REF!</v>
      </c>
      <c r="CE14" t="e">
        <f>AND(#REF!,"AAAAAH/bfVI=")</f>
        <v>#REF!</v>
      </c>
      <c r="CF14" t="e">
        <f>AND(#REF!,"AAAAAH/bfVM=")</f>
        <v>#REF!</v>
      </c>
      <c r="CG14" t="e">
        <f>AND(#REF!,"AAAAAH/bfVQ=")</f>
        <v>#REF!</v>
      </c>
      <c r="CH14" t="e">
        <f>AND(#REF!,"AAAAAH/bfVU=")</f>
        <v>#REF!</v>
      </c>
      <c r="CI14" t="e">
        <f>AND(#REF!,"AAAAAH/bfVY=")</f>
        <v>#REF!</v>
      </c>
      <c r="CJ14" t="e">
        <f>AND(#REF!,"AAAAAH/bfVc=")</f>
        <v>#REF!</v>
      </c>
      <c r="CK14" t="e">
        <f>AND(#REF!,"AAAAAH/bfVg=")</f>
        <v>#REF!</v>
      </c>
      <c r="CL14" t="e">
        <f>AND(#REF!,"AAAAAH/bfVk=")</f>
        <v>#REF!</v>
      </c>
      <c r="CM14" t="e">
        <f>AND(#REF!,"AAAAAH/bfVo=")</f>
        <v>#REF!</v>
      </c>
      <c r="CN14" t="e">
        <f>AND(#REF!,"AAAAAH/bfVs=")</f>
        <v>#REF!</v>
      </c>
      <c r="CO14" t="e">
        <f>AND(#REF!,"AAAAAH/bfVw=")</f>
        <v>#REF!</v>
      </c>
      <c r="CP14" t="e">
        <f>AND(#REF!,"AAAAAH/bfV0=")</f>
        <v>#REF!</v>
      </c>
      <c r="CQ14" t="e">
        <f>AND(#REF!,"AAAAAH/bfV4=")</f>
        <v>#REF!</v>
      </c>
      <c r="CR14" t="e">
        <f>AND(#REF!,"AAAAAH/bfV8=")</f>
        <v>#REF!</v>
      </c>
      <c r="CS14" t="e">
        <f>AND(#REF!,"AAAAAH/bfWA=")</f>
        <v>#REF!</v>
      </c>
      <c r="CT14" t="e">
        <f>AND(#REF!,"AAAAAH/bfWE=")</f>
        <v>#REF!</v>
      </c>
      <c r="CU14" t="e">
        <f>AND(#REF!,"AAAAAH/bfWI=")</f>
        <v>#REF!</v>
      </c>
      <c r="CV14" t="e">
        <f>AND(#REF!,"AAAAAH/bfWM=")</f>
        <v>#REF!</v>
      </c>
      <c r="CW14" t="e">
        <f>AND(#REF!,"AAAAAH/bfWQ=")</f>
        <v>#REF!</v>
      </c>
      <c r="CX14" t="e">
        <f>AND(#REF!,"AAAAAH/bfWU=")</f>
        <v>#REF!</v>
      </c>
      <c r="CY14" t="e">
        <f>AND(#REF!,"AAAAAH/bfWY=")</f>
        <v>#REF!</v>
      </c>
      <c r="CZ14" t="e">
        <f>AND(#REF!,"AAAAAH/bfWc=")</f>
        <v>#REF!</v>
      </c>
      <c r="DA14" t="e">
        <f>AND(#REF!,"AAAAAH/bfWg=")</f>
        <v>#REF!</v>
      </c>
      <c r="DB14" t="e">
        <f>AND(#REF!,"AAAAAH/bfWk=")</f>
        <v>#REF!</v>
      </c>
      <c r="DC14" t="e">
        <f>AND(#REF!,"AAAAAH/bfWo=")</f>
        <v>#REF!</v>
      </c>
      <c r="DD14" t="e">
        <f>AND(#REF!,"AAAAAH/bfWs=")</f>
        <v>#REF!</v>
      </c>
      <c r="DE14" t="e">
        <f>AND(#REF!,"AAAAAH/bfWw=")</f>
        <v>#REF!</v>
      </c>
      <c r="DF14" t="e">
        <f>AND(#REF!,"AAAAAH/bfW0=")</f>
        <v>#REF!</v>
      </c>
      <c r="DG14" t="e">
        <f>AND(#REF!,"AAAAAH/bfW4=")</f>
        <v>#REF!</v>
      </c>
      <c r="DH14" t="e">
        <f>IF(#REF!,"AAAAAH/bfW8=",0)</f>
        <v>#REF!</v>
      </c>
      <c r="DI14" t="e">
        <f>AND(#REF!,"AAAAAH/bfXA=")</f>
        <v>#REF!</v>
      </c>
      <c r="DJ14" t="e">
        <f>AND(#REF!,"AAAAAH/bfXE=")</f>
        <v>#REF!</v>
      </c>
      <c r="DK14" t="e">
        <f>AND(#REF!,"AAAAAH/bfXI=")</f>
        <v>#REF!</v>
      </c>
      <c r="DL14" t="e">
        <f>AND(#REF!,"AAAAAH/bfXM=")</f>
        <v>#REF!</v>
      </c>
      <c r="DM14" t="e">
        <f>AND(#REF!,"AAAAAH/bfXQ=")</f>
        <v>#REF!</v>
      </c>
      <c r="DN14" t="e">
        <f>AND(#REF!,"AAAAAH/bfXU=")</f>
        <v>#REF!</v>
      </c>
      <c r="DO14" t="e">
        <f>AND(#REF!,"AAAAAH/bfXY=")</f>
        <v>#REF!</v>
      </c>
      <c r="DP14" t="e">
        <f>AND(#REF!,"AAAAAH/bfXc=")</f>
        <v>#REF!</v>
      </c>
      <c r="DQ14" t="e">
        <f>AND(#REF!,"AAAAAH/bfXg=")</f>
        <v>#REF!</v>
      </c>
      <c r="DR14" t="e">
        <f>AND(#REF!,"AAAAAH/bfXk=")</f>
        <v>#REF!</v>
      </c>
      <c r="DS14" t="e">
        <f>AND(#REF!,"AAAAAH/bfXo=")</f>
        <v>#REF!</v>
      </c>
      <c r="DT14" t="e">
        <f>AND(#REF!,"AAAAAH/bfXs=")</f>
        <v>#REF!</v>
      </c>
      <c r="DU14" t="e">
        <f>AND(#REF!,"AAAAAH/bfXw=")</f>
        <v>#REF!</v>
      </c>
      <c r="DV14" t="e">
        <f>AND(#REF!,"AAAAAH/bfX0=")</f>
        <v>#REF!</v>
      </c>
      <c r="DW14" t="e">
        <f>AND(#REF!,"AAAAAH/bfX4=")</f>
        <v>#REF!</v>
      </c>
      <c r="DX14" t="e">
        <f>AND(#REF!,"AAAAAH/bfX8=")</f>
        <v>#REF!</v>
      </c>
      <c r="DY14" t="e">
        <f>AND(#REF!,"AAAAAH/bfYA=")</f>
        <v>#REF!</v>
      </c>
      <c r="DZ14" t="e">
        <f>AND(#REF!,"AAAAAH/bfYE=")</f>
        <v>#REF!</v>
      </c>
      <c r="EA14" t="e">
        <f>AND(#REF!,"AAAAAH/bfYI=")</f>
        <v>#REF!</v>
      </c>
      <c r="EB14" t="e">
        <f>AND(#REF!,"AAAAAH/bfYM=")</f>
        <v>#REF!</v>
      </c>
      <c r="EC14" t="e">
        <f>AND(#REF!,"AAAAAH/bfYQ=")</f>
        <v>#REF!</v>
      </c>
      <c r="ED14" t="e">
        <f>AND(#REF!,"AAAAAH/bfYU=")</f>
        <v>#REF!</v>
      </c>
      <c r="EE14" t="e">
        <f>AND(#REF!,"AAAAAH/bfYY=")</f>
        <v>#REF!</v>
      </c>
      <c r="EF14" t="e">
        <f>AND(#REF!,"AAAAAH/bfYc=")</f>
        <v>#REF!</v>
      </c>
      <c r="EG14" t="e">
        <f>AND(#REF!,"AAAAAH/bfYg=")</f>
        <v>#REF!</v>
      </c>
      <c r="EH14" t="e">
        <f>AND(#REF!,"AAAAAH/bfYk=")</f>
        <v>#REF!</v>
      </c>
      <c r="EI14" t="e">
        <f>AND(#REF!,"AAAAAH/bfYo=")</f>
        <v>#REF!</v>
      </c>
      <c r="EJ14" t="e">
        <f>AND(#REF!,"AAAAAH/bfYs=")</f>
        <v>#REF!</v>
      </c>
      <c r="EK14" t="e">
        <f>AND(#REF!,"AAAAAH/bfYw=")</f>
        <v>#REF!</v>
      </c>
      <c r="EL14" t="e">
        <f>AND(#REF!,"AAAAAH/bfY0=")</f>
        <v>#REF!</v>
      </c>
      <c r="EM14" t="e">
        <f>AND(#REF!,"AAAAAH/bfY4=")</f>
        <v>#REF!</v>
      </c>
      <c r="EN14" t="e">
        <f>AND(#REF!,"AAAAAH/bfY8=")</f>
        <v>#REF!</v>
      </c>
      <c r="EO14" t="e">
        <f>AND(#REF!,"AAAAAH/bfZA=")</f>
        <v>#REF!</v>
      </c>
      <c r="EP14" t="e">
        <f>AND(#REF!,"AAAAAH/bfZE=")</f>
        <v>#REF!</v>
      </c>
      <c r="EQ14" t="e">
        <f>AND(#REF!,"AAAAAH/bfZI=")</f>
        <v>#REF!</v>
      </c>
      <c r="ER14" t="e">
        <f>AND(#REF!,"AAAAAH/bfZM=")</f>
        <v>#REF!</v>
      </c>
      <c r="ES14" t="e">
        <f>AND(#REF!,"AAAAAH/bfZQ=")</f>
        <v>#REF!</v>
      </c>
      <c r="ET14" t="e">
        <f>AND(#REF!,"AAAAAH/bfZU=")</f>
        <v>#REF!</v>
      </c>
      <c r="EU14" t="e">
        <f>AND(#REF!,"AAAAAH/bfZY=")</f>
        <v>#REF!</v>
      </c>
      <c r="EV14" t="e">
        <f>AND(#REF!,"AAAAAH/bfZc=")</f>
        <v>#REF!</v>
      </c>
      <c r="EW14" t="e">
        <f>AND(#REF!,"AAAAAH/bfZg=")</f>
        <v>#REF!</v>
      </c>
      <c r="EX14" t="e">
        <f>AND(#REF!,"AAAAAH/bfZk=")</f>
        <v>#REF!</v>
      </c>
      <c r="EY14" t="e">
        <f>AND(#REF!,"AAAAAH/bfZo=")</f>
        <v>#REF!</v>
      </c>
      <c r="EZ14" t="e">
        <f>AND(#REF!,"AAAAAH/bfZs=")</f>
        <v>#REF!</v>
      </c>
      <c r="FA14" t="e">
        <f>AND(#REF!,"AAAAAH/bfZw=")</f>
        <v>#REF!</v>
      </c>
      <c r="FB14" t="e">
        <f>AND(#REF!,"AAAAAH/bfZ0=")</f>
        <v>#REF!</v>
      </c>
      <c r="FC14" t="e">
        <f>AND(#REF!,"AAAAAH/bfZ4=")</f>
        <v>#REF!</v>
      </c>
      <c r="FD14" t="e">
        <f>AND(#REF!,"AAAAAH/bfZ8=")</f>
        <v>#REF!</v>
      </c>
      <c r="FE14" t="e">
        <f>AND(#REF!,"AAAAAH/bfaA=")</f>
        <v>#REF!</v>
      </c>
      <c r="FF14" t="e">
        <f>AND(#REF!,"AAAAAH/bfaE=")</f>
        <v>#REF!</v>
      </c>
      <c r="FG14" t="e">
        <f>AND(#REF!,"AAAAAH/bfaI=")</f>
        <v>#REF!</v>
      </c>
      <c r="FH14" t="e">
        <f>AND(#REF!,"AAAAAH/bfaM=")</f>
        <v>#REF!</v>
      </c>
      <c r="FI14" t="e">
        <f>AND(#REF!,"AAAAAH/bfaQ=")</f>
        <v>#REF!</v>
      </c>
      <c r="FJ14" t="e">
        <f>AND(#REF!,"AAAAAH/bfaU=")</f>
        <v>#REF!</v>
      </c>
      <c r="FK14" t="e">
        <f>AND(#REF!,"AAAAAH/bfaY=")</f>
        <v>#REF!</v>
      </c>
      <c r="FL14" t="e">
        <f>AND(#REF!,"AAAAAH/bfac=")</f>
        <v>#REF!</v>
      </c>
      <c r="FM14" t="e">
        <f>AND(#REF!,"AAAAAH/bfag=")</f>
        <v>#REF!</v>
      </c>
      <c r="FN14" t="e">
        <f>AND(#REF!,"AAAAAH/bfak=")</f>
        <v>#REF!</v>
      </c>
      <c r="FO14" t="e">
        <f>AND(#REF!,"AAAAAH/bfao=")</f>
        <v>#REF!</v>
      </c>
      <c r="FP14" t="e">
        <f>AND(#REF!,"AAAAAH/bfas=")</f>
        <v>#REF!</v>
      </c>
      <c r="FQ14" t="e">
        <f>AND(#REF!,"AAAAAH/bfaw=")</f>
        <v>#REF!</v>
      </c>
      <c r="FR14" t="e">
        <f>AND(#REF!,"AAAAAH/bfa0=")</f>
        <v>#REF!</v>
      </c>
      <c r="FS14" t="e">
        <f>AND(#REF!,"AAAAAH/bfa4=")</f>
        <v>#REF!</v>
      </c>
      <c r="FT14" t="e">
        <f>AND(#REF!,"AAAAAH/bfa8=")</f>
        <v>#REF!</v>
      </c>
      <c r="FU14" t="e">
        <f>AND(#REF!,"AAAAAH/bfbA=")</f>
        <v>#REF!</v>
      </c>
      <c r="FV14" t="e">
        <f>AND(#REF!,"AAAAAH/bfbE=")</f>
        <v>#REF!</v>
      </c>
      <c r="FW14" t="e">
        <f>AND(#REF!,"AAAAAH/bfbI=")</f>
        <v>#REF!</v>
      </c>
      <c r="FX14" t="e">
        <f>AND(#REF!,"AAAAAH/bfbM=")</f>
        <v>#REF!</v>
      </c>
      <c r="FY14" t="e">
        <f>AND(#REF!,"AAAAAH/bfbQ=")</f>
        <v>#REF!</v>
      </c>
      <c r="FZ14" t="e">
        <f>AND(#REF!,"AAAAAH/bfbU=")</f>
        <v>#REF!</v>
      </c>
      <c r="GA14" t="e">
        <f>AND(#REF!,"AAAAAH/bfbY=")</f>
        <v>#REF!</v>
      </c>
      <c r="GB14" t="e">
        <f>AND(#REF!,"AAAAAH/bfbc=")</f>
        <v>#REF!</v>
      </c>
      <c r="GC14" t="e">
        <f>AND(#REF!,"AAAAAH/bfbg=")</f>
        <v>#REF!</v>
      </c>
      <c r="GD14" t="e">
        <f>AND(#REF!,"AAAAAH/bfbk=")</f>
        <v>#REF!</v>
      </c>
      <c r="GE14" t="e">
        <f>AND(#REF!,"AAAAAH/bfbo=")</f>
        <v>#REF!</v>
      </c>
      <c r="GF14" t="e">
        <f>AND(#REF!,"AAAAAH/bfbs=")</f>
        <v>#REF!</v>
      </c>
      <c r="GG14" t="e">
        <f>AND(#REF!,"AAAAAH/bfbw=")</f>
        <v>#REF!</v>
      </c>
      <c r="GH14" t="e">
        <f>AND(#REF!,"AAAAAH/bfb0=")</f>
        <v>#REF!</v>
      </c>
      <c r="GI14" t="e">
        <f>AND(#REF!,"AAAAAH/bfb4=")</f>
        <v>#REF!</v>
      </c>
      <c r="GJ14" t="e">
        <f>AND(#REF!,"AAAAAH/bfb8=")</f>
        <v>#REF!</v>
      </c>
      <c r="GK14" t="e">
        <f>AND(#REF!,"AAAAAH/bfcA=")</f>
        <v>#REF!</v>
      </c>
      <c r="GL14" t="e">
        <f>AND(#REF!,"AAAAAH/bfcE=")</f>
        <v>#REF!</v>
      </c>
      <c r="GM14" t="e">
        <f>AND(#REF!,"AAAAAH/bfcI=")</f>
        <v>#REF!</v>
      </c>
      <c r="GN14" t="e">
        <f>AND(#REF!,"AAAAAH/bfcM=")</f>
        <v>#REF!</v>
      </c>
      <c r="GO14" t="e">
        <f>AND(#REF!,"AAAAAH/bfcQ=")</f>
        <v>#REF!</v>
      </c>
      <c r="GP14" t="e">
        <f>AND(#REF!,"AAAAAH/bfcU=")</f>
        <v>#REF!</v>
      </c>
      <c r="GQ14" t="e">
        <f>AND(#REF!,"AAAAAH/bfcY=")</f>
        <v>#REF!</v>
      </c>
      <c r="GR14" t="e">
        <f>AND(#REF!,"AAAAAH/bfcc=")</f>
        <v>#REF!</v>
      </c>
      <c r="GS14" t="e">
        <f>AND(#REF!,"AAAAAH/bfcg=")</f>
        <v>#REF!</v>
      </c>
      <c r="GT14" t="e">
        <f>AND(#REF!,"AAAAAH/bfck=")</f>
        <v>#REF!</v>
      </c>
      <c r="GU14" t="e">
        <f>AND(#REF!,"AAAAAH/bfco=")</f>
        <v>#REF!</v>
      </c>
      <c r="GV14" t="e">
        <f>AND(#REF!,"AAAAAH/bfcs=")</f>
        <v>#REF!</v>
      </c>
      <c r="GW14" t="e">
        <f>AND(#REF!,"AAAAAH/bfcw=")</f>
        <v>#REF!</v>
      </c>
      <c r="GX14" t="e">
        <f>AND(#REF!,"AAAAAH/bfc0=")</f>
        <v>#REF!</v>
      </c>
      <c r="GY14" t="e">
        <f>AND(#REF!,"AAAAAH/bfc4=")</f>
        <v>#REF!</v>
      </c>
      <c r="GZ14" t="e">
        <f>AND(#REF!,"AAAAAH/bfc8=")</f>
        <v>#REF!</v>
      </c>
      <c r="HA14" t="e">
        <f>AND(#REF!,"AAAAAH/bfdA=")</f>
        <v>#REF!</v>
      </c>
      <c r="HB14" t="e">
        <f>AND(#REF!,"AAAAAH/bfdE=")</f>
        <v>#REF!</v>
      </c>
      <c r="HC14" t="e">
        <f>AND(#REF!,"AAAAAH/bfdI=")</f>
        <v>#REF!</v>
      </c>
      <c r="HD14" t="e">
        <f>AND(#REF!,"AAAAAH/bfdM=")</f>
        <v>#REF!</v>
      </c>
      <c r="HE14" t="e">
        <f>AND(#REF!,"AAAAAH/bfdQ=")</f>
        <v>#REF!</v>
      </c>
      <c r="HF14" t="e">
        <f>AND(#REF!,"AAAAAH/bfdU=")</f>
        <v>#REF!</v>
      </c>
      <c r="HG14" t="e">
        <f>AND(#REF!,"AAAAAH/bfdY=")</f>
        <v>#REF!</v>
      </c>
      <c r="HH14" t="e">
        <f>AND(#REF!,"AAAAAH/bfdc=")</f>
        <v>#REF!</v>
      </c>
      <c r="HI14" t="e">
        <f>AND(#REF!,"AAAAAH/bfdg=")</f>
        <v>#REF!</v>
      </c>
      <c r="HJ14" t="e">
        <f>AND(#REF!,"AAAAAH/bfdk=")</f>
        <v>#REF!</v>
      </c>
      <c r="HK14" t="e">
        <f>AND(#REF!,"AAAAAH/bfdo=")</f>
        <v>#REF!</v>
      </c>
      <c r="HL14" t="e">
        <f>AND(#REF!,"AAAAAH/bfds=")</f>
        <v>#REF!</v>
      </c>
      <c r="HM14" t="e">
        <f>AND(#REF!,"AAAAAH/bfdw=")</f>
        <v>#REF!</v>
      </c>
      <c r="HN14" t="e">
        <f>AND(#REF!,"AAAAAH/bfd0=")</f>
        <v>#REF!</v>
      </c>
      <c r="HO14" t="e">
        <f>AND(#REF!,"AAAAAH/bfd4=")</f>
        <v>#REF!</v>
      </c>
      <c r="HP14" t="e">
        <f>AND(#REF!,"AAAAAH/bfd8=")</f>
        <v>#REF!</v>
      </c>
      <c r="HQ14" t="e">
        <f>AND(#REF!,"AAAAAH/bfeA=")</f>
        <v>#REF!</v>
      </c>
      <c r="HR14" t="e">
        <f>AND(#REF!,"AAAAAH/bfeE=")</f>
        <v>#REF!</v>
      </c>
      <c r="HS14" t="e">
        <f>AND(#REF!,"AAAAAH/bfeI=")</f>
        <v>#REF!</v>
      </c>
      <c r="HT14" t="e">
        <f>AND(#REF!,"AAAAAH/bfeM=")</f>
        <v>#REF!</v>
      </c>
      <c r="HU14" t="e">
        <f>AND(#REF!,"AAAAAH/bfeQ=")</f>
        <v>#REF!</v>
      </c>
      <c r="HV14" t="e">
        <f>AND(#REF!,"AAAAAH/bfeU=")</f>
        <v>#REF!</v>
      </c>
      <c r="HW14" t="e">
        <f>AND(#REF!,"AAAAAH/bfeY=")</f>
        <v>#REF!</v>
      </c>
      <c r="HX14" t="e">
        <f>AND(#REF!,"AAAAAH/bfec=")</f>
        <v>#REF!</v>
      </c>
      <c r="HY14" t="e">
        <f>AND(#REF!,"AAAAAH/bfeg=")</f>
        <v>#REF!</v>
      </c>
      <c r="HZ14" t="e">
        <f>AND(#REF!,"AAAAAH/bfek=")</f>
        <v>#REF!</v>
      </c>
      <c r="IA14" t="e">
        <f>AND(#REF!,"AAAAAH/bfeo=")</f>
        <v>#REF!</v>
      </c>
      <c r="IB14" t="e">
        <f>AND(#REF!,"AAAAAH/bfes=")</f>
        <v>#REF!</v>
      </c>
      <c r="IC14" t="e">
        <f>AND(#REF!,"AAAAAH/bfew=")</f>
        <v>#REF!</v>
      </c>
      <c r="ID14" t="e">
        <f>AND(#REF!,"AAAAAH/bfe0=")</f>
        <v>#REF!</v>
      </c>
      <c r="IE14" t="e">
        <f>AND(#REF!,"AAAAAH/bfe4=")</f>
        <v>#REF!</v>
      </c>
      <c r="IF14" t="e">
        <f>AND(#REF!,"AAAAAH/bfe8=")</f>
        <v>#REF!</v>
      </c>
      <c r="IG14" t="e">
        <f>AND(#REF!,"AAAAAH/bffA=")</f>
        <v>#REF!</v>
      </c>
      <c r="IH14" t="e">
        <f>AND(#REF!,"AAAAAH/bffE=")</f>
        <v>#REF!</v>
      </c>
      <c r="II14" t="e">
        <f>AND(#REF!,"AAAAAH/bffI=")</f>
        <v>#REF!</v>
      </c>
      <c r="IJ14" t="e">
        <f>AND(#REF!,"AAAAAH/bffM=")</f>
        <v>#REF!</v>
      </c>
      <c r="IK14" t="e">
        <f>AND(#REF!,"AAAAAH/bffQ=")</f>
        <v>#REF!</v>
      </c>
      <c r="IL14" t="e">
        <f>AND(#REF!,"AAAAAH/bffU=")</f>
        <v>#REF!</v>
      </c>
      <c r="IM14" t="e">
        <f>AND(#REF!,"AAAAAH/bffY=")</f>
        <v>#REF!</v>
      </c>
      <c r="IN14" t="e">
        <f>AND(#REF!,"AAAAAH/bffc=")</f>
        <v>#REF!</v>
      </c>
      <c r="IO14" t="e">
        <f>AND(#REF!,"AAAAAH/bffg=")</f>
        <v>#REF!</v>
      </c>
      <c r="IP14" t="e">
        <f>AND(#REF!,"AAAAAH/bffk=")</f>
        <v>#REF!</v>
      </c>
      <c r="IQ14" t="e">
        <f>AND(#REF!,"AAAAAH/bffo=")</f>
        <v>#REF!</v>
      </c>
      <c r="IR14" t="e">
        <f>AND(#REF!,"AAAAAH/bffs=")</f>
        <v>#REF!</v>
      </c>
      <c r="IS14" t="e">
        <f>AND(#REF!,"AAAAAH/bffw=")</f>
        <v>#REF!</v>
      </c>
      <c r="IT14" t="e">
        <f>AND(#REF!,"AAAAAH/bff0=")</f>
        <v>#REF!</v>
      </c>
      <c r="IU14" t="e">
        <f>AND(#REF!,"AAAAAH/bff4=")</f>
        <v>#REF!</v>
      </c>
      <c r="IV14" t="e">
        <f>AND(#REF!,"AAAAAH/bff8=")</f>
        <v>#REF!</v>
      </c>
    </row>
    <row r="15" spans="1:256" x14ac:dyDescent="0.25">
      <c r="A15" t="e">
        <f>AND(#REF!,"AAAAAE/fdgA=")</f>
        <v>#REF!</v>
      </c>
      <c r="B15" t="e">
        <f>AND(#REF!,"AAAAAE/fdgE=")</f>
        <v>#REF!</v>
      </c>
      <c r="C15" t="e">
        <f>AND(#REF!,"AAAAAE/fdgI=")</f>
        <v>#REF!</v>
      </c>
      <c r="D15" t="e">
        <f>AND(#REF!,"AAAAAE/fdgM=")</f>
        <v>#REF!</v>
      </c>
      <c r="E15" t="e">
        <f>AND(#REF!,"AAAAAE/fdgQ=")</f>
        <v>#REF!</v>
      </c>
      <c r="F15" t="e">
        <f>AND(#REF!,"AAAAAE/fdgU=")</f>
        <v>#REF!</v>
      </c>
      <c r="G15" t="e">
        <f>AND(#REF!,"AAAAAE/fdgY=")</f>
        <v>#REF!</v>
      </c>
      <c r="H15" t="e">
        <f>AND(#REF!,"AAAAAE/fdgc=")</f>
        <v>#REF!</v>
      </c>
      <c r="I15" t="e">
        <f>AND(#REF!,"AAAAAE/fdgg=")</f>
        <v>#REF!</v>
      </c>
      <c r="J15" t="e">
        <f>AND(#REF!,"AAAAAE/fdgk=")</f>
        <v>#REF!</v>
      </c>
      <c r="K15" t="e">
        <f>AND(#REF!,"AAAAAE/fdgo=")</f>
        <v>#REF!</v>
      </c>
      <c r="L15" t="e">
        <f>AND(#REF!,"AAAAAE/fdgs=")</f>
        <v>#REF!</v>
      </c>
      <c r="M15" t="e">
        <f>AND(#REF!,"AAAAAE/fdgw=")</f>
        <v>#REF!</v>
      </c>
      <c r="N15" t="e">
        <f>AND(#REF!,"AAAAAE/fdg0=")</f>
        <v>#REF!</v>
      </c>
      <c r="O15" t="e">
        <f>AND(#REF!,"AAAAAE/fdg4=")</f>
        <v>#REF!</v>
      </c>
      <c r="P15" t="e">
        <f>AND(#REF!,"AAAAAE/fdg8=")</f>
        <v>#REF!</v>
      </c>
      <c r="Q15" t="e">
        <f>AND(#REF!,"AAAAAE/fdhA=")</f>
        <v>#REF!</v>
      </c>
      <c r="R15" t="e">
        <f>AND(#REF!,"AAAAAE/fdhE=")</f>
        <v>#REF!</v>
      </c>
      <c r="S15" t="e">
        <f>AND(#REF!,"AAAAAE/fdhI=")</f>
        <v>#REF!</v>
      </c>
      <c r="T15" t="e">
        <f>AND(#REF!,"AAAAAE/fdhM=")</f>
        <v>#REF!</v>
      </c>
      <c r="U15" t="e">
        <f>AND(#REF!,"AAAAAE/fdhQ=")</f>
        <v>#REF!</v>
      </c>
      <c r="V15" t="e">
        <f>AND(#REF!,"AAAAAE/fdhU=")</f>
        <v>#REF!</v>
      </c>
      <c r="W15" t="e">
        <f>AND(#REF!,"AAAAAE/fdhY=")</f>
        <v>#REF!</v>
      </c>
      <c r="X15" t="e">
        <f>AND(#REF!,"AAAAAE/fdhc=")</f>
        <v>#REF!</v>
      </c>
      <c r="Y15" t="e">
        <f>AND(#REF!,"AAAAAE/fdhg=")</f>
        <v>#REF!</v>
      </c>
      <c r="Z15" t="e">
        <f>AND(#REF!,"AAAAAE/fdhk=")</f>
        <v>#REF!</v>
      </c>
      <c r="AA15" t="e">
        <f>AND(#REF!,"AAAAAE/fdho=")</f>
        <v>#REF!</v>
      </c>
      <c r="AB15" t="e">
        <f>AND(#REF!,"AAAAAE/fdhs=")</f>
        <v>#REF!</v>
      </c>
      <c r="AC15" t="e">
        <f>AND(#REF!,"AAAAAE/fdhw=")</f>
        <v>#REF!</v>
      </c>
      <c r="AD15" t="e">
        <f>AND(#REF!,"AAAAAE/fdh0=")</f>
        <v>#REF!</v>
      </c>
      <c r="AE15" t="e">
        <f>AND(#REF!,"AAAAAE/fdh4=")</f>
        <v>#REF!</v>
      </c>
      <c r="AF15" t="e">
        <f>AND(#REF!,"AAAAAE/fdh8=")</f>
        <v>#REF!</v>
      </c>
      <c r="AG15" t="e">
        <f>AND(#REF!,"AAAAAE/fdiA=")</f>
        <v>#REF!</v>
      </c>
      <c r="AH15" t="e">
        <f>AND(#REF!,"AAAAAE/fdiE=")</f>
        <v>#REF!</v>
      </c>
      <c r="AI15" t="e">
        <f>AND(#REF!,"AAAAAE/fdiI=")</f>
        <v>#REF!</v>
      </c>
      <c r="AJ15" t="e">
        <f>AND(#REF!,"AAAAAE/fdiM=")</f>
        <v>#REF!</v>
      </c>
      <c r="AK15" t="e">
        <f>AND(#REF!,"AAAAAE/fdiQ=")</f>
        <v>#REF!</v>
      </c>
      <c r="AL15" t="e">
        <f>AND(#REF!,"AAAAAE/fdiU=")</f>
        <v>#REF!</v>
      </c>
      <c r="AM15" t="e">
        <f>AND(#REF!,"AAAAAE/fdiY=")</f>
        <v>#REF!</v>
      </c>
      <c r="AN15" t="e">
        <f>AND(#REF!,"AAAAAE/fdic=")</f>
        <v>#REF!</v>
      </c>
      <c r="AO15" t="e">
        <f>AND(#REF!,"AAAAAE/fdig=")</f>
        <v>#REF!</v>
      </c>
      <c r="AP15" t="e">
        <f>AND(#REF!,"AAAAAE/fdik=")</f>
        <v>#REF!</v>
      </c>
      <c r="AQ15" t="e">
        <f>AND(#REF!,"AAAAAE/fdio=")</f>
        <v>#REF!</v>
      </c>
      <c r="AR15" t="e">
        <f>AND(#REF!,"AAAAAE/fdis=")</f>
        <v>#REF!</v>
      </c>
      <c r="AS15" t="e">
        <f>IF(#REF!,"AAAAAE/fdiw=",0)</f>
        <v>#REF!</v>
      </c>
      <c r="AT15" t="e">
        <f>AND(#REF!,"AAAAAE/fdi0=")</f>
        <v>#REF!</v>
      </c>
      <c r="AU15" t="e">
        <f>AND(#REF!,"AAAAAE/fdi4=")</f>
        <v>#REF!</v>
      </c>
      <c r="AV15" t="e">
        <f>AND(#REF!,"AAAAAE/fdi8=")</f>
        <v>#REF!</v>
      </c>
      <c r="AW15" t="e">
        <f>AND(#REF!,"AAAAAE/fdjA=")</f>
        <v>#REF!</v>
      </c>
      <c r="AX15" t="e">
        <f>AND(#REF!,"AAAAAE/fdjE=")</f>
        <v>#REF!</v>
      </c>
      <c r="AY15" t="e">
        <f>AND(#REF!,"AAAAAE/fdjI=")</f>
        <v>#REF!</v>
      </c>
      <c r="AZ15" t="e">
        <f>AND(#REF!,"AAAAAE/fdjM=")</f>
        <v>#REF!</v>
      </c>
      <c r="BA15" t="e">
        <f>AND(#REF!,"AAAAAE/fdjQ=")</f>
        <v>#REF!</v>
      </c>
      <c r="BB15" t="e">
        <f>AND(#REF!,"AAAAAE/fdjU=")</f>
        <v>#REF!</v>
      </c>
      <c r="BC15" t="e">
        <f>AND(#REF!,"AAAAAE/fdjY=")</f>
        <v>#REF!</v>
      </c>
      <c r="BD15" t="e">
        <f>AND(#REF!,"AAAAAE/fdjc=")</f>
        <v>#REF!</v>
      </c>
      <c r="BE15" t="e">
        <f>AND(#REF!,"AAAAAE/fdjg=")</f>
        <v>#REF!</v>
      </c>
      <c r="BF15" t="e">
        <f>AND(#REF!,"AAAAAE/fdjk=")</f>
        <v>#REF!</v>
      </c>
      <c r="BG15" t="e">
        <f>AND(#REF!,"AAAAAE/fdjo=")</f>
        <v>#REF!</v>
      </c>
      <c r="BH15" t="e">
        <f>AND(#REF!,"AAAAAE/fdjs=")</f>
        <v>#REF!</v>
      </c>
      <c r="BI15" t="e">
        <f>AND(#REF!,"AAAAAE/fdjw=")</f>
        <v>#REF!</v>
      </c>
      <c r="BJ15" t="e">
        <f>AND(#REF!,"AAAAAE/fdj0=")</f>
        <v>#REF!</v>
      </c>
      <c r="BK15" t="e">
        <f>AND(#REF!,"AAAAAE/fdj4=")</f>
        <v>#REF!</v>
      </c>
      <c r="BL15" t="e">
        <f>AND(#REF!,"AAAAAE/fdj8=")</f>
        <v>#REF!</v>
      </c>
      <c r="BM15" t="e">
        <f>AND(#REF!,"AAAAAE/fdkA=")</f>
        <v>#REF!</v>
      </c>
      <c r="BN15" t="e">
        <f>AND(#REF!,"AAAAAE/fdkE=")</f>
        <v>#REF!</v>
      </c>
      <c r="BO15" t="e">
        <f>AND(#REF!,"AAAAAE/fdkI=")</f>
        <v>#REF!</v>
      </c>
      <c r="BP15" t="e">
        <f>AND(#REF!,"AAAAAE/fdkM=")</f>
        <v>#REF!</v>
      </c>
      <c r="BQ15" t="e">
        <f>AND(#REF!,"AAAAAE/fdkQ=")</f>
        <v>#REF!</v>
      </c>
      <c r="BR15" t="e">
        <f>AND(#REF!,"AAAAAE/fdkU=")</f>
        <v>#REF!</v>
      </c>
      <c r="BS15" t="e">
        <f>AND(#REF!,"AAAAAE/fdkY=")</f>
        <v>#REF!</v>
      </c>
      <c r="BT15" t="e">
        <f>AND(#REF!,"AAAAAE/fdkc=")</f>
        <v>#REF!</v>
      </c>
      <c r="BU15" t="e">
        <f>AND(#REF!,"AAAAAE/fdkg=")</f>
        <v>#REF!</v>
      </c>
      <c r="BV15" t="e">
        <f>AND(#REF!,"AAAAAE/fdkk=")</f>
        <v>#REF!</v>
      </c>
      <c r="BW15" t="e">
        <f>AND(#REF!,"AAAAAE/fdko=")</f>
        <v>#REF!</v>
      </c>
      <c r="BX15" t="e">
        <f>AND(#REF!,"AAAAAE/fdks=")</f>
        <v>#REF!</v>
      </c>
      <c r="BY15" t="e">
        <f>AND(#REF!,"AAAAAE/fdkw=")</f>
        <v>#REF!</v>
      </c>
      <c r="BZ15" t="e">
        <f>AND(#REF!,"AAAAAE/fdk0=")</f>
        <v>#REF!</v>
      </c>
      <c r="CA15" t="e">
        <f>AND(#REF!,"AAAAAE/fdk4=")</f>
        <v>#REF!</v>
      </c>
      <c r="CB15" t="e">
        <f>AND(#REF!,"AAAAAE/fdk8=")</f>
        <v>#REF!</v>
      </c>
      <c r="CC15" t="e">
        <f>AND(#REF!,"AAAAAE/fdlA=")</f>
        <v>#REF!</v>
      </c>
      <c r="CD15" t="e">
        <f>AND(#REF!,"AAAAAE/fdlE=")</f>
        <v>#REF!</v>
      </c>
      <c r="CE15" t="e">
        <f>AND(#REF!,"AAAAAE/fdlI=")</f>
        <v>#REF!</v>
      </c>
      <c r="CF15" t="e">
        <f>AND(#REF!,"AAAAAE/fdlM=")</f>
        <v>#REF!</v>
      </c>
      <c r="CG15" t="e">
        <f>AND(#REF!,"AAAAAE/fdlQ=")</f>
        <v>#REF!</v>
      </c>
      <c r="CH15" t="e">
        <f>AND(#REF!,"AAAAAE/fdlU=")</f>
        <v>#REF!</v>
      </c>
      <c r="CI15" t="e">
        <f>AND(#REF!,"AAAAAE/fdlY=")</f>
        <v>#REF!</v>
      </c>
      <c r="CJ15" t="e">
        <f>AND(#REF!,"AAAAAE/fdlc=")</f>
        <v>#REF!</v>
      </c>
      <c r="CK15" t="e">
        <f>AND(#REF!,"AAAAAE/fdlg=")</f>
        <v>#REF!</v>
      </c>
      <c r="CL15" t="e">
        <f>AND(#REF!,"AAAAAE/fdlk=")</f>
        <v>#REF!</v>
      </c>
      <c r="CM15" t="e">
        <f>AND(#REF!,"AAAAAE/fdlo=")</f>
        <v>#REF!</v>
      </c>
      <c r="CN15" t="e">
        <f>AND(#REF!,"AAAAAE/fdls=")</f>
        <v>#REF!</v>
      </c>
      <c r="CO15" t="e">
        <f>AND(#REF!,"AAAAAE/fdlw=")</f>
        <v>#REF!</v>
      </c>
      <c r="CP15" t="e">
        <f>AND(#REF!,"AAAAAE/fdl0=")</f>
        <v>#REF!</v>
      </c>
      <c r="CQ15" t="e">
        <f>AND(#REF!,"AAAAAE/fdl4=")</f>
        <v>#REF!</v>
      </c>
      <c r="CR15" t="e">
        <f>AND(#REF!,"AAAAAE/fdl8=")</f>
        <v>#REF!</v>
      </c>
      <c r="CS15" t="e">
        <f>AND(#REF!,"AAAAAE/fdmA=")</f>
        <v>#REF!</v>
      </c>
      <c r="CT15" t="e">
        <f>AND(#REF!,"AAAAAE/fdmE=")</f>
        <v>#REF!</v>
      </c>
      <c r="CU15" t="e">
        <f>AND(#REF!,"AAAAAE/fdmI=")</f>
        <v>#REF!</v>
      </c>
      <c r="CV15" t="e">
        <f>AND(#REF!,"AAAAAE/fdmM=")</f>
        <v>#REF!</v>
      </c>
      <c r="CW15" t="e">
        <f>AND(#REF!,"AAAAAE/fdmQ=")</f>
        <v>#REF!</v>
      </c>
      <c r="CX15" t="e">
        <f>AND(#REF!,"AAAAAE/fdmU=")</f>
        <v>#REF!</v>
      </c>
      <c r="CY15" t="e">
        <f>AND(#REF!,"AAAAAE/fdmY=")</f>
        <v>#REF!</v>
      </c>
      <c r="CZ15" t="e">
        <f>AND(#REF!,"AAAAAE/fdmc=")</f>
        <v>#REF!</v>
      </c>
      <c r="DA15" t="e">
        <f>AND(#REF!,"AAAAAE/fdmg=")</f>
        <v>#REF!</v>
      </c>
      <c r="DB15" t="e">
        <f>AND(#REF!,"AAAAAE/fdmk=")</f>
        <v>#REF!</v>
      </c>
      <c r="DC15" t="e">
        <f>AND(#REF!,"AAAAAE/fdmo=")</f>
        <v>#REF!</v>
      </c>
      <c r="DD15" t="e">
        <f>AND(#REF!,"AAAAAE/fdms=")</f>
        <v>#REF!</v>
      </c>
      <c r="DE15" t="e">
        <f>AND(#REF!,"AAAAAE/fdmw=")</f>
        <v>#REF!</v>
      </c>
      <c r="DF15" t="e">
        <f>AND(#REF!,"AAAAAE/fdm0=")</f>
        <v>#REF!</v>
      </c>
      <c r="DG15" t="e">
        <f>AND(#REF!,"AAAAAE/fdm4=")</f>
        <v>#REF!</v>
      </c>
      <c r="DH15" t="e">
        <f>AND(#REF!,"AAAAAE/fdm8=")</f>
        <v>#REF!</v>
      </c>
      <c r="DI15" t="e">
        <f>AND(#REF!,"AAAAAE/fdnA=")</f>
        <v>#REF!</v>
      </c>
      <c r="DJ15" t="e">
        <f>AND(#REF!,"AAAAAE/fdnE=")</f>
        <v>#REF!</v>
      </c>
      <c r="DK15" t="e">
        <f>AND(#REF!,"AAAAAE/fdnI=")</f>
        <v>#REF!</v>
      </c>
      <c r="DL15" t="e">
        <f>AND(#REF!,"AAAAAE/fdnM=")</f>
        <v>#REF!</v>
      </c>
      <c r="DM15" t="e">
        <f>AND(#REF!,"AAAAAE/fdnQ=")</f>
        <v>#REF!</v>
      </c>
      <c r="DN15" t="e">
        <f>AND(#REF!,"AAAAAE/fdnU=")</f>
        <v>#REF!</v>
      </c>
      <c r="DO15" t="e">
        <f>AND(#REF!,"AAAAAE/fdnY=")</f>
        <v>#REF!</v>
      </c>
      <c r="DP15" t="e">
        <f>AND(#REF!,"AAAAAE/fdnc=")</f>
        <v>#REF!</v>
      </c>
      <c r="DQ15" t="e">
        <f>AND(#REF!,"AAAAAE/fdng=")</f>
        <v>#REF!</v>
      </c>
      <c r="DR15" t="e">
        <f>AND(#REF!,"AAAAAE/fdnk=")</f>
        <v>#REF!</v>
      </c>
      <c r="DS15" t="e">
        <f>AND(#REF!,"AAAAAE/fdno=")</f>
        <v>#REF!</v>
      </c>
      <c r="DT15" t="e">
        <f>AND(#REF!,"AAAAAE/fdns=")</f>
        <v>#REF!</v>
      </c>
      <c r="DU15" t="e">
        <f>AND(#REF!,"AAAAAE/fdnw=")</f>
        <v>#REF!</v>
      </c>
      <c r="DV15" t="e">
        <f>AND(#REF!,"AAAAAE/fdn0=")</f>
        <v>#REF!</v>
      </c>
      <c r="DW15" t="e">
        <f>AND(#REF!,"AAAAAE/fdn4=")</f>
        <v>#REF!</v>
      </c>
      <c r="DX15" t="e">
        <f>AND(#REF!,"AAAAAE/fdn8=")</f>
        <v>#REF!</v>
      </c>
      <c r="DY15" t="e">
        <f>AND(#REF!,"AAAAAE/fdoA=")</f>
        <v>#REF!</v>
      </c>
      <c r="DZ15" t="e">
        <f>AND(#REF!,"AAAAAE/fdoE=")</f>
        <v>#REF!</v>
      </c>
      <c r="EA15" t="e">
        <f>AND(#REF!,"AAAAAE/fdoI=")</f>
        <v>#REF!</v>
      </c>
      <c r="EB15" t="e">
        <f>AND(#REF!,"AAAAAE/fdoM=")</f>
        <v>#REF!</v>
      </c>
      <c r="EC15" t="e">
        <f>AND(#REF!,"AAAAAE/fdoQ=")</f>
        <v>#REF!</v>
      </c>
      <c r="ED15" t="e">
        <f>AND(#REF!,"AAAAAE/fdoU=")</f>
        <v>#REF!</v>
      </c>
      <c r="EE15" t="e">
        <f>AND(#REF!,"AAAAAE/fdoY=")</f>
        <v>#REF!</v>
      </c>
      <c r="EF15" t="e">
        <f>AND(#REF!,"AAAAAE/fdoc=")</f>
        <v>#REF!</v>
      </c>
      <c r="EG15" t="e">
        <f>AND(#REF!,"AAAAAE/fdog=")</f>
        <v>#REF!</v>
      </c>
      <c r="EH15" t="e">
        <f>AND(#REF!,"AAAAAE/fdok=")</f>
        <v>#REF!</v>
      </c>
      <c r="EI15" t="e">
        <f>AND(#REF!,"AAAAAE/fdoo=")</f>
        <v>#REF!</v>
      </c>
      <c r="EJ15" t="e">
        <f>AND(#REF!,"AAAAAE/fdos=")</f>
        <v>#REF!</v>
      </c>
      <c r="EK15" t="e">
        <f>AND(#REF!,"AAAAAE/fdow=")</f>
        <v>#REF!</v>
      </c>
      <c r="EL15" t="e">
        <f>AND(#REF!,"AAAAAE/fdo0=")</f>
        <v>#REF!</v>
      </c>
      <c r="EM15" t="e">
        <f>AND(#REF!,"AAAAAE/fdo4=")</f>
        <v>#REF!</v>
      </c>
      <c r="EN15" t="e">
        <f>AND(#REF!,"AAAAAE/fdo8=")</f>
        <v>#REF!</v>
      </c>
      <c r="EO15" t="e">
        <f>AND(#REF!,"AAAAAE/fdpA=")</f>
        <v>#REF!</v>
      </c>
      <c r="EP15" t="e">
        <f>AND(#REF!,"AAAAAE/fdpE=")</f>
        <v>#REF!</v>
      </c>
      <c r="EQ15" t="e">
        <f>AND(#REF!,"AAAAAE/fdpI=")</f>
        <v>#REF!</v>
      </c>
      <c r="ER15" t="e">
        <f>AND(#REF!,"AAAAAE/fdpM=")</f>
        <v>#REF!</v>
      </c>
      <c r="ES15" t="e">
        <f>AND(#REF!,"AAAAAE/fdpQ=")</f>
        <v>#REF!</v>
      </c>
      <c r="ET15" t="e">
        <f>AND(#REF!,"AAAAAE/fdpU=")</f>
        <v>#REF!</v>
      </c>
      <c r="EU15" t="e">
        <f>AND(#REF!,"AAAAAE/fdpY=")</f>
        <v>#REF!</v>
      </c>
      <c r="EV15" t="e">
        <f>AND(#REF!,"AAAAAE/fdpc=")</f>
        <v>#REF!</v>
      </c>
      <c r="EW15" t="e">
        <f>AND(#REF!,"AAAAAE/fdpg=")</f>
        <v>#REF!</v>
      </c>
      <c r="EX15" t="e">
        <f>AND(#REF!,"AAAAAE/fdpk=")</f>
        <v>#REF!</v>
      </c>
      <c r="EY15" t="e">
        <f>AND(#REF!,"AAAAAE/fdpo=")</f>
        <v>#REF!</v>
      </c>
      <c r="EZ15" t="e">
        <f>AND(#REF!,"AAAAAE/fdps=")</f>
        <v>#REF!</v>
      </c>
      <c r="FA15" t="e">
        <f>AND(#REF!,"AAAAAE/fdpw=")</f>
        <v>#REF!</v>
      </c>
      <c r="FB15" t="e">
        <f>AND(#REF!,"AAAAAE/fdp0=")</f>
        <v>#REF!</v>
      </c>
      <c r="FC15" t="e">
        <f>AND(#REF!,"AAAAAE/fdp4=")</f>
        <v>#REF!</v>
      </c>
      <c r="FD15" t="e">
        <f>AND(#REF!,"AAAAAE/fdp8=")</f>
        <v>#REF!</v>
      </c>
      <c r="FE15" t="e">
        <f>AND(#REF!,"AAAAAE/fdqA=")</f>
        <v>#REF!</v>
      </c>
      <c r="FF15" t="e">
        <f>AND(#REF!,"AAAAAE/fdqE=")</f>
        <v>#REF!</v>
      </c>
      <c r="FG15" t="e">
        <f>AND(#REF!,"AAAAAE/fdqI=")</f>
        <v>#REF!</v>
      </c>
      <c r="FH15" t="e">
        <f>AND(#REF!,"AAAAAE/fdqM=")</f>
        <v>#REF!</v>
      </c>
      <c r="FI15" t="e">
        <f>AND(#REF!,"AAAAAE/fdqQ=")</f>
        <v>#REF!</v>
      </c>
      <c r="FJ15" t="e">
        <f>AND(#REF!,"AAAAAE/fdqU=")</f>
        <v>#REF!</v>
      </c>
      <c r="FK15" t="e">
        <f>AND(#REF!,"AAAAAE/fdqY=")</f>
        <v>#REF!</v>
      </c>
      <c r="FL15" t="e">
        <f>AND(#REF!,"AAAAAE/fdqc=")</f>
        <v>#REF!</v>
      </c>
      <c r="FM15" t="e">
        <f>AND(#REF!,"AAAAAE/fdqg=")</f>
        <v>#REF!</v>
      </c>
      <c r="FN15" t="e">
        <f>AND(#REF!,"AAAAAE/fdqk=")</f>
        <v>#REF!</v>
      </c>
      <c r="FO15" t="e">
        <f>AND(#REF!,"AAAAAE/fdqo=")</f>
        <v>#REF!</v>
      </c>
      <c r="FP15" t="e">
        <f>AND(#REF!,"AAAAAE/fdqs=")</f>
        <v>#REF!</v>
      </c>
      <c r="FQ15" t="e">
        <f>AND(#REF!,"AAAAAE/fdqw=")</f>
        <v>#REF!</v>
      </c>
      <c r="FR15" t="e">
        <f>AND(#REF!,"AAAAAE/fdq0=")</f>
        <v>#REF!</v>
      </c>
      <c r="FS15" t="e">
        <f>AND(#REF!,"AAAAAE/fdq4=")</f>
        <v>#REF!</v>
      </c>
      <c r="FT15" t="e">
        <f>AND(#REF!,"AAAAAE/fdq8=")</f>
        <v>#REF!</v>
      </c>
      <c r="FU15" t="e">
        <f>AND(#REF!,"AAAAAE/fdrA=")</f>
        <v>#REF!</v>
      </c>
      <c r="FV15" t="e">
        <f>AND(#REF!,"AAAAAE/fdrE=")</f>
        <v>#REF!</v>
      </c>
      <c r="FW15" t="e">
        <f>AND(#REF!,"AAAAAE/fdrI=")</f>
        <v>#REF!</v>
      </c>
      <c r="FX15" t="e">
        <f>AND(#REF!,"AAAAAE/fdrM=")</f>
        <v>#REF!</v>
      </c>
      <c r="FY15" t="e">
        <f>AND(#REF!,"AAAAAE/fdrQ=")</f>
        <v>#REF!</v>
      </c>
      <c r="FZ15" t="e">
        <f>AND(#REF!,"AAAAAE/fdrU=")</f>
        <v>#REF!</v>
      </c>
      <c r="GA15" t="e">
        <f>AND(#REF!,"AAAAAE/fdrY=")</f>
        <v>#REF!</v>
      </c>
      <c r="GB15" t="e">
        <f>AND(#REF!,"AAAAAE/fdrc=")</f>
        <v>#REF!</v>
      </c>
      <c r="GC15" t="e">
        <f>AND(#REF!,"AAAAAE/fdrg=")</f>
        <v>#REF!</v>
      </c>
      <c r="GD15" t="e">
        <f>AND(#REF!,"AAAAAE/fdrk=")</f>
        <v>#REF!</v>
      </c>
      <c r="GE15" t="e">
        <f>AND(#REF!,"AAAAAE/fdro=")</f>
        <v>#REF!</v>
      </c>
      <c r="GF15" t="e">
        <f>AND(#REF!,"AAAAAE/fdrs=")</f>
        <v>#REF!</v>
      </c>
      <c r="GG15" t="e">
        <f>AND(#REF!,"AAAAAE/fdrw=")</f>
        <v>#REF!</v>
      </c>
      <c r="GH15" t="e">
        <f>AND(#REF!,"AAAAAE/fdr0=")</f>
        <v>#REF!</v>
      </c>
      <c r="GI15" t="e">
        <f>AND(#REF!,"AAAAAE/fdr4=")</f>
        <v>#REF!</v>
      </c>
      <c r="GJ15" t="e">
        <f>AND(#REF!,"AAAAAE/fdr8=")</f>
        <v>#REF!</v>
      </c>
      <c r="GK15" t="e">
        <f>AND(#REF!,"AAAAAE/fdsA=")</f>
        <v>#REF!</v>
      </c>
      <c r="GL15" t="e">
        <f>AND(#REF!,"AAAAAE/fdsE=")</f>
        <v>#REF!</v>
      </c>
      <c r="GM15" t="e">
        <f>AND(#REF!,"AAAAAE/fdsI=")</f>
        <v>#REF!</v>
      </c>
      <c r="GN15" t="e">
        <f>AND(#REF!,"AAAAAE/fdsM=")</f>
        <v>#REF!</v>
      </c>
      <c r="GO15" t="e">
        <f>AND(#REF!,"AAAAAE/fdsQ=")</f>
        <v>#REF!</v>
      </c>
      <c r="GP15" t="e">
        <f>AND(#REF!,"AAAAAE/fdsU=")</f>
        <v>#REF!</v>
      </c>
      <c r="GQ15" t="e">
        <f>AND(#REF!,"AAAAAE/fdsY=")</f>
        <v>#REF!</v>
      </c>
      <c r="GR15" t="e">
        <f>AND(#REF!,"AAAAAE/fdsc=")</f>
        <v>#REF!</v>
      </c>
      <c r="GS15" t="e">
        <f>AND(#REF!,"AAAAAE/fdsg=")</f>
        <v>#REF!</v>
      </c>
      <c r="GT15" t="e">
        <f>AND(#REF!,"AAAAAE/fdsk=")</f>
        <v>#REF!</v>
      </c>
      <c r="GU15" t="e">
        <f>AND(#REF!,"AAAAAE/fdso=")</f>
        <v>#REF!</v>
      </c>
      <c r="GV15" t="e">
        <f>AND(#REF!,"AAAAAE/fdss=")</f>
        <v>#REF!</v>
      </c>
      <c r="GW15" t="e">
        <f>AND(#REF!,"AAAAAE/fdsw=")</f>
        <v>#REF!</v>
      </c>
      <c r="GX15" t="e">
        <f>AND(#REF!,"AAAAAE/fds0=")</f>
        <v>#REF!</v>
      </c>
      <c r="GY15" t="e">
        <f>AND(#REF!,"AAAAAE/fds4=")</f>
        <v>#REF!</v>
      </c>
      <c r="GZ15" t="e">
        <f>AND(#REF!,"AAAAAE/fds8=")</f>
        <v>#REF!</v>
      </c>
      <c r="HA15" t="e">
        <f>AND(#REF!,"AAAAAE/fdtA=")</f>
        <v>#REF!</v>
      </c>
      <c r="HB15" t="e">
        <f>AND(#REF!,"AAAAAE/fdtE=")</f>
        <v>#REF!</v>
      </c>
      <c r="HC15" t="e">
        <f>AND(#REF!,"AAAAAE/fdtI=")</f>
        <v>#REF!</v>
      </c>
      <c r="HD15" t="e">
        <f>AND(#REF!,"AAAAAE/fdtM=")</f>
        <v>#REF!</v>
      </c>
      <c r="HE15" t="e">
        <f>AND(#REF!,"AAAAAE/fdtQ=")</f>
        <v>#REF!</v>
      </c>
      <c r="HF15" t="e">
        <f>AND(#REF!,"AAAAAE/fdtU=")</f>
        <v>#REF!</v>
      </c>
      <c r="HG15" t="e">
        <f>AND(#REF!,"AAAAAE/fdtY=")</f>
        <v>#REF!</v>
      </c>
      <c r="HH15" t="e">
        <f>AND(#REF!,"AAAAAE/fdtc=")</f>
        <v>#REF!</v>
      </c>
      <c r="HI15" t="e">
        <f>AND(#REF!,"AAAAAE/fdtg=")</f>
        <v>#REF!</v>
      </c>
      <c r="HJ15" t="e">
        <f>AND(#REF!,"AAAAAE/fdtk=")</f>
        <v>#REF!</v>
      </c>
      <c r="HK15" t="e">
        <f>AND(#REF!,"AAAAAE/fdto=")</f>
        <v>#REF!</v>
      </c>
      <c r="HL15" t="e">
        <f>AND(#REF!,"AAAAAE/fdts=")</f>
        <v>#REF!</v>
      </c>
      <c r="HM15" t="e">
        <f>AND(#REF!,"AAAAAE/fdtw=")</f>
        <v>#REF!</v>
      </c>
      <c r="HN15" t="e">
        <f>AND(#REF!,"AAAAAE/fdt0=")</f>
        <v>#REF!</v>
      </c>
      <c r="HO15" t="e">
        <f>AND(#REF!,"AAAAAE/fdt4=")</f>
        <v>#REF!</v>
      </c>
      <c r="HP15" t="e">
        <f>AND(#REF!,"AAAAAE/fdt8=")</f>
        <v>#REF!</v>
      </c>
      <c r="HQ15" t="e">
        <f>AND(#REF!,"AAAAAE/fduA=")</f>
        <v>#REF!</v>
      </c>
      <c r="HR15" t="e">
        <f>AND(#REF!,"AAAAAE/fduE=")</f>
        <v>#REF!</v>
      </c>
      <c r="HS15" t="e">
        <f>AND(#REF!,"AAAAAE/fduI=")</f>
        <v>#REF!</v>
      </c>
      <c r="HT15" t="e">
        <f>AND(#REF!,"AAAAAE/fduM=")</f>
        <v>#REF!</v>
      </c>
      <c r="HU15" t="e">
        <f>AND(#REF!,"AAAAAE/fduQ=")</f>
        <v>#REF!</v>
      </c>
      <c r="HV15" t="e">
        <f>AND(#REF!,"AAAAAE/fduU=")</f>
        <v>#REF!</v>
      </c>
      <c r="HW15" t="e">
        <f>AND(#REF!,"AAAAAE/fduY=")</f>
        <v>#REF!</v>
      </c>
      <c r="HX15" t="e">
        <f>AND(#REF!,"AAAAAE/fduc=")</f>
        <v>#REF!</v>
      </c>
      <c r="HY15" t="e">
        <f>AND(#REF!,"AAAAAE/fdug=")</f>
        <v>#REF!</v>
      </c>
      <c r="HZ15" t="e">
        <f>IF(#REF!,"AAAAAE/fduk=",0)</f>
        <v>#REF!</v>
      </c>
      <c r="IA15" t="e">
        <f>AND(#REF!,"AAAAAE/fduo=")</f>
        <v>#REF!</v>
      </c>
      <c r="IB15" t="e">
        <f>AND(#REF!,"AAAAAE/fdus=")</f>
        <v>#REF!</v>
      </c>
      <c r="IC15" t="e">
        <f>AND(#REF!,"AAAAAE/fduw=")</f>
        <v>#REF!</v>
      </c>
      <c r="ID15" t="e">
        <f>AND(#REF!,"AAAAAE/fdu0=")</f>
        <v>#REF!</v>
      </c>
      <c r="IE15" t="e">
        <f>AND(#REF!,"AAAAAE/fdu4=")</f>
        <v>#REF!</v>
      </c>
      <c r="IF15" t="e">
        <f>AND(#REF!,"AAAAAE/fdu8=")</f>
        <v>#REF!</v>
      </c>
      <c r="IG15" t="e">
        <f>AND(#REF!,"AAAAAE/fdvA=")</f>
        <v>#REF!</v>
      </c>
      <c r="IH15" t="e">
        <f>AND(#REF!,"AAAAAE/fdvE=")</f>
        <v>#REF!</v>
      </c>
      <c r="II15" t="e">
        <f>AND(#REF!,"AAAAAE/fdvI=")</f>
        <v>#REF!</v>
      </c>
      <c r="IJ15" t="e">
        <f>AND(#REF!,"AAAAAE/fdvM=")</f>
        <v>#REF!</v>
      </c>
      <c r="IK15" t="e">
        <f>AND(#REF!,"AAAAAE/fdvQ=")</f>
        <v>#REF!</v>
      </c>
      <c r="IL15" t="e">
        <f>AND(#REF!,"AAAAAE/fdvU=")</f>
        <v>#REF!</v>
      </c>
      <c r="IM15" t="e">
        <f>AND(#REF!,"AAAAAE/fdvY=")</f>
        <v>#REF!</v>
      </c>
      <c r="IN15" t="e">
        <f>AND(#REF!,"AAAAAE/fdvc=")</f>
        <v>#REF!</v>
      </c>
      <c r="IO15" t="e">
        <f>AND(#REF!,"AAAAAE/fdvg=")</f>
        <v>#REF!</v>
      </c>
      <c r="IP15" t="e">
        <f>AND(#REF!,"AAAAAE/fdvk=")</f>
        <v>#REF!</v>
      </c>
      <c r="IQ15" t="e">
        <f>AND(#REF!,"AAAAAE/fdvo=")</f>
        <v>#REF!</v>
      </c>
      <c r="IR15" t="e">
        <f>AND(#REF!,"AAAAAE/fdvs=")</f>
        <v>#REF!</v>
      </c>
      <c r="IS15" t="e">
        <f>AND(#REF!,"AAAAAE/fdvw=")</f>
        <v>#REF!</v>
      </c>
      <c r="IT15" t="e">
        <f>AND(#REF!,"AAAAAE/fdv0=")</f>
        <v>#REF!</v>
      </c>
      <c r="IU15" t="e">
        <f>AND(#REF!,"AAAAAE/fdv4=")</f>
        <v>#REF!</v>
      </c>
      <c r="IV15" t="e">
        <f>AND(#REF!,"AAAAAE/fdv8=")</f>
        <v>#REF!</v>
      </c>
    </row>
    <row r="16" spans="1:256" x14ac:dyDescent="0.25">
      <c r="A16" t="e">
        <f>AND(#REF!,"AAAAAH1/nwA=")</f>
        <v>#REF!</v>
      </c>
      <c r="B16" t="e">
        <f>AND(#REF!,"AAAAAH1/nwE=")</f>
        <v>#REF!</v>
      </c>
      <c r="C16" t="e">
        <f>AND(#REF!,"AAAAAH1/nwI=")</f>
        <v>#REF!</v>
      </c>
      <c r="D16" t="e">
        <f>AND(#REF!,"AAAAAH1/nwM=")</f>
        <v>#REF!</v>
      </c>
      <c r="E16" t="e">
        <f>AND(#REF!,"AAAAAH1/nwQ=")</f>
        <v>#REF!</v>
      </c>
      <c r="F16" t="e">
        <f>AND(#REF!,"AAAAAH1/nwU=")</f>
        <v>#REF!</v>
      </c>
      <c r="G16" t="e">
        <f>AND(#REF!,"AAAAAH1/nwY=")</f>
        <v>#REF!</v>
      </c>
      <c r="H16" t="e">
        <f>AND(#REF!,"AAAAAH1/nwc=")</f>
        <v>#REF!</v>
      </c>
      <c r="I16" t="e">
        <f>AND(#REF!,"AAAAAH1/nwg=")</f>
        <v>#REF!</v>
      </c>
      <c r="J16" t="e">
        <f>AND(#REF!,"AAAAAH1/nwk=")</f>
        <v>#REF!</v>
      </c>
      <c r="K16" t="e">
        <f>AND(#REF!,"AAAAAH1/nwo=")</f>
        <v>#REF!</v>
      </c>
      <c r="L16" t="e">
        <f>AND(#REF!,"AAAAAH1/nws=")</f>
        <v>#REF!</v>
      </c>
      <c r="M16" t="e">
        <f>AND(#REF!,"AAAAAH1/nww=")</f>
        <v>#REF!</v>
      </c>
      <c r="N16" t="e">
        <f>AND(#REF!,"AAAAAH1/nw0=")</f>
        <v>#REF!</v>
      </c>
      <c r="O16" t="e">
        <f>AND(#REF!,"AAAAAH1/nw4=")</f>
        <v>#REF!</v>
      </c>
      <c r="P16" t="e">
        <f>AND(#REF!,"AAAAAH1/nw8=")</f>
        <v>#REF!</v>
      </c>
      <c r="Q16" t="e">
        <f>AND(#REF!,"AAAAAH1/nxA=")</f>
        <v>#REF!</v>
      </c>
      <c r="R16" t="e">
        <f>AND(#REF!,"AAAAAH1/nxE=")</f>
        <v>#REF!</v>
      </c>
      <c r="S16" t="e">
        <f>AND(#REF!,"AAAAAH1/nxI=")</f>
        <v>#REF!</v>
      </c>
      <c r="T16" t="e">
        <f>AND(#REF!,"AAAAAH1/nxM=")</f>
        <v>#REF!</v>
      </c>
      <c r="U16" t="e">
        <f>AND(#REF!,"AAAAAH1/nxQ=")</f>
        <v>#REF!</v>
      </c>
      <c r="V16" t="e">
        <f>AND(#REF!,"AAAAAH1/nxU=")</f>
        <v>#REF!</v>
      </c>
      <c r="W16" t="e">
        <f>AND(#REF!,"AAAAAH1/nxY=")</f>
        <v>#REF!</v>
      </c>
      <c r="X16" t="e">
        <f>AND(#REF!,"AAAAAH1/nxc=")</f>
        <v>#REF!</v>
      </c>
      <c r="Y16" t="e">
        <f>AND(#REF!,"AAAAAH1/nxg=")</f>
        <v>#REF!</v>
      </c>
      <c r="Z16" t="e">
        <f>AND(#REF!,"AAAAAH1/nxk=")</f>
        <v>#REF!</v>
      </c>
      <c r="AA16" t="e">
        <f>AND(#REF!,"AAAAAH1/nxo=")</f>
        <v>#REF!</v>
      </c>
      <c r="AB16" t="e">
        <f>AND(#REF!,"AAAAAH1/nxs=")</f>
        <v>#REF!</v>
      </c>
      <c r="AC16" t="e">
        <f>AND(#REF!,"AAAAAH1/nxw=")</f>
        <v>#REF!</v>
      </c>
      <c r="AD16" t="e">
        <f>AND(#REF!,"AAAAAH1/nx0=")</f>
        <v>#REF!</v>
      </c>
      <c r="AE16" t="e">
        <f>AND(#REF!,"AAAAAH1/nx4=")</f>
        <v>#REF!</v>
      </c>
      <c r="AF16" t="e">
        <f>AND(#REF!,"AAAAAH1/nx8=")</f>
        <v>#REF!</v>
      </c>
      <c r="AG16" t="e">
        <f>AND(#REF!,"AAAAAH1/nyA=")</f>
        <v>#REF!</v>
      </c>
      <c r="AH16" t="e">
        <f>AND(#REF!,"AAAAAH1/nyE=")</f>
        <v>#REF!</v>
      </c>
      <c r="AI16" t="e">
        <f>AND(#REF!,"AAAAAH1/nyI=")</f>
        <v>#REF!</v>
      </c>
      <c r="AJ16" t="e">
        <f>AND(#REF!,"AAAAAH1/nyM=")</f>
        <v>#REF!</v>
      </c>
      <c r="AK16" t="e">
        <f>AND(#REF!,"AAAAAH1/nyQ=")</f>
        <v>#REF!</v>
      </c>
      <c r="AL16" t="e">
        <f>AND(#REF!,"AAAAAH1/nyU=")</f>
        <v>#REF!</v>
      </c>
      <c r="AM16" t="e">
        <f>AND(#REF!,"AAAAAH1/nyY=")</f>
        <v>#REF!</v>
      </c>
      <c r="AN16" t="e">
        <f>AND(#REF!,"AAAAAH1/nyc=")</f>
        <v>#REF!</v>
      </c>
      <c r="AO16" t="e">
        <f>AND(#REF!,"AAAAAH1/nyg=")</f>
        <v>#REF!</v>
      </c>
      <c r="AP16" t="e">
        <f>AND(#REF!,"AAAAAH1/nyk=")</f>
        <v>#REF!</v>
      </c>
      <c r="AQ16" t="e">
        <f>AND(#REF!,"AAAAAH1/nyo=")</f>
        <v>#REF!</v>
      </c>
      <c r="AR16" t="e">
        <f>AND(#REF!,"AAAAAH1/nys=")</f>
        <v>#REF!</v>
      </c>
      <c r="AS16" t="e">
        <f>AND(#REF!,"AAAAAH1/nyw=")</f>
        <v>#REF!</v>
      </c>
      <c r="AT16" t="e">
        <f>AND(#REF!,"AAAAAH1/ny0=")</f>
        <v>#REF!</v>
      </c>
      <c r="AU16" t="e">
        <f>AND(#REF!,"AAAAAH1/ny4=")</f>
        <v>#REF!</v>
      </c>
      <c r="AV16" t="e">
        <f>AND(#REF!,"AAAAAH1/ny8=")</f>
        <v>#REF!</v>
      </c>
      <c r="AW16" t="e">
        <f>AND(#REF!,"AAAAAH1/nzA=")</f>
        <v>#REF!</v>
      </c>
      <c r="AX16" t="e">
        <f>AND(#REF!,"AAAAAH1/nzE=")</f>
        <v>#REF!</v>
      </c>
      <c r="AY16" t="e">
        <f>AND(#REF!,"AAAAAH1/nzI=")</f>
        <v>#REF!</v>
      </c>
      <c r="AZ16" t="e">
        <f>AND(#REF!,"AAAAAH1/nzM=")</f>
        <v>#REF!</v>
      </c>
      <c r="BA16" t="e">
        <f>AND(#REF!,"AAAAAH1/nzQ=")</f>
        <v>#REF!</v>
      </c>
      <c r="BB16" t="e">
        <f>AND(#REF!,"AAAAAH1/nzU=")</f>
        <v>#REF!</v>
      </c>
      <c r="BC16" t="e">
        <f>AND(#REF!,"AAAAAH1/nzY=")</f>
        <v>#REF!</v>
      </c>
      <c r="BD16" t="e">
        <f>AND(#REF!,"AAAAAH1/nzc=")</f>
        <v>#REF!</v>
      </c>
      <c r="BE16" t="e">
        <f>AND(#REF!,"AAAAAH1/nzg=")</f>
        <v>#REF!</v>
      </c>
      <c r="BF16" t="e">
        <f>AND(#REF!,"AAAAAH1/nzk=")</f>
        <v>#REF!</v>
      </c>
      <c r="BG16" t="e">
        <f>AND(#REF!,"AAAAAH1/nzo=")</f>
        <v>#REF!</v>
      </c>
      <c r="BH16" t="e">
        <f>AND(#REF!,"AAAAAH1/nzs=")</f>
        <v>#REF!</v>
      </c>
      <c r="BI16" t="e">
        <f>AND(#REF!,"AAAAAH1/nzw=")</f>
        <v>#REF!</v>
      </c>
      <c r="BJ16" t="e">
        <f>AND(#REF!,"AAAAAH1/nz0=")</f>
        <v>#REF!</v>
      </c>
      <c r="BK16" t="e">
        <f>AND(#REF!,"AAAAAH1/nz4=")</f>
        <v>#REF!</v>
      </c>
      <c r="BL16" t="e">
        <f>AND(#REF!,"AAAAAH1/nz8=")</f>
        <v>#REF!</v>
      </c>
      <c r="BM16" t="e">
        <f>AND(#REF!,"AAAAAH1/n0A=")</f>
        <v>#REF!</v>
      </c>
      <c r="BN16" t="e">
        <f>AND(#REF!,"AAAAAH1/n0E=")</f>
        <v>#REF!</v>
      </c>
      <c r="BO16" t="e">
        <f>AND(#REF!,"AAAAAH1/n0I=")</f>
        <v>#REF!</v>
      </c>
      <c r="BP16" t="e">
        <f>AND(#REF!,"AAAAAH1/n0M=")</f>
        <v>#REF!</v>
      </c>
      <c r="BQ16" t="e">
        <f>AND(#REF!,"AAAAAH1/n0Q=")</f>
        <v>#REF!</v>
      </c>
      <c r="BR16" t="e">
        <f>AND(#REF!,"AAAAAH1/n0U=")</f>
        <v>#REF!</v>
      </c>
      <c r="BS16" t="e">
        <f>AND(#REF!,"AAAAAH1/n0Y=")</f>
        <v>#REF!</v>
      </c>
      <c r="BT16" t="e">
        <f>AND(#REF!,"AAAAAH1/n0c=")</f>
        <v>#REF!</v>
      </c>
      <c r="BU16" t="e">
        <f>AND(#REF!,"AAAAAH1/n0g=")</f>
        <v>#REF!</v>
      </c>
      <c r="BV16" t="e">
        <f>AND(#REF!,"AAAAAH1/n0k=")</f>
        <v>#REF!</v>
      </c>
      <c r="BW16" t="e">
        <f>AND(#REF!,"AAAAAH1/n0o=")</f>
        <v>#REF!</v>
      </c>
      <c r="BX16" t="e">
        <f>AND(#REF!,"AAAAAH1/n0s=")</f>
        <v>#REF!</v>
      </c>
      <c r="BY16" t="e">
        <f>AND(#REF!,"AAAAAH1/n0w=")</f>
        <v>#REF!</v>
      </c>
      <c r="BZ16" t="e">
        <f>AND(#REF!,"AAAAAH1/n00=")</f>
        <v>#REF!</v>
      </c>
      <c r="CA16" t="e">
        <f>AND(#REF!,"AAAAAH1/n04=")</f>
        <v>#REF!</v>
      </c>
      <c r="CB16" t="e">
        <f>AND(#REF!,"AAAAAH1/n08=")</f>
        <v>#REF!</v>
      </c>
      <c r="CC16" t="e">
        <f>AND(#REF!,"AAAAAH1/n1A=")</f>
        <v>#REF!</v>
      </c>
      <c r="CD16" t="e">
        <f>AND(#REF!,"AAAAAH1/n1E=")</f>
        <v>#REF!</v>
      </c>
      <c r="CE16" t="e">
        <f>AND(#REF!,"AAAAAH1/n1I=")</f>
        <v>#REF!</v>
      </c>
      <c r="CF16" t="e">
        <f>AND(#REF!,"AAAAAH1/n1M=")</f>
        <v>#REF!</v>
      </c>
      <c r="CG16" t="e">
        <f>AND(#REF!,"AAAAAH1/n1Q=")</f>
        <v>#REF!</v>
      </c>
      <c r="CH16" t="e">
        <f>AND(#REF!,"AAAAAH1/n1U=")</f>
        <v>#REF!</v>
      </c>
      <c r="CI16" t="e">
        <f>AND(#REF!,"AAAAAH1/n1Y=")</f>
        <v>#REF!</v>
      </c>
      <c r="CJ16" t="e">
        <f>AND(#REF!,"AAAAAH1/n1c=")</f>
        <v>#REF!</v>
      </c>
      <c r="CK16" t="e">
        <f>AND(#REF!,"AAAAAH1/n1g=")</f>
        <v>#REF!</v>
      </c>
      <c r="CL16" t="e">
        <f>AND(#REF!,"AAAAAH1/n1k=")</f>
        <v>#REF!</v>
      </c>
      <c r="CM16" t="e">
        <f>AND(#REF!,"AAAAAH1/n1o=")</f>
        <v>#REF!</v>
      </c>
      <c r="CN16" t="e">
        <f>AND(#REF!,"AAAAAH1/n1s=")</f>
        <v>#REF!</v>
      </c>
      <c r="CO16" t="e">
        <f>AND(#REF!,"AAAAAH1/n1w=")</f>
        <v>#REF!</v>
      </c>
      <c r="CP16" t="e">
        <f>AND(#REF!,"AAAAAH1/n10=")</f>
        <v>#REF!</v>
      </c>
      <c r="CQ16" t="e">
        <f>AND(#REF!,"AAAAAH1/n14=")</f>
        <v>#REF!</v>
      </c>
      <c r="CR16" t="e">
        <f>AND(#REF!,"AAAAAH1/n18=")</f>
        <v>#REF!</v>
      </c>
      <c r="CS16" t="e">
        <f>AND(#REF!,"AAAAAH1/n2A=")</f>
        <v>#REF!</v>
      </c>
      <c r="CT16" t="e">
        <f>AND(#REF!,"AAAAAH1/n2E=")</f>
        <v>#REF!</v>
      </c>
      <c r="CU16" t="e">
        <f>AND(#REF!,"AAAAAH1/n2I=")</f>
        <v>#REF!</v>
      </c>
      <c r="CV16" t="e">
        <f>AND(#REF!,"AAAAAH1/n2M=")</f>
        <v>#REF!</v>
      </c>
      <c r="CW16" t="e">
        <f>AND(#REF!,"AAAAAH1/n2Q=")</f>
        <v>#REF!</v>
      </c>
      <c r="CX16" t="e">
        <f>AND(#REF!,"AAAAAH1/n2U=")</f>
        <v>#REF!</v>
      </c>
      <c r="CY16" t="e">
        <f>AND(#REF!,"AAAAAH1/n2Y=")</f>
        <v>#REF!</v>
      </c>
      <c r="CZ16" t="e">
        <f>AND(#REF!,"AAAAAH1/n2c=")</f>
        <v>#REF!</v>
      </c>
      <c r="DA16" t="e">
        <f>AND(#REF!,"AAAAAH1/n2g=")</f>
        <v>#REF!</v>
      </c>
      <c r="DB16" t="e">
        <f>AND(#REF!,"AAAAAH1/n2k=")</f>
        <v>#REF!</v>
      </c>
      <c r="DC16" t="e">
        <f>AND(#REF!,"AAAAAH1/n2o=")</f>
        <v>#REF!</v>
      </c>
      <c r="DD16" t="e">
        <f>AND(#REF!,"AAAAAH1/n2s=")</f>
        <v>#REF!</v>
      </c>
      <c r="DE16" t="e">
        <f>AND(#REF!,"AAAAAH1/n2w=")</f>
        <v>#REF!</v>
      </c>
      <c r="DF16" t="e">
        <f>AND(#REF!,"AAAAAH1/n20=")</f>
        <v>#REF!</v>
      </c>
      <c r="DG16" t="e">
        <f>AND(#REF!,"AAAAAH1/n24=")</f>
        <v>#REF!</v>
      </c>
      <c r="DH16" t="e">
        <f>AND(#REF!,"AAAAAH1/n28=")</f>
        <v>#REF!</v>
      </c>
      <c r="DI16" t="e">
        <f>AND(#REF!,"AAAAAH1/n3A=")</f>
        <v>#REF!</v>
      </c>
      <c r="DJ16" t="e">
        <f>AND(#REF!,"AAAAAH1/n3E=")</f>
        <v>#REF!</v>
      </c>
      <c r="DK16" t="e">
        <f>AND(#REF!,"AAAAAH1/n3I=")</f>
        <v>#REF!</v>
      </c>
      <c r="DL16" t="e">
        <f>AND(#REF!,"AAAAAH1/n3M=")</f>
        <v>#REF!</v>
      </c>
      <c r="DM16" t="e">
        <f>AND(#REF!,"AAAAAH1/n3Q=")</f>
        <v>#REF!</v>
      </c>
      <c r="DN16" t="e">
        <f>AND(#REF!,"AAAAAH1/n3U=")</f>
        <v>#REF!</v>
      </c>
      <c r="DO16" t="e">
        <f>AND(#REF!,"AAAAAH1/n3Y=")</f>
        <v>#REF!</v>
      </c>
      <c r="DP16" t="e">
        <f>AND(#REF!,"AAAAAH1/n3c=")</f>
        <v>#REF!</v>
      </c>
      <c r="DQ16" t="e">
        <f>AND(#REF!,"AAAAAH1/n3g=")</f>
        <v>#REF!</v>
      </c>
      <c r="DR16" t="e">
        <f>AND(#REF!,"AAAAAH1/n3k=")</f>
        <v>#REF!</v>
      </c>
      <c r="DS16" t="e">
        <f>AND(#REF!,"AAAAAH1/n3o=")</f>
        <v>#REF!</v>
      </c>
      <c r="DT16" t="e">
        <f>AND(#REF!,"AAAAAH1/n3s=")</f>
        <v>#REF!</v>
      </c>
      <c r="DU16" t="e">
        <f>AND(#REF!,"AAAAAH1/n3w=")</f>
        <v>#REF!</v>
      </c>
      <c r="DV16" t="e">
        <f>AND(#REF!,"AAAAAH1/n30=")</f>
        <v>#REF!</v>
      </c>
      <c r="DW16" t="e">
        <f>AND(#REF!,"AAAAAH1/n34=")</f>
        <v>#REF!</v>
      </c>
      <c r="DX16" t="e">
        <f>AND(#REF!,"AAAAAH1/n38=")</f>
        <v>#REF!</v>
      </c>
      <c r="DY16" t="e">
        <f>AND(#REF!,"AAAAAH1/n4A=")</f>
        <v>#REF!</v>
      </c>
      <c r="DZ16" t="e">
        <f>AND(#REF!,"AAAAAH1/n4E=")</f>
        <v>#REF!</v>
      </c>
      <c r="EA16" t="e">
        <f>AND(#REF!,"AAAAAH1/n4I=")</f>
        <v>#REF!</v>
      </c>
      <c r="EB16" t="e">
        <f>AND(#REF!,"AAAAAH1/n4M=")</f>
        <v>#REF!</v>
      </c>
      <c r="EC16" t="e">
        <f>AND(#REF!,"AAAAAH1/n4Q=")</f>
        <v>#REF!</v>
      </c>
      <c r="ED16" t="e">
        <f>AND(#REF!,"AAAAAH1/n4U=")</f>
        <v>#REF!</v>
      </c>
      <c r="EE16" t="e">
        <f>AND(#REF!,"AAAAAH1/n4Y=")</f>
        <v>#REF!</v>
      </c>
      <c r="EF16" t="e">
        <f>AND(#REF!,"AAAAAH1/n4c=")</f>
        <v>#REF!</v>
      </c>
      <c r="EG16" t="e">
        <f>AND(#REF!,"AAAAAH1/n4g=")</f>
        <v>#REF!</v>
      </c>
      <c r="EH16" t="e">
        <f>AND(#REF!,"AAAAAH1/n4k=")</f>
        <v>#REF!</v>
      </c>
      <c r="EI16" t="e">
        <f>AND(#REF!,"AAAAAH1/n4o=")</f>
        <v>#REF!</v>
      </c>
      <c r="EJ16" t="e">
        <f>AND(#REF!,"AAAAAH1/n4s=")</f>
        <v>#REF!</v>
      </c>
      <c r="EK16" t="e">
        <f>AND(#REF!,"AAAAAH1/n4w=")</f>
        <v>#REF!</v>
      </c>
      <c r="EL16" t="e">
        <f>AND(#REF!,"AAAAAH1/n40=")</f>
        <v>#REF!</v>
      </c>
      <c r="EM16" t="e">
        <f>AND(#REF!,"AAAAAH1/n44=")</f>
        <v>#REF!</v>
      </c>
      <c r="EN16" t="e">
        <f>AND(#REF!,"AAAAAH1/n48=")</f>
        <v>#REF!</v>
      </c>
      <c r="EO16" t="e">
        <f>AND(#REF!,"AAAAAH1/n5A=")</f>
        <v>#REF!</v>
      </c>
      <c r="EP16" t="e">
        <f>AND(#REF!,"AAAAAH1/n5E=")</f>
        <v>#REF!</v>
      </c>
      <c r="EQ16" t="e">
        <f>AND(#REF!,"AAAAAH1/n5I=")</f>
        <v>#REF!</v>
      </c>
      <c r="ER16" t="e">
        <f>AND(#REF!,"AAAAAH1/n5M=")</f>
        <v>#REF!</v>
      </c>
      <c r="ES16" t="e">
        <f>AND(#REF!,"AAAAAH1/n5Q=")</f>
        <v>#REF!</v>
      </c>
      <c r="ET16" t="e">
        <f>AND(#REF!,"AAAAAH1/n5U=")</f>
        <v>#REF!</v>
      </c>
      <c r="EU16" t="e">
        <f>AND(#REF!,"AAAAAH1/n5Y=")</f>
        <v>#REF!</v>
      </c>
      <c r="EV16" t="e">
        <f>AND(#REF!,"AAAAAH1/n5c=")</f>
        <v>#REF!</v>
      </c>
      <c r="EW16" t="e">
        <f>AND(#REF!,"AAAAAH1/n5g=")</f>
        <v>#REF!</v>
      </c>
      <c r="EX16" t="e">
        <f>AND(#REF!,"AAAAAH1/n5k=")</f>
        <v>#REF!</v>
      </c>
      <c r="EY16" t="e">
        <f>AND(#REF!,"AAAAAH1/n5o=")</f>
        <v>#REF!</v>
      </c>
      <c r="EZ16" t="e">
        <f>AND(#REF!,"AAAAAH1/n5s=")</f>
        <v>#REF!</v>
      </c>
      <c r="FA16" t="e">
        <f>AND(#REF!,"AAAAAH1/n5w=")</f>
        <v>#REF!</v>
      </c>
      <c r="FB16" t="e">
        <f>AND(#REF!,"AAAAAH1/n50=")</f>
        <v>#REF!</v>
      </c>
      <c r="FC16" t="e">
        <f>AND(#REF!,"AAAAAH1/n54=")</f>
        <v>#REF!</v>
      </c>
      <c r="FD16" t="e">
        <f>AND(#REF!,"AAAAAH1/n58=")</f>
        <v>#REF!</v>
      </c>
      <c r="FE16" t="e">
        <f>AND(#REF!,"AAAAAH1/n6A=")</f>
        <v>#REF!</v>
      </c>
      <c r="FF16" t="e">
        <f>AND(#REF!,"AAAAAH1/n6E=")</f>
        <v>#REF!</v>
      </c>
      <c r="FG16" t="e">
        <f>AND(#REF!,"AAAAAH1/n6I=")</f>
        <v>#REF!</v>
      </c>
      <c r="FH16" t="e">
        <f>AND(#REF!,"AAAAAH1/n6M=")</f>
        <v>#REF!</v>
      </c>
      <c r="FI16" t="e">
        <f>AND(#REF!,"AAAAAH1/n6Q=")</f>
        <v>#REF!</v>
      </c>
      <c r="FJ16" t="e">
        <f>AND(#REF!,"AAAAAH1/n6U=")</f>
        <v>#REF!</v>
      </c>
      <c r="FK16" t="e">
        <f>IF(#REF!,"AAAAAH1/n6Y=",0)</f>
        <v>#REF!</v>
      </c>
      <c r="FL16" t="e">
        <f>AND(#REF!,"AAAAAH1/n6c=")</f>
        <v>#REF!</v>
      </c>
      <c r="FM16" t="e">
        <f>AND(#REF!,"AAAAAH1/n6g=")</f>
        <v>#REF!</v>
      </c>
      <c r="FN16" t="e">
        <f>AND(#REF!,"AAAAAH1/n6k=")</f>
        <v>#REF!</v>
      </c>
      <c r="FO16" t="e">
        <f>AND(#REF!,"AAAAAH1/n6o=")</f>
        <v>#REF!</v>
      </c>
      <c r="FP16" t="e">
        <f>AND(#REF!,"AAAAAH1/n6s=")</f>
        <v>#REF!</v>
      </c>
      <c r="FQ16" t="e">
        <f>AND(#REF!,"AAAAAH1/n6w=")</f>
        <v>#REF!</v>
      </c>
      <c r="FR16" t="e">
        <f>AND(#REF!,"AAAAAH1/n60=")</f>
        <v>#REF!</v>
      </c>
      <c r="FS16" t="e">
        <f>AND(#REF!,"AAAAAH1/n64=")</f>
        <v>#REF!</v>
      </c>
      <c r="FT16" t="e">
        <f>AND(#REF!,"AAAAAH1/n68=")</f>
        <v>#REF!</v>
      </c>
      <c r="FU16" t="e">
        <f>AND(#REF!,"AAAAAH1/n7A=")</f>
        <v>#REF!</v>
      </c>
      <c r="FV16" t="e">
        <f>AND(#REF!,"AAAAAH1/n7E=")</f>
        <v>#REF!</v>
      </c>
      <c r="FW16" t="e">
        <f>AND(#REF!,"AAAAAH1/n7I=")</f>
        <v>#REF!</v>
      </c>
      <c r="FX16" t="e">
        <f>AND(#REF!,"AAAAAH1/n7M=")</f>
        <v>#REF!</v>
      </c>
      <c r="FY16" t="e">
        <f>AND(#REF!,"AAAAAH1/n7Q=")</f>
        <v>#REF!</v>
      </c>
      <c r="FZ16" t="e">
        <f>AND(#REF!,"AAAAAH1/n7U=")</f>
        <v>#REF!</v>
      </c>
      <c r="GA16" t="e">
        <f>AND(#REF!,"AAAAAH1/n7Y=")</f>
        <v>#REF!</v>
      </c>
      <c r="GB16" t="e">
        <f>AND(#REF!,"AAAAAH1/n7c=")</f>
        <v>#REF!</v>
      </c>
      <c r="GC16" t="e">
        <f>AND(#REF!,"AAAAAH1/n7g=")</f>
        <v>#REF!</v>
      </c>
      <c r="GD16" t="e">
        <f>AND(#REF!,"AAAAAH1/n7k=")</f>
        <v>#REF!</v>
      </c>
      <c r="GE16" t="e">
        <f>AND(#REF!,"AAAAAH1/n7o=")</f>
        <v>#REF!</v>
      </c>
      <c r="GF16" t="e">
        <f>AND(#REF!,"AAAAAH1/n7s=")</f>
        <v>#REF!</v>
      </c>
      <c r="GG16" t="e">
        <f>AND(#REF!,"AAAAAH1/n7w=")</f>
        <v>#REF!</v>
      </c>
      <c r="GH16" t="e">
        <f>AND(#REF!,"AAAAAH1/n70=")</f>
        <v>#REF!</v>
      </c>
      <c r="GI16" t="e">
        <f>AND(#REF!,"AAAAAH1/n74=")</f>
        <v>#REF!</v>
      </c>
      <c r="GJ16" t="e">
        <f>AND(#REF!,"AAAAAH1/n78=")</f>
        <v>#REF!</v>
      </c>
      <c r="GK16" t="e">
        <f>AND(#REF!,"AAAAAH1/n8A=")</f>
        <v>#REF!</v>
      </c>
      <c r="GL16" t="e">
        <f>AND(#REF!,"AAAAAH1/n8E=")</f>
        <v>#REF!</v>
      </c>
      <c r="GM16" t="e">
        <f>AND(#REF!,"AAAAAH1/n8I=")</f>
        <v>#REF!</v>
      </c>
      <c r="GN16" t="e">
        <f>AND(#REF!,"AAAAAH1/n8M=")</f>
        <v>#REF!</v>
      </c>
      <c r="GO16" t="e">
        <f>AND(#REF!,"AAAAAH1/n8Q=")</f>
        <v>#REF!</v>
      </c>
      <c r="GP16" t="e">
        <f>AND(#REF!,"AAAAAH1/n8U=")</f>
        <v>#REF!</v>
      </c>
      <c r="GQ16" t="e">
        <f>AND(#REF!,"AAAAAH1/n8Y=")</f>
        <v>#REF!</v>
      </c>
      <c r="GR16" t="e">
        <f>AND(#REF!,"AAAAAH1/n8c=")</f>
        <v>#REF!</v>
      </c>
      <c r="GS16" t="e">
        <f>AND(#REF!,"AAAAAH1/n8g=")</f>
        <v>#REF!</v>
      </c>
      <c r="GT16" t="e">
        <f>AND(#REF!,"AAAAAH1/n8k=")</f>
        <v>#REF!</v>
      </c>
      <c r="GU16" t="e">
        <f>AND(#REF!,"AAAAAH1/n8o=")</f>
        <v>#REF!</v>
      </c>
      <c r="GV16" t="e">
        <f>AND(#REF!,"AAAAAH1/n8s=")</f>
        <v>#REF!</v>
      </c>
      <c r="GW16" t="e">
        <f>AND(#REF!,"AAAAAH1/n8w=")</f>
        <v>#REF!</v>
      </c>
      <c r="GX16" t="e">
        <f>AND(#REF!,"AAAAAH1/n80=")</f>
        <v>#REF!</v>
      </c>
      <c r="GY16" t="e">
        <f>AND(#REF!,"AAAAAH1/n84=")</f>
        <v>#REF!</v>
      </c>
      <c r="GZ16" t="e">
        <f>AND(#REF!,"AAAAAH1/n88=")</f>
        <v>#REF!</v>
      </c>
      <c r="HA16" t="e">
        <f>AND(#REF!,"AAAAAH1/n9A=")</f>
        <v>#REF!</v>
      </c>
      <c r="HB16" t="e">
        <f>AND(#REF!,"AAAAAH1/n9E=")</f>
        <v>#REF!</v>
      </c>
      <c r="HC16" t="e">
        <f>AND(#REF!,"AAAAAH1/n9I=")</f>
        <v>#REF!</v>
      </c>
      <c r="HD16" t="e">
        <f>AND(#REF!,"AAAAAH1/n9M=")</f>
        <v>#REF!</v>
      </c>
      <c r="HE16" t="e">
        <f>AND(#REF!,"AAAAAH1/n9Q=")</f>
        <v>#REF!</v>
      </c>
      <c r="HF16" t="e">
        <f>AND(#REF!,"AAAAAH1/n9U=")</f>
        <v>#REF!</v>
      </c>
      <c r="HG16" t="e">
        <f>AND(#REF!,"AAAAAH1/n9Y=")</f>
        <v>#REF!</v>
      </c>
      <c r="HH16" t="e">
        <f>AND(#REF!,"AAAAAH1/n9c=")</f>
        <v>#REF!</v>
      </c>
      <c r="HI16" t="e">
        <f>AND(#REF!,"AAAAAH1/n9g=")</f>
        <v>#REF!</v>
      </c>
      <c r="HJ16" t="e">
        <f>AND(#REF!,"AAAAAH1/n9k=")</f>
        <v>#REF!</v>
      </c>
      <c r="HK16" t="e">
        <f>AND(#REF!,"AAAAAH1/n9o=")</f>
        <v>#REF!</v>
      </c>
      <c r="HL16" t="e">
        <f>AND(#REF!,"AAAAAH1/n9s=")</f>
        <v>#REF!</v>
      </c>
      <c r="HM16" t="e">
        <f>AND(#REF!,"AAAAAH1/n9w=")</f>
        <v>#REF!</v>
      </c>
      <c r="HN16" t="e">
        <f>AND(#REF!,"AAAAAH1/n90=")</f>
        <v>#REF!</v>
      </c>
      <c r="HO16" t="e">
        <f>AND(#REF!,"AAAAAH1/n94=")</f>
        <v>#REF!</v>
      </c>
      <c r="HP16" t="e">
        <f>AND(#REF!,"AAAAAH1/n98=")</f>
        <v>#REF!</v>
      </c>
      <c r="HQ16" t="e">
        <f>AND(#REF!,"AAAAAH1/n+A=")</f>
        <v>#REF!</v>
      </c>
      <c r="HR16" t="e">
        <f>AND(#REF!,"AAAAAH1/n+E=")</f>
        <v>#REF!</v>
      </c>
      <c r="HS16" t="e">
        <f>AND(#REF!,"AAAAAH1/n+I=")</f>
        <v>#REF!</v>
      </c>
      <c r="HT16" t="e">
        <f>AND(#REF!,"AAAAAH1/n+M=")</f>
        <v>#REF!</v>
      </c>
      <c r="HU16" t="e">
        <f>AND(#REF!,"AAAAAH1/n+Q=")</f>
        <v>#REF!</v>
      </c>
      <c r="HV16" t="e">
        <f>AND(#REF!,"AAAAAH1/n+U=")</f>
        <v>#REF!</v>
      </c>
      <c r="HW16" t="e">
        <f>AND(#REF!,"AAAAAH1/n+Y=")</f>
        <v>#REF!</v>
      </c>
      <c r="HX16" t="e">
        <f>AND(#REF!,"AAAAAH1/n+c=")</f>
        <v>#REF!</v>
      </c>
      <c r="HY16" t="e">
        <f>AND(#REF!,"AAAAAH1/n+g=")</f>
        <v>#REF!</v>
      </c>
      <c r="HZ16" t="e">
        <f>AND(#REF!,"AAAAAH1/n+k=")</f>
        <v>#REF!</v>
      </c>
      <c r="IA16" t="e">
        <f>AND(#REF!,"AAAAAH1/n+o=")</f>
        <v>#REF!</v>
      </c>
      <c r="IB16" t="e">
        <f>AND(#REF!,"AAAAAH1/n+s=")</f>
        <v>#REF!</v>
      </c>
      <c r="IC16" t="e">
        <f>AND(#REF!,"AAAAAH1/n+w=")</f>
        <v>#REF!</v>
      </c>
      <c r="ID16" t="e">
        <f>AND(#REF!,"AAAAAH1/n+0=")</f>
        <v>#REF!</v>
      </c>
      <c r="IE16" t="e">
        <f>AND(#REF!,"AAAAAH1/n+4=")</f>
        <v>#REF!</v>
      </c>
      <c r="IF16" t="e">
        <f>AND(#REF!,"AAAAAH1/n+8=")</f>
        <v>#REF!</v>
      </c>
      <c r="IG16" t="e">
        <f>AND(#REF!,"AAAAAH1/n/A=")</f>
        <v>#REF!</v>
      </c>
      <c r="IH16" t="e">
        <f>AND(#REF!,"AAAAAH1/n/E=")</f>
        <v>#REF!</v>
      </c>
      <c r="II16" t="e">
        <f>AND(#REF!,"AAAAAH1/n/I=")</f>
        <v>#REF!</v>
      </c>
      <c r="IJ16" t="e">
        <f>AND(#REF!,"AAAAAH1/n/M=")</f>
        <v>#REF!</v>
      </c>
      <c r="IK16" t="e">
        <f>AND(#REF!,"AAAAAH1/n/Q=")</f>
        <v>#REF!</v>
      </c>
      <c r="IL16" t="e">
        <f>AND(#REF!,"AAAAAH1/n/U=")</f>
        <v>#REF!</v>
      </c>
      <c r="IM16" t="e">
        <f>AND(#REF!,"AAAAAH1/n/Y=")</f>
        <v>#REF!</v>
      </c>
      <c r="IN16" t="e">
        <f>AND(#REF!,"AAAAAH1/n/c=")</f>
        <v>#REF!</v>
      </c>
      <c r="IO16" t="e">
        <f>AND(#REF!,"AAAAAH1/n/g=")</f>
        <v>#REF!</v>
      </c>
      <c r="IP16" t="e">
        <f>AND(#REF!,"AAAAAH1/n/k=")</f>
        <v>#REF!</v>
      </c>
      <c r="IQ16" t="e">
        <f>AND(#REF!,"AAAAAH1/n/o=")</f>
        <v>#REF!</v>
      </c>
      <c r="IR16" t="e">
        <f>AND(#REF!,"AAAAAH1/n/s=")</f>
        <v>#REF!</v>
      </c>
      <c r="IS16" t="e">
        <f>AND(#REF!,"AAAAAH1/n/w=")</f>
        <v>#REF!</v>
      </c>
      <c r="IT16" t="e">
        <f>AND(#REF!,"AAAAAH1/n/0=")</f>
        <v>#REF!</v>
      </c>
      <c r="IU16" t="e">
        <f>AND(#REF!,"AAAAAH1/n/4=")</f>
        <v>#REF!</v>
      </c>
      <c r="IV16" t="e">
        <f>AND(#REF!,"AAAAAH1/n/8=")</f>
        <v>#REF!</v>
      </c>
    </row>
    <row r="17" spans="1:256" x14ac:dyDescent="0.25">
      <c r="A17" t="e">
        <f>AND(#REF!,"AAAAAHu6/gA=")</f>
        <v>#REF!</v>
      </c>
      <c r="B17" t="e">
        <f>AND(#REF!,"AAAAAHu6/gE=")</f>
        <v>#REF!</v>
      </c>
      <c r="C17" t="e">
        <f>AND(#REF!,"AAAAAHu6/gI=")</f>
        <v>#REF!</v>
      </c>
      <c r="D17" t="e">
        <f>AND(#REF!,"AAAAAHu6/gM=")</f>
        <v>#REF!</v>
      </c>
      <c r="E17" t="e">
        <f>AND(#REF!,"AAAAAHu6/gQ=")</f>
        <v>#REF!</v>
      </c>
      <c r="F17" t="e">
        <f>AND(#REF!,"AAAAAHu6/gU=")</f>
        <v>#REF!</v>
      </c>
      <c r="G17" t="e">
        <f>AND(#REF!,"AAAAAHu6/gY=")</f>
        <v>#REF!</v>
      </c>
      <c r="H17" t="e">
        <f>AND(#REF!,"AAAAAHu6/gc=")</f>
        <v>#REF!</v>
      </c>
      <c r="I17" t="e">
        <f>AND(#REF!,"AAAAAHu6/gg=")</f>
        <v>#REF!</v>
      </c>
      <c r="J17" t="e">
        <f>AND(#REF!,"AAAAAHu6/gk=")</f>
        <v>#REF!</v>
      </c>
      <c r="K17" t="e">
        <f>AND(#REF!,"AAAAAHu6/go=")</f>
        <v>#REF!</v>
      </c>
      <c r="L17" t="e">
        <f>AND(#REF!,"AAAAAHu6/gs=")</f>
        <v>#REF!</v>
      </c>
      <c r="M17" t="e">
        <f>AND(#REF!,"AAAAAHu6/gw=")</f>
        <v>#REF!</v>
      </c>
      <c r="N17" t="e">
        <f>AND(#REF!,"AAAAAHu6/g0=")</f>
        <v>#REF!</v>
      </c>
      <c r="O17" t="e">
        <f>AND(#REF!,"AAAAAHu6/g4=")</f>
        <v>#REF!</v>
      </c>
      <c r="P17" t="e">
        <f>AND(#REF!,"AAAAAHu6/g8=")</f>
        <v>#REF!</v>
      </c>
      <c r="Q17" t="e">
        <f>AND(#REF!,"AAAAAHu6/hA=")</f>
        <v>#REF!</v>
      </c>
      <c r="R17" t="e">
        <f>AND(#REF!,"AAAAAHu6/hE=")</f>
        <v>#REF!</v>
      </c>
      <c r="S17" t="e">
        <f>AND(#REF!,"AAAAAHu6/hI=")</f>
        <v>#REF!</v>
      </c>
      <c r="T17" t="e">
        <f>AND(#REF!,"AAAAAHu6/hM=")</f>
        <v>#REF!</v>
      </c>
      <c r="U17" t="e">
        <f>AND(#REF!,"AAAAAHu6/hQ=")</f>
        <v>#REF!</v>
      </c>
      <c r="V17" t="e">
        <f>AND(#REF!,"AAAAAHu6/hU=")</f>
        <v>#REF!</v>
      </c>
      <c r="W17" t="e">
        <f>AND(#REF!,"AAAAAHu6/hY=")</f>
        <v>#REF!</v>
      </c>
      <c r="X17" t="e">
        <f>AND(#REF!,"AAAAAHu6/hc=")</f>
        <v>#REF!</v>
      </c>
      <c r="Y17" t="e">
        <f>AND(#REF!,"AAAAAHu6/hg=")</f>
        <v>#REF!</v>
      </c>
      <c r="Z17" t="e">
        <f>AND(#REF!,"AAAAAHu6/hk=")</f>
        <v>#REF!</v>
      </c>
      <c r="AA17" t="e">
        <f>AND(#REF!,"AAAAAHu6/ho=")</f>
        <v>#REF!</v>
      </c>
      <c r="AB17" t="e">
        <f>AND(#REF!,"AAAAAHu6/hs=")</f>
        <v>#REF!</v>
      </c>
      <c r="AC17" t="e">
        <f>AND(#REF!,"AAAAAHu6/hw=")</f>
        <v>#REF!</v>
      </c>
      <c r="AD17" t="e">
        <f>AND(#REF!,"AAAAAHu6/h0=")</f>
        <v>#REF!</v>
      </c>
      <c r="AE17" t="e">
        <f>AND(#REF!,"AAAAAHu6/h4=")</f>
        <v>#REF!</v>
      </c>
      <c r="AF17" t="e">
        <f>AND(#REF!,"AAAAAHu6/h8=")</f>
        <v>#REF!</v>
      </c>
      <c r="AG17" t="e">
        <f>AND(#REF!,"AAAAAHu6/iA=")</f>
        <v>#REF!</v>
      </c>
      <c r="AH17" t="e">
        <f>AND(#REF!,"AAAAAHu6/iE=")</f>
        <v>#REF!</v>
      </c>
      <c r="AI17" t="e">
        <f>AND(#REF!,"AAAAAHu6/iI=")</f>
        <v>#REF!</v>
      </c>
      <c r="AJ17" t="e">
        <f>AND(#REF!,"AAAAAHu6/iM=")</f>
        <v>#REF!</v>
      </c>
      <c r="AK17" t="e">
        <f>AND(#REF!,"AAAAAHu6/iQ=")</f>
        <v>#REF!</v>
      </c>
      <c r="AL17" t="e">
        <f>AND(#REF!,"AAAAAHu6/iU=")</f>
        <v>#REF!</v>
      </c>
      <c r="AM17" t="e">
        <f>AND(#REF!,"AAAAAHu6/iY=")</f>
        <v>#REF!</v>
      </c>
      <c r="AN17" t="e">
        <f>AND(#REF!,"AAAAAHu6/ic=")</f>
        <v>#REF!</v>
      </c>
      <c r="AO17" t="e">
        <f>AND(#REF!,"AAAAAHu6/ig=")</f>
        <v>#REF!</v>
      </c>
      <c r="AP17" t="e">
        <f>AND(#REF!,"AAAAAHu6/ik=")</f>
        <v>#REF!</v>
      </c>
      <c r="AQ17" t="e">
        <f>AND(#REF!,"AAAAAHu6/io=")</f>
        <v>#REF!</v>
      </c>
      <c r="AR17" t="e">
        <f>AND(#REF!,"AAAAAHu6/is=")</f>
        <v>#REF!</v>
      </c>
      <c r="AS17" t="e">
        <f>AND(#REF!,"AAAAAHu6/iw=")</f>
        <v>#REF!</v>
      </c>
      <c r="AT17" t="e">
        <f>AND(#REF!,"AAAAAHu6/i0=")</f>
        <v>#REF!</v>
      </c>
      <c r="AU17" t="e">
        <f>AND(#REF!,"AAAAAHu6/i4=")</f>
        <v>#REF!</v>
      </c>
      <c r="AV17" t="e">
        <f>AND(#REF!,"AAAAAHu6/i8=")</f>
        <v>#REF!</v>
      </c>
      <c r="AW17" t="e">
        <f>AND(#REF!,"AAAAAHu6/jA=")</f>
        <v>#REF!</v>
      </c>
      <c r="AX17" t="e">
        <f>AND(#REF!,"AAAAAHu6/jE=")</f>
        <v>#REF!</v>
      </c>
      <c r="AY17" t="e">
        <f>AND(#REF!,"AAAAAHu6/jI=")</f>
        <v>#REF!</v>
      </c>
      <c r="AZ17" t="e">
        <f>AND(#REF!,"AAAAAHu6/jM=")</f>
        <v>#REF!</v>
      </c>
      <c r="BA17" t="e">
        <f>AND(#REF!,"AAAAAHu6/jQ=")</f>
        <v>#REF!</v>
      </c>
      <c r="BB17" t="e">
        <f>AND(#REF!,"AAAAAHu6/jU=")</f>
        <v>#REF!</v>
      </c>
      <c r="BC17" t="e">
        <f>AND(#REF!,"AAAAAHu6/jY=")</f>
        <v>#REF!</v>
      </c>
      <c r="BD17" t="e">
        <f>AND(#REF!,"AAAAAHu6/jc=")</f>
        <v>#REF!</v>
      </c>
      <c r="BE17" t="e">
        <f>AND(#REF!,"AAAAAHu6/jg=")</f>
        <v>#REF!</v>
      </c>
      <c r="BF17" t="e">
        <f>AND(#REF!,"AAAAAHu6/jk=")</f>
        <v>#REF!</v>
      </c>
      <c r="BG17" t="e">
        <f>AND(#REF!,"AAAAAHu6/jo=")</f>
        <v>#REF!</v>
      </c>
      <c r="BH17" t="e">
        <f>AND(#REF!,"AAAAAHu6/js=")</f>
        <v>#REF!</v>
      </c>
      <c r="BI17" t="e">
        <f>AND(#REF!,"AAAAAHu6/jw=")</f>
        <v>#REF!</v>
      </c>
      <c r="BJ17" t="e">
        <f>AND(#REF!,"AAAAAHu6/j0=")</f>
        <v>#REF!</v>
      </c>
      <c r="BK17" t="e">
        <f>AND(#REF!,"AAAAAHu6/j4=")</f>
        <v>#REF!</v>
      </c>
      <c r="BL17" t="e">
        <f>AND(#REF!,"AAAAAHu6/j8=")</f>
        <v>#REF!</v>
      </c>
      <c r="BM17" t="e">
        <f>AND(#REF!,"AAAAAHu6/kA=")</f>
        <v>#REF!</v>
      </c>
      <c r="BN17" t="e">
        <f>AND(#REF!,"AAAAAHu6/kE=")</f>
        <v>#REF!</v>
      </c>
      <c r="BO17" t="e">
        <f>AND(#REF!,"AAAAAHu6/kI=")</f>
        <v>#REF!</v>
      </c>
      <c r="BP17" t="e">
        <f>AND(#REF!,"AAAAAHu6/kM=")</f>
        <v>#REF!</v>
      </c>
      <c r="BQ17" t="e">
        <f>AND(#REF!,"AAAAAHu6/kQ=")</f>
        <v>#REF!</v>
      </c>
      <c r="BR17" t="e">
        <f>AND(#REF!,"AAAAAHu6/kU=")</f>
        <v>#REF!</v>
      </c>
      <c r="BS17" t="e">
        <f>AND(#REF!,"AAAAAHu6/kY=")</f>
        <v>#REF!</v>
      </c>
      <c r="BT17" t="e">
        <f>AND(#REF!,"AAAAAHu6/kc=")</f>
        <v>#REF!</v>
      </c>
      <c r="BU17" t="e">
        <f>AND(#REF!,"AAAAAHu6/kg=")</f>
        <v>#REF!</v>
      </c>
      <c r="BV17" t="e">
        <f>AND(#REF!,"AAAAAHu6/kk=")</f>
        <v>#REF!</v>
      </c>
      <c r="BW17" t="e">
        <f>AND(#REF!,"AAAAAHu6/ko=")</f>
        <v>#REF!</v>
      </c>
      <c r="BX17" t="e">
        <f>AND(#REF!,"AAAAAHu6/ks=")</f>
        <v>#REF!</v>
      </c>
      <c r="BY17" t="e">
        <f>AND(#REF!,"AAAAAHu6/kw=")</f>
        <v>#REF!</v>
      </c>
      <c r="BZ17" t="e">
        <f>AND(#REF!,"AAAAAHu6/k0=")</f>
        <v>#REF!</v>
      </c>
      <c r="CA17" t="e">
        <f>AND(#REF!,"AAAAAHu6/k4=")</f>
        <v>#REF!</v>
      </c>
      <c r="CB17" t="e">
        <f>AND(#REF!,"AAAAAHu6/k8=")</f>
        <v>#REF!</v>
      </c>
      <c r="CC17" t="e">
        <f>AND(#REF!,"AAAAAHu6/lA=")</f>
        <v>#REF!</v>
      </c>
      <c r="CD17" t="e">
        <f>AND(#REF!,"AAAAAHu6/lE=")</f>
        <v>#REF!</v>
      </c>
      <c r="CE17" t="e">
        <f>AND(#REF!,"AAAAAHu6/lI=")</f>
        <v>#REF!</v>
      </c>
      <c r="CF17" t="e">
        <f>AND(#REF!,"AAAAAHu6/lM=")</f>
        <v>#REF!</v>
      </c>
      <c r="CG17" t="e">
        <f>AND(#REF!,"AAAAAHu6/lQ=")</f>
        <v>#REF!</v>
      </c>
      <c r="CH17" t="e">
        <f>AND(#REF!,"AAAAAHu6/lU=")</f>
        <v>#REF!</v>
      </c>
      <c r="CI17" t="e">
        <f>AND(#REF!,"AAAAAHu6/lY=")</f>
        <v>#REF!</v>
      </c>
      <c r="CJ17" t="e">
        <f>AND(#REF!,"AAAAAHu6/lc=")</f>
        <v>#REF!</v>
      </c>
      <c r="CK17" t="e">
        <f>AND(#REF!,"AAAAAHu6/lg=")</f>
        <v>#REF!</v>
      </c>
      <c r="CL17" t="e">
        <f>AND(#REF!,"AAAAAHu6/lk=")</f>
        <v>#REF!</v>
      </c>
      <c r="CM17" t="e">
        <f>AND(#REF!,"AAAAAHu6/lo=")</f>
        <v>#REF!</v>
      </c>
      <c r="CN17" t="e">
        <f>AND(#REF!,"AAAAAHu6/ls=")</f>
        <v>#REF!</v>
      </c>
      <c r="CO17" t="e">
        <f>AND(#REF!,"AAAAAHu6/lw=")</f>
        <v>#REF!</v>
      </c>
      <c r="CP17" t="e">
        <f>AND(#REF!,"AAAAAHu6/l0=")</f>
        <v>#REF!</v>
      </c>
      <c r="CQ17" t="e">
        <f>AND(#REF!,"AAAAAHu6/l4=")</f>
        <v>#REF!</v>
      </c>
      <c r="CR17" t="e">
        <f>AND(#REF!,"AAAAAHu6/l8=")</f>
        <v>#REF!</v>
      </c>
      <c r="CS17" t="e">
        <f>AND(#REF!,"AAAAAHu6/mA=")</f>
        <v>#REF!</v>
      </c>
      <c r="CT17" t="e">
        <f>AND(#REF!,"AAAAAHu6/mE=")</f>
        <v>#REF!</v>
      </c>
      <c r="CU17" t="e">
        <f>AND(#REF!,"AAAAAHu6/mI=")</f>
        <v>#REF!</v>
      </c>
      <c r="CV17" t="e">
        <f>IF(#REF!,"AAAAAHu6/mM=",0)</f>
        <v>#REF!</v>
      </c>
      <c r="CW17" t="e">
        <f>AND(#REF!,"AAAAAHu6/mQ=")</f>
        <v>#REF!</v>
      </c>
      <c r="CX17" t="e">
        <f>AND(#REF!,"AAAAAHu6/mU=")</f>
        <v>#REF!</v>
      </c>
      <c r="CY17" t="e">
        <f>AND(#REF!,"AAAAAHu6/mY=")</f>
        <v>#REF!</v>
      </c>
      <c r="CZ17" t="e">
        <f>AND(#REF!,"AAAAAHu6/mc=")</f>
        <v>#REF!</v>
      </c>
      <c r="DA17" t="e">
        <f>AND(#REF!,"AAAAAHu6/mg=")</f>
        <v>#REF!</v>
      </c>
      <c r="DB17" t="e">
        <f>AND(#REF!,"AAAAAHu6/mk=")</f>
        <v>#REF!</v>
      </c>
      <c r="DC17" t="e">
        <f>AND(#REF!,"AAAAAHu6/mo=")</f>
        <v>#REF!</v>
      </c>
      <c r="DD17" t="e">
        <f>AND(#REF!,"AAAAAHu6/ms=")</f>
        <v>#REF!</v>
      </c>
      <c r="DE17" t="e">
        <f>AND(#REF!,"AAAAAHu6/mw=")</f>
        <v>#REF!</v>
      </c>
      <c r="DF17" t="e">
        <f>AND(#REF!,"AAAAAHu6/m0=")</f>
        <v>#REF!</v>
      </c>
      <c r="DG17" t="e">
        <f>AND(#REF!,"AAAAAHu6/m4=")</f>
        <v>#REF!</v>
      </c>
      <c r="DH17" t="e">
        <f>AND(#REF!,"AAAAAHu6/m8=")</f>
        <v>#REF!</v>
      </c>
      <c r="DI17" t="e">
        <f>AND(#REF!,"AAAAAHu6/nA=")</f>
        <v>#REF!</v>
      </c>
      <c r="DJ17" t="e">
        <f>AND(#REF!,"AAAAAHu6/nE=")</f>
        <v>#REF!</v>
      </c>
      <c r="DK17" t="e">
        <f>AND(#REF!,"AAAAAHu6/nI=")</f>
        <v>#REF!</v>
      </c>
      <c r="DL17" t="e">
        <f>AND(#REF!,"AAAAAHu6/nM=")</f>
        <v>#REF!</v>
      </c>
      <c r="DM17" t="e">
        <f>AND(#REF!,"AAAAAHu6/nQ=")</f>
        <v>#REF!</v>
      </c>
      <c r="DN17" t="e">
        <f>AND(#REF!,"AAAAAHu6/nU=")</f>
        <v>#REF!</v>
      </c>
      <c r="DO17" t="e">
        <f>AND(#REF!,"AAAAAHu6/nY=")</f>
        <v>#REF!</v>
      </c>
      <c r="DP17" t="e">
        <f>AND(#REF!,"AAAAAHu6/nc=")</f>
        <v>#REF!</v>
      </c>
      <c r="DQ17" t="e">
        <f>AND(#REF!,"AAAAAHu6/ng=")</f>
        <v>#REF!</v>
      </c>
      <c r="DR17" t="e">
        <f>AND(#REF!,"AAAAAHu6/nk=")</f>
        <v>#REF!</v>
      </c>
      <c r="DS17" t="e">
        <f>AND(#REF!,"AAAAAHu6/no=")</f>
        <v>#REF!</v>
      </c>
      <c r="DT17" t="e">
        <f>AND(#REF!,"AAAAAHu6/ns=")</f>
        <v>#REF!</v>
      </c>
      <c r="DU17" t="e">
        <f>AND(#REF!,"AAAAAHu6/nw=")</f>
        <v>#REF!</v>
      </c>
      <c r="DV17" t="e">
        <f>AND(#REF!,"AAAAAHu6/n0=")</f>
        <v>#REF!</v>
      </c>
      <c r="DW17" t="e">
        <f>AND(#REF!,"AAAAAHu6/n4=")</f>
        <v>#REF!</v>
      </c>
      <c r="DX17" t="e">
        <f>AND(#REF!,"AAAAAHu6/n8=")</f>
        <v>#REF!</v>
      </c>
      <c r="DY17" t="e">
        <f>AND(#REF!,"AAAAAHu6/oA=")</f>
        <v>#REF!</v>
      </c>
      <c r="DZ17" t="e">
        <f>AND(#REF!,"AAAAAHu6/oE=")</f>
        <v>#REF!</v>
      </c>
      <c r="EA17" t="e">
        <f>AND(#REF!,"AAAAAHu6/oI=")</f>
        <v>#REF!</v>
      </c>
      <c r="EB17" t="e">
        <f>AND(#REF!,"AAAAAHu6/oM=")</f>
        <v>#REF!</v>
      </c>
      <c r="EC17" t="e">
        <f>AND(#REF!,"AAAAAHu6/oQ=")</f>
        <v>#REF!</v>
      </c>
      <c r="ED17" t="e">
        <f>AND(#REF!,"AAAAAHu6/oU=")</f>
        <v>#REF!</v>
      </c>
      <c r="EE17" t="e">
        <f>AND(#REF!,"AAAAAHu6/oY=")</f>
        <v>#REF!</v>
      </c>
      <c r="EF17" t="e">
        <f>AND(#REF!,"AAAAAHu6/oc=")</f>
        <v>#REF!</v>
      </c>
      <c r="EG17" t="e">
        <f>AND(#REF!,"AAAAAHu6/og=")</f>
        <v>#REF!</v>
      </c>
      <c r="EH17" t="e">
        <f>AND(#REF!,"AAAAAHu6/ok=")</f>
        <v>#REF!</v>
      </c>
      <c r="EI17" t="e">
        <f>AND(#REF!,"AAAAAHu6/oo=")</f>
        <v>#REF!</v>
      </c>
      <c r="EJ17" t="e">
        <f>AND(#REF!,"AAAAAHu6/os=")</f>
        <v>#REF!</v>
      </c>
      <c r="EK17" t="e">
        <f>AND(#REF!,"AAAAAHu6/ow=")</f>
        <v>#REF!</v>
      </c>
      <c r="EL17" t="e">
        <f>AND(#REF!,"AAAAAHu6/o0=")</f>
        <v>#REF!</v>
      </c>
      <c r="EM17" t="e">
        <f>AND(#REF!,"AAAAAHu6/o4=")</f>
        <v>#REF!</v>
      </c>
      <c r="EN17" t="e">
        <f>AND(#REF!,"AAAAAHu6/o8=")</f>
        <v>#REF!</v>
      </c>
      <c r="EO17" t="e">
        <f>AND(#REF!,"AAAAAHu6/pA=")</f>
        <v>#REF!</v>
      </c>
      <c r="EP17" t="e">
        <f>AND(#REF!,"AAAAAHu6/pE=")</f>
        <v>#REF!</v>
      </c>
      <c r="EQ17" t="e">
        <f>AND(#REF!,"AAAAAHu6/pI=")</f>
        <v>#REF!</v>
      </c>
      <c r="ER17" t="e">
        <f>AND(#REF!,"AAAAAHu6/pM=")</f>
        <v>#REF!</v>
      </c>
      <c r="ES17" t="e">
        <f>AND(#REF!,"AAAAAHu6/pQ=")</f>
        <v>#REF!</v>
      </c>
      <c r="ET17" t="e">
        <f>AND(#REF!,"AAAAAHu6/pU=")</f>
        <v>#REF!</v>
      </c>
      <c r="EU17" t="e">
        <f>AND(#REF!,"AAAAAHu6/pY=")</f>
        <v>#REF!</v>
      </c>
      <c r="EV17" t="e">
        <f>AND(#REF!,"AAAAAHu6/pc=")</f>
        <v>#REF!</v>
      </c>
      <c r="EW17" t="e">
        <f>AND(#REF!,"AAAAAHu6/pg=")</f>
        <v>#REF!</v>
      </c>
      <c r="EX17" t="e">
        <f>AND(#REF!,"AAAAAHu6/pk=")</f>
        <v>#REF!</v>
      </c>
      <c r="EY17" t="e">
        <f>AND(#REF!,"AAAAAHu6/po=")</f>
        <v>#REF!</v>
      </c>
      <c r="EZ17" t="e">
        <f>AND(#REF!,"AAAAAHu6/ps=")</f>
        <v>#REF!</v>
      </c>
      <c r="FA17" t="e">
        <f>AND(#REF!,"AAAAAHu6/pw=")</f>
        <v>#REF!</v>
      </c>
      <c r="FB17" t="e">
        <f>AND(#REF!,"AAAAAHu6/p0=")</f>
        <v>#REF!</v>
      </c>
      <c r="FC17" t="e">
        <f>AND(#REF!,"AAAAAHu6/p4=")</f>
        <v>#REF!</v>
      </c>
      <c r="FD17" t="e">
        <f>AND(#REF!,"AAAAAHu6/p8=")</f>
        <v>#REF!</v>
      </c>
      <c r="FE17" t="e">
        <f>AND(#REF!,"AAAAAHu6/qA=")</f>
        <v>#REF!</v>
      </c>
      <c r="FF17" t="e">
        <f>AND(#REF!,"AAAAAHu6/qE=")</f>
        <v>#REF!</v>
      </c>
      <c r="FG17" t="e">
        <f>AND(#REF!,"AAAAAHu6/qI=")</f>
        <v>#REF!</v>
      </c>
      <c r="FH17" t="e">
        <f>AND(#REF!,"AAAAAHu6/qM=")</f>
        <v>#REF!</v>
      </c>
      <c r="FI17" t="e">
        <f>AND(#REF!,"AAAAAHu6/qQ=")</f>
        <v>#REF!</v>
      </c>
      <c r="FJ17" t="e">
        <f>AND(#REF!,"AAAAAHu6/qU=")</f>
        <v>#REF!</v>
      </c>
      <c r="FK17" t="e">
        <f>AND(#REF!,"AAAAAHu6/qY=")</f>
        <v>#REF!</v>
      </c>
      <c r="FL17" t="e">
        <f>AND(#REF!,"AAAAAHu6/qc=")</f>
        <v>#REF!</v>
      </c>
      <c r="FM17" t="e">
        <f>AND(#REF!,"AAAAAHu6/qg=")</f>
        <v>#REF!</v>
      </c>
      <c r="FN17" t="e">
        <f>AND(#REF!,"AAAAAHu6/qk=")</f>
        <v>#REF!</v>
      </c>
      <c r="FO17" t="e">
        <f>AND(#REF!,"AAAAAHu6/qo=")</f>
        <v>#REF!</v>
      </c>
      <c r="FP17" t="e">
        <f>AND(#REF!,"AAAAAHu6/qs=")</f>
        <v>#REF!</v>
      </c>
      <c r="FQ17" t="e">
        <f>AND(#REF!,"AAAAAHu6/qw=")</f>
        <v>#REF!</v>
      </c>
      <c r="FR17" t="e">
        <f>AND(#REF!,"AAAAAHu6/q0=")</f>
        <v>#REF!</v>
      </c>
      <c r="FS17" t="e">
        <f>AND(#REF!,"AAAAAHu6/q4=")</f>
        <v>#REF!</v>
      </c>
      <c r="FT17" t="e">
        <f>AND(#REF!,"AAAAAHu6/q8=")</f>
        <v>#REF!</v>
      </c>
      <c r="FU17" t="e">
        <f>AND(#REF!,"AAAAAHu6/rA=")</f>
        <v>#REF!</v>
      </c>
      <c r="FV17" t="e">
        <f>AND(#REF!,"AAAAAHu6/rE=")</f>
        <v>#REF!</v>
      </c>
      <c r="FW17" t="e">
        <f>AND(#REF!,"AAAAAHu6/rI=")</f>
        <v>#REF!</v>
      </c>
      <c r="FX17" t="e">
        <f>AND(#REF!,"AAAAAHu6/rM=")</f>
        <v>#REF!</v>
      </c>
      <c r="FY17" t="e">
        <f>AND(#REF!,"AAAAAHu6/rQ=")</f>
        <v>#REF!</v>
      </c>
      <c r="FZ17" t="e">
        <f>AND(#REF!,"AAAAAHu6/rU=")</f>
        <v>#REF!</v>
      </c>
      <c r="GA17" t="e">
        <f>AND(#REF!,"AAAAAHu6/rY=")</f>
        <v>#REF!</v>
      </c>
      <c r="GB17" t="e">
        <f>AND(#REF!,"AAAAAHu6/rc=")</f>
        <v>#REF!</v>
      </c>
      <c r="GC17" t="e">
        <f>AND(#REF!,"AAAAAHu6/rg=")</f>
        <v>#REF!</v>
      </c>
      <c r="GD17" t="e">
        <f>AND(#REF!,"AAAAAHu6/rk=")</f>
        <v>#REF!</v>
      </c>
      <c r="GE17" t="e">
        <f>AND(#REF!,"AAAAAHu6/ro=")</f>
        <v>#REF!</v>
      </c>
      <c r="GF17" t="e">
        <f>AND(#REF!,"AAAAAHu6/rs=")</f>
        <v>#REF!</v>
      </c>
      <c r="GG17" t="e">
        <f>AND(#REF!,"AAAAAHu6/rw=")</f>
        <v>#REF!</v>
      </c>
      <c r="GH17" t="e">
        <f>AND(#REF!,"AAAAAHu6/r0=")</f>
        <v>#REF!</v>
      </c>
      <c r="GI17" t="e">
        <f>AND(#REF!,"AAAAAHu6/r4=")</f>
        <v>#REF!</v>
      </c>
      <c r="GJ17" t="e">
        <f>AND(#REF!,"AAAAAHu6/r8=")</f>
        <v>#REF!</v>
      </c>
      <c r="GK17" t="e">
        <f>AND(#REF!,"AAAAAHu6/sA=")</f>
        <v>#REF!</v>
      </c>
      <c r="GL17" t="e">
        <f>AND(#REF!,"AAAAAHu6/sE=")</f>
        <v>#REF!</v>
      </c>
      <c r="GM17" t="e">
        <f>AND(#REF!,"AAAAAHu6/sI=")</f>
        <v>#REF!</v>
      </c>
      <c r="GN17" t="e">
        <f>AND(#REF!,"AAAAAHu6/sM=")</f>
        <v>#REF!</v>
      </c>
      <c r="GO17" t="e">
        <f>AND(#REF!,"AAAAAHu6/sQ=")</f>
        <v>#REF!</v>
      </c>
      <c r="GP17" t="e">
        <f>AND(#REF!,"AAAAAHu6/sU=")</f>
        <v>#REF!</v>
      </c>
      <c r="GQ17" t="e">
        <f>AND(#REF!,"AAAAAHu6/sY=")</f>
        <v>#REF!</v>
      </c>
      <c r="GR17" t="e">
        <f>AND(#REF!,"AAAAAHu6/sc=")</f>
        <v>#REF!</v>
      </c>
      <c r="GS17" t="e">
        <f>AND(#REF!,"AAAAAHu6/sg=")</f>
        <v>#REF!</v>
      </c>
      <c r="GT17" t="e">
        <f>AND(#REF!,"AAAAAHu6/sk=")</f>
        <v>#REF!</v>
      </c>
      <c r="GU17" t="e">
        <f>AND(#REF!,"AAAAAHu6/so=")</f>
        <v>#REF!</v>
      </c>
      <c r="GV17" t="e">
        <f>AND(#REF!,"AAAAAHu6/ss=")</f>
        <v>#REF!</v>
      </c>
      <c r="GW17" t="e">
        <f>AND(#REF!,"AAAAAHu6/sw=")</f>
        <v>#REF!</v>
      </c>
      <c r="GX17" t="e">
        <f>AND(#REF!,"AAAAAHu6/s0=")</f>
        <v>#REF!</v>
      </c>
      <c r="GY17" t="e">
        <f>AND(#REF!,"AAAAAHu6/s4=")</f>
        <v>#REF!</v>
      </c>
      <c r="GZ17" t="e">
        <f>AND(#REF!,"AAAAAHu6/s8=")</f>
        <v>#REF!</v>
      </c>
      <c r="HA17" t="e">
        <f>AND(#REF!,"AAAAAHu6/tA=")</f>
        <v>#REF!</v>
      </c>
      <c r="HB17" t="e">
        <f>AND(#REF!,"AAAAAHu6/tE=")</f>
        <v>#REF!</v>
      </c>
      <c r="HC17" t="e">
        <f>AND(#REF!,"AAAAAHu6/tI=")</f>
        <v>#REF!</v>
      </c>
      <c r="HD17" t="e">
        <f>AND(#REF!,"AAAAAHu6/tM=")</f>
        <v>#REF!</v>
      </c>
      <c r="HE17" t="e">
        <f>AND(#REF!,"AAAAAHu6/tQ=")</f>
        <v>#REF!</v>
      </c>
      <c r="HF17" t="e">
        <f>AND(#REF!,"AAAAAHu6/tU=")</f>
        <v>#REF!</v>
      </c>
      <c r="HG17" t="e">
        <f>AND(#REF!,"AAAAAHu6/tY=")</f>
        <v>#REF!</v>
      </c>
      <c r="HH17" t="e">
        <f>AND(#REF!,"AAAAAHu6/tc=")</f>
        <v>#REF!</v>
      </c>
      <c r="HI17" t="e">
        <f>AND(#REF!,"AAAAAHu6/tg=")</f>
        <v>#REF!</v>
      </c>
      <c r="HJ17" t="e">
        <f>AND(#REF!,"AAAAAHu6/tk=")</f>
        <v>#REF!</v>
      </c>
      <c r="HK17" t="e">
        <f>AND(#REF!,"AAAAAHu6/to=")</f>
        <v>#REF!</v>
      </c>
      <c r="HL17" t="e">
        <f>AND(#REF!,"AAAAAHu6/ts=")</f>
        <v>#REF!</v>
      </c>
      <c r="HM17" t="e">
        <f>AND(#REF!,"AAAAAHu6/tw=")</f>
        <v>#REF!</v>
      </c>
      <c r="HN17" t="e">
        <f>AND(#REF!,"AAAAAHu6/t0=")</f>
        <v>#REF!</v>
      </c>
      <c r="HO17" t="e">
        <f>AND(#REF!,"AAAAAHu6/t4=")</f>
        <v>#REF!</v>
      </c>
      <c r="HP17" t="e">
        <f>AND(#REF!,"AAAAAHu6/t8=")</f>
        <v>#REF!</v>
      </c>
      <c r="HQ17" t="e">
        <f>AND(#REF!,"AAAAAHu6/uA=")</f>
        <v>#REF!</v>
      </c>
      <c r="HR17" t="e">
        <f>AND(#REF!,"AAAAAHu6/uE=")</f>
        <v>#REF!</v>
      </c>
      <c r="HS17" t="e">
        <f>AND(#REF!,"AAAAAHu6/uI=")</f>
        <v>#REF!</v>
      </c>
      <c r="HT17" t="e">
        <f>AND(#REF!,"AAAAAHu6/uM=")</f>
        <v>#REF!</v>
      </c>
      <c r="HU17" t="e">
        <f>AND(#REF!,"AAAAAHu6/uQ=")</f>
        <v>#REF!</v>
      </c>
      <c r="HV17" t="e">
        <f>AND(#REF!,"AAAAAHu6/uU=")</f>
        <v>#REF!</v>
      </c>
      <c r="HW17" t="e">
        <f>AND(#REF!,"AAAAAHu6/uY=")</f>
        <v>#REF!</v>
      </c>
      <c r="HX17" t="e">
        <f>AND(#REF!,"AAAAAHu6/uc=")</f>
        <v>#REF!</v>
      </c>
      <c r="HY17" t="e">
        <f>AND(#REF!,"AAAAAHu6/ug=")</f>
        <v>#REF!</v>
      </c>
      <c r="HZ17" t="e">
        <f>AND(#REF!,"AAAAAHu6/uk=")</f>
        <v>#REF!</v>
      </c>
      <c r="IA17" t="e">
        <f>AND(#REF!,"AAAAAHu6/uo=")</f>
        <v>#REF!</v>
      </c>
      <c r="IB17" t="e">
        <f>AND(#REF!,"AAAAAHu6/us=")</f>
        <v>#REF!</v>
      </c>
      <c r="IC17" t="e">
        <f>AND(#REF!,"AAAAAHu6/uw=")</f>
        <v>#REF!</v>
      </c>
      <c r="ID17" t="e">
        <f>AND(#REF!,"AAAAAHu6/u0=")</f>
        <v>#REF!</v>
      </c>
      <c r="IE17" t="e">
        <f>AND(#REF!,"AAAAAHu6/u4=")</f>
        <v>#REF!</v>
      </c>
      <c r="IF17" t="e">
        <f>AND(#REF!,"AAAAAHu6/u8=")</f>
        <v>#REF!</v>
      </c>
      <c r="IG17" t="e">
        <f>AND(#REF!,"AAAAAHu6/vA=")</f>
        <v>#REF!</v>
      </c>
      <c r="IH17" t="e">
        <f>AND(#REF!,"AAAAAHu6/vE=")</f>
        <v>#REF!</v>
      </c>
      <c r="II17" t="e">
        <f>AND(#REF!,"AAAAAHu6/vI=")</f>
        <v>#REF!</v>
      </c>
      <c r="IJ17" t="e">
        <f>AND(#REF!,"AAAAAHu6/vM=")</f>
        <v>#REF!</v>
      </c>
      <c r="IK17" t="e">
        <f>AND(#REF!,"AAAAAHu6/vQ=")</f>
        <v>#REF!</v>
      </c>
      <c r="IL17" t="e">
        <f>AND(#REF!,"AAAAAHu6/vU=")</f>
        <v>#REF!</v>
      </c>
      <c r="IM17" t="e">
        <f>AND(#REF!,"AAAAAHu6/vY=")</f>
        <v>#REF!</v>
      </c>
      <c r="IN17" t="e">
        <f>AND(#REF!,"AAAAAHu6/vc=")</f>
        <v>#REF!</v>
      </c>
      <c r="IO17" t="e">
        <f>AND(#REF!,"AAAAAHu6/vg=")</f>
        <v>#REF!</v>
      </c>
      <c r="IP17" t="e">
        <f>AND(#REF!,"AAAAAHu6/vk=")</f>
        <v>#REF!</v>
      </c>
      <c r="IQ17" t="e">
        <f>AND(#REF!,"AAAAAHu6/vo=")</f>
        <v>#REF!</v>
      </c>
      <c r="IR17" t="e">
        <f>AND(#REF!,"AAAAAHu6/vs=")</f>
        <v>#REF!</v>
      </c>
      <c r="IS17" t="e">
        <f>AND(#REF!,"AAAAAHu6/vw=")</f>
        <v>#REF!</v>
      </c>
      <c r="IT17" t="e">
        <f>AND(#REF!,"AAAAAHu6/v0=")</f>
        <v>#REF!</v>
      </c>
      <c r="IU17" t="e">
        <f>AND(#REF!,"AAAAAHu6/v4=")</f>
        <v>#REF!</v>
      </c>
      <c r="IV17" t="e">
        <f>AND(#REF!,"AAAAAHu6/v8=")</f>
        <v>#REF!</v>
      </c>
    </row>
    <row r="18" spans="1:256" x14ac:dyDescent="0.25">
      <c r="A18" t="e">
        <f>AND(#REF!,"AAAAAG99fQA=")</f>
        <v>#REF!</v>
      </c>
      <c r="B18" t="e">
        <f>AND(#REF!,"AAAAAG99fQE=")</f>
        <v>#REF!</v>
      </c>
      <c r="C18" t="e">
        <f>AND(#REF!,"AAAAAG99fQI=")</f>
        <v>#REF!</v>
      </c>
      <c r="D18" t="e">
        <f>AND(#REF!,"AAAAAG99fQM=")</f>
        <v>#REF!</v>
      </c>
      <c r="E18" t="e">
        <f>AND(#REF!,"AAAAAG99fQQ=")</f>
        <v>#REF!</v>
      </c>
      <c r="F18" t="e">
        <f>AND(#REF!,"AAAAAG99fQU=")</f>
        <v>#REF!</v>
      </c>
      <c r="G18" t="e">
        <f>AND(#REF!,"AAAAAG99fQY=")</f>
        <v>#REF!</v>
      </c>
      <c r="H18" t="e">
        <f>AND(#REF!,"AAAAAG99fQc=")</f>
        <v>#REF!</v>
      </c>
      <c r="I18" t="e">
        <f>AND(#REF!,"AAAAAG99fQg=")</f>
        <v>#REF!</v>
      </c>
      <c r="J18" t="e">
        <f>AND(#REF!,"AAAAAG99fQk=")</f>
        <v>#REF!</v>
      </c>
      <c r="K18" t="e">
        <f>AND(#REF!,"AAAAAG99fQo=")</f>
        <v>#REF!</v>
      </c>
      <c r="L18" t="e">
        <f>AND(#REF!,"AAAAAG99fQs=")</f>
        <v>#REF!</v>
      </c>
      <c r="M18" t="e">
        <f>AND(#REF!,"AAAAAG99fQw=")</f>
        <v>#REF!</v>
      </c>
      <c r="N18" t="e">
        <f>AND(#REF!,"AAAAAG99fQ0=")</f>
        <v>#REF!</v>
      </c>
      <c r="O18" t="e">
        <f>AND(#REF!,"AAAAAG99fQ4=")</f>
        <v>#REF!</v>
      </c>
      <c r="P18" t="e">
        <f>AND(#REF!,"AAAAAG99fQ8=")</f>
        <v>#REF!</v>
      </c>
      <c r="Q18" t="e">
        <f>AND(#REF!,"AAAAAG99fRA=")</f>
        <v>#REF!</v>
      </c>
      <c r="R18" t="e">
        <f>AND(#REF!,"AAAAAG99fRE=")</f>
        <v>#REF!</v>
      </c>
      <c r="S18" t="e">
        <f>AND(#REF!,"AAAAAG99fRI=")</f>
        <v>#REF!</v>
      </c>
      <c r="T18" t="e">
        <f>AND(#REF!,"AAAAAG99fRM=")</f>
        <v>#REF!</v>
      </c>
      <c r="U18" t="e">
        <f>AND(#REF!,"AAAAAG99fRQ=")</f>
        <v>#REF!</v>
      </c>
      <c r="V18" t="e">
        <f>AND(#REF!,"AAAAAG99fRU=")</f>
        <v>#REF!</v>
      </c>
      <c r="W18" t="e">
        <f>AND(#REF!,"AAAAAG99fRY=")</f>
        <v>#REF!</v>
      </c>
      <c r="X18" t="e">
        <f>AND(#REF!,"AAAAAG99fRc=")</f>
        <v>#REF!</v>
      </c>
      <c r="Y18" t="e">
        <f>AND(#REF!,"AAAAAG99fRg=")</f>
        <v>#REF!</v>
      </c>
      <c r="Z18" t="e">
        <f>AND(#REF!,"AAAAAG99fRk=")</f>
        <v>#REF!</v>
      </c>
      <c r="AA18" t="e">
        <f>AND(#REF!,"AAAAAG99fRo=")</f>
        <v>#REF!</v>
      </c>
      <c r="AB18" t="e">
        <f>AND(#REF!,"AAAAAG99fRs=")</f>
        <v>#REF!</v>
      </c>
      <c r="AC18" t="e">
        <f>AND(#REF!,"AAAAAG99fRw=")</f>
        <v>#REF!</v>
      </c>
      <c r="AD18" t="e">
        <f>AND(#REF!,"AAAAAG99fR0=")</f>
        <v>#REF!</v>
      </c>
      <c r="AE18" t="e">
        <f>AND(#REF!,"AAAAAG99fR4=")</f>
        <v>#REF!</v>
      </c>
      <c r="AF18" t="e">
        <f>AND(#REF!,"AAAAAG99fR8=")</f>
        <v>#REF!</v>
      </c>
      <c r="AG18" t="e">
        <f>IF(#REF!,"AAAAAG99fSA=",0)</f>
        <v>#REF!</v>
      </c>
      <c r="AH18" t="e">
        <f>AND(#REF!,"AAAAAG99fSE=")</f>
        <v>#REF!</v>
      </c>
      <c r="AI18" t="e">
        <f>AND(#REF!,"AAAAAG99fSI=")</f>
        <v>#REF!</v>
      </c>
      <c r="AJ18" t="e">
        <f>AND(#REF!,"AAAAAG99fSM=")</f>
        <v>#REF!</v>
      </c>
      <c r="AK18" t="e">
        <f>AND(#REF!,"AAAAAG99fSQ=")</f>
        <v>#REF!</v>
      </c>
      <c r="AL18" t="e">
        <f>AND(#REF!,"AAAAAG99fSU=")</f>
        <v>#REF!</v>
      </c>
      <c r="AM18" t="e">
        <f>AND(#REF!,"AAAAAG99fSY=")</f>
        <v>#REF!</v>
      </c>
      <c r="AN18" t="e">
        <f>AND(#REF!,"AAAAAG99fSc=")</f>
        <v>#REF!</v>
      </c>
      <c r="AO18" t="e">
        <f>AND(#REF!,"AAAAAG99fSg=")</f>
        <v>#REF!</v>
      </c>
      <c r="AP18" t="e">
        <f>AND(#REF!,"AAAAAG99fSk=")</f>
        <v>#REF!</v>
      </c>
      <c r="AQ18" t="e">
        <f>AND(#REF!,"AAAAAG99fSo=")</f>
        <v>#REF!</v>
      </c>
      <c r="AR18" t="e">
        <f>AND(#REF!,"AAAAAG99fSs=")</f>
        <v>#REF!</v>
      </c>
      <c r="AS18" t="e">
        <f>AND(#REF!,"AAAAAG99fSw=")</f>
        <v>#REF!</v>
      </c>
      <c r="AT18" t="e">
        <f>AND(#REF!,"AAAAAG99fS0=")</f>
        <v>#REF!</v>
      </c>
      <c r="AU18" t="e">
        <f>AND(#REF!,"AAAAAG99fS4=")</f>
        <v>#REF!</v>
      </c>
      <c r="AV18" t="e">
        <f>AND(#REF!,"AAAAAG99fS8=")</f>
        <v>#REF!</v>
      </c>
      <c r="AW18" t="e">
        <f>AND(#REF!,"AAAAAG99fTA=")</f>
        <v>#REF!</v>
      </c>
      <c r="AX18" t="e">
        <f>AND(#REF!,"AAAAAG99fTE=")</f>
        <v>#REF!</v>
      </c>
      <c r="AY18" t="e">
        <f>AND(#REF!,"AAAAAG99fTI=")</f>
        <v>#REF!</v>
      </c>
      <c r="AZ18" t="e">
        <f>AND(#REF!,"AAAAAG99fTM=")</f>
        <v>#REF!</v>
      </c>
      <c r="BA18" t="e">
        <f>AND(#REF!,"AAAAAG99fTQ=")</f>
        <v>#REF!</v>
      </c>
      <c r="BB18" t="e">
        <f>AND(#REF!,"AAAAAG99fTU=")</f>
        <v>#REF!</v>
      </c>
      <c r="BC18" t="e">
        <f>AND(#REF!,"AAAAAG99fTY=")</f>
        <v>#REF!</v>
      </c>
      <c r="BD18" t="e">
        <f>AND(#REF!,"AAAAAG99fTc=")</f>
        <v>#REF!</v>
      </c>
      <c r="BE18" t="e">
        <f>AND(#REF!,"AAAAAG99fTg=")</f>
        <v>#REF!</v>
      </c>
      <c r="BF18" t="e">
        <f>AND(#REF!,"AAAAAG99fTk=")</f>
        <v>#REF!</v>
      </c>
      <c r="BG18" t="e">
        <f>AND(#REF!,"AAAAAG99fTo=")</f>
        <v>#REF!</v>
      </c>
      <c r="BH18" t="e">
        <f>AND(#REF!,"AAAAAG99fTs=")</f>
        <v>#REF!</v>
      </c>
      <c r="BI18" t="e">
        <f>AND(#REF!,"AAAAAG99fTw=")</f>
        <v>#REF!</v>
      </c>
      <c r="BJ18" t="e">
        <f>AND(#REF!,"AAAAAG99fT0=")</f>
        <v>#REF!</v>
      </c>
      <c r="BK18" t="e">
        <f>AND(#REF!,"AAAAAG99fT4=")</f>
        <v>#REF!</v>
      </c>
      <c r="BL18" t="e">
        <f>AND(#REF!,"AAAAAG99fT8=")</f>
        <v>#REF!</v>
      </c>
      <c r="BM18" t="e">
        <f>AND(#REF!,"AAAAAG99fUA=")</f>
        <v>#REF!</v>
      </c>
      <c r="BN18" t="e">
        <f>AND(#REF!,"AAAAAG99fUE=")</f>
        <v>#REF!</v>
      </c>
      <c r="BO18" t="e">
        <f>AND(#REF!,"AAAAAG99fUI=")</f>
        <v>#REF!</v>
      </c>
      <c r="BP18" t="e">
        <f>AND(#REF!,"AAAAAG99fUM=")</f>
        <v>#REF!</v>
      </c>
      <c r="BQ18" t="e">
        <f>AND(#REF!,"AAAAAG99fUQ=")</f>
        <v>#REF!</v>
      </c>
      <c r="BR18" t="e">
        <f>AND(#REF!,"AAAAAG99fUU=")</f>
        <v>#REF!</v>
      </c>
      <c r="BS18" t="e">
        <f>AND(#REF!,"AAAAAG99fUY=")</f>
        <v>#REF!</v>
      </c>
      <c r="BT18" t="e">
        <f>AND(#REF!,"AAAAAG99fUc=")</f>
        <v>#REF!</v>
      </c>
      <c r="BU18" t="e">
        <f>AND(#REF!,"AAAAAG99fUg=")</f>
        <v>#REF!</v>
      </c>
      <c r="BV18" t="e">
        <f>AND(#REF!,"AAAAAG99fUk=")</f>
        <v>#REF!</v>
      </c>
      <c r="BW18" t="e">
        <f>AND(#REF!,"AAAAAG99fUo=")</f>
        <v>#REF!</v>
      </c>
      <c r="BX18" t="e">
        <f>AND(#REF!,"AAAAAG99fUs=")</f>
        <v>#REF!</v>
      </c>
      <c r="BY18" t="e">
        <f>AND(#REF!,"AAAAAG99fUw=")</f>
        <v>#REF!</v>
      </c>
      <c r="BZ18" t="e">
        <f>AND(#REF!,"AAAAAG99fU0=")</f>
        <v>#REF!</v>
      </c>
      <c r="CA18" t="e">
        <f>AND(#REF!,"AAAAAG99fU4=")</f>
        <v>#REF!</v>
      </c>
      <c r="CB18" t="e">
        <f>AND(#REF!,"AAAAAG99fU8=")</f>
        <v>#REF!</v>
      </c>
      <c r="CC18" t="e">
        <f>AND(#REF!,"AAAAAG99fVA=")</f>
        <v>#REF!</v>
      </c>
      <c r="CD18" t="e">
        <f>AND(#REF!,"AAAAAG99fVE=")</f>
        <v>#REF!</v>
      </c>
      <c r="CE18" t="e">
        <f>AND(#REF!,"AAAAAG99fVI=")</f>
        <v>#REF!</v>
      </c>
      <c r="CF18" t="e">
        <f>AND(#REF!,"AAAAAG99fVM=")</f>
        <v>#REF!</v>
      </c>
      <c r="CG18" t="e">
        <f>AND(#REF!,"AAAAAG99fVQ=")</f>
        <v>#REF!</v>
      </c>
      <c r="CH18" t="e">
        <f>AND(#REF!,"AAAAAG99fVU=")</f>
        <v>#REF!</v>
      </c>
      <c r="CI18" t="e">
        <f>AND(#REF!,"AAAAAG99fVY=")</f>
        <v>#REF!</v>
      </c>
      <c r="CJ18" t="e">
        <f>AND(#REF!,"AAAAAG99fVc=")</f>
        <v>#REF!</v>
      </c>
      <c r="CK18" t="e">
        <f>AND(#REF!,"AAAAAG99fVg=")</f>
        <v>#REF!</v>
      </c>
      <c r="CL18" t="e">
        <f>AND(#REF!,"AAAAAG99fVk=")</f>
        <v>#REF!</v>
      </c>
      <c r="CM18" t="e">
        <f>AND(#REF!,"AAAAAG99fVo=")</f>
        <v>#REF!</v>
      </c>
      <c r="CN18" t="e">
        <f>AND(#REF!,"AAAAAG99fVs=")</f>
        <v>#REF!</v>
      </c>
      <c r="CO18" t="e">
        <f>AND(#REF!,"AAAAAG99fVw=")</f>
        <v>#REF!</v>
      </c>
      <c r="CP18" t="e">
        <f>AND(#REF!,"AAAAAG99fV0=")</f>
        <v>#REF!</v>
      </c>
      <c r="CQ18" t="e">
        <f>AND(#REF!,"AAAAAG99fV4=")</f>
        <v>#REF!</v>
      </c>
      <c r="CR18" t="e">
        <f>AND(#REF!,"AAAAAG99fV8=")</f>
        <v>#REF!</v>
      </c>
      <c r="CS18" t="e">
        <f>AND(#REF!,"AAAAAG99fWA=")</f>
        <v>#REF!</v>
      </c>
      <c r="CT18" t="e">
        <f>AND(#REF!,"AAAAAG99fWE=")</f>
        <v>#REF!</v>
      </c>
      <c r="CU18" t="e">
        <f>AND(#REF!,"AAAAAG99fWI=")</f>
        <v>#REF!</v>
      </c>
      <c r="CV18" t="e">
        <f>AND(#REF!,"AAAAAG99fWM=")</f>
        <v>#REF!</v>
      </c>
      <c r="CW18" t="e">
        <f>AND(#REF!,"AAAAAG99fWQ=")</f>
        <v>#REF!</v>
      </c>
      <c r="CX18" t="e">
        <f>AND(#REF!,"AAAAAG99fWU=")</f>
        <v>#REF!</v>
      </c>
      <c r="CY18" t="e">
        <f>AND(#REF!,"AAAAAG99fWY=")</f>
        <v>#REF!</v>
      </c>
      <c r="CZ18" t="e">
        <f>AND(#REF!,"AAAAAG99fWc=")</f>
        <v>#REF!</v>
      </c>
      <c r="DA18" t="e">
        <f>AND(#REF!,"AAAAAG99fWg=")</f>
        <v>#REF!</v>
      </c>
      <c r="DB18" t="e">
        <f>AND(#REF!,"AAAAAG99fWk=")</f>
        <v>#REF!</v>
      </c>
      <c r="DC18" t="e">
        <f>AND(#REF!,"AAAAAG99fWo=")</f>
        <v>#REF!</v>
      </c>
      <c r="DD18" t="e">
        <f>AND(#REF!,"AAAAAG99fWs=")</f>
        <v>#REF!</v>
      </c>
      <c r="DE18" t="e">
        <f>AND(#REF!,"AAAAAG99fWw=")</f>
        <v>#REF!</v>
      </c>
      <c r="DF18" t="e">
        <f>AND(#REF!,"AAAAAG99fW0=")</f>
        <v>#REF!</v>
      </c>
      <c r="DG18" t="e">
        <f>AND(#REF!,"AAAAAG99fW4=")</f>
        <v>#REF!</v>
      </c>
      <c r="DH18" t="e">
        <f>AND(#REF!,"AAAAAG99fW8=")</f>
        <v>#REF!</v>
      </c>
      <c r="DI18" t="e">
        <f>AND(#REF!,"AAAAAG99fXA=")</f>
        <v>#REF!</v>
      </c>
      <c r="DJ18" t="e">
        <f>AND(#REF!,"AAAAAG99fXE=")</f>
        <v>#REF!</v>
      </c>
      <c r="DK18" t="e">
        <f>AND(#REF!,"AAAAAG99fXI=")</f>
        <v>#REF!</v>
      </c>
      <c r="DL18" t="e">
        <f>AND(#REF!,"AAAAAG99fXM=")</f>
        <v>#REF!</v>
      </c>
      <c r="DM18" t="e">
        <f>AND(#REF!,"AAAAAG99fXQ=")</f>
        <v>#REF!</v>
      </c>
      <c r="DN18" t="e">
        <f>AND(#REF!,"AAAAAG99fXU=")</f>
        <v>#REF!</v>
      </c>
      <c r="DO18" t="e">
        <f>AND(#REF!,"AAAAAG99fXY=")</f>
        <v>#REF!</v>
      </c>
      <c r="DP18" t="e">
        <f>AND(#REF!,"AAAAAG99fXc=")</f>
        <v>#REF!</v>
      </c>
      <c r="DQ18" t="e">
        <f>AND(#REF!,"AAAAAG99fXg=")</f>
        <v>#REF!</v>
      </c>
      <c r="DR18" t="e">
        <f>AND(#REF!,"AAAAAG99fXk=")</f>
        <v>#REF!</v>
      </c>
      <c r="DS18" t="e">
        <f>AND(#REF!,"AAAAAG99fXo=")</f>
        <v>#REF!</v>
      </c>
      <c r="DT18" t="e">
        <f>AND(#REF!,"AAAAAG99fXs=")</f>
        <v>#REF!</v>
      </c>
      <c r="DU18" t="e">
        <f>AND(#REF!,"AAAAAG99fXw=")</f>
        <v>#REF!</v>
      </c>
      <c r="DV18" t="e">
        <f>AND(#REF!,"AAAAAG99fX0=")</f>
        <v>#REF!</v>
      </c>
      <c r="DW18" t="e">
        <f>AND(#REF!,"AAAAAG99fX4=")</f>
        <v>#REF!</v>
      </c>
      <c r="DX18" t="e">
        <f>AND(#REF!,"AAAAAG99fX8=")</f>
        <v>#REF!</v>
      </c>
      <c r="DY18" t="e">
        <f>AND(#REF!,"AAAAAG99fYA=")</f>
        <v>#REF!</v>
      </c>
      <c r="DZ18" t="e">
        <f>AND(#REF!,"AAAAAG99fYE=")</f>
        <v>#REF!</v>
      </c>
      <c r="EA18" t="e">
        <f>AND(#REF!,"AAAAAG99fYI=")</f>
        <v>#REF!</v>
      </c>
      <c r="EB18" t="e">
        <f>AND(#REF!,"AAAAAG99fYM=")</f>
        <v>#REF!</v>
      </c>
      <c r="EC18" t="e">
        <f>AND(#REF!,"AAAAAG99fYQ=")</f>
        <v>#REF!</v>
      </c>
      <c r="ED18" t="e">
        <f>AND(#REF!,"AAAAAG99fYU=")</f>
        <v>#REF!</v>
      </c>
      <c r="EE18" t="e">
        <f>AND(#REF!,"AAAAAG99fYY=")</f>
        <v>#REF!</v>
      </c>
      <c r="EF18" t="e">
        <f>AND(#REF!,"AAAAAG99fYc=")</f>
        <v>#REF!</v>
      </c>
      <c r="EG18" t="e">
        <f>AND(#REF!,"AAAAAG99fYg=")</f>
        <v>#REF!</v>
      </c>
      <c r="EH18" t="e">
        <f>AND(#REF!,"AAAAAG99fYk=")</f>
        <v>#REF!</v>
      </c>
      <c r="EI18" t="e">
        <f>AND(#REF!,"AAAAAG99fYo=")</f>
        <v>#REF!</v>
      </c>
      <c r="EJ18" t="e">
        <f>AND(#REF!,"AAAAAG99fYs=")</f>
        <v>#REF!</v>
      </c>
      <c r="EK18" t="e">
        <f>AND(#REF!,"AAAAAG99fYw=")</f>
        <v>#REF!</v>
      </c>
      <c r="EL18" t="e">
        <f>AND(#REF!,"AAAAAG99fY0=")</f>
        <v>#REF!</v>
      </c>
      <c r="EM18" t="e">
        <f>AND(#REF!,"AAAAAG99fY4=")</f>
        <v>#REF!</v>
      </c>
      <c r="EN18" t="e">
        <f>AND(#REF!,"AAAAAG99fY8=")</f>
        <v>#REF!</v>
      </c>
      <c r="EO18" t="e">
        <f>AND(#REF!,"AAAAAG99fZA=")</f>
        <v>#REF!</v>
      </c>
      <c r="EP18" t="e">
        <f>AND(#REF!,"AAAAAG99fZE=")</f>
        <v>#REF!</v>
      </c>
      <c r="EQ18" t="e">
        <f>AND(#REF!,"AAAAAG99fZI=")</f>
        <v>#REF!</v>
      </c>
      <c r="ER18" t="e">
        <f>AND(#REF!,"AAAAAG99fZM=")</f>
        <v>#REF!</v>
      </c>
      <c r="ES18" t="e">
        <f>AND(#REF!,"AAAAAG99fZQ=")</f>
        <v>#REF!</v>
      </c>
      <c r="ET18" t="e">
        <f>AND(#REF!,"AAAAAG99fZU=")</f>
        <v>#REF!</v>
      </c>
      <c r="EU18" t="e">
        <f>AND(#REF!,"AAAAAG99fZY=")</f>
        <v>#REF!</v>
      </c>
      <c r="EV18" t="e">
        <f>AND(#REF!,"AAAAAG99fZc=")</f>
        <v>#REF!</v>
      </c>
      <c r="EW18" t="e">
        <f>AND(#REF!,"AAAAAG99fZg=")</f>
        <v>#REF!</v>
      </c>
      <c r="EX18" t="e">
        <f>AND(#REF!,"AAAAAG99fZk=")</f>
        <v>#REF!</v>
      </c>
      <c r="EY18" t="e">
        <f>AND(#REF!,"AAAAAG99fZo=")</f>
        <v>#REF!</v>
      </c>
      <c r="EZ18" t="e">
        <f>AND(#REF!,"AAAAAG99fZs=")</f>
        <v>#REF!</v>
      </c>
      <c r="FA18" t="e">
        <f>AND(#REF!,"AAAAAG99fZw=")</f>
        <v>#REF!</v>
      </c>
      <c r="FB18" t="e">
        <f>AND(#REF!,"AAAAAG99fZ0=")</f>
        <v>#REF!</v>
      </c>
      <c r="FC18" t="e">
        <f>AND(#REF!,"AAAAAG99fZ4=")</f>
        <v>#REF!</v>
      </c>
      <c r="FD18" t="e">
        <f>AND(#REF!,"AAAAAG99fZ8=")</f>
        <v>#REF!</v>
      </c>
      <c r="FE18" t="e">
        <f>AND(#REF!,"AAAAAG99faA=")</f>
        <v>#REF!</v>
      </c>
      <c r="FF18" t="e">
        <f>AND(#REF!,"AAAAAG99faE=")</f>
        <v>#REF!</v>
      </c>
      <c r="FG18" t="e">
        <f>AND(#REF!,"AAAAAG99faI=")</f>
        <v>#REF!</v>
      </c>
      <c r="FH18" t="e">
        <f>AND(#REF!,"AAAAAG99faM=")</f>
        <v>#REF!</v>
      </c>
      <c r="FI18" t="e">
        <f>AND(#REF!,"AAAAAG99faQ=")</f>
        <v>#REF!</v>
      </c>
      <c r="FJ18" t="e">
        <f>AND(#REF!,"AAAAAG99faU=")</f>
        <v>#REF!</v>
      </c>
      <c r="FK18" t="e">
        <f>AND(#REF!,"AAAAAG99faY=")</f>
        <v>#REF!</v>
      </c>
      <c r="FL18" t="e">
        <f>AND(#REF!,"AAAAAG99fac=")</f>
        <v>#REF!</v>
      </c>
      <c r="FM18" t="e">
        <f>AND(#REF!,"AAAAAG99fag=")</f>
        <v>#REF!</v>
      </c>
      <c r="FN18" t="e">
        <f>AND(#REF!,"AAAAAG99fak=")</f>
        <v>#REF!</v>
      </c>
      <c r="FO18" t="e">
        <f>AND(#REF!,"AAAAAG99fao=")</f>
        <v>#REF!</v>
      </c>
      <c r="FP18" t="e">
        <f>AND(#REF!,"AAAAAG99fas=")</f>
        <v>#REF!</v>
      </c>
      <c r="FQ18" t="e">
        <f>AND(#REF!,"AAAAAG99faw=")</f>
        <v>#REF!</v>
      </c>
      <c r="FR18" t="e">
        <f>AND(#REF!,"AAAAAG99fa0=")</f>
        <v>#REF!</v>
      </c>
      <c r="FS18" t="e">
        <f>AND(#REF!,"AAAAAG99fa4=")</f>
        <v>#REF!</v>
      </c>
      <c r="FT18" t="e">
        <f>AND(#REF!,"AAAAAG99fa8=")</f>
        <v>#REF!</v>
      </c>
      <c r="FU18" t="e">
        <f>AND(#REF!,"AAAAAG99fbA=")</f>
        <v>#REF!</v>
      </c>
      <c r="FV18" t="e">
        <f>AND(#REF!,"AAAAAG99fbE=")</f>
        <v>#REF!</v>
      </c>
      <c r="FW18" t="e">
        <f>AND(#REF!,"AAAAAG99fbI=")</f>
        <v>#REF!</v>
      </c>
      <c r="FX18" t="e">
        <f>AND(#REF!,"AAAAAG99fbM=")</f>
        <v>#REF!</v>
      </c>
      <c r="FY18" t="e">
        <f>AND(#REF!,"AAAAAG99fbQ=")</f>
        <v>#REF!</v>
      </c>
      <c r="FZ18" t="e">
        <f>AND(#REF!,"AAAAAG99fbU=")</f>
        <v>#REF!</v>
      </c>
      <c r="GA18" t="e">
        <f>AND(#REF!,"AAAAAG99fbY=")</f>
        <v>#REF!</v>
      </c>
      <c r="GB18" t="e">
        <f>AND(#REF!,"AAAAAG99fbc=")</f>
        <v>#REF!</v>
      </c>
      <c r="GC18" t="e">
        <f>AND(#REF!,"AAAAAG99fbg=")</f>
        <v>#REF!</v>
      </c>
      <c r="GD18" t="e">
        <f>AND(#REF!,"AAAAAG99fbk=")</f>
        <v>#REF!</v>
      </c>
      <c r="GE18" t="e">
        <f>AND(#REF!,"AAAAAG99fbo=")</f>
        <v>#REF!</v>
      </c>
      <c r="GF18" t="e">
        <f>AND(#REF!,"AAAAAG99fbs=")</f>
        <v>#REF!</v>
      </c>
      <c r="GG18" t="e">
        <f>AND(#REF!,"AAAAAG99fbw=")</f>
        <v>#REF!</v>
      </c>
      <c r="GH18" t="e">
        <f>AND(#REF!,"AAAAAG99fb0=")</f>
        <v>#REF!</v>
      </c>
      <c r="GI18" t="e">
        <f>AND(#REF!,"AAAAAG99fb4=")</f>
        <v>#REF!</v>
      </c>
      <c r="GJ18" t="e">
        <f>AND(#REF!,"AAAAAG99fb8=")</f>
        <v>#REF!</v>
      </c>
      <c r="GK18" t="e">
        <f>AND(#REF!,"AAAAAG99fcA=")</f>
        <v>#REF!</v>
      </c>
      <c r="GL18" t="e">
        <f>AND(#REF!,"AAAAAG99fcE=")</f>
        <v>#REF!</v>
      </c>
      <c r="GM18" t="e">
        <f>AND(#REF!,"AAAAAG99fcI=")</f>
        <v>#REF!</v>
      </c>
      <c r="GN18" t="e">
        <f>AND(#REF!,"AAAAAG99fcM=")</f>
        <v>#REF!</v>
      </c>
      <c r="GO18" t="e">
        <f>AND(#REF!,"AAAAAG99fcQ=")</f>
        <v>#REF!</v>
      </c>
      <c r="GP18" t="e">
        <f>AND(#REF!,"AAAAAG99fcU=")</f>
        <v>#REF!</v>
      </c>
      <c r="GQ18" t="e">
        <f>AND(#REF!,"AAAAAG99fcY=")</f>
        <v>#REF!</v>
      </c>
      <c r="GR18" t="e">
        <f>AND(#REF!,"AAAAAG99fcc=")</f>
        <v>#REF!</v>
      </c>
      <c r="GS18" t="e">
        <f>AND(#REF!,"AAAAAG99fcg=")</f>
        <v>#REF!</v>
      </c>
      <c r="GT18" t="e">
        <f>AND(#REF!,"AAAAAG99fck=")</f>
        <v>#REF!</v>
      </c>
      <c r="GU18" t="e">
        <f>AND(#REF!,"AAAAAG99fco=")</f>
        <v>#REF!</v>
      </c>
      <c r="GV18" t="e">
        <f>AND(#REF!,"AAAAAG99fcs=")</f>
        <v>#REF!</v>
      </c>
      <c r="GW18" t="e">
        <f>AND(#REF!,"AAAAAG99fcw=")</f>
        <v>#REF!</v>
      </c>
      <c r="GX18" t="e">
        <f>AND(#REF!,"AAAAAG99fc0=")</f>
        <v>#REF!</v>
      </c>
      <c r="GY18" t="e">
        <f>AND(#REF!,"AAAAAG99fc4=")</f>
        <v>#REF!</v>
      </c>
      <c r="GZ18" t="e">
        <f>AND(#REF!,"AAAAAG99fc8=")</f>
        <v>#REF!</v>
      </c>
      <c r="HA18" t="e">
        <f>AND(#REF!,"AAAAAG99fdA=")</f>
        <v>#REF!</v>
      </c>
      <c r="HB18" t="e">
        <f>AND(#REF!,"AAAAAG99fdE=")</f>
        <v>#REF!</v>
      </c>
      <c r="HC18" t="e">
        <f>AND(#REF!,"AAAAAG99fdI=")</f>
        <v>#REF!</v>
      </c>
      <c r="HD18" t="e">
        <f>AND(#REF!,"AAAAAG99fdM=")</f>
        <v>#REF!</v>
      </c>
      <c r="HE18" t="e">
        <f>AND(#REF!,"AAAAAG99fdQ=")</f>
        <v>#REF!</v>
      </c>
      <c r="HF18" t="e">
        <f>AND(#REF!,"AAAAAG99fdU=")</f>
        <v>#REF!</v>
      </c>
      <c r="HG18" t="e">
        <f>AND(#REF!,"AAAAAG99fdY=")</f>
        <v>#REF!</v>
      </c>
      <c r="HH18" t="e">
        <f>AND(#REF!,"AAAAAG99fdc=")</f>
        <v>#REF!</v>
      </c>
      <c r="HI18" t="e">
        <f>AND(#REF!,"AAAAAG99fdg=")</f>
        <v>#REF!</v>
      </c>
      <c r="HJ18" t="e">
        <f>AND(#REF!,"AAAAAG99fdk=")</f>
        <v>#REF!</v>
      </c>
      <c r="HK18" t="e">
        <f>AND(#REF!,"AAAAAG99fdo=")</f>
        <v>#REF!</v>
      </c>
      <c r="HL18" t="e">
        <f>AND(#REF!,"AAAAAG99fds=")</f>
        <v>#REF!</v>
      </c>
      <c r="HM18" t="e">
        <f>AND(#REF!,"AAAAAG99fdw=")</f>
        <v>#REF!</v>
      </c>
      <c r="HN18" t="e">
        <f>IF(#REF!,"AAAAAG99fd0=",0)</f>
        <v>#REF!</v>
      </c>
      <c r="HO18" t="e">
        <f>AND(#REF!,"AAAAAG99fd4=")</f>
        <v>#REF!</v>
      </c>
      <c r="HP18" t="e">
        <f>AND(#REF!,"AAAAAG99fd8=")</f>
        <v>#REF!</v>
      </c>
      <c r="HQ18" t="e">
        <f>AND(#REF!,"AAAAAG99feA=")</f>
        <v>#REF!</v>
      </c>
      <c r="HR18" t="e">
        <f>AND(#REF!,"AAAAAG99feE=")</f>
        <v>#REF!</v>
      </c>
      <c r="HS18" t="e">
        <f>AND(#REF!,"AAAAAG99feI=")</f>
        <v>#REF!</v>
      </c>
      <c r="HT18" t="e">
        <f>AND(#REF!,"AAAAAG99feM=")</f>
        <v>#REF!</v>
      </c>
      <c r="HU18" t="e">
        <f>AND(#REF!,"AAAAAG99feQ=")</f>
        <v>#REF!</v>
      </c>
      <c r="HV18" t="e">
        <f>AND(#REF!,"AAAAAG99feU=")</f>
        <v>#REF!</v>
      </c>
      <c r="HW18" t="e">
        <f>AND(#REF!,"AAAAAG99feY=")</f>
        <v>#REF!</v>
      </c>
      <c r="HX18" t="e">
        <f>AND(#REF!,"AAAAAG99fec=")</f>
        <v>#REF!</v>
      </c>
      <c r="HY18" t="e">
        <f>AND(#REF!,"AAAAAG99feg=")</f>
        <v>#REF!</v>
      </c>
      <c r="HZ18" t="e">
        <f>AND(#REF!,"AAAAAG99fek=")</f>
        <v>#REF!</v>
      </c>
      <c r="IA18" t="e">
        <f>AND(#REF!,"AAAAAG99feo=")</f>
        <v>#REF!</v>
      </c>
      <c r="IB18" t="e">
        <f>AND(#REF!,"AAAAAG99fes=")</f>
        <v>#REF!</v>
      </c>
      <c r="IC18" t="e">
        <f>AND(#REF!,"AAAAAG99few=")</f>
        <v>#REF!</v>
      </c>
      <c r="ID18" t="e">
        <f>AND(#REF!,"AAAAAG99fe0=")</f>
        <v>#REF!</v>
      </c>
      <c r="IE18" t="e">
        <f>AND(#REF!,"AAAAAG99fe4=")</f>
        <v>#REF!</v>
      </c>
      <c r="IF18" t="e">
        <f>AND(#REF!,"AAAAAG99fe8=")</f>
        <v>#REF!</v>
      </c>
      <c r="IG18" t="e">
        <f>AND(#REF!,"AAAAAG99ffA=")</f>
        <v>#REF!</v>
      </c>
      <c r="IH18" t="e">
        <f>AND(#REF!,"AAAAAG99ffE=")</f>
        <v>#REF!</v>
      </c>
      <c r="II18" t="e">
        <f>AND(#REF!,"AAAAAG99ffI=")</f>
        <v>#REF!</v>
      </c>
      <c r="IJ18" t="e">
        <f>AND(#REF!,"AAAAAG99ffM=")</f>
        <v>#REF!</v>
      </c>
      <c r="IK18" t="e">
        <f>AND(#REF!,"AAAAAG99ffQ=")</f>
        <v>#REF!</v>
      </c>
      <c r="IL18" t="e">
        <f>AND(#REF!,"AAAAAG99ffU=")</f>
        <v>#REF!</v>
      </c>
      <c r="IM18" t="e">
        <f>AND(#REF!,"AAAAAG99ffY=")</f>
        <v>#REF!</v>
      </c>
      <c r="IN18" t="e">
        <f>AND(#REF!,"AAAAAG99ffc=")</f>
        <v>#REF!</v>
      </c>
      <c r="IO18" t="e">
        <f>AND(#REF!,"AAAAAG99ffg=")</f>
        <v>#REF!</v>
      </c>
      <c r="IP18" t="e">
        <f>AND(#REF!,"AAAAAG99ffk=")</f>
        <v>#REF!</v>
      </c>
      <c r="IQ18" t="e">
        <f>AND(#REF!,"AAAAAG99ffo=")</f>
        <v>#REF!</v>
      </c>
      <c r="IR18" t="e">
        <f>AND(#REF!,"AAAAAG99ffs=")</f>
        <v>#REF!</v>
      </c>
      <c r="IS18" t="e">
        <f>AND(#REF!,"AAAAAG99ffw=")</f>
        <v>#REF!</v>
      </c>
      <c r="IT18" t="e">
        <f>AND(#REF!,"AAAAAG99ff0=")</f>
        <v>#REF!</v>
      </c>
      <c r="IU18" t="e">
        <f>AND(#REF!,"AAAAAG99ff4=")</f>
        <v>#REF!</v>
      </c>
      <c r="IV18" t="e">
        <f>AND(#REF!,"AAAAAG99ff8=")</f>
        <v>#REF!</v>
      </c>
    </row>
    <row r="19" spans="1:256" x14ac:dyDescent="0.25">
      <c r="A19" t="e">
        <f>AND(#REF!,"AAAAAGf7twA=")</f>
        <v>#REF!</v>
      </c>
      <c r="B19" t="e">
        <f>AND(#REF!,"AAAAAGf7twE=")</f>
        <v>#REF!</v>
      </c>
      <c r="C19" t="e">
        <f>AND(#REF!,"AAAAAGf7twI=")</f>
        <v>#REF!</v>
      </c>
      <c r="D19" t="e">
        <f>AND(#REF!,"AAAAAGf7twM=")</f>
        <v>#REF!</v>
      </c>
      <c r="E19" t="e">
        <f>AND(#REF!,"AAAAAGf7twQ=")</f>
        <v>#REF!</v>
      </c>
      <c r="F19" t="e">
        <f>AND(#REF!,"AAAAAGf7twU=")</f>
        <v>#REF!</v>
      </c>
      <c r="G19" t="e">
        <f>AND(#REF!,"AAAAAGf7twY=")</f>
        <v>#REF!</v>
      </c>
      <c r="H19" t="e">
        <f>AND(#REF!,"AAAAAGf7twc=")</f>
        <v>#REF!</v>
      </c>
      <c r="I19" t="e">
        <f>AND(#REF!,"AAAAAGf7twg=")</f>
        <v>#REF!</v>
      </c>
      <c r="J19" t="e">
        <f>AND(#REF!,"AAAAAGf7twk=")</f>
        <v>#REF!</v>
      </c>
      <c r="K19" t="e">
        <f>AND(#REF!,"AAAAAGf7two=")</f>
        <v>#REF!</v>
      </c>
      <c r="L19" t="e">
        <f>AND(#REF!,"AAAAAGf7tws=")</f>
        <v>#REF!</v>
      </c>
      <c r="M19" t="e">
        <f>AND(#REF!,"AAAAAGf7tww=")</f>
        <v>#REF!</v>
      </c>
      <c r="N19" t="e">
        <f>AND(#REF!,"AAAAAGf7tw0=")</f>
        <v>#REF!</v>
      </c>
      <c r="O19" t="e">
        <f>AND(#REF!,"AAAAAGf7tw4=")</f>
        <v>#REF!</v>
      </c>
      <c r="P19" t="e">
        <f>AND(#REF!,"AAAAAGf7tw8=")</f>
        <v>#REF!</v>
      </c>
      <c r="Q19" t="e">
        <f>AND(#REF!,"AAAAAGf7txA=")</f>
        <v>#REF!</v>
      </c>
      <c r="R19" t="e">
        <f>AND(#REF!,"AAAAAGf7txE=")</f>
        <v>#REF!</v>
      </c>
      <c r="S19" t="e">
        <f>AND(#REF!,"AAAAAGf7txI=")</f>
        <v>#REF!</v>
      </c>
      <c r="T19" t="e">
        <f>AND(#REF!,"AAAAAGf7txM=")</f>
        <v>#REF!</v>
      </c>
      <c r="U19" t="e">
        <f>AND(#REF!,"AAAAAGf7txQ=")</f>
        <v>#REF!</v>
      </c>
      <c r="V19" t="e">
        <f>AND(#REF!,"AAAAAGf7txU=")</f>
        <v>#REF!</v>
      </c>
      <c r="W19" t="e">
        <f>AND(#REF!,"AAAAAGf7txY=")</f>
        <v>#REF!</v>
      </c>
      <c r="X19" t="e">
        <f>AND(#REF!,"AAAAAGf7txc=")</f>
        <v>#REF!</v>
      </c>
      <c r="Y19" t="e">
        <f>AND(#REF!,"AAAAAGf7txg=")</f>
        <v>#REF!</v>
      </c>
      <c r="Z19" t="e">
        <f>AND(#REF!,"AAAAAGf7txk=")</f>
        <v>#REF!</v>
      </c>
      <c r="AA19" t="e">
        <f>AND(#REF!,"AAAAAGf7txo=")</f>
        <v>#REF!</v>
      </c>
      <c r="AB19" t="e">
        <f>AND(#REF!,"AAAAAGf7txs=")</f>
        <v>#REF!</v>
      </c>
      <c r="AC19" t="e">
        <f>AND(#REF!,"AAAAAGf7txw=")</f>
        <v>#REF!</v>
      </c>
      <c r="AD19" t="e">
        <f>AND(#REF!,"AAAAAGf7tx0=")</f>
        <v>#REF!</v>
      </c>
      <c r="AE19" t="e">
        <f>AND(#REF!,"AAAAAGf7tx4=")</f>
        <v>#REF!</v>
      </c>
      <c r="AF19" t="e">
        <f>AND(#REF!,"AAAAAGf7tx8=")</f>
        <v>#REF!</v>
      </c>
      <c r="AG19" t="e">
        <f>AND(#REF!,"AAAAAGf7tyA=")</f>
        <v>#REF!</v>
      </c>
      <c r="AH19" t="e">
        <f>AND(#REF!,"AAAAAGf7tyE=")</f>
        <v>#REF!</v>
      </c>
      <c r="AI19" t="e">
        <f>AND(#REF!,"AAAAAGf7tyI=")</f>
        <v>#REF!</v>
      </c>
      <c r="AJ19" t="e">
        <f>AND(#REF!,"AAAAAGf7tyM=")</f>
        <v>#REF!</v>
      </c>
      <c r="AK19" t="e">
        <f>AND(#REF!,"AAAAAGf7tyQ=")</f>
        <v>#REF!</v>
      </c>
      <c r="AL19" t="e">
        <f>AND(#REF!,"AAAAAGf7tyU=")</f>
        <v>#REF!</v>
      </c>
      <c r="AM19" t="e">
        <f>AND(#REF!,"AAAAAGf7tyY=")</f>
        <v>#REF!</v>
      </c>
      <c r="AN19" t="e">
        <f>AND(#REF!,"AAAAAGf7tyc=")</f>
        <v>#REF!</v>
      </c>
      <c r="AO19" t="e">
        <f>AND(#REF!,"AAAAAGf7tyg=")</f>
        <v>#REF!</v>
      </c>
      <c r="AP19" t="e">
        <f>AND(#REF!,"AAAAAGf7tyk=")</f>
        <v>#REF!</v>
      </c>
      <c r="AQ19" t="e">
        <f>AND(#REF!,"AAAAAGf7tyo=")</f>
        <v>#REF!</v>
      </c>
      <c r="AR19" t="e">
        <f>AND(#REF!,"AAAAAGf7tys=")</f>
        <v>#REF!</v>
      </c>
      <c r="AS19" t="e">
        <f>AND(#REF!,"AAAAAGf7tyw=")</f>
        <v>#REF!</v>
      </c>
      <c r="AT19" t="e">
        <f>AND(#REF!,"AAAAAGf7ty0=")</f>
        <v>#REF!</v>
      </c>
      <c r="AU19" t="e">
        <f>AND(#REF!,"AAAAAGf7ty4=")</f>
        <v>#REF!</v>
      </c>
      <c r="AV19" t="e">
        <f>AND(#REF!,"AAAAAGf7ty8=")</f>
        <v>#REF!</v>
      </c>
      <c r="AW19" t="e">
        <f>AND(#REF!,"AAAAAGf7tzA=")</f>
        <v>#REF!</v>
      </c>
      <c r="AX19" t="e">
        <f>AND(#REF!,"AAAAAGf7tzE=")</f>
        <v>#REF!</v>
      </c>
      <c r="AY19" t="e">
        <f>AND(#REF!,"AAAAAGf7tzI=")</f>
        <v>#REF!</v>
      </c>
      <c r="AZ19" t="e">
        <f>AND(#REF!,"AAAAAGf7tzM=")</f>
        <v>#REF!</v>
      </c>
      <c r="BA19" t="e">
        <f>AND(#REF!,"AAAAAGf7tzQ=")</f>
        <v>#REF!</v>
      </c>
      <c r="BB19" t="e">
        <f>AND(#REF!,"AAAAAGf7tzU=")</f>
        <v>#REF!</v>
      </c>
      <c r="BC19" t="e">
        <f>AND(#REF!,"AAAAAGf7tzY=")</f>
        <v>#REF!</v>
      </c>
      <c r="BD19" t="e">
        <f>AND(#REF!,"AAAAAGf7tzc=")</f>
        <v>#REF!</v>
      </c>
      <c r="BE19" t="e">
        <f>AND(#REF!,"AAAAAGf7tzg=")</f>
        <v>#REF!</v>
      </c>
      <c r="BF19" t="e">
        <f>AND(#REF!,"AAAAAGf7tzk=")</f>
        <v>#REF!</v>
      </c>
      <c r="BG19" t="e">
        <f>AND(#REF!,"AAAAAGf7tzo=")</f>
        <v>#REF!</v>
      </c>
      <c r="BH19" t="e">
        <f>AND(#REF!,"AAAAAGf7tzs=")</f>
        <v>#REF!</v>
      </c>
      <c r="BI19" t="e">
        <f>AND(#REF!,"AAAAAGf7tzw=")</f>
        <v>#REF!</v>
      </c>
      <c r="BJ19" t="e">
        <f>AND(#REF!,"AAAAAGf7tz0=")</f>
        <v>#REF!</v>
      </c>
      <c r="BK19" t="e">
        <f>AND(#REF!,"AAAAAGf7tz4=")</f>
        <v>#REF!</v>
      </c>
      <c r="BL19" t="e">
        <f>AND(#REF!,"AAAAAGf7tz8=")</f>
        <v>#REF!</v>
      </c>
      <c r="BM19" t="e">
        <f>AND(#REF!,"AAAAAGf7t0A=")</f>
        <v>#REF!</v>
      </c>
      <c r="BN19" t="e">
        <f>AND(#REF!,"AAAAAGf7t0E=")</f>
        <v>#REF!</v>
      </c>
      <c r="BO19" t="e">
        <f>AND(#REF!,"AAAAAGf7t0I=")</f>
        <v>#REF!</v>
      </c>
      <c r="BP19" t="e">
        <f>AND(#REF!,"AAAAAGf7t0M=")</f>
        <v>#REF!</v>
      </c>
      <c r="BQ19" t="e">
        <f>AND(#REF!,"AAAAAGf7t0Q=")</f>
        <v>#REF!</v>
      </c>
      <c r="BR19" t="e">
        <f>AND(#REF!,"AAAAAGf7t0U=")</f>
        <v>#REF!</v>
      </c>
      <c r="BS19" t="e">
        <f>AND(#REF!,"AAAAAGf7t0Y=")</f>
        <v>#REF!</v>
      </c>
      <c r="BT19" t="e">
        <f>AND(#REF!,"AAAAAGf7t0c=")</f>
        <v>#REF!</v>
      </c>
      <c r="BU19" t="e">
        <f>AND(#REF!,"AAAAAGf7t0g=")</f>
        <v>#REF!</v>
      </c>
      <c r="BV19" t="e">
        <f>AND(#REF!,"AAAAAGf7t0k=")</f>
        <v>#REF!</v>
      </c>
      <c r="BW19" t="e">
        <f>AND(#REF!,"AAAAAGf7t0o=")</f>
        <v>#REF!</v>
      </c>
      <c r="BX19" t="e">
        <f>AND(#REF!,"AAAAAGf7t0s=")</f>
        <v>#REF!</v>
      </c>
      <c r="BY19" t="e">
        <f>AND(#REF!,"AAAAAGf7t0w=")</f>
        <v>#REF!</v>
      </c>
      <c r="BZ19" t="e">
        <f>AND(#REF!,"AAAAAGf7t00=")</f>
        <v>#REF!</v>
      </c>
      <c r="CA19" t="e">
        <f>AND(#REF!,"AAAAAGf7t04=")</f>
        <v>#REF!</v>
      </c>
      <c r="CB19" t="e">
        <f>AND(#REF!,"AAAAAGf7t08=")</f>
        <v>#REF!</v>
      </c>
      <c r="CC19" t="e">
        <f>AND(#REF!,"AAAAAGf7t1A=")</f>
        <v>#REF!</v>
      </c>
      <c r="CD19" t="e">
        <f>AND(#REF!,"AAAAAGf7t1E=")</f>
        <v>#REF!</v>
      </c>
      <c r="CE19" t="e">
        <f>AND(#REF!,"AAAAAGf7t1I=")</f>
        <v>#REF!</v>
      </c>
      <c r="CF19" t="e">
        <f>AND(#REF!,"AAAAAGf7t1M=")</f>
        <v>#REF!</v>
      </c>
      <c r="CG19" t="e">
        <f>AND(#REF!,"AAAAAGf7t1Q=")</f>
        <v>#REF!</v>
      </c>
      <c r="CH19" t="e">
        <f>AND(#REF!,"AAAAAGf7t1U=")</f>
        <v>#REF!</v>
      </c>
      <c r="CI19" t="e">
        <f>AND(#REF!,"AAAAAGf7t1Y=")</f>
        <v>#REF!</v>
      </c>
      <c r="CJ19" t="e">
        <f>AND(#REF!,"AAAAAGf7t1c=")</f>
        <v>#REF!</v>
      </c>
      <c r="CK19" t="e">
        <f>AND(#REF!,"AAAAAGf7t1g=")</f>
        <v>#REF!</v>
      </c>
      <c r="CL19" t="e">
        <f>AND(#REF!,"AAAAAGf7t1k=")</f>
        <v>#REF!</v>
      </c>
      <c r="CM19" t="e">
        <f>AND(#REF!,"AAAAAGf7t1o=")</f>
        <v>#REF!</v>
      </c>
      <c r="CN19" t="e">
        <f>AND(#REF!,"AAAAAGf7t1s=")</f>
        <v>#REF!</v>
      </c>
      <c r="CO19" t="e">
        <f>AND(#REF!,"AAAAAGf7t1w=")</f>
        <v>#REF!</v>
      </c>
      <c r="CP19" t="e">
        <f>AND(#REF!,"AAAAAGf7t10=")</f>
        <v>#REF!</v>
      </c>
      <c r="CQ19" t="e">
        <f>AND(#REF!,"AAAAAGf7t14=")</f>
        <v>#REF!</v>
      </c>
      <c r="CR19" t="e">
        <f>AND(#REF!,"AAAAAGf7t18=")</f>
        <v>#REF!</v>
      </c>
      <c r="CS19" t="e">
        <f>AND(#REF!,"AAAAAGf7t2A=")</f>
        <v>#REF!</v>
      </c>
      <c r="CT19" t="e">
        <f>AND(#REF!,"AAAAAGf7t2E=")</f>
        <v>#REF!</v>
      </c>
      <c r="CU19" t="e">
        <f>AND(#REF!,"AAAAAGf7t2I=")</f>
        <v>#REF!</v>
      </c>
      <c r="CV19" t="e">
        <f>AND(#REF!,"AAAAAGf7t2M=")</f>
        <v>#REF!</v>
      </c>
      <c r="CW19" t="e">
        <f>AND(#REF!,"AAAAAGf7t2Q=")</f>
        <v>#REF!</v>
      </c>
      <c r="CX19" t="e">
        <f>AND(#REF!,"AAAAAGf7t2U=")</f>
        <v>#REF!</v>
      </c>
      <c r="CY19" t="e">
        <f>AND(#REF!,"AAAAAGf7t2Y=")</f>
        <v>#REF!</v>
      </c>
      <c r="CZ19" t="e">
        <f>AND(#REF!,"AAAAAGf7t2c=")</f>
        <v>#REF!</v>
      </c>
      <c r="DA19" t="e">
        <f>AND(#REF!,"AAAAAGf7t2g=")</f>
        <v>#REF!</v>
      </c>
      <c r="DB19" t="e">
        <f>AND(#REF!,"AAAAAGf7t2k=")</f>
        <v>#REF!</v>
      </c>
      <c r="DC19" t="e">
        <f>AND(#REF!,"AAAAAGf7t2o=")</f>
        <v>#REF!</v>
      </c>
      <c r="DD19" t="e">
        <f>AND(#REF!,"AAAAAGf7t2s=")</f>
        <v>#REF!</v>
      </c>
      <c r="DE19" t="e">
        <f>AND(#REF!,"AAAAAGf7t2w=")</f>
        <v>#REF!</v>
      </c>
      <c r="DF19" t="e">
        <f>AND(#REF!,"AAAAAGf7t20=")</f>
        <v>#REF!</v>
      </c>
      <c r="DG19" t="e">
        <f>AND(#REF!,"AAAAAGf7t24=")</f>
        <v>#REF!</v>
      </c>
      <c r="DH19" t="e">
        <f>AND(#REF!,"AAAAAGf7t28=")</f>
        <v>#REF!</v>
      </c>
      <c r="DI19" t="e">
        <f>AND(#REF!,"AAAAAGf7t3A=")</f>
        <v>#REF!</v>
      </c>
      <c r="DJ19" t="e">
        <f>AND(#REF!,"AAAAAGf7t3E=")</f>
        <v>#REF!</v>
      </c>
      <c r="DK19" t="e">
        <f>AND(#REF!,"AAAAAGf7t3I=")</f>
        <v>#REF!</v>
      </c>
      <c r="DL19" t="e">
        <f>AND(#REF!,"AAAAAGf7t3M=")</f>
        <v>#REF!</v>
      </c>
      <c r="DM19" t="e">
        <f>AND(#REF!,"AAAAAGf7t3Q=")</f>
        <v>#REF!</v>
      </c>
      <c r="DN19" t="e">
        <f>AND(#REF!,"AAAAAGf7t3U=")</f>
        <v>#REF!</v>
      </c>
      <c r="DO19" t="e">
        <f>AND(#REF!,"AAAAAGf7t3Y=")</f>
        <v>#REF!</v>
      </c>
      <c r="DP19" t="e">
        <f>AND(#REF!,"AAAAAGf7t3c=")</f>
        <v>#REF!</v>
      </c>
      <c r="DQ19" t="e">
        <f>AND(#REF!,"AAAAAGf7t3g=")</f>
        <v>#REF!</v>
      </c>
      <c r="DR19" t="e">
        <f>AND(#REF!,"AAAAAGf7t3k=")</f>
        <v>#REF!</v>
      </c>
      <c r="DS19" t="e">
        <f>AND(#REF!,"AAAAAGf7t3o=")</f>
        <v>#REF!</v>
      </c>
      <c r="DT19" t="e">
        <f>AND(#REF!,"AAAAAGf7t3s=")</f>
        <v>#REF!</v>
      </c>
      <c r="DU19" t="e">
        <f>AND(#REF!,"AAAAAGf7t3w=")</f>
        <v>#REF!</v>
      </c>
      <c r="DV19" t="e">
        <f>AND(#REF!,"AAAAAGf7t30=")</f>
        <v>#REF!</v>
      </c>
      <c r="DW19" t="e">
        <f>AND(#REF!,"AAAAAGf7t34=")</f>
        <v>#REF!</v>
      </c>
      <c r="DX19" t="e">
        <f>AND(#REF!,"AAAAAGf7t38=")</f>
        <v>#REF!</v>
      </c>
      <c r="DY19" t="e">
        <f>AND(#REF!,"AAAAAGf7t4A=")</f>
        <v>#REF!</v>
      </c>
      <c r="DZ19" t="e">
        <f>AND(#REF!,"AAAAAGf7t4E=")</f>
        <v>#REF!</v>
      </c>
      <c r="EA19" t="e">
        <f>AND(#REF!,"AAAAAGf7t4I=")</f>
        <v>#REF!</v>
      </c>
      <c r="EB19" t="e">
        <f>AND(#REF!,"AAAAAGf7t4M=")</f>
        <v>#REF!</v>
      </c>
      <c r="EC19" t="e">
        <f>AND(#REF!,"AAAAAGf7t4Q=")</f>
        <v>#REF!</v>
      </c>
      <c r="ED19" t="e">
        <f>AND(#REF!,"AAAAAGf7t4U=")</f>
        <v>#REF!</v>
      </c>
      <c r="EE19" t="e">
        <f>AND(#REF!,"AAAAAGf7t4Y=")</f>
        <v>#REF!</v>
      </c>
      <c r="EF19" t="e">
        <f>AND(#REF!,"AAAAAGf7t4c=")</f>
        <v>#REF!</v>
      </c>
      <c r="EG19" t="e">
        <f>AND(#REF!,"AAAAAGf7t4g=")</f>
        <v>#REF!</v>
      </c>
      <c r="EH19" t="e">
        <f>AND(#REF!,"AAAAAGf7t4k=")</f>
        <v>#REF!</v>
      </c>
      <c r="EI19" t="e">
        <f>AND(#REF!,"AAAAAGf7t4o=")</f>
        <v>#REF!</v>
      </c>
      <c r="EJ19" t="e">
        <f>AND(#REF!,"AAAAAGf7t4s=")</f>
        <v>#REF!</v>
      </c>
      <c r="EK19" t="e">
        <f>AND(#REF!,"AAAAAGf7t4w=")</f>
        <v>#REF!</v>
      </c>
      <c r="EL19" t="e">
        <f>AND(#REF!,"AAAAAGf7t40=")</f>
        <v>#REF!</v>
      </c>
      <c r="EM19" t="e">
        <f>AND(#REF!,"AAAAAGf7t44=")</f>
        <v>#REF!</v>
      </c>
      <c r="EN19" t="e">
        <f>AND(#REF!,"AAAAAGf7t48=")</f>
        <v>#REF!</v>
      </c>
      <c r="EO19" t="e">
        <f>AND(#REF!,"AAAAAGf7t5A=")</f>
        <v>#REF!</v>
      </c>
      <c r="EP19" t="e">
        <f>AND(#REF!,"AAAAAGf7t5E=")</f>
        <v>#REF!</v>
      </c>
      <c r="EQ19" t="e">
        <f>AND(#REF!,"AAAAAGf7t5I=")</f>
        <v>#REF!</v>
      </c>
      <c r="ER19" t="e">
        <f>AND(#REF!,"AAAAAGf7t5M=")</f>
        <v>#REF!</v>
      </c>
      <c r="ES19" t="e">
        <f>AND(#REF!,"AAAAAGf7t5Q=")</f>
        <v>#REF!</v>
      </c>
      <c r="ET19" t="e">
        <f>AND(#REF!,"AAAAAGf7t5U=")</f>
        <v>#REF!</v>
      </c>
      <c r="EU19" t="e">
        <f>AND(#REF!,"AAAAAGf7t5Y=")</f>
        <v>#REF!</v>
      </c>
      <c r="EV19" t="e">
        <f>AND(#REF!,"AAAAAGf7t5c=")</f>
        <v>#REF!</v>
      </c>
      <c r="EW19" t="e">
        <f>AND(#REF!,"AAAAAGf7t5g=")</f>
        <v>#REF!</v>
      </c>
      <c r="EX19" t="e">
        <f>AND(#REF!,"AAAAAGf7t5k=")</f>
        <v>#REF!</v>
      </c>
      <c r="EY19" t="e">
        <f>IF(#REF!,"AAAAAGf7t5o=",0)</f>
        <v>#REF!</v>
      </c>
      <c r="EZ19" t="e">
        <f>AND(#REF!,"AAAAAGf7t5s=")</f>
        <v>#REF!</v>
      </c>
      <c r="FA19" t="e">
        <f>AND(#REF!,"AAAAAGf7t5w=")</f>
        <v>#REF!</v>
      </c>
      <c r="FB19" t="e">
        <f>AND(#REF!,"AAAAAGf7t50=")</f>
        <v>#REF!</v>
      </c>
      <c r="FC19" t="e">
        <f>AND(#REF!,"AAAAAGf7t54=")</f>
        <v>#REF!</v>
      </c>
      <c r="FD19" t="e">
        <f>AND(#REF!,"AAAAAGf7t58=")</f>
        <v>#REF!</v>
      </c>
      <c r="FE19" t="e">
        <f>AND(#REF!,"AAAAAGf7t6A=")</f>
        <v>#REF!</v>
      </c>
      <c r="FF19" t="e">
        <f>AND(#REF!,"AAAAAGf7t6E=")</f>
        <v>#REF!</v>
      </c>
      <c r="FG19" t="e">
        <f>AND(#REF!,"AAAAAGf7t6I=")</f>
        <v>#REF!</v>
      </c>
      <c r="FH19" t="e">
        <f>AND(#REF!,"AAAAAGf7t6M=")</f>
        <v>#REF!</v>
      </c>
      <c r="FI19" t="e">
        <f>AND(#REF!,"AAAAAGf7t6Q=")</f>
        <v>#REF!</v>
      </c>
      <c r="FJ19" t="e">
        <f>AND(#REF!,"AAAAAGf7t6U=")</f>
        <v>#REF!</v>
      </c>
      <c r="FK19" t="e">
        <f>AND(#REF!,"AAAAAGf7t6Y=")</f>
        <v>#REF!</v>
      </c>
      <c r="FL19" t="e">
        <f>AND(#REF!,"AAAAAGf7t6c=")</f>
        <v>#REF!</v>
      </c>
      <c r="FM19" t="e">
        <f>AND(#REF!,"AAAAAGf7t6g=")</f>
        <v>#REF!</v>
      </c>
      <c r="FN19" t="e">
        <f>AND(#REF!,"AAAAAGf7t6k=")</f>
        <v>#REF!</v>
      </c>
      <c r="FO19" t="e">
        <f>AND(#REF!,"AAAAAGf7t6o=")</f>
        <v>#REF!</v>
      </c>
      <c r="FP19" t="e">
        <f>AND(#REF!,"AAAAAGf7t6s=")</f>
        <v>#REF!</v>
      </c>
      <c r="FQ19" t="e">
        <f>AND(#REF!,"AAAAAGf7t6w=")</f>
        <v>#REF!</v>
      </c>
      <c r="FR19" t="e">
        <f>AND(#REF!,"AAAAAGf7t60=")</f>
        <v>#REF!</v>
      </c>
      <c r="FS19" t="e">
        <f>AND(#REF!,"AAAAAGf7t64=")</f>
        <v>#REF!</v>
      </c>
      <c r="FT19" t="e">
        <f>AND(#REF!,"AAAAAGf7t68=")</f>
        <v>#REF!</v>
      </c>
      <c r="FU19" t="e">
        <f>AND(#REF!,"AAAAAGf7t7A=")</f>
        <v>#REF!</v>
      </c>
      <c r="FV19" t="e">
        <f>AND(#REF!,"AAAAAGf7t7E=")</f>
        <v>#REF!</v>
      </c>
      <c r="FW19" t="e">
        <f>AND(#REF!,"AAAAAGf7t7I=")</f>
        <v>#REF!</v>
      </c>
      <c r="FX19" t="e">
        <f>AND(#REF!,"AAAAAGf7t7M=")</f>
        <v>#REF!</v>
      </c>
      <c r="FY19" t="e">
        <f>AND(#REF!,"AAAAAGf7t7Q=")</f>
        <v>#REF!</v>
      </c>
      <c r="FZ19" t="e">
        <f>AND(#REF!,"AAAAAGf7t7U=")</f>
        <v>#REF!</v>
      </c>
      <c r="GA19" t="e">
        <f>AND(#REF!,"AAAAAGf7t7Y=")</f>
        <v>#REF!</v>
      </c>
      <c r="GB19" t="e">
        <f>AND(#REF!,"AAAAAGf7t7c=")</f>
        <v>#REF!</v>
      </c>
      <c r="GC19" t="e">
        <f>AND(#REF!,"AAAAAGf7t7g=")</f>
        <v>#REF!</v>
      </c>
      <c r="GD19" t="e">
        <f>AND(#REF!,"AAAAAGf7t7k=")</f>
        <v>#REF!</v>
      </c>
      <c r="GE19" t="e">
        <f>AND(#REF!,"AAAAAGf7t7o=")</f>
        <v>#REF!</v>
      </c>
      <c r="GF19" t="e">
        <f>AND(#REF!,"AAAAAGf7t7s=")</f>
        <v>#REF!</v>
      </c>
      <c r="GG19" t="e">
        <f>AND(#REF!,"AAAAAGf7t7w=")</f>
        <v>#REF!</v>
      </c>
      <c r="GH19" t="e">
        <f>AND(#REF!,"AAAAAGf7t70=")</f>
        <v>#REF!</v>
      </c>
      <c r="GI19" t="e">
        <f>AND(#REF!,"AAAAAGf7t74=")</f>
        <v>#REF!</v>
      </c>
      <c r="GJ19" t="e">
        <f>AND(#REF!,"AAAAAGf7t78=")</f>
        <v>#REF!</v>
      </c>
      <c r="GK19" t="e">
        <f>AND(#REF!,"AAAAAGf7t8A=")</f>
        <v>#REF!</v>
      </c>
      <c r="GL19" t="e">
        <f>AND(#REF!,"AAAAAGf7t8E=")</f>
        <v>#REF!</v>
      </c>
      <c r="GM19" t="e">
        <f>AND(#REF!,"AAAAAGf7t8I=")</f>
        <v>#REF!</v>
      </c>
      <c r="GN19" t="e">
        <f>AND(#REF!,"AAAAAGf7t8M=")</f>
        <v>#REF!</v>
      </c>
      <c r="GO19" t="e">
        <f>AND(#REF!,"AAAAAGf7t8Q=")</f>
        <v>#REF!</v>
      </c>
      <c r="GP19" t="e">
        <f>AND(#REF!,"AAAAAGf7t8U=")</f>
        <v>#REF!</v>
      </c>
      <c r="GQ19" t="e">
        <f>AND(#REF!,"AAAAAGf7t8Y=")</f>
        <v>#REF!</v>
      </c>
      <c r="GR19" t="e">
        <f>AND(#REF!,"AAAAAGf7t8c=")</f>
        <v>#REF!</v>
      </c>
      <c r="GS19" t="e">
        <f>AND(#REF!,"AAAAAGf7t8g=")</f>
        <v>#REF!</v>
      </c>
      <c r="GT19" t="e">
        <f>AND(#REF!,"AAAAAGf7t8k=")</f>
        <v>#REF!</v>
      </c>
      <c r="GU19" t="e">
        <f>AND(#REF!,"AAAAAGf7t8o=")</f>
        <v>#REF!</v>
      </c>
      <c r="GV19" t="e">
        <f>AND(#REF!,"AAAAAGf7t8s=")</f>
        <v>#REF!</v>
      </c>
      <c r="GW19" t="e">
        <f>AND(#REF!,"AAAAAGf7t8w=")</f>
        <v>#REF!</v>
      </c>
      <c r="GX19" t="e">
        <f>AND(#REF!,"AAAAAGf7t80=")</f>
        <v>#REF!</v>
      </c>
      <c r="GY19" t="e">
        <f>AND(#REF!,"AAAAAGf7t84=")</f>
        <v>#REF!</v>
      </c>
      <c r="GZ19" t="e">
        <f>AND(#REF!,"AAAAAGf7t88=")</f>
        <v>#REF!</v>
      </c>
      <c r="HA19" t="e">
        <f>AND(#REF!,"AAAAAGf7t9A=")</f>
        <v>#REF!</v>
      </c>
      <c r="HB19" t="e">
        <f>AND(#REF!,"AAAAAGf7t9E=")</f>
        <v>#REF!</v>
      </c>
      <c r="HC19" t="e">
        <f>AND(#REF!,"AAAAAGf7t9I=")</f>
        <v>#REF!</v>
      </c>
      <c r="HD19" t="e">
        <f>AND(#REF!,"AAAAAGf7t9M=")</f>
        <v>#REF!</v>
      </c>
      <c r="HE19" t="e">
        <f>AND(#REF!,"AAAAAGf7t9Q=")</f>
        <v>#REF!</v>
      </c>
      <c r="HF19" t="e">
        <f>AND(#REF!,"AAAAAGf7t9U=")</f>
        <v>#REF!</v>
      </c>
      <c r="HG19" t="e">
        <f>AND(#REF!,"AAAAAGf7t9Y=")</f>
        <v>#REF!</v>
      </c>
      <c r="HH19" t="e">
        <f>AND(#REF!,"AAAAAGf7t9c=")</f>
        <v>#REF!</v>
      </c>
      <c r="HI19" t="e">
        <f>AND(#REF!,"AAAAAGf7t9g=")</f>
        <v>#REF!</v>
      </c>
      <c r="HJ19" t="e">
        <f>AND(#REF!,"AAAAAGf7t9k=")</f>
        <v>#REF!</v>
      </c>
      <c r="HK19" t="e">
        <f>AND(#REF!,"AAAAAGf7t9o=")</f>
        <v>#REF!</v>
      </c>
      <c r="HL19" t="e">
        <f>AND(#REF!,"AAAAAGf7t9s=")</f>
        <v>#REF!</v>
      </c>
      <c r="HM19" t="e">
        <f>AND(#REF!,"AAAAAGf7t9w=")</f>
        <v>#REF!</v>
      </c>
      <c r="HN19" t="e">
        <f>AND(#REF!,"AAAAAGf7t90=")</f>
        <v>#REF!</v>
      </c>
      <c r="HO19" t="e">
        <f>AND(#REF!,"AAAAAGf7t94=")</f>
        <v>#REF!</v>
      </c>
      <c r="HP19" t="e">
        <f>AND(#REF!,"AAAAAGf7t98=")</f>
        <v>#REF!</v>
      </c>
      <c r="HQ19" t="e">
        <f>AND(#REF!,"AAAAAGf7t+A=")</f>
        <v>#REF!</v>
      </c>
      <c r="HR19" t="e">
        <f>AND(#REF!,"AAAAAGf7t+E=")</f>
        <v>#REF!</v>
      </c>
      <c r="HS19" t="e">
        <f>AND(#REF!,"AAAAAGf7t+I=")</f>
        <v>#REF!</v>
      </c>
      <c r="HT19" t="e">
        <f>AND(#REF!,"AAAAAGf7t+M=")</f>
        <v>#REF!</v>
      </c>
      <c r="HU19" t="e">
        <f>AND(#REF!,"AAAAAGf7t+Q=")</f>
        <v>#REF!</v>
      </c>
      <c r="HV19" t="e">
        <f>AND(#REF!,"AAAAAGf7t+U=")</f>
        <v>#REF!</v>
      </c>
      <c r="HW19" t="e">
        <f>AND(#REF!,"AAAAAGf7t+Y=")</f>
        <v>#REF!</v>
      </c>
      <c r="HX19" t="e">
        <f>AND(#REF!,"AAAAAGf7t+c=")</f>
        <v>#REF!</v>
      </c>
      <c r="HY19" t="e">
        <f>AND(#REF!,"AAAAAGf7t+g=")</f>
        <v>#REF!</v>
      </c>
      <c r="HZ19" t="e">
        <f>AND(#REF!,"AAAAAGf7t+k=")</f>
        <v>#REF!</v>
      </c>
      <c r="IA19" t="e">
        <f>AND(#REF!,"AAAAAGf7t+o=")</f>
        <v>#REF!</v>
      </c>
      <c r="IB19" t="e">
        <f>AND(#REF!,"AAAAAGf7t+s=")</f>
        <v>#REF!</v>
      </c>
      <c r="IC19" t="e">
        <f>AND(#REF!,"AAAAAGf7t+w=")</f>
        <v>#REF!</v>
      </c>
      <c r="ID19" t="e">
        <f>AND(#REF!,"AAAAAGf7t+0=")</f>
        <v>#REF!</v>
      </c>
      <c r="IE19" t="e">
        <f>AND(#REF!,"AAAAAGf7t+4=")</f>
        <v>#REF!</v>
      </c>
      <c r="IF19" t="e">
        <f>AND(#REF!,"AAAAAGf7t+8=")</f>
        <v>#REF!</v>
      </c>
      <c r="IG19" t="e">
        <f>AND(#REF!,"AAAAAGf7t/A=")</f>
        <v>#REF!</v>
      </c>
      <c r="IH19" t="e">
        <f>AND(#REF!,"AAAAAGf7t/E=")</f>
        <v>#REF!</v>
      </c>
      <c r="II19" t="e">
        <f>AND(#REF!,"AAAAAGf7t/I=")</f>
        <v>#REF!</v>
      </c>
      <c r="IJ19" t="e">
        <f>AND(#REF!,"AAAAAGf7t/M=")</f>
        <v>#REF!</v>
      </c>
      <c r="IK19" t="e">
        <f>AND(#REF!,"AAAAAGf7t/Q=")</f>
        <v>#REF!</v>
      </c>
      <c r="IL19" t="e">
        <f>AND(#REF!,"AAAAAGf7t/U=")</f>
        <v>#REF!</v>
      </c>
      <c r="IM19" t="e">
        <f>AND(#REF!,"AAAAAGf7t/Y=")</f>
        <v>#REF!</v>
      </c>
      <c r="IN19" t="e">
        <f>AND(#REF!,"AAAAAGf7t/c=")</f>
        <v>#REF!</v>
      </c>
      <c r="IO19" t="e">
        <f>AND(#REF!,"AAAAAGf7t/g=")</f>
        <v>#REF!</v>
      </c>
      <c r="IP19" t="e">
        <f>AND(#REF!,"AAAAAGf7t/k=")</f>
        <v>#REF!</v>
      </c>
      <c r="IQ19" t="e">
        <f>AND(#REF!,"AAAAAGf7t/o=")</f>
        <v>#REF!</v>
      </c>
      <c r="IR19" t="e">
        <f>AND(#REF!,"AAAAAGf7t/s=")</f>
        <v>#REF!</v>
      </c>
      <c r="IS19" t="e">
        <f>AND(#REF!,"AAAAAGf7t/w=")</f>
        <v>#REF!</v>
      </c>
      <c r="IT19" t="e">
        <f>AND(#REF!,"AAAAAGf7t/0=")</f>
        <v>#REF!</v>
      </c>
      <c r="IU19" t="e">
        <f>AND(#REF!,"AAAAAGf7t/4=")</f>
        <v>#REF!</v>
      </c>
      <c r="IV19" t="e">
        <f>AND(#REF!,"AAAAAGf7t/8=")</f>
        <v>#REF!</v>
      </c>
    </row>
    <row r="20" spans="1:256" x14ac:dyDescent="0.25">
      <c r="A20" t="e">
        <f>AND(#REF!,"AAAAAG/FlwA=")</f>
        <v>#REF!</v>
      </c>
      <c r="B20" t="e">
        <f>AND(#REF!,"AAAAAG/FlwE=")</f>
        <v>#REF!</v>
      </c>
      <c r="C20" t="e">
        <f>AND(#REF!,"AAAAAG/FlwI=")</f>
        <v>#REF!</v>
      </c>
      <c r="D20" t="e">
        <f>AND(#REF!,"AAAAAG/FlwM=")</f>
        <v>#REF!</v>
      </c>
      <c r="E20" t="e">
        <f>AND(#REF!,"AAAAAG/FlwQ=")</f>
        <v>#REF!</v>
      </c>
      <c r="F20" t="e">
        <f>AND(#REF!,"AAAAAG/FlwU=")</f>
        <v>#REF!</v>
      </c>
      <c r="G20" t="e">
        <f>AND(#REF!,"AAAAAG/FlwY=")</f>
        <v>#REF!</v>
      </c>
      <c r="H20" t="e">
        <f>AND(#REF!,"AAAAAG/Flwc=")</f>
        <v>#REF!</v>
      </c>
      <c r="I20" t="e">
        <f>AND(#REF!,"AAAAAG/Flwg=")</f>
        <v>#REF!</v>
      </c>
      <c r="J20" t="e">
        <f>AND(#REF!,"AAAAAG/Flwk=")</f>
        <v>#REF!</v>
      </c>
      <c r="K20" t="e">
        <f>AND(#REF!,"AAAAAG/Flwo=")</f>
        <v>#REF!</v>
      </c>
      <c r="L20" t="e">
        <f>AND(#REF!,"AAAAAG/Flws=")</f>
        <v>#REF!</v>
      </c>
      <c r="M20" t="e">
        <f>AND(#REF!,"AAAAAG/Flww=")</f>
        <v>#REF!</v>
      </c>
      <c r="N20" t="e">
        <f>AND(#REF!,"AAAAAG/Flw0=")</f>
        <v>#REF!</v>
      </c>
      <c r="O20" t="e">
        <f>AND(#REF!,"AAAAAG/Flw4=")</f>
        <v>#REF!</v>
      </c>
      <c r="P20" t="e">
        <f>AND(#REF!,"AAAAAG/Flw8=")</f>
        <v>#REF!</v>
      </c>
      <c r="Q20" t="e">
        <f>AND(#REF!,"AAAAAG/FlxA=")</f>
        <v>#REF!</v>
      </c>
      <c r="R20" t="e">
        <f>AND(#REF!,"AAAAAG/FlxE=")</f>
        <v>#REF!</v>
      </c>
      <c r="S20" t="e">
        <f>AND(#REF!,"AAAAAG/FlxI=")</f>
        <v>#REF!</v>
      </c>
      <c r="T20" t="e">
        <f>AND(#REF!,"AAAAAG/FlxM=")</f>
        <v>#REF!</v>
      </c>
      <c r="U20" t="e">
        <f>AND(#REF!,"AAAAAG/FlxQ=")</f>
        <v>#REF!</v>
      </c>
      <c r="V20" t="e">
        <f>AND(#REF!,"AAAAAG/FlxU=")</f>
        <v>#REF!</v>
      </c>
      <c r="W20" t="e">
        <f>AND(#REF!,"AAAAAG/FlxY=")</f>
        <v>#REF!</v>
      </c>
      <c r="X20" t="e">
        <f>AND(#REF!,"AAAAAG/Flxc=")</f>
        <v>#REF!</v>
      </c>
      <c r="Y20" t="e">
        <f>AND(#REF!,"AAAAAG/Flxg=")</f>
        <v>#REF!</v>
      </c>
      <c r="Z20" t="e">
        <f>AND(#REF!,"AAAAAG/Flxk=")</f>
        <v>#REF!</v>
      </c>
      <c r="AA20" t="e">
        <f>AND(#REF!,"AAAAAG/Flxo=")</f>
        <v>#REF!</v>
      </c>
      <c r="AB20" t="e">
        <f>AND(#REF!,"AAAAAG/Flxs=")</f>
        <v>#REF!</v>
      </c>
      <c r="AC20" t="e">
        <f>AND(#REF!,"AAAAAG/Flxw=")</f>
        <v>#REF!</v>
      </c>
      <c r="AD20" t="e">
        <f>AND(#REF!,"AAAAAG/Flx0=")</f>
        <v>#REF!</v>
      </c>
      <c r="AE20" t="e">
        <f>AND(#REF!,"AAAAAG/Flx4=")</f>
        <v>#REF!</v>
      </c>
      <c r="AF20" t="e">
        <f>AND(#REF!,"AAAAAG/Flx8=")</f>
        <v>#REF!</v>
      </c>
      <c r="AG20" t="e">
        <f>AND(#REF!,"AAAAAG/FlyA=")</f>
        <v>#REF!</v>
      </c>
      <c r="AH20" t="e">
        <f>AND(#REF!,"AAAAAG/FlyE=")</f>
        <v>#REF!</v>
      </c>
      <c r="AI20" t="e">
        <f>AND(#REF!,"AAAAAG/FlyI=")</f>
        <v>#REF!</v>
      </c>
      <c r="AJ20" t="e">
        <f>AND(#REF!,"AAAAAG/FlyM=")</f>
        <v>#REF!</v>
      </c>
      <c r="AK20" t="e">
        <f>AND(#REF!,"AAAAAG/FlyQ=")</f>
        <v>#REF!</v>
      </c>
      <c r="AL20" t="e">
        <f>AND(#REF!,"AAAAAG/FlyU=")</f>
        <v>#REF!</v>
      </c>
      <c r="AM20" t="e">
        <f>AND(#REF!,"AAAAAG/FlyY=")</f>
        <v>#REF!</v>
      </c>
      <c r="AN20" t="e">
        <f>AND(#REF!,"AAAAAG/Flyc=")</f>
        <v>#REF!</v>
      </c>
      <c r="AO20" t="e">
        <f>AND(#REF!,"AAAAAG/Flyg=")</f>
        <v>#REF!</v>
      </c>
      <c r="AP20" t="e">
        <f>AND(#REF!,"AAAAAG/Flyk=")</f>
        <v>#REF!</v>
      </c>
      <c r="AQ20" t="e">
        <f>AND(#REF!,"AAAAAG/Flyo=")</f>
        <v>#REF!</v>
      </c>
      <c r="AR20" t="e">
        <f>AND(#REF!,"AAAAAG/Flys=")</f>
        <v>#REF!</v>
      </c>
      <c r="AS20" t="e">
        <f>AND(#REF!,"AAAAAG/Flyw=")</f>
        <v>#REF!</v>
      </c>
      <c r="AT20" t="e">
        <f>AND(#REF!,"AAAAAG/Fly0=")</f>
        <v>#REF!</v>
      </c>
      <c r="AU20" t="e">
        <f>AND(#REF!,"AAAAAG/Fly4=")</f>
        <v>#REF!</v>
      </c>
      <c r="AV20" t="e">
        <f>AND(#REF!,"AAAAAG/Fly8=")</f>
        <v>#REF!</v>
      </c>
      <c r="AW20" t="e">
        <f>AND(#REF!,"AAAAAG/FlzA=")</f>
        <v>#REF!</v>
      </c>
      <c r="AX20" t="e">
        <f>AND(#REF!,"AAAAAG/FlzE=")</f>
        <v>#REF!</v>
      </c>
      <c r="AY20" t="e">
        <f>AND(#REF!,"AAAAAG/FlzI=")</f>
        <v>#REF!</v>
      </c>
      <c r="AZ20" t="e">
        <f>AND(#REF!,"AAAAAG/FlzM=")</f>
        <v>#REF!</v>
      </c>
      <c r="BA20" t="e">
        <f>AND(#REF!,"AAAAAG/FlzQ=")</f>
        <v>#REF!</v>
      </c>
      <c r="BB20" t="e">
        <f>AND(#REF!,"AAAAAG/FlzU=")</f>
        <v>#REF!</v>
      </c>
      <c r="BC20" t="e">
        <f>AND(#REF!,"AAAAAG/FlzY=")</f>
        <v>#REF!</v>
      </c>
      <c r="BD20" t="e">
        <f>AND(#REF!,"AAAAAG/Flzc=")</f>
        <v>#REF!</v>
      </c>
      <c r="BE20" t="e">
        <f>AND(#REF!,"AAAAAG/Flzg=")</f>
        <v>#REF!</v>
      </c>
      <c r="BF20" t="e">
        <f>AND(#REF!,"AAAAAG/Flzk=")</f>
        <v>#REF!</v>
      </c>
      <c r="BG20" t="e">
        <f>AND(#REF!,"AAAAAG/Flzo=")</f>
        <v>#REF!</v>
      </c>
      <c r="BH20" t="e">
        <f>AND(#REF!,"AAAAAG/Flzs=")</f>
        <v>#REF!</v>
      </c>
      <c r="BI20" t="e">
        <f>AND(#REF!,"AAAAAG/Flzw=")</f>
        <v>#REF!</v>
      </c>
      <c r="BJ20" t="e">
        <f>AND(#REF!,"AAAAAG/Flz0=")</f>
        <v>#REF!</v>
      </c>
      <c r="BK20" t="e">
        <f>AND(#REF!,"AAAAAG/Flz4=")</f>
        <v>#REF!</v>
      </c>
      <c r="BL20" t="e">
        <f>AND(#REF!,"AAAAAG/Flz8=")</f>
        <v>#REF!</v>
      </c>
      <c r="BM20" t="e">
        <f>AND(#REF!,"AAAAAG/Fl0A=")</f>
        <v>#REF!</v>
      </c>
      <c r="BN20" t="e">
        <f>AND(#REF!,"AAAAAG/Fl0E=")</f>
        <v>#REF!</v>
      </c>
      <c r="BO20" t="e">
        <f>AND(#REF!,"AAAAAG/Fl0I=")</f>
        <v>#REF!</v>
      </c>
      <c r="BP20" t="e">
        <f>AND(#REF!,"AAAAAG/Fl0M=")</f>
        <v>#REF!</v>
      </c>
      <c r="BQ20" t="e">
        <f>AND(#REF!,"AAAAAG/Fl0Q=")</f>
        <v>#REF!</v>
      </c>
      <c r="BR20" t="e">
        <f>AND(#REF!,"AAAAAG/Fl0U=")</f>
        <v>#REF!</v>
      </c>
      <c r="BS20" t="e">
        <f>AND(#REF!,"AAAAAG/Fl0Y=")</f>
        <v>#REF!</v>
      </c>
      <c r="BT20" t="e">
        <f>AND(#REF!,"AAAAAG/Fl0c=")</f>
        <v>#REF!</v>
      </c>
      <c r="BU20" t="e">
        <f>AND(#REF!,"AAAAAG/Fl0g=")</f>
        <v>#REF!</v>
      </c>
      <c r="BV20" t="e">
        <f>AND(#REF!,"AAAAAG/Fl0k=")</f>
        <v>#REF!</v>
      </c>
      <c r="BW20" t="e">
        <f>AND(#REF!,"AAAAAG/Fl0o=")</f>
        <v>#REF!</v>
      </c>
      <c r="BX20" t="e">
        <f>AND(#REF!,"AAAAAG/Fl0s=")</f>
        <v>#REF!</v>
      </c>
      <c r="BY20" t="e">
        <f>AND(#REF!,"AAAAAG/Fl0w=")</f>
        <v>#REF!</v>
      </c>
      <c r="BZ20" t="e">
        <f>AND(#REF!,"AAAAAG/Fl00=")</f>
        <v>#REF!</v>
      </c>
      <c r="CA20" t="e">
        <f>AND(#REF!,"AAAAAG/Fl04=")</f>
        <v>#REF!</v>
      </c>
      <c r="CB20" t="e">
        <f>AND(#REF!,"AAAAAG/Fl08=")</f>
        <v>#REF!</v>
      </c>
      <c r="CC20" t="e">
        <f>AND(#REF!,"AAAAAG/Fl1A=")</f>
        <v>#REF!</v>
      </c>
      <c r="CD20" t="e">
        <f>AND(#REF!,"AAAAAG/Fl1E=")</f>
        <v>#REF!</v>
      </c>
      <c r="CE20" t="e">
        <f>AND(#REF!,"AAAAAG/Fl1I=")</f>
        <v>#REF!</v>
      </c>
      <c r="CF20" t="e">
        <f>AND(#REF!,"AAAAAG/Fl1M=")</f>
        <v>#REF!</v>
      </c>
      <c r="CG20" t="e">
        <f>AND(#REF!,"AAAAAG/Fl1Q=")</f>
        <v>#REF!</v>
      </c>
      <c r="CH20" t="e">
        <f>AND(#REF!,"AAAAAG/Fl1U=")</f>
        <v>#REF!</v>
      </c>
      <c r="CI20" t="e">
        <f>AND(#REF!,"AAAAAG/Fl1Y=")</f>
        <v>#REF!</v>
      </c>
      <c r="CJ20" t="e">
        <f>IF(#REF!,"AAAAAG/Fl1c=",0)</f>
        <v>#REF!</v>
      </c>
      <c r="CK20" t="e">
        <f>AND(#REF!,"AAAAAG/Fl1g=")</f>
        <v>#REF!</v>
      </c>
      <c r="CL20" t="e">
        <f>AND(#REF!,"AAAAAG/Fl1k=")</f>
        <v>#REF!</v>
      </c>
      <c r="CM20" t="e">
        <f>AND(#REF!,"AAAAAG/Fl1o=")</f>
        <v>#REF!</v>
      </c>
      <c r="CN20" t="e">
        <f>AND(#REF!,"AAAAAG/Fl1s=")</f>
        <v>#REF!</v>
      </c>
      <c r="CO20" t="e">
        <f>AND(#REF!,"AAAAAG/Fl1w=")</f>
        <v>#REF!</v>
      </c>
      <c r="CP20" t="e">
        <f>AND(#REF!,"AAAAAG/Fl10=")</f>
        <v>#REF!</v>
      </c>
      <c r="CQ20" t="e">
        <f>AND(#REF!,"AAAAAG/Fl14=")</f>
        <v>#REF!</v>
      </c>
      <c r="CR20" t="e">
        <f>AND(#REF!,"AAAAAG/Fl18=")</f>
        <v>#REF!</v>
      </c>
      <c r="CS20" t="e">
        <f>AND(#REF!,"AAAAAG/Fl2A=")</f>
        <v>#REF!</v>
      </c>
      <c r="CT20" t="e">
        <f>AND(#REF!,"AAAAAG/Fl2E=")</f>
        <v>#REF!</v>
      </c>
      <c r="CU20" t="e">
        <f>AND(#REF!,"AAAAAG/Fl2I=")</f>
        <v>#REF!</v>
      </c>
      <c r="CV20" t="e">
        <f>AND(#REF!,"AAAAAG/Fl2M=")</f>
        <v>#REF!</v>
      </c>
      <c r="CW20" t="e">
        <f>AND(#REF!,"AAAAAG/Fl2Q=")</f>
        <v>#REF!</v>
      </c>
      <c r="CX20" t="e">
        <f>AND(#REF!,"AAAAAG/Fl2U=")</f>
        <v>#REF!</v>
      </c>
      <c r="CY20" t="e">
        <f>AND(#REF!,"AAAAAG/Fl2Y=")</f>
        <v>#REF!</v>
      </c>
      <c r="CZ20" t="e">
        <f>AND(#REF!,"AAAAAG/Fl2c=")</f>
        <v>#REF!</v>
      </c>
      <c r="DA20" t="e">
        <f>AND(#REF!,"AAAAAG/Fl2g=")</f>
        <v>#REF!</v>
      </c>
      <c r="DB20" t="e">
        <f>AND(#REF!,"AAAAAG/Fl2k=")</f>
        <v>#REF!</v>
      </c>
      <c r="DC20" t="e">
        <f>AND(#REF!,"AAAAAG/Fl2o=")</f>
        <v>#REF!</v>
      </c>
      <c r="DD20" t="e">
        <f>AND(#REF!,"AAAAAG/Fl2s=")</f>
        <v>#REF!</v>
      </c>
      <c r="DE20" t="e">
        <f>AND(#REF!,"AAAAAG/Fl2w=")</f>
        <v>#REF!</v>
      </c>
      <c r="DF20" t="e">
        <f>AND(#REF!,"AAAAAG/Fl20=")</f>
        <v>#REF!</v>
      </c>
      <c r="DG20" t="e">
        <f>AND(#REF!,"AAAAAG/Fl24=")</f>
        <v>#REF!</v>
      </c>
      <c r="DH20" t="e">
        <f>AND(#REF!,"AAAAAG/Fl28=")</f>
        <v>#REF!</v>
      </c>
      <c r="DI20" t="e">
        <f>AND(#REF!,"AAAAAG/Fl3A=")</f>
        <v>#REF!</v>
      </c>
      <c r="DJ20" t="e">
        <f>AND(#REF!,"AAAAAG/Fl3E=")</f>
        <v>#REF!</v>
      </c>
      <c r="DK20" t="e">
        <f>AND(#REF!,"AAAAAG/Fl3I=")</f>
        <v>#REF!</v>
      </c>
      <c r="DL20" t="e">
        <f>AND(#REF!,"AAAAAG/Fl3M=")</f>
        <v>#REF!</v>
      </c>
      <c r="DM20" t="e">
        <f>AND(#REF!,"AAAAAG/Fl3Q=")</f>
        <v>#REF!</v>
      </c>
      <c r="DN20" t="e">
        <f>AND(#REF!,"AAAAAG/Fl3U=")</f>
        <v>#REF!</v>
      </c>
      <c r="DO20" t="e">
        <f>AND(#REF!,"AAAAAG/Fl3Y=")</f>
        <v>#REF!</v>
      </c>
      <c r="DP20" t="e">
        <f>AND(#REF!,"AAAAAG/Fl3c=")</f>
        <v>#REF!</v>
      </c>
      <c r="DQ20" t="e">
        <f>AND(#REF!,"AAAAAG/Fl3g=")</f>
        <v>#REF!</v>
      </c>
      <c r="DR20" t="e">
        <f>AND(#REF!,"AAAAAG/Fl3k=")</f>
        <v>#REF!</v>
      </c>
      <c r="DS20" t="e">
        <f>AND(#REF!,"AAAAAG/Fl3o=")</f>
        <v>#REF!</v>
      </c>
      <c r="DT20" t="e">
        <f>AND(#REF!,"AAAAAG/Fl3s=")</f>
        <v>#REF!</v>
      </c>
      <c r="DU20" t="e">
        <f>AND(#REF!,"AAAAAG/Fl3w=")</f>
        <v>#REF!</v>
      </c>
      <c r="DV20" t="e">
        <f>AND(#REF!,"AAAAAG/Fl30=")</f>
        <v>#REF!</v>
      </c>
      <c r="DW20" t="e">
        <f>AND(#REF!,"AAAAAG/Fl34=")</f>
        <v>#REF!</v>
      </c>
      <c r="DX20" t="e">
        <f>AND(#REF!,"AAAAAG/Fl38=")</f>
        <v>#REF!</v>
      </c>
      <c r="DY20" t="e">
        <f>AND(#REF!,"AAAAAG/Fl4A=")</f>
        <v>#REF!</v>
      </c>
      <c r="DZ20" t="e">
        <f>AND(#REF!,"AAAAAG/Fl4E=")</f>
        <v>#REF!</v>
      </c>
      <c r="EA20" t="e">
        <f>AND(#REF!,"AAAAAG/Fl4I=")</f>
        <v>#REF!</v>
      </c>
      <c r="EB20" t="e">
        <f>AND(#REF!,"AAAAAG/Fl4M=")</f>
        <v>#REF!</v>
      </c>
      <c r="EC20" t="e">
        <f>AND(#REF!,"AAAAAG/Fl4Q=")</f>
        <v>#REF!</v>
      </c>
      <c r="ED20" t="e">
        <f>AND(#REF!,"AAAAAG/Fl4U=")</f>
        <v>#REF!</v>
      </c>
      <c r="EE20" t="e">
        <f>AND(#REF!,"AAAAAG/Fl4Y=")</f>
        <v>#REF!</v>
      </c>
      <c r="EF20" t="e">
        <f>AND(#REF!,"AAAAAG/Fl4c=")</f>
        <v>#REF!</v>
      </c>
      <c r="EG20" t="e">
        <f>AND(#REF!,"AAAAAG/Fl4g=")</f>
        <v>#REF!</v>
      </c>
      <c r="EH20" t="e">
        <f>AND(#REF!,"AAAAAG/Fl4k=")</f>
        <v>#REF!</v>
      </c>
      <c r="EI20" t="e">
        <f>AND(#REF!,"AAAAAG/Fl4o=")</f>
        <v>#REF!</v>
      </c>
      <c r="EJ20" t="e">
        <f>AND(#REF!,"AAAAAG/Fl4s=")</f>
        <v>#REF!</v>
      </c>
      <c r="EK20" t="e">
        <f>AND(#REF!,"AAAAAG/Fl4w=")</f>
        <v>#REF!</v>
      </c>
      <c r="EL20" t="e">
        <f>AND(#REF!,"AAAAAG/Fl40=")</f>
        <v>#REF!</v>
      </c>
      <c r="EM20" t="e">
        <f>AND(#REF!,"AAAAAG/Fl44=")</f>
        <v>#REF!</v>
      </c>
      <c r="EN20" t="e">
        <f>AND(#REF!,"AAAAAG/Fl48=")</f>
        <v>#REF!</v>
      </c>
      <c r="EO20" t="e">
        <f>AND(#REF!,"AAAAAG/Fl5A=")</f>
        <v>#REF!</v>
      </c>
      <c r="EP20" t="e">
        <f>AND(#REF!,"AAAAAG/Fl5E=")</f>
        <v>#REF!</v>
      </c>
      <c r="EQ20" t="e">
        <f>AND(#REF!,"AAAAAG/Fl5I=")</f>
        <v>#REF!</v>
      </c>
      <c r="ER20" t="e">
        <f>AND(#REF!,"AAAAAG/Fl5M=")</f>
        <v>#REF!</v>
      </c>
      <c r="ES20" t="e">
        <f>AND(#REF!,"AAAAAG/Fl5Q=")</f>
        <v>#REF!</v>
      </c>
      <c r="ET20" t="e">
        <f>AND(#REF!,"AAAAAG/Fl5U=")</f>
        <v>#REF!</v>
      </c>
      <c r="EU20" t="e">
        <f>AND(#REF!,"AAAAAG/Fl5Y=")</f>
        <v>#REF!</v>
      </c>
      <c r="EV20" t="e">
        <f>AND(#REF!,"AAAAAG/Fl5c=")</f>
        <v>#REF!</v>
      </c>
      <c r="EW20" t="e">
        <f>AND(#REF!,"AAAAAG/Fl5g=")</f>
        <v>#REF!</v>
      </c>
      <c r="EX20" t="e">
        <f>AND(#REF!,"AAAAAG/Fl5k=")</f>
        <v>#REF!</v>
      </c>
      <c r="EY20" t="e">
        <f>AND(#REF!,"AAAAAG/Fl5o=")</f>
        <v>#REF!</v>
      </c>
      <c r="EZ20" t="e">
        <f>AND(#REF!,"AAAAAG/Fl5s=")</f>
        <v>#REF!</v>
      </c>
      <c r="FA20" t="e">
        <f>AND(#REF!,"AAAAAG/Fl5w=")</f>
        <v>#REF!</v>
      </c>
      <c r="FB20" t="e">
        <f>AND(#REF!,"AAAAAG/Fl50=")</f>
        <v>#REF!</v>
      </c>
      <c r="FC20" t="e">
        <f>AND(#REF!,"AAAAAG/Fl54=")</f>
        <v>#REF!</v>
      </c>
      <c r="FD20" t="e">
        <f>AND(#REF!,"AAAAAG/Fl58=")</f>
        <v>#REF!</v>
      </c>
      <c r="FE20" t="e">
        <f>AND(#REF!,"AAAAAG/Fl6A=")</f>
        <v>#REF!</v>
      </c>
      <c r="FF20" t="e">
        <f>AND(#REF!,"AAAAAG/Fl6E=")</f>
        <v>#REF!</v>
      </c>
      <c r="FG20" t="e">
        <f>AND(#REF!,"AAAAAG/Fl6I=")</f>
        <v>#REF!</v>
      </c>
      <c r="FH20" t="e">
        <f>AND(#REF!,"AAAAAG/Fl6M=")</f>
        <v>#REF!</v>
      </c>
      <c r="FI20" t="e">
        <f>AND(#REF!,"AAAAAG/Fl6Q=")</f>
        <v>#REF!</v>
      </c>
      <c r="FJ20" t="e">
        <f>AND(#REF!,"AAAAAG/Fl6U=")</f>
        <v>#REF!</v>
      </c>
      <c r="FK20" t="e">
        <f>AND(#REF!,"AAAAAG/Fl6Y=")</f>
        <v>#REF!</v>
      </c>
      <c r="FL20" t="e">
        <f>AND(#REF!,"AAAAAG/Fl6c=")</f>
        <v>#REF!</v>
      </c>
      <c r="FM20" t="e">
        <f>AND(#REF!,"AAAAAG/Fl6g=")</f>
        <v>#REF!</v>
      </c>
      <c r="FN20" t="e">
        <f>AND(#REF!,"AAAAAG/Fl6k=")</f>
        <v>#REF!</v>
      </c>
      <c r="FO20" t="e">
        <f>AND(#REF!,"AAAAAG/Fl6o=")</f>
        <v>#REF!</v>
      </c>
      <c r="FP20" t="e">
        <f>AND(#REF!,"AAAAAG/Fl6s=")</f>
        <v>#REF!</v>
      </c>
      <c r="FQ20" t="e">
        <f>AND(#REF!,"AAAAAG/Fl6w=")</f>
        <v>#REF!</v>
      </c>
      <c r="FR20" t="e">
        <f>AND(#REF!,"AAAAAG/Fl60=")</f>
        <v>#REF!</v>
      </c>
      <c r="FS20" t="e">
        <f>AND(#REF!,"AAAAAG/Fl64=")</f>
        <v>#REF!</v>
      </c>
      <c r="FT20" t="e">
        <f>AND(#REF!,"AAAAAG/Fl68=")</f>
        <v>#REF!</v>
      </c>
      <c r="FU20" t="e">
        <f>AND(#REF!,"AAAAAG/Fl7A=")</f>
        <v>#REF!</v>
      </c>
      <c r="FV20" t="e">
        <f>AND(#REF!,"AAAAAG/Fl7E=")</f>
        <v>#REF!</v>
      </c>
      <c r="FW20" t="e">
        <f>AND(#REF!,"AAAAAG/Fl7I=")</f>
        <v>#REF!</v>
      </c>
      <c r="FX20" t="e">
        <f>AND(#REF!,"AAAAAG/Fl7M=")</f>
        <v>#REF!</v>
      </c>
      <c r="FY20" t="e">
        <f>AND(#REF!,"AAAAAG/Fl7Q=")</f>
        <v>#REF!</v>
      </c>
      <c r="FZ20" t="e">
        <f>AND(#REF!,"AAAAAG/Fl7U=")</f>
        <v>#REF!</v>
      </c>
      <c r="GA20" t="e">
        <f>AND(#REF!,"AAAAAG/Fl7Y=")</f>
        <v>#REF!</v>
      </c>
      <c r="GB20" t="e">
        <f>AND(#REF!,"AAAAAG/Fl7c=")</f>
        <v>#REF!</v>
      </c>
      <c r="GC20" t="e">
        <f>AND(#REF!,"AAAAAG/Fl7g=")</f>
        <v>#REF!</v>
      </c>
      <c r="GD20" t="e">
        <f>AND(#REF!,"AAAAAG/Fl7k=")</f>
        <v>#REF!</v>
      </c>
      <c r="GE20" t="e">
        <f>AND(#REF!,"AAAAAG/Fl7o=")</f>
        <v>#REF!</v>
      </c>
      <c r="GF20" t="e">
        <f>AND(#REF!,"AAAAAG/Fl7s=")</f>
        <v>#REF!</v>
      </c>
      <c r="GG20" t="e">
        <f>AND(#REF!,"AAAAAG/Fl7w=")</f>
        <v>#REF!</v>
      </c>
      <c r="GH20" t="e">
        <f>AND(#REF!,"AAAAAG/Fl70=")</f>
        <v>#REF!</v>
      </c>
      <c r="GI20" t="e">
        <f>AND(#REF!,"AAAAAG/Fl74=")</f>
        <v>#REF!</v>
      </c>
      <c r="GJ20" t="e">
        <f>AND(#REF!,"AAAAAG/Fl78=")</f>
        <v>#REF!</v>
      </c>
      <c r="GK20" t="e">
        <f>AND(#REF!,"AAAAAG/Fl8A=")</f>
        <v>#REF!</v>
      </c>
      <c r="GL20" t="e">
        <f>AND(#REF!,"AAAAAG/Fl8E=")</f>
        <v>#REF!</v>
      </c>
      <c r="GM20" t="e">
        <f>AND(#REF!,"AAAAAG/Fl8I=")</f>
        <v>#REF!</v>
      </c>
      <c r="GN20" t="e">
        <f>AND(#REF!,"AAAAAG/Fl8M=")</f>
        <v>#REF!</v>
      </c>
      <c r="GO20" t="e">
        <f>AND(#REF!,"AAAAAG/Fl8Q=")</f>
        <v>#REF!</v>
      </c>
      <c r="GP20" t="e">
        <f>AND(#REF!,"AAAAAG/Fl8U=")</f>
        <v>#REF!</v>
      </c>
      <c r="GQ20" t="e">
        <f>AND(#REF!,"AAAAAG/Fl8Y=")</f>
        <v>#REF!</v>
      </c>
      <c r="GR20" t="e">
        <f>AND(#REF!,"AAAAAG/Fl8c=")</f>
        <v>#REF!</v>
      </c>
      <c r="GS20" t="e">
        <f>AND(#REF!,"AAAAAG/Fl8g=")</f>
        <v>#REF!</v>
      </c>
      <c r="GT20" t="e">
        <f>AND(#REF!,"AAAAAG/Fl8k=")</f>
        <v>#REF!</v>
      </c>
      <c r="GU20" t="e">
        <f>AND(#REF!,"AAAAAG/Fl8o=")</f>
        <v>#REF!</v>
      </c>
      <c r="GV20" t="e">
        <f>AND(#REF!,"AAAAAG/Fl8s=")</f>
        <v>#REF!</v>
      </c>
      <c r="GW20" t="e">
        <f>AND(#REF!,"AAAAAG/Fl8w=")</f>
        <v>#REF!</v>
      </c>
      <c r="GX20" t="e">
        <f>AND(#REF!,"AAAAAG/Fl80=")</f>
        <v>#REF!</v>
      </c>
      <c r="GY20" t="e">
        <f>AND(#REF!,"AAAAAG/Fl84=")</f>
        <v>#REF!</v>
      </c>
      <c r="GZ20" t="e">
        <f>AND(#REF!,"AAAAAG/Fl88=")</f>
        <v>#REF!</v>
      </c>
      <c r="HA20" t="e">
        <f>AND(#REF!,"AAAAAG/Fl9A=")</f>
        <v>#REF!</v>
      </c>
      <c r="HB20" t="e">
        <f>AND(#REF!,"AAAAAG/Fl9E=")</f>
        <v>#REF!</v>
      </c>
      <c r="HC20" t="e">
        <f>AND(#REF!,"AAAAAG/Fl9I=")</f>
        <v>#REF!</v>
      </c>
      <c r="HD20" t="e">
        <f>AND(#REF!,"AAAAAG/Fl9M=")</f>
        <v>#REF!</v>
      </c>
      <c r="HE20" t="e">
        <f>AND(#REF!,"AAAAAG/Fl9Q=")</f>
        <v>#REF!</v>
      </c>
      <c r="HF20" t="e">
        <f>AND(#REF!,"AAAAAG/Fl9U=")</f>
        <v>#REF!</v>
      </c>
      <c r="HG20" t="e">
        <f>AND(#REF!,"AAAAAG/Fl9Y=")</f>
        <v>#REF!</v>
      </c>
      <c r="HH20" t="e">
        <f>AND(#REF!,"AAAAAG/Fl9c=")</f>
        <v>#REF!</v>
      </c>
      <c r="HI20" t="e">
        <f>AND(#REF!,"AAAAAG/Fl9g=")</f>
        <v>#REF!</v>
      </c>
      <c r="HJ20" t="e">
        <f>AND(#REF!,"AAAAAG/Fl9k=")</f>
        <v>#REF!</v>
      </c>
      <c r="HK20" t="e">
        <f>AND(#REF!,"AAAAAG/Fl9o=")</f>
        <v>#REF!</v>
      </c>
      <c r="HL20" t="e">
        <f>AND(#REF!,"AAAAAG/Fl9s=")</f>
        <v>#REF!</v>
      </c>
      <c r="HM20" t="e">
        <f>AND(#REF!,"AAAAAG/Fl9w=")</f>
        <v>#REF!</v>
      </c>
      <c r="HN20" t="e">
        <f>AND(#REF!,"AAAAAG/Fl90=")</f>
        <v>#REF!</v>
      </c>
      <c r="HO20" t="e">
        <f>AND(#REF!,"AAAAAG/Fl94=")</f>
        <v>#REF!</v>
      </c>
      <c r="HP20" t="e">
        <f>AND(#REF!,"AAAAAG/Fl98=")</f>
        <v>#REF!</v>
      </c>
      <c r="HQ20" t="e">
        <f>AND(#REF!,"AAAAAG/Fl+A=")</f>
        <v>#REF!</v>
      </c>
      <c r="HR20" t="e">
        <f>AND(#REF!,"AAAAAG/Fl+E=")</f>
        <v>#REF!</v>
      </c>
      <c r="HS20" t="e">
        <f>AND(#REF!,"AAAAAG/Fl+I=")</f>
        <v>#REF!</v>
      </c>
      <c r="HT20" t="e">
        <f>AND(#REF!,"AAAAAG/Fl+M=")</f>
        <v>#REF!</v>
      </c>
      <c r="HU20" t="e">
        <f>AND(#REF!,"AAAAAG/Fl+Q=")</f>
        <v>#REF!</v>
      </c>
      <c r="HV20" t="e">
        <f>AND(#REF!,"AAAAAG/Fl+U=")</f>
        <v>#REF!</v>
      </c>
      <c r="HW20" t="e">
        <f>AND(#REF!,"AAAAAG/Fl+Y=")</f>
        <v>#REF!</v>
      </c>
      <c r="HX20" t="e">
        <f>AND(#REF!,"AAAAAG/Fl+c=")</f>
        <v>#REF!</v>
      </c>
      <c r="HY20" t="e">
        <f>AND(#REF!,"AAAAAG/Fl+g=")</f>
        <v>#REF!</v>
      </c>
      <c r="HZ20" t="e">
        <f>AND(#REF!,"AAAAAG/Fl+k=")</f>
        <v>#REF!</v>
      </c>
      <c r="IA20" t="e">
        <f>AND(#REF!,"AAAAAG/Fl+o=")</f>
        <v>#REF!</v>
      </c>
      <c r="IB20" t="e">
        <f>AND(#REF!,"AAAAAG/Fl+s=")</f>
        <v>#REF!</v>
      </c>
      <c r="IC20" t="e">
        <f>AND(#REF!,"AAAAAG/Fl+w=")</f>
        <v>#REF!</v>
      </c>
      <c r="ID20" t="e">
        <f>AND(#REF!,"AAAAAG/Fl+0=")</f>
        <v>#REF!</v>
      </c>
      <c r="IE20" t="e">
        <f>AND(#REF!,"AAAAAG/Fl+4=")</f>
        <v>#REF!</v>
      </c>
      <c r="IF20" t="e">
        <f>AND(#REF!,"AAAAAG/Fl+8=")</f>
        <v>#REF!</v>
      </c>
      <c r="IG20" t="e">
        <f>AND(#REF!,"AAAAAG/Fl/A=")</f>
        <v>#REF!</v>
      </c>
      <c r="IH20" t="e">
        <f>AND(#REF!,"AAAAAG/Fl/E=")</f>
        <v>#REF!</v>
      </c>
      <c r="II20" t="e">
        <f>AND(#REF!,"AAAAAG/Fl/I=")</f>
        <v>#REF!</v>
      </c>
      <c r="IJ20" t="e">
        <f>AND(#REF!,"AAAAAG/Fl/M=")</f>
        <v>#REF!</v>
      </c>
      <c r="IK20" t="e">
        <f>AND(#REF!,"AAAAAG/Fl/Q=")</f>
        <v>#REF!</v>
      </c>
      <c r="IL20" t="e">
        <f>AND(#REF!,"AAAAAG/Fl/U=")</f>
        <v>#REF!</v>
      </c>
      <c r="IM20" t="e">
        <f>AND(#REF!,"AAAAAG/Fl/Y=")</f>
        <v>#REF!</v>
      </c>
      <c r="IN20" t="e">
        <f>AND(#REF!,"AAAAAG/Fl/c=")</f>
        <v>#REF!</v>
      </c>
      <c r="IO20" t="e">
        <f>AND(#REF!,"AAAAAG/Fl/g=")</f>
        <v>#REF!</v>
      </c>
      <c r="IP20" t="e">
        <f>AND(#REF!,"AAAAAG/Fl/k=")</f>
        <v>#REF!</v>
      </c>
      <c r="IQ20" t="e">
        <f>AND(#REF!,"AAAAAG/Fl/o=")</f>
        <v>#REF!</v>
      </c>
      <c r="IR20" t="e">
        <f>AND(#REF!,"AAAAAG/Fl/s=")</f>
        <v>#REF!</v>
      </c>
      <c r="IS20" t="e">
        <f>AND(#REF!,"AAAAAG/Fl/w=")</f>
        <v>#REF!</v>
      </c>
      <c r="IT20" t="e">
        <f>AND(#REF!,"AAAAAG/Fl/0=")</f>
        <v>#REF!</v>
      </c>
      <c r="IU20" t="e">
        <f>AND(#REF!,"AAAAAG/Fl/4=")</f>
        <v>#REF!</v>
      </c>
      <c r="IV20" t="e">
        <f>AND(#REF!,"AAAAAG/Fl/8=")</f>
        <v>#REF!</v>
      </c>
    </row>
    <row r="21" spans="1:256" x14ac:dyDescent="0.25">
      <c r="A21" t="e">
        <f>AND(#REF!,"AAAAAG6/vgA=")</f>
        <v>#REF!</v>
      </c>
      <c r="B21" t="e">
        <f>AND(#REF!,"AAAAAG6/vgE=")</f>
        <v>#REF!</v>
      </c>
      <c r="C21" t="e">
        <f>AND(#REF!,"AAAAAG6/vgI=")</f>
        <v>#REF!</v>
      </c>
      <c r="D21" t="e">
        <f>AND(#REF!,"AAAAAG6/vgM=")</f>
        <v>#REF!</v>
      </c>
      <c r="E21" t="e">
        <f>AND(#REF!,"AAAAAG6/vgQ=")</f>
        <v>#REF!</v>
      </c>
      <c r="F21" t="e">
        <f>AND(#REF!,"AAAAAG6/vgU=")</f>
        <v>#REF!</v>
      </c>
      <c r="G21" t="e">
        <f>AND(#REF!,"AAAAAG6/vgY=")</f>
        <v>#REF!</v>
      </c>
      <c r="H21" t="e">
        <f>AND(#REF!,"AAAAAG6/vgc=")</f>
        <v>#REF!</v>
      </c>
      <c r="I21" t="e">
        <f>AND(#REF!,"AAAAAG6/vgg=")</f>
        <v>#REF!</v>
      </c>
      <c r="J21" t="e">
        <f>AND(#REF!,"AAAAAG6/vgk=")</f>
        <v>#REF!</v>
      </c>
      <c r="K21" t="e">
        <f>AND(#REF!,"AAAAAG6/vgo=")</f>
        <v>#REF!</v>
      </c>
      <c r="L21" t="e">
        <f>AND(#REF!,"AAAAAG6/vgs=")</f>
        <v>#REF!</v>
      </c>
      <c r="M21" t="e">
        <f>AND(#REF!,"AAAAAG6/vgw=")</f>
        <v>#REF!</v>
      </c>
      <c r="N21" t="e">
        <f>AND(#REF!,"AAAAAG6/vg0=")</f>
        <v>#REF!</v>
      </c>
      <c r="O21" t="e">
        <f>AND(#REF!,"AAAAAG6/vg4=")</f>
        <v>#REF!</v>
      </c>
      <c r="P21" t="e">
        <f>AND(#REF!,"AAAAAG6/vg8=")</f>
        <v>#REF!</v>
      </c>
      <c r="Q21" t="e">
        <f>AND(#REF!,"AAAAAG6/vhA=")</f>
        <v>#REF!</v>
      </c>
      <c r="R21" t="e">
        <f>AND(#REF!,"AAAAAG6/vhE=")</f>
        <v>#REF!</v>
      </c>
      <c r="S21" t="e">
        <f>AND(#REF!,"AAAAAG6/vhI=")</f>
        <v>#REF!</v>
      </c>
      <c r="T21" t="e">
        <f>AND(#REF!,"AAAAAG6/vhM=")</f>
        <v>#REF!</v>
      </c>
      <c r="U21" t="e">
        <f>IF(#REF!,"AAAAAG6/vhQ=",0)</f>
        <v>#REF!</v>
      </c>
      <c r="V21" t="e">
        <f>AND(#REF!,"AAAAAG6/vhU=")</f>
        <v>#REF!</v>
      </c>
      <c r="W21" t="e">
        <f>AND(#REF!,"AAAAAG6/vhY=")</f>
        <v>#REF!</v>
      </c>
      <c r="X21" t="e">
        <f>AND(#REF!,"AAAAAG6/vhc=")</f>
        <v>#REF!</v>
      </c>
      <c r="Y21" t="e">
        <f>AND(#REF!,"AAAAAG6/vhg=")</f>
        <v>#REF!</v>
      </c>
      <c r="Z21" t="e">
        <f>AND(#REF!,"AAAAAG6/vhk=")</f>
        <v>#REF!</v>
      </c>
      <c r="AA21" t="e">
        <f>AND(#REF!,"AAAAAG6/vho=")</f>
        <v>#REF!</v>
      </c>
      <c r="AB21" t="e">
        <f>AND(#REF!,"AAAAAG6/vhs=")</f>
        <v>#REF!</v>
      </c>
      <c r="AC21" t="e">
        <f>AND(#REF!,"AAAAAG6/vhw=")</f>
        <v>#REF!</v>
      </c>
      <c r="AD21" t="e">
        <f>AND(#REF!,"AAAAAG6/vh0=")</f>
        <v>#REF!</v>
      </c>
      <c r="AE21" t="e">
        <f>AND(#REF!,"AAAAAG6/vh4=")</f>
        <v>#REF!</v>
      </c>
      <c r="AF21" t="e">
        <f>AND(#REF!,"AAAAAG6/vh8=")</f>
        <v>#REF!</v>
      </c>
      <c r="AG21" t="e">
        <f>AND(#REF!,"AAAAAG6/viA=")</f>
        <v>#REF!</v>
      </c>
      <c r="AH21" t="e">
        <f>AND(#REF!,"AAAAAG6/viE=")</f>
        <v>#REF!</v>
      </c>
      <c r="AI21" t="e">
        <f>AND(#REF!,"AAAAAG6/viI=")</f>
        <v>#REF!</v>
      </c>
      <c r="AJ21" t="e">
        <f>AND(#REF!,"AAAAAG6/viM=")</f>
        <v>#REF!</v>
      </c>
      <c r="AK21" t="e">
        <f>AND(#REF!,"AAAAAG6/viQ=")</f>
        <v>#REF!</v>
      </c>
      <c r="AL21" t="e">
        <f>AND(#REF!,"AAAAAG6/viU=")</f>
        <v>#REF!</v>
      </c>
      <c r="AM21" t="e">
        <f>AND(#REF!,"AAAAAG6/viY=")</f>
        <v>#REF!</v>
      </c>
      <c r="AN21" t="e">
        <f>AND(#REF!,"AAAAAG6/vic=")</f>
        <v>#REF!</v>
      </c>
      <c r="AO21" t="e">
        <f>AND(#REF!,"AAAAAG6/vig=")</f>
        <v>#REF!</v>
      </c>
      <c r="AP21" t="e">
        <f>AND(#REF!,"AAAAAG6/vik=")</f>
        <v>#REF!</v>
      </c>
      <c r="AQ21" t="e">
        <f>AND(#REF!,"AAAAAG6/vio=")</f>
        <v>#REF!</v>
      </c>
      <c r="AR21" t="e">
        <f>AND(#REF!,"AAAAAG6/vis=")</f>
        <v>#REF!</v>
      </c>
      <c r="AS21" t="e">
        <f>AND(#REF!,"AAAAAG6/viw=")</f>
        <v>#REF!</v>
      </c>
      <c r="AT21" t="e">
        <f>AND(#REF!,"AAAAAG6/vi0=")</f>
        <v>#REF!</v>
      </c>
      <c r="AU21" t="e">
        <f>AND(#REF!,"AAAAAG6/vi4=")</f>
        <v>#REF!</v>
      </c>
      <c r="AV21" t="e">
        <f>AND(#REF!,"AAAAAG6/vi8=")</f>
        <v>#REF!</v>
      </c>
      <c r="AW21" t="e">
        <f>AND(#REF!,"AAAAAG6/vjA=")</f>
        <v>#REF!</v>
      </c>
      <c r="AX21" t="e">
        <f>AND(#REF!,"AAAAAG6/vjE=")</f>
        <v>#REF!</v>
      </c>
      <c r="AY21" t="e">
        <f>AND(#REF!,"AAAAAG6/vjI=")</f>
        <v>#REF!</v>
      </c>
      <c r="AZ21" t="e">
        <f>AND(#REF!,"AAAAAG6/vjM=")</f>
        <v>#REF!</v>
      </c>
      <c r="BA21" t="e">
        <f>AND(#REF!,"AAAAAG6/vjQ=")</f>
        <v>#REF!</v>
      </c>
      <c r="BB21" t="e">
        <f>AND(#REF!,"AAAAAG6/vjU=")</f>
        <v>#REF!</v>
      </c>
      <c r="BC21" t="e">
        <f>AND(#REF!,"AAAAAG6/vjY=")</f>
        <v>#REF!</v>
      </c>
      <c r="BD21" t="e">
        <f>AND(#REF!,"AAAAAG6/vjc=")</f>
        <v>#REF!</v>
      </c>
      <c r="BE21" t="e">
        <f>AND(#REF!,"AAAAAG6/vjg=")</f>
        <v>#REF!</v>
      </c>
      <c r="BF21" t="e">
        <f>AND(#REF!,"AAAAAG6/vjk=")</f>
        <v>#REF!</v>
      </c>
      <c r="BG21" t="e">
        <f>AND(#REF!,"AAAAAG6/vjo=")</f>
        <v>#REF!</v>
      </c>
      <c r="BH21" t="e">
        <f>AND(#REF!,"AAAAAG6/vjs=")</f>
        <v>#REF!</v>
      </c>
      <c r="BI21" t="e">
        <f>AND(#REF!,"AAAAAG6/vjw=")</f>
        <v>#REF!</v>
      </c>
      <c r="BJ21" t="e">
        <f>AND(#REF!,"AAAAAG6/vj0=")</f>
        <v>#REF!</v>
      </c>
      <c r="BK21" t="e">
        <f>AND(#REF!,"AAAAAG6/vj4=")</f>
        <v>#REF!</v>
      </c>
      <c r="BL21" t="e">
        <f>AND(#REF!,"AAAAAG6/vj8=")</f>
        <v>#REF!</v>
      </c>
      <c r="BM21" t="e">
        <f>AND(#REF!,"AAAAAG6/vkA=")</f>
        <v>#REF!</v>
      </c>
      <c r="BN21" t="e">
        <f>AND(#REF!,"AAAAAG6/vkE=")</f>
        <v>#REF!</v>
      </c>
      <c r="BO21" t="e">
        <f>AND(#REF!,"AAAAAG6/vkI=")</f>
        <v>#REF!</v>
      </c>
      <c r="BP21" t="e">
        <f>AND(#REF!,"AAAAAG6/vkM=")</f>
        <v>#REF!</v>
      </c>
      <c r="BQ21" t="e">
        <f>AND(#REF!,"AAAAAG6/vkQ=")</f>
        <v>#REF!</v>
      </c>
      <c r="BR21" t="e">
        <f>AND(#REF!,"AAAAAG6/vkU=")</f>
        <v>#REF!</v>
      </c>
      <c r="BS21" t="e">
        <f>AND(#REF!,"AAAAAG6/vkY=")</f>
        <v>#REF!</v>
      </c>
      <c r="BT21" t="e">
        <f>AND(#REF!,"AAAAAG6/vkc=")</f>
        <v>#REF!</v>
      </c>
      <c r="BU21" t="e">
        <f>AND(#REF!,"AAAAAG6/vkg=")</f>
        <v>#REF!</v>
      </c>
      <c r="BV21" t="e">
        <f>AND(#REF!,"AAAAAG6/vkk=")</f>
        <v>#REF!</v>
      </c>
      <c r="BW21" t="e">
        <f>AND(#REF!,"AAAAAG6/vko=")</f>
        <v>#REF!</v>
      </c>
      <c r="BX21" t="e">
        <f>AND(#REF!,"AAAAAG6/vks=")</f>
        <v>#REF!</v>
      </c>
      <c r="BY21" t="e">
        <f>AND(#REF!,"AAAAAG6/vkw=")</f>
        <v>#REF!</v>
      </c>
      <c r="BZ21" t="e">
        <f>AND(#REF!,"AAAAAG6/vk0=")</f>
        <v>#REF!</v>
      </c>
      <c r="CA21" t="e">
        <f>AND(#REF!,"AAAAAG6/vk4=")</f>
        <v>#REF!</v>
      </c>
      <c r="CB21" t="e">
        <f>AND(#REF!,"AAAAAG6/vk8=")</f>
        <v>#REF!</v>
      </c>
      <c r="CC21" t="e">
        <f>AND(#REF!,"AAAAAG6/vlA=")</f>
        <v>#REF!</v>
      </c>
      <c r="CD21" t="e">
        <f>AND(#REF!,"AAAAAG6/vlE=")</f>
        <v>#REF!</v>
      </c>
      <c r="CE21" t="e">
        <f>AND(#REF!,"AAAAAG6/vlI=")</f>
        <v>#REF!</v>
      </c>
      <c r="CF21" t="e">
        <f>AND(#REF!,"AAAAAG6/vlM=")</f>
        <v>#REF!</v>
      </c>
      <c r="CG21" t="e">
        <f>AND(#REF!,"AAAAAG6/vlQ=")</f>
        <v>#REF!</v>
      </c>
      <c r="CH21" t="e">
        <f>AND(#REF!,"AAAAAG6/vlU=")</f>
        <v>#REF!</v>
      </c>
      <c r="CI21" t="e">
        <f>AND(#REF!,"AAAAAG6/vlY=")</f>
        <v>#REF!</v>
      </c>
      <c r="CJ21" t="e">
        <f>AND(#REF!,"AAAAAG6/vlc=")</f>
        <v>#REF!</v>
      </c>
      <c r="CK21" t="e">
        <f>AND(#REF!,"AAAAAG6/vlg=")</f>
        <v>#REF!</v>
      </c>
      <c r="CL21" t="e">
        <f>AND(#REF!,"AAAAAG6/vlk=")</f>
        <v>#REF!</v>
      </c>
      <c r="CM21" t="e">
        <f>AND(#REF!,"AAAAAG6/vlo=")</f>
        <v>#REF!</v>
      </c>
      <c r="CN21" t="e">
        <f>AND(#REF!,"AAAAAG6/vls=")</f>
        <v>#REF!</v>
      </c>
      <c r="CO21" t="e">
        <f>AND(#REF!,"AAAAAG6/vlw=")</f>
        <v>#REF!</v>
      </c>
      <c r="CP21" t="e">
        <f>AND(#REF!,"AAAAAG6/vl0=")</f>
        <v>#REF!</v>
      </c>
      <c r="CQ21" t="e">
        <f>AND(#REF!,"AAAAAG6/vl4=")</f>
        <v>#REF!</v>
      </c>
      <c r="CR21" t="e">
        <f>AND(#REF!,"AAAAAG6/vl8=")</f>
        <v>#REF!</v>
      </c>
      <c r="CS21" t="e">
        <f>AND(#REF!,"AAAAAG6/vmA=")</f>
        <v>#REF!</v>
      </c>
      <c r="CT21" t="e">
        <f>AND(#REF!,"AAAAAG6/vmE=")</f>
        <v>#REF!</v>
      </c>
      <c r="CU21" t="e">
        <f>AND(#REF!,"AAAAAG6/vmI=")</f>
        <v>#REF!</v>
      </c>
      <c r="CV21" t="e">
        <f>AND(#REF!,"AAAAAG6/vmM=")</f>
        <v>#REF!</v>
      </c>
      <c r="CW21" t="e">
        <f>AND(#REF!,"AAAAAG6/vmQ=")</f>
        <v>#REF!</v>
      </c>
      <c r="CX21" t="e">
        <f>AND(#REF!,"AAAAAG6/vmU=")</f>
        <v>#REF!</v>
      </c>
      <c r="CY21" t="e">
        <f>AND(#REF!,"AAAAAG6/vmY=")</f>
        <v>#REF!</v>
      </c>
      <c r="CZ21" t="e">
        <f>AND(#REF!,"AAAAAG6/vmc=")</f>
        <v>#REF!</v>
      </c>
      <c r="DA21" t="e">
        <f>AND(#REF!,"AAAAAG6/vmg=")</f>
        <v>#REF!</v>
      </c>
      <c r="DB21" t="e">
        <f>AND(#REF!,"AAAAAG6/vmk=")</f>
        <v>#REF!</v>
      </c>
      <c r="DC21" t="e">
        <f>AND(#REF!,"AAAAAG6/vmo=")</f>
        <v>#REF!</v>
      </c>
      <c r="DD21" t="e">
        <f>AND(#REF!,"AAAAAG6/vms=")</f>
        <v>#REF!</v>
      </c>
      <c r="DE21" t="e">
        <f>AND(#REF!,"AAAAAG6/vmw=")</f>
        <v>#REF!</v>
      </c>
      <c r="DF21" t="e">
        <f>AND(#REF!,"AAAAAG6/vm0=")</f>
        <v>#REF!</v>
      </c>
      <c r="DG21" t="e">
        <f>AND(#REF!,"AAAAAG6/vm4=")</f>
        <v>#REF!</v>
      </c>
      <c r="DH21" t="e">
        <f>AND(#REF!,"AAAAAG6/vm8=")</f>
        <v>#REF!</v>
      </c>
      <c r="DI21" t="e">
        <f>AND(#REF!,"AAAAAG6/vnA=")</f>
        <v>#REF!</v>
      </c>
      <c r="DJ21" t="e">
        <f>AND(#REF!,"AAAAAG6/vnE=")</f>
        <v>#REF!</v>
      </c>
      <c r="DK21" t="e">
        <f>AND(#REF!,"AAAAAG6/vnI=")</f>
        <v>#REF!</v>
      </c>
      <c r="DL21" t="e">
        <f>AND(#REF!,"AAAAAG6/vnM=")</f>
        <v>#REF!</v>
      </c>
      <c r="DM21" t="e">
        <f>AND(#REF!,"AAAAAG6/vnQ=")</f>
        <v>#REF!</v>
      </c>
      <c r="DN21" t="e">
        <f>AND(#REF!,"AAAAAG6/vnU=")</f>
        <v>#REF!</v>
      </c>
      <c r="DO21" t="e">
        <f>AND(#REF!,"AAAAAG6/vnY=")</f>
        <v>#REF!</v>
      </c>
      <c r="DP21" t="e">
        <f>AND(#REF!,"AAAAAG6/vnc=")</f>
        <v>#REF!</v>
      </c>
      <c r="DQ21" t="e">
        <f>AND(#REF!,"AAAAAG6/vng=")</f>
        <v>#REF!</v>
      </c>
      <c r="DR21" t="e">
        <f>AND(#REF!,"AAAAAG6/vnk=")</f>
        <v>#REF!</v>
      </c>
      <c r="DS21" t="e">
        <f>AND(#REF!,"AAAAAG6/vno=")</f>
        <v>#REF!</v>
      </c>
      <c r="DT21" t="e">
        <f>AND(#REF!,"AAAAAG6/vns=")</f>
        <v>#REF!</v>
      </c>
      <c r="DU21" t="e">
        <f>AND(#REF!,"AAAAAG6/vnw=")</f>
        <v>#REF!</v>
      </c>
      <c r="DV21" t="e">
        <f>AND(#REF!,"AAAAAG6/vn0=")</f>
        <v>#REF!</v>
      </c>
      <c r="DW21" t="e">
        <f>AND(#REF!,"AAAAAG6/vn4=")</f>
        <v>#REF!</v>
      </c>
      <c r="DX21" t="e">
        <f>AND(#REF!,"AAAAAG6/vn8=")</f>
        <v>#REF!</v>
      </c>
      <c r="DY21" t="e">
        <f>AND(#REF!,"AAAAAG6/voA=")</f>
        <v>#REF!</v>
      </c>
      <c r="DZ21" t="e">
        <f>AND(#REF!,"AAAAAG6/voE=")</f>
        <v>#REF!</v>
      </c>
      <c r="EA21" t="e">
        <f>AND(#REF!,"AAAAAG6/voI=")</f>
        <v>#REF!</v>
      </c>
      <c r="EB21" t="e">
        <f>AND(#REF!,"AAAAAG6/voM=")</f>
        <v>#REF!</v>
      </c>
      <c r="EC21" t="e">
        <f>AND(#REF!,"AAAAAG6/voQ=")</f>
        <v>#REF!</v>
      </c>
      <c r="ED21" t="e">
        <f>AND(#REF!,"AAAAAG6/voU=")</f>
        <v>#REF!</v>
      </c>
      <c r="EE21" t="e">
        <f>AND(#REF!,"AAAAAG6/voY=")</f>
        <v>#REF!</v>
      </c>
      <c r="EF21" t="e">
        <f>AND(#REF!,"AAAAAG6/voc=")</f>
        <v>#REF!</v>
      </c>
      <c r="EG21" t="e">
        <f>AND(#REF!,"AAAAAG6/vog=")</f>
        <v>#REF!</v>
      </c>
      <c r="EH21" t="e">
        <f>AND(#REF!,"AAAAAG6/vok=")</f>
        <v>#REF!</v>
      </c>
      <c r="EI21" t="e">
        <f>AND(#REF!,"AAAAAG6/voo=")</f>
        <v>#REF!</v>
      </c>
      <c r="EJ21" t="e">
        <f>AND(#REF!,"AAAAAG6/vos=")</f>
        <v>#REF!</v>
      </c>
      <c r="EK21" t="e">
        <f>AND(#REF!,"AAAAAG6/vow=")</f>
        <v>#REF!</v>
      </c>
      <c r="EL21" t="e">
        <f>AND(#REF!,"AAAAAG6/vo0=")</f>
        <v>#REF!</v>
      </c>
      <c r="EM21" t="e">
        <f>AND(#REF!,"AAAAAG6/vo4=")</f>
        <v>#REF!</v>
      </c>
      <c r="EN21" t="e">
        <f>AND(#REF!,"AAAAAG6/vo8=")</f>
        <v>#REF!</v>
      </c>
      <c r="EO21" t="e">
        <f>AND(#REF!,"AAAAAG6/vpA=")</f>
        <v>#REF!</v>
      </c>
      <c r="EP21" t="e">
        <f>AND(#REF!,"AAAAAG6/vpE=")</f>
        <v>#REF!</v>
      </c>
      <c r="EQ21" t="e">
        <f>AND(#REF!,"AAAAAG6/vpI=")</f>
        <v>#REF!</v>
      </c>
      <c r="ER21" t="e">
        <f>AND(#REF!,"AAAAAG6/vpM=")</f>
        <v>#REF!</v>
      </c>
      <c r="ES21" t="e">
        <f>AND(#REF!,"AAAAAG6/vpQ=")</f>
        <v>#REF!</v>
      </c>
      <c r="ET21" t="e">
        <f>AND(#REF!,"AAAAAG6/vpU=")</f>
        <v>#REF!</v>
      </c>
      <c r="EU21" t="e">
        <f>AND(#REF!,"AAAAAG6/vpY=")</f>
        <v>#REF!</v>
      </c>
      <c r="EV21" t="e">
        <f>AND(#REF!,"AAAAAG6/vpc=")</f>
        <v>#REF!</v>
      </c>
      <c r="EW21" t="e">
        <f>AND(#REF!,"AAAAAG6/vpg=")</f>
        <v>#REF!</v>
      </c>
      <c r="EX21" t="e">
        <f>AND(#REF!,"AAAAAG6/vpk=")</f>
        <v>#REF!</v>
      </c>
      <c r="EY21" t="e">
        <f>AND(#REF!,"AAAAAG6/vpo=")</f>
        <v>#REF!</v>
      </c>
      <c r="EZ21" t="e">
        <f>AND(#REF!,"AAAAAG6/vps=")</f>
        <v>#REF!</v>
      </c>
      <c r="FA21" t="e">
        <f>AND(#REF!,"AAAAAG6/vpw=")</f>
        <v>#REF!</v>
      </c>
      <c r="FB21" t="e">
        <f>AND(#REF!,"AAAAAG6/vp0=")</f>
        <v>#REF!</v>
      </c>
      <c r="FC21" t="e">
        <f>AND(#REF!,"AAAAAG6/vp4=")</f>
        <v>#REF!</v>
      </c>
      <c r="FD21" t="e">
        <f>AND(#REF!,"AAAAAG6/vp8=")</f>
        <v>#REF!</v>
      </c>
      <c r="FE21" t="e">
        <f>AND(#REF!,"AAAAAG6/vqA=")</f>
        <v>#REF!</v>
      </c>
      <c r="FF21" t="e">
        <f>AND(#REF!,"AAAAAG6/vqE=")</f>
        <v>#REF!</v>
      </c>
      <c r="FG21" t="e">
        <f>AND(#REF!,"AAAAAG6/vqI=")</f>
        <v>#REF!</v>
      </c>
      <c r="FH21" t="e">
        <f>AND(#REF!,"AAAAAG6/vqM=")</f>
        <v>#REF!</v>
      </c>
      <c r="FI21" t="e">
        <f>AND(#REF!,"AAAAAG6/vqQ=")</f>
        <v>#REF!</v>
      </c>
      <c r="FJ21" t="e">
        <f>AND(#REF!,"AAAAAG6/vqU=")</f>
        <v>#REF!</v>
      </c>
      <c r="FK21" t="e">
        <f>AND(#REF!,"AAAAAG6/vqY=")</f>
        <v>#REF!</v>
      </c>
      <c r="FL21" t="e">
        <f>AND(#REF!,"AAAAAG6/vqc=")</f>
        <v>#REF!</v>
      </c>
      <c r="FM21" t="e">
        <f>AND(#REF!,"AAAAAG6/vqg=")</f>
        <v>#REF!</v>
      </c>
      <c r="FN21" t="e">
        <f>AND(#REF!,"AAAAAG6/vqk=")</f>
        <v>#REF!</v>
      </c>
      <c r="FO21" t="e">
        <f>AND(#REF!,"AAAAAG6/vqo=")</f>
        <v>#REF!</v>
      </c>
      <c r="FP21" t="e">
        <f>AND(#REF!,"AAAAAG6/vqs=")</f>
        <v>#REF!</v>
      </c>
      <c r="FQ21" t="e">
        <f>AND(#REF!,"AAAAAG6/vqw=")</f>
        <v>#REF!</v>
      </c>
      <c r="FR21" t="e">
        <f>AND(#REF!,"AAAAAG6/vq0=")</f>
        <v>#REF!</v>
      </c>
      <c r="FS21" t="e">
        <f>AND(#REF!,"AAAAAG6/vq4=")</f>
        <v>#REF!</v>
      </c>
      <c r="FT21" t="e">
        <f>AND(#REF!,"AAAAAG6/vq8=")</f>
        <v>#REF!</v>
      </c>
      <c r="FU21" t="e">
        <f>AND(#REF!,"AAAAAG6/vrA=")</f>
        <v>#REF!</v>
      </c>
      <c r="FV21" t="e">
        <f>AND(#REF!,"AAAAAG6/vrE=")</f>
        <v>#REF!</v>
      </c>
      <c r="FW21" t="e">
        <f>AND(#REF!,"AAAAAG6/vrI=")</f>
        <v>#REF!</v>
      </c>
      <c r="FX21" t="e">
        <f>AND(#REF!,"AAAAAG6/vrM=")</f>
        <v>#REF!</v>
      </c>
      <c r="FY21" t="e">
        <f>AND(#REF!,"AAAAAG6/vrQ=")</f>
        <v>#REF!</v>
      </c>
      <c r="FZ21" t="e">
        <f>AND(#REF!,"AAAAAG6/vrU=")</f>
        <v>#REF!</v>
      </c>
      <c r="GA21" t="e">
        <f>AND(#REF!,"AAAAAG6/vrY=")</f>
        <v>#REF!</v>
      </c>
      <c r="GB21" t="e">
        <f>AND(#REF!,"AAAAAG6/vrc=")</f>
        <v>#REF!</v>
      </c>
      <c r="GC21" t="e">
        <f>AND(#REF!,"AAAAAG6/vrg=")</f>
        <v>#REF!</v>
      </c>
      <c r="GD21" t="e">
        <f>AND(#REF!,"AAAAAG6/vrk=")</f>
        <v>#REF!</v>
      </c>
      <c r="GE21" t="e">
        <f>AND(#REF!,"AAAAAG6/vro=")</f>
        <v>#REF!</v>
      </c>
      <c r="GF21" t="e">
        <f>AND(#REF!,"AAAAAG6/vrs=")</f>
        <v>#REF!</v>
      </c>
      <c r="GG21" t="e">
        <f>AND(#REF!,"AAAAAG6/vrw=")</f>
        <v>#REF!</v>
      </c>
      <c r="GH21" t="e">
        <f>AND(#REF!,"AAAAAG6/vr0=")</f>
        <v>#REF!</v>
      </c>
      <c r="GI21" t="e">
        <f>AND(#REF!,"AAAAAG6/vr4=")</f>
        <v>#REF!</v>
      </c>
      <c r="GJ21" t="e">
        <f>AND(#REF!,"AAAAAG6/vr8=")</f>
        <v>#REF!</v>
      </c>
      <c r="GK21" t="e">
        <f>AND(#REF!,"AAAAAG6/vsA=")</f>
        <v>#REF!</v>
      </c>
      <c r="GL21" t="e">
        <f>AND(#REF!,"AAAAAG6/vsE=")</f>
        <v>#REF!</v>
      </c>
      <c r="GM21" t="e">
        <f>AND(#REF!,"AAAAAG6/vsI=")</f>
        <v>#REF!</v>
      </c>
      <c r="GN21" t="e">
        <f>AND(#REF!,"AAAAAG6/vsM=")</f>
        <v>#REF!</v>
      </c>
      <c r="GO21" t="e">
        <f>AND(#REF!,"AAAAAG6/vsQ=")</f>
        <v>#REF!</v>
      </c>
      <c r="GP21" t="e">
        <f>AND(#REF!,"AAAAAG6/vsU=")</f>
        <v>#REF!</v>
      </c>
      <c r="GQ21" t="e">
        <f>AND(#REF!,"AAAAAG6/vsY=")</f>
        <v>#REF!</v>
      </c>
      <c r="GR21" t="e">
        <f>AND(#REF!,"AAAAAG6/vsc=")</f>
        <v>#REF!</v>
      </c>
      <c r="GS21" t="e">
        <f>AND(#REF!,"AAAAAG6/vsg=")</f>
        <v>#REF!</v>
      </c>
      <c r="GT21" t="e">
        <f>AND(#REF!,"AAAAAG6/vsk=")</f>
        <v>#REF!</v>
      </c>
      <c r="GU21" t="e">
        <f>AND(#REF!,"AAAAAG6/vso=")</f>
        <v>#REF!</v>
      </c>
      <c r="GV21" t="e">
        <f>AND(#REF!,"AAAAAG6/vss=")</f>
        <v>#REF!</v>
      </c>
      <c r="GW21" t="e">
        <f>AND(#REF!,"AAAAAG6/vsw=")</f>
        <v>#REF!</v>
      </c>
      <c r="GX21" t="e">
        <f>AND(#REF!,"AAAAAG6/vs0=")</f>
        <v>#REF!</v>
      </c>
      <c r="GY21" t="e">
        <f>AND(#REF!,"AAAAAG6/vs4=")</f>
        <v>#REF!</v>
      </c>
      <c r="GZ21" t="e">
        <f>AND(#REF!,"AAAAAG6/vs8=")</f>
        <v>#REF!</v>
      </c>
      <c r="HA21" t="e">
        <f>AND(#REF!,"AAAAAG6/vtA=")</f>
        <v>#REF!</v>
      </c>
      <c r="HB21" t="e">
        <f>IF(#REF!,"AAAAAG6/vtE=",0)</f>
        <v>#REF!</v>
      </c>
      <c r="HC21" t="e">
        <f>AND(#REF!,"AAAAAG6/vtI=")</f>
        <v>#REF!</v>
      </c>
      <c r="HD21" t="e">
        <f>AND(#REF!,"AAAAAG6/vtM=")</f>
        <v>#REF!</v>
      </c>
      <c r="HE21" t="e">
        <f>AND(#REF!,"AAAAAG6/vtQ=")</f>
        <v>#REF!</v>
      </c>
      <c r="HF21" t="e">
        <f>AND(#REF!,"AAAAAG6/vtU=")</f>
        <v>#REF!</v>
      </c>
      <c r="HG21" t="e">
        <f>AND(#REF!,"AAAAAG6/vtY=")</f>
        <v>#REF!</v>
      </c>
      <c r="HH21" t="e">
        <f>AND(#REF!,"AAAAAG6/vtc=")</f>
        <v>#REF!</v>
      </c>
      <c r="HI21" t="e">
        <f>AND(#REF!,"AAAAAG6/vtg=")</f>
        <v>#REF!</v>
      </c>
      <c r="HJ21" t="e">
        <f>AND(#REF!,"AAAAAG6/vtk=")</f>
        <v>#REF!</v>
      </c>
      <c r="HK21" t="e">
        <f>AND(#REF!,"AAAAAG6/vto=")</f>
        <v>#REF!</v>
      </c>
      <c r="HL21" t="e">
        <f>AND(#REF!,"AAAAAG6/vts=")</f>
        <v>#REF!</v>
      </c>
      <c r="HM21" t="e">
        <f>AND(#REF!,"AAAAAG6/vtw=")</f>
        <v>#REF!</v>
      </c>
      <c r="HN21" t="e">
        <f>AND(#REF!,"AAAAAG6/vt0=")</f>
        <v>#REF!</v>
      </c>
      <c r="HO21" t="e">
        <f>AND(#REF!,"AAAAAG6/vt4=")</f>
        <v>#REF!</v>
      </c>
      <c r="HP21" t="e">
        <f>AND(#REF!,"AAAAAG6/vt8=")</f>
        <v>#REF!</v>
      </c>
      <c r="HQ21" t="e">
        <f>AND(#REF!,"AAAAAG6/vuA=")</f>
        <v>#REF!</v>
      </c>
      <c r="HR21" t="e">
        <f>AND(#REF!,"AAAAAG6/vuE=")</f>
        <v>#REF!</v>
      </c>
      <c r="HS21" t="e">
        <f>AND(#REF!,"AAAAAG6/vuI=")</f>
        <v>#REF!</v>
      </c>
      <c r="HT21" t="e">
        <f>AND(#REF!,"AAAAAG6/vuM=")</f>
        <v>#REF!</v>
      </c>
      <c r="HU21" t="e">
        <f>AND(#REF!,"AAAAAG6/vuQ=")</f>
        <v>#REF!</v>
      </c>
      <c r="HV21" t="e">
        <f>AND(#REF!,"AAAAAG6/vuU=")</f>
        <v>#REF!</v>
      </c>
      <c r="HW21" t="e">
        <f>AND(#REF!,"AAAAAG6/vuY=")</f>
        <v>#REF!</v>
      </c>
      <c r="HX21" t="e">
        <f>AND(#REF!,"AAAAAG6/vuc=")</f>
        <v>#REF!</v>
      </c>
      <c r="HY21" t="e">
        <f>AND(#REF!,"AAAAAG6/vug=")</f>
        <v>#REF!</v>
      </c>
      <c r="HZ21" t="e">
        <f>AND(#REF!,"AAAAAG6/vuk=")</f>
        <v>#REF!</v>
      </c>
      <c r="IA21" t="e">
        <f>AND(#REF!,"AAAAAG6/vuo=")</f>
        <v>#REF!</v>
      </c>
      <c r="IB21" t="e">
        <f>AND(#REF!,"AAAAAG6/vus=")</f>
        <v>#REF!</v>
      </c>
      <c r="IC21" t="e">
        <f>AND(#REF!,"AAAAAG6/vuw=")</f>
        <v>#REF!</v>
      </c>
      <c r="ID21" t="e">
        <f>AND(#REF!,"AAAAAG6/vu0=")</f>
        <v>#REF!</v>
      </c>
      <c r="IE21" t="e">
        <f>AND(#REF!,"AAAAAG6/vu4=")</f>
        <v>#REF!</v>
      </c>
      <c r="IF21" t="e">
        <f>AND(#REF!,"AAAAAG6/vu8=")</f>
        <v>#REF!</v>
      </c>
      <c r="IG21" t="e">
        <f>AND(#REF!,"AAAAAG6/vvA=")</f>
        <v>#REF!</v>
      </c>
      <c r="IH21" t="e">
        <f>AND(#REF!,"AAAAAG6/vvE=")</f>
        <v>#REF!</v>
      </c>
      <c r="II21" t="e">
        <f>AND(#REF!,"AAAAAG6/vvI=")</f>
        <v>#REF!</v>
      </c>
      <c r="IJ21" t="e">
        <f>AND(#REF!,"AAAAAG6/vvM=")</f>
        <v>#REF!</v>
      </c>
      <c r="IK21" t="e">
        <f>AND(#REF!,"AAAAAG6/vvQ=")</f>
        <v>#REF!</v>
      </c>
      <c r="IL21" t="e">
        <f>AND(#REF!,"AAAAAG6/vvU=")</f>
        <v>#REF!</v>
      </c>
      <c r="IM21" t="e">
        <f>AND(#REF!,"AAAAAG6/vvY=")</f>
        <v>#REF!</v>
      </c>
      <c r="IN21" t="e">
        <f>AND(#REF!,"AAAAAG6/vvc=")</f>
        <v>#REF!</v>
      </c>
      <c r="IO21" t="e">
        <f>AND(#REF!,"AAAAAG6/vvg=")</f>
        <v>#REF!</v>
      </c>
      <c r="IP21" t="e">
        <f>AND(#REF!,"AAAAAG6/vvk=")</f>
        <v>#REF!</v>
      </c>
      <c r="IQ21" t="e">
        <f>AND(#REF!,"AAAAAG6/vvo=")</f>
        <v>#REF!</v>
      </c>
      <c r="IR21" t="e">
        <f>AND(#REF!,"AAAAAG6/vvs=")</f>
        <v>#REF!</v>
      </c>
      <c r="IS21" t="e">
        <f>AND(#REF!,"AAAAAG6/vvw=")</f>
        <v>#REF!</v>
      </c>
      <c r="IT21" t="e">
        <f>AND(#REF!,"AAAAAG6/vv0=")</f>
        <v>#REF!</v>
      </c>
      <c r="IU21" t="e">
        <f>AND(#REF!,"AAAAAG6/vv4=")</f>
        <v>#REF!</v>
      </c>
      <c r="IV21" t="e">
        <f>AND(#REF!,"AAAAAG6/vv8=")</f>
        <v>#REF!</v>
      </c>
    </row>
    <row r="22" spans="1:256" x14ac:dyDescent="0.25">
      <c r="A22" t="e">
        <f>AND(#REF!,"AAAAAG1pOAA=")</f>
        <v>#REF!</v>
      </c>
      <c r="B22" t="e">
        <f>AND(#REF!,"AAAAAG1pOAE=")</f>
        <v>#REF!</v>
      </c>
      <c r="C22" t="e">
        <f>AND(#REF!,"AAAAAG1pOAI=")</f>
        <v>#REF!</v>
      </c>
      <c r="D22" t="e">
        <f>AND(#REF!,"AAAAAG1pOAM=")</f>
        <v>#REF!</v>
      </c>
      <c r="E22" t="e">
        <f>AND(#REF!,"AAAAAG1pOAQ=")</f>
        <v>#REF!</v>
      </c>
      <c r="F22" t="e">
        <f>AND(#REF!,"AAAAAG1pOAU=")</f>
        <v>#REF!</v>
      </c>
      <c r="G22" t="e">
        <f>AND(#REF!,"AAAAAG1pOAY=")</f>
        <v>#REF!</v>
      </c>
      <c r="H22" t="e">
        <f>AND(#REF!,"AAAAAG1pOAc=")</f>
        <v>#REF!</v>
      </c>
      <c r="I22" t="e">
        <f>AND(#REF!,"AAAAAG1pOAg=")</f>
        <v>#REF!</v>
      </c>
      <c r="J22" t="e">
        <f>AND(#REF!,"AAAAAG1pOAk=")</f>
        <v>#REF!</v>
      </c>
      <c r="K22" t="e">
        <f>AND(#REF!,"AAAAAG1pOAo=")</f>
        <v>#REF!</v>
      </c>
      <c r="L22" t="e">
        <f>AND(#REF!,"AAAAAG1pOAs=")</f>
        <v>#REF!</v>
      </c>
      <c r="M22" t="e">
        <f>AND(#REF!,"AAAAAG1pOAw=")</f>
        <v>#REF!</v>
      </c>
      <c r="N22" t="e">
        <f>AND(#REF!,"AAAAAG1pOA0=")</f>
        <v>#REF!</v>
      </c>
      <c r="O22" t="e">
        <f>AND(#REF!,"AAAAAG1pOA4=")</f>
        <v>#REF!</v>
      </c>
      <c r="P22" t="e">
        <f>AND(#REF!,"AAAAAG1pOA8=")</f>
        <v>#REF!</v>
      </c>
      <c r="Q22" t="e">
        <f>AND(#REF!,"AAAAAG1pOBA=")</f>
        <v>#REF!</v>
      </c>
      <c r="R22" t="e">
        <f>AND(#REF!,"AAAAAG1pOBE=")</f>
        <v>#REF!</v>
      </c>
      <c r="S22" t="e">
        <f>AND(#REF!,"AAAAAG1pOBI=")</f>
        <v>#REF!</v>
      </c>
      <c r="T22" t="e">
        <f>AND(#REF!,"AAAAAG1pOBM=")</f>
        <v>#REF!</v>
      </c>
      <c r="U22" t="e">
        <f>AND(#REF!,"AAAAAG1pOBQ=")</f>
        <v>#REF!</v>
      </c>
      <c r="V22" t="e">
        <f>AND(#REF!,"AAAAAG1pOBU=")</f>
        <v>#REF!</v>
      </c>
      <c r="W22" t="e">
        <f>AND(#REF!,"AAAAAG1pOBY=")</f>
        <v>#REF!</v>
      </c>
      <c r="X22" t="e">
        <f>AND(#REF!,"AAAAAG1pOBc=")</f>
        <v>#REF!</v>
      </c>
      <c r="Y22" t="e">
        <f>AND(#REF!,"AAAAAG1pOBg=")</f>
        <v>#REF!</v>
      </c>
      <c r="Z22" t="e">
        <f>AND(#REF!,"AAAAAG1pOBk=")</f>
        <v>#REF!</v>
      </c>
      <c r="AA22" t="e">
        <f>AND(#REF!,"AAAAAG1pOBo=")</f>
        <v>#REF!</v>
      </c>
      <c r="AB22" t="e">
        <f>AND(#REF!,"AAAAAG1pOBs=")</f>
        <v>#REF!</v>
      </c>
      <c r="AC22" t="e">
        <f>AND(#REF!,"AAAAAG1pOBw=")</f>
        <v>#REF!</v>
      </c>
      <c r="AD22" t="e">
        <f>AND(#REF!,"AAAAAG1pOB0=")</f>
        <v>#REF!</v>
      </c>
      <c r="AE22" t="e">
        <f>AND(#REF!,"AAAAAG1pOB4=")</f>
        <v>#REF!</v>
      </c>
      <c r="AF22" t="e">
        <f>AND(#REF!,"AAAAAG1pOB8=")</f>
        <v>#REF!</v>
      </c>
      <c r="AG22" t="e">
        <f>AND(#REF!,"AAAAAG1pOCA=")</f>
        <v>#REF!</v>
      </c>
      <c r="AH22" t="e">
        <f>AND(#REF!,"AAAAAG1pOCE=")</f>
        <v>#REF!</v>
      </c>
      <c r="AI22" t="e">
        <f>AND(#REF!,"AAAAAG1pOCI=")</f>
        <v>#REF!</v>
      </c>
      <c r="AJ22" t="e">
        <f>AND(#REF!,"AAAAAG1pOCM=")</f>
        <v>#REF!</v>
      </c>
      <c r="AK22" t="e">
        <f>AND(#REF!,"AAAAAG1pOCQ=")</f>
        <v>#REF!</v>
      </c>
      <c r="AL22" t="e">
        <f>AND(#REF!,"AAAAAG1pOCU=")</f>
        <v>#REF!</v>
      </c>
      <c r="AM22" t="e">
        <f>AND(#REF!,"AAAAAG1pOCY=")</f>
        <v>#REF!</v>
      </c>
      <c r="AN22" t="e">
        <f>AND(#REF!,"AAAAAG1pOCc=")</f>
        <v>#REF!</v>
      </c>
      <c r="AO22" t="e">
        <f>AND(#REF!,"AAAAAG1pOCg=")</f>
        <v>#REF!</v>
      </c>
      <c r="AP22" t="e">
        <f>AND(#REF!,"AAAAAG1pOCk=")</f>
        <v>#REF!</v>
      </c>
      <c r="AQ22" t="e">
        <f>AND(#REF!,"AAAAAG1pOCo=")</f>
        <v>#REF!</v>
      </c>
      <c r="AR22" t="e">
        <f>AND(#REF!,"AAAAAG1pOCs=")</f>
        <v>#REF!</v>
      </c>
      <c r="AS22" t="e">
        <f>AND(#REF!,"AAAAAG1pOCw=")</f>
        <v>#REF!</v>
      </c>
      <c r="AT22" t="e">
        <f>AND(#REF!,"AAAAAG1pOC0=")</f>
        <v>#REF!</v>
      </c>
      <c r="AU22" t="e">
        <f>AND(#REF!,"AAAAAG1pOC4=")</f>
        <v>#REF!</v>
      </c>
      <c r="AV22" t="e">
        <f>AND(#REF!,"AAAAAG1pOC8=")</f>
        <v>#REF!</v>
      </c>
      <c r="AW22" t="e">
        <f>AND(#REF!,"AAAAAG1pODA=")</f>
        <v>#REF!</v>
      </c>
      <c r="AX22" t="e">
        <f>AND(#REF!,"AAAAAG1pODE=")</f>
        <v>#REF!</v>
      </c>
      <c r="AY22" t="e">
        <f>AND(#REF!,"AAAAAG1pODI=")</f>
        <v>#REF!</v>
      </c>
      <c r="AZ22" t="e">
        <f>AND(#REF!,"AAAAAG1pODM=")</f>
        <v>#REF!</v>
      </c>
      <c r="BA22" t="e">
        <f>AND(#REF!,"AAAAAG1pODQ=")</f>
        <v>#REF!</v>
      </c>
      <c r="BB22" t="e">
        <f>AND(#REF!,"AAAAAG1pODU=")</f>
        <v>#REF!</v>
      </c>
      <c r="BC22" t="e">
        <f>AND(#REF!,"AAAAAG1pODY=")</f>
        <v>#REF!</v>
      </c>
      <c r="BD22" t="e">
        <f>AND(#REF!,"AAAAAG1pODc=")</f>
        <v>#REF!</v>
      </c>
      <c r="BE22" t="e">
        <f>AND(#REF!,"AAAAAG1pODg=")</f>
        <v>#REF!</v>
      </c>
      <c r="BF22" t="e">
        <f>AND(#REF!,"AAAAAG1pODk=")</f>
        <v>#REF!</v>
      </c>
      <c r="BG22" t="e">
        <f>AND(#REF!,"AAAAAG1pODo=")</f>
        <v>#REF!</v>
      </c>
      <c r="BH22" t="e">
        <f>AND(#REF!,"AAAAAG1pODs=")</f>
        <v>#REF!</v>
      </c>
      <c r="BI22" t="e">
        <f>AND(#REF!,"AAAAAG1pODw=")</f>
        <v>#REF!</v>
      </c>
      <c r="BJ22" t="e">
        <f>AND(#REF!,"AAAAAG1pOD0=")</f>
        <v>#REF!</v>
      </c>
      <c r="BK22" t="e">
        <f>AND(#REF!,"AAAAAG1pOD4=")</f>
        <v>#REF!</v>
      </c>
      <c r="BL22" t="e">
        <f>AND(#REF!,"AAAAAG1pOD8=")</f>
        <v>#REF!</v>
      </c>
      <c r="BM22" t="e">
        <f>AND(#REF!,"AAAAAG1pOEA=")</f>
        <v>#REF!</v>
      </c>
      <c r="BN22" t="e">
        <f>AND(#REF!,"AAAAAG1pOEE=")</f>
        <v>#REF!</v>
      </c>
      <c r="BO22" t="e">
        <f>AND(#REF!,"AAAAAG1pOEI=")</f>
        <v>#REF!</v>
      </c>
      <c r="BP22" t="e">
        <f>AND(#REF!,"AAAAAG1pOEM=")</f>
        <v>#REF!</v>
      </c>
      <c r="BQ22" t="e">
        <f>AND(#REF!,"AAAAAG1pOEQ=")</f>
        <v>#REF!</v>
      </c>
      <c r="BR22" t="e">
        <f>AND(#REF!,"AAAAAG1pOEU=")</f>
        <v>#REF!</v>
      </c>
      <c r="BS22" t="e">
        <f>AND(#REF!,"AAAAAG1pOEY=")</f>
        <v>#REF!</v>
      </c>
      <c r="BT22" t="e">
        <f>AND(#REF!,"AAAAAG1pOEc=")</f>
        <v>#REF!</v>
      </c>
      <c r="BU22" t="e">
        <f>AND(#REF!,"AAAAAG1pOEg=")</f>
        <v>#REF!</v>
      </c>
      <c r="BV22" t="e">
        <f>AND(#REF!,"AAAAAG1pOEk=")</f>
        <v>#REF!</v>
      </c>
      <c r="BW22" t="e">
        <f>AND(#REF!,"AAAAAG1pOEo=")</f>
        <v>#REF!</v>
      </c>
      <c r="BX22" t="e">
        <f>AND(#REF!,"AAAAAG1pOEs=")</f>
        <v>#REF!</v>
      </c>
      <c r="BY22" t="e">
        <f>AND(#REF!,"AAAAAG1pOEw=")</f>
        <v>#REF!</v>
      </c>
      <c r="BZ22" t="e">
        <f>AND(#REF!,"AAAAAG1pOE0=")</f>
        <v>#REF!</v>
      </c>
      <c r="CA22" t="e">
        <f>AND(#REF!,"AAAAAG1pOE4=")</f>
        <v>#REF!</v>
      </c>
      <c r="CB22" t="e">
        <f>AND(#REF!,"AAAAAG1pOE8=")</f>
        <v>#REF!</v>
      </c>
      <c r="CC22" t="e">
        <f>AND(#REF!,"AAAAAG1pOFA=")</f>
        <v>#REF!</v>
      </c>
      <c r="CD22" t="e">
        <f>AND(#REF!,"AAAAAG1pOFE=")</f>
        <v>#REF!</v>
      </c>
      <c r="CE22" t="e">
        <f>AND(#REF!,"AAAAAG1pOFI=")</f>
        <v>#REF!</v>
      </c>
      <c r="CF22" t="e">
        <f>AND(#REF!,"AAAAAG1pOFM=")</f>
        <v>#REF!</v>
      </c>
      <c r="CG22" t="e">
        <f>AND(#REF!,"AAAAAG1pOFQ=")</f>
        <v>#REF!</v>
      </c>
      <c r="CH22" t="e">
        <f>AND(#REF!,"AAAAAG1pOFU=")</f>
        <v>#REF!</v>
      </c>
      <c r="CI22" t="e">
        <f>AND(#REF!,"AAAAAG1pOFY=")</f>
        <v>#REF!</v>
      </c>
      <c r="CJ22" t="e">
        <f>AND(#REF!,"AAAAAG1pOFc=")</f>
        <v>#REF!</v>
      </c>
      <c r="CK22" t="e">
        <f>AND(#REF!,"AAAAAG1pOFg=")</f>
        <v>#REF!</v>
      </c>
      <c r="CL22" t="e">
        <f>AND(#REF!,"AAAAAG1pOFk=")</f>
        <v>#REF!</v>
      </c>
      <c r="CM22" t="e">
        <f>AND(#REF!,"AAAAAG1pOFo=")</f>
        <v>#REF!</v>
      </c>
      <c r="CN22" t="e">
        <f>AND(#REF!,"AAAAAG1pOFs=")</f>
        <v>#REF!</v>
      </c>
      <c r="CO22" t="e">
        <f>AND(#REF!,"AAAAAG1pOFw=")</f>
        <v>#REF!</v>
      </c>
      <c r="CP22" t="e">
        <f>AND(#REF!,"AAAAAG1pOF0=")</f>
        <v>#REF!</v>
      </c>
      <c r="CQ22" t="e">
        <f>AND(#REF!,"AAAAAG1pOF4=")</f>
        <v>#REF!</v>
      </c>
      <c r="CR22" t="e">
        <f>AND(#REF!,"AAAAAG1pOF8=")</f>
        <v>#REF!</v>
      </c>
      <c r="CS22" t="e">
        <f>AND(#REF!,"AAAAAG1pOGA=")</f>
        <v>#REF!</v>
      </c>
      <c r="CT22" t="e">
        <f>AND(#REF!,"AAAAAG1pOGE=")</f>
        <v>#REF!</v>
      </c>
      <c r="CU22" t="e">
        <f>AND(#REF!,"AAAAAG1pOGI=")</f>
        <v>#REF!</v>
      </c>
      <c r="CV22" t="e">
        <f>AND(#REF!,"AAAAAG1pOGM=")</f>
        <v>#REF!</v>
      </c>
      <c r="CW22" t="e">
        <f>AND(#REF!,"AAAAAG1pOGQ=")</f>
        <v>#REF!</v>
      </c>
      <c r="CX22" t="e">
        <f>AND(#REF!,"AAAAAG1pOGU=")</f>
        <v>#REF!</v>
      </c>
      <c r="CY22" t="e">
        <f>AND(#REF!,"AAAAAG1pOGY=")</f>
        <v>#REF!</v>
      </c>
      <c r="CZ22" t="e">
        <f>AND(#REF!,"AAAAAG1pOGc=")</f>
        <v>#REF!</v>
      </c>
      <c r="DA22" t="e">
        <f>AND(#REF!,"AAAAAG1pOGg=")</f>
        <v>#REF!</v>
      </c>
      <c r="DB22" t="e">
        <f>AND(#REF!,"AAAAAG1pOGk=")</f>
        <v>#REF!</v>
      </c>
      <c r="DC22" t="e">
        <f>AND(#REF!,"AAAAAG1pOGo=")</f>
        <v>#REF!</v>
      </c>
      <c r="DD22" t="e">
        <f>AND(#REF!,"AAAAAG1pOGs=")</f>
        <v>#REF!</v>
      </c>
      <c r="DE22" t="e">
        <f>AND(#REF!,"AAAAAG1pOGw=")</f>
        <v>#REF!</v>
      </c>
      <c r="DF22" t="e">
        <f>AND(#REF!,"AAAAAG1pOG0=")</f>
        <v>#REF!</v>
      </c>
      <c r="DG22" t="e">
        <f>AND(#REF!,"AAAAAG1pOG4=")</f>
        <v>#REF!</v>
      </c>
      <c r="DH22" t="e">
        <f>AND(#REF!,"AAAAAG1pOG8=")</f>
        <v>#REF!</v>
      </c>
      <c r="DI22" t="e">
        <f>AND(#REF!,"AAAAAG1pOHA=")</f>
        <v>#REF!</v>
      </c>
      <c r="DJ22" t="e">
        <f>AND(#REF!,"AAAAAG1pOHE=")</f>
        <v>#REF!</v>
      </c>
      <c r="DK22" t="e">
        <f>AND(#REF!,"AAAAAG1pOHI=")</f>
        <v>#REF!</v>
      </c>
      <c r="DL22" t="e">
        <f>AND(#REF!,"AAAAAG1pOHM=")</f>
        <v>#REF!</v>
      </c>
      <c r="DM22" t="e">
        <f>AND(#REF!,"AAAAAG1pOHQ=")</f>
        <v>#REF!</v>
      </c>
      <c r="DN22" t="e">
        <f>AND(#REF!,"AAAAAG1pOHU=")</f>
        <v>#REF!</v>
      </c>
      <c r="DO22" t="e">
        <f>AND(#REF!,"AAAAAG1pOHY=")</f>
        <v>#REF!</v>
      </c>
      <c r="DP22" t="e">
        <f>AND(#REF!,"AAAAAG1pOHc=")</f>
        <v>#REF!</v>
      </c>
      <c r="DQ22" t="e">
        <f>AND(#REF!,"AAAAAG1pOHg=")</f>
        <v>#REF!</v>
      </c>
      <c r="DR22" t="e">
        <f>AND(#REF!,"AAAAAG1pOHk=")</f>
        <v>#REF!</v>
      </c>
      <c r="DS22" t="e">
        <f>AND(#REF!,"AAAAAG1pOHo=")</f>
        <v>#REF!</v>
      </c>
      <c r="DT22" t="e">
        <f>AND(#REF!,"AAAAAG1pOHs=")</f>
        <v>#REF!</v>
      </c>
      <c r="DU22" t="e">
        <f>AND(#REF!,"AAAAAG1pOHw=")</f>
        <v>#REF!</v>
      </c>
      <c r="DV22" t="e">
        <f>AND(#REF!,"AAAAAG1pOH0=")</f>
        <v>#REF!</v>
      </c>
      <c r="DW22" t="e">
        <f>AND(#REF!,"AAAAAG1pOH4=")</f>
        <v>#REF!</v>
      </c>
      <c r="DX22" t="e">
        <f>AND(#REF!,"AAAAAG1pOH8=")</f>
        <v>#REF!</v>
      </c>
      <c r="DY22" t="e">
        <f>AND(#REF!,"AAAAAG1pOIA=")</f>
        <v>#REF!</v>
      </c>
      <c r="DZ22" t="e">
        <f>AND(#REF!,"AAAAAG1pOIE=")</f>
        <v>#REF!</v>
      </c>
      <c r="EA22" t="e">
        <f>AND(#REF!,"AAAAAG1pOII=")</f>
        <v>#REF!</v>
      </c>
      <c r="EB22" t="e">
        <f>AND(#REF!,"AAAAAG1pOIM=")</f>
        <v>#REF!</v>
      </c>
      <c r="EC22" t="e">
        <f>AND(#REF!,"AAAAAG1pOIQ=")</f>
        <v>#REF!</v>
      </c>
      <c r="ED22" t="e">
        <f>AND(#REF!,"AAAAAG1pOIU=")</f>
        <v>#REF!</v>
      </c>
      <c r="EE22" t="e">
        <f>AND(#REF!,"AAAAAG1pOIY=")</f>
        <v>#REF!</v>
      </c>
      <c r="EF22" t="e">
        <f>AND(#REF!,"AAAAAG1pOIc=")</f>
        <v>#REF!</v>
      </c>
      <c r="EG22" t="e">
        <f>AND(#REF!,"AAAAAG1pOIg=")</f>
        <v>#REF!</v>
      </c>
      <c r="EH22" t="e">
        <f>AND(#REF!,"AAAAAG1pOIk=")</f>
        <v>#REF!</v>
      </c>
      <c r="EI22" t="e">
        <f>AND(#REF!,"AAAAAG1pOIo=")</f>
        <v>#REF!</v>
      </c>
      <c r="EJ22" t="e">
        <f>AND(#REF!,"AAAAAG1pOIs=")</f>
        <v>#REF!</v>
      </c>
      <c r="EK22" t="e">
        <f>AND(#REF!,"AAAAAG1pOIw=")</f>
        <v>#REF!</v>
      </c>
      <c r="EL22" t="e">
        <f>AND(#REF!,"AAAAAG1pOI0=")</f>
        <v>#REF!</v>
      </c>
      <c r="EM22" t="e">
        <f>IF(#REF!,"AAAAAG1pOI4=",0)</f>
        <v>#REF!</v>
      </c>
      <c r="EN22" t="e">
        <f>AND(#REF!,"AAAAAG1pOI8=")</f>
        <v>#REF!</v>
      </c>
      <c r="EO22" t="e">
        <f>AND(#REF!,"AAAAAG1pOJA=")</f>
        <v>#REF!</v>
      </c>
      <c r="EP22" t="e">
        <f>AND(#REF!,"AAAAAG1pOJE=")</f>
        <v>#REF!</v>
      </c>
      <c r="EQ22" t="e">
        <f>AND(#REF!,"AAAAAG1pOJI=")</f>
        <v>#REF!</v>
      </c>
      <c r="ER22" t="e">
        <f>AND(#REF!,"AAAAAG1pOJM=")</f>
        <v>#REF!</v>
      </c>
      <c r="ES22" t="e">
        <f>AND(#REF!,"AAAAAG1pOJQ=")</f>
        <v>#REF!</v>
      </c>
      <c r="ET22" t="e">
        <f>AND(#REF!,"AAAAAG1pOJU=")</f>
        <v>#REF!</v>
      </c>
      <c r="EU22" t="e">
        <f>AND(#REF!,"AAAAAG1pOJY=")</f>
        <v>#REF!</v>
      </c>
      <c r="EV22" t="e">
        <f>AND(#REF!,"AAAAAG1pOJc=")</f>
        <v>#REF!</v>
      </c>
      <c r="EW22" t="e">
        <f>AND(#REF!,"AAAAAG1pOJg=")</f>
        <v>#REF!</v>
      </c>
      <c r="EX22" t="e">
        <f>AND(#REF!,"AAAAAG1pOJk=")</f>
        <v>#REF!</v>
      </c>
      <c r="EY22" t="e">
        <f>AND(#REF!,"AAAAAG1pOJo=")</f>
        <v>#REF!</v>
      </c>
      <c r="EZ22" t="e">
        <f>AND(#REF!,"AAAAAG1pOJs=")</f>
        <v>#REF!</v>
      </c>
      <c r="FA22" t="e">
        <f>AND(#REF!,"AAAAAG1pOJw=")</f>
        <v>#REF!</v>
      </c>
      <c r="FB22" t="e">
        <f>AND(#REF!,"AAAAAG1pOJ0=")</f>
        <v>#REF!</v>
      </c>
      <c r="FC22" t="e">
        <f>AND(#REF!,"AAAAAG1pOJ4=")</f>
        <v>#REF!</v>
      </c>
      <c r="FD22" t="e">
        <f>AND(#REF!,"AAAAAG1pOJ8=")</f>
        <v>#REF!</v>
      </c>
      <c r="FE22" t="e">
        <f>AND(#REF!,"AAAAAG1pOKA=")</f>
        <v>#REF!</v>
      </c>
      <c r="FF22" t="e">
        <f>AND(#REF!,"AAAAAG1pOKE=")</f>
        <v>#REF!</v>
      </c>
      <c r="FG22" t="e">
        <f>AND(#REF!,"AAAAAG1pOKI=")</f>
        <v>#REF!</v>
      </c>
      <c r="FH22" t="e">
        <f>AND(#REF!,"AAAAAG1pOKM=")</f>
        <v>#REF!</v>
      </c>
      <c r="FI22" t="e">
        <f>AND(#REF!,"AAAAAG1pOKQ=")</f>
        <v>#REF!</v>
      </c>
      <c r="FJ22" t="e">
        <f>AND(#REF!,"AAAAAG1pOKU=")</f>
        <v>#REF!</v>
      </c>
      <c r="FK22" t="e">
        <f>AND(#REF!,"AAAAAG1pOKY=")</f>
        <v>#REF!</v>
      </c>
      <c r="FL22" t="e">
        <f>AND(#REF!,"AAAAAG1pOKc=")</f>
        <v>#REF!</v>
      </c>
      <c r="FM22" t="e">
        <f>AND(#REF!,"AAAAAG1pOKg=")</f>
        <v>#REF!</v>
      </c>
      <c r="FN22" t="e">
        <f>AND(#REF!,"AAAAAG1pOKk=")</f>
        <v>#REF!</v>
      </c>
      <c r="FO22" t="e">
        <f>AND(#REF!,"AAAAAG1pOKo=")</f>
        <v>#REF!</v>
      </c>
      <c r="FP22" t="e">
        <f>AND(#REF!,"AAAAAG1pOKs=")</f>
        <v>#REF!</v>
      </c>
      <c r="FQ22" t="e">
        <f>AND(#REF!,"AAAAAG1pOKw=")</f>
        <v>#REF!</v>
      </c>
      <c r="FR22" t="e">
        <f>AND(#REF!,"AAAAAG1pOK0=")</f>
        <v>#REF!</v>
      </c>
      <c r="FS22" t="e">
        <f>AND(#REF!,"AAAAAG1pOK4=")</f>
        <v>#REF!</v>
      </c>
      <c r="FT22" t="e">
        <f>AND(#REF!,"AAAAAG1pOK8=")</f>
        <v>#REF!</v>
      </c>
      <c r="FU22" t="e">
        <f>AND(#REF!,"AAAAAG1pOLA=")</f>
        <v>#REF!</v>
      </c>
      <c r="FV22" t="e">
        <f>AND(#REF!,"AAAAAG1pOLE=")</f>
        <v>#REF!</v>
      </c>
      <c r="FW22" t="e">
        <f>AND(#REF!,"AAAAAG1pOLI=")</f>
        <v>#REF!</v>
      </c>
      <c r="FX22" t="e">
        <f>AND(#REF!,"AAAAAG1pOLM=")</f>
        <v>#REF!</v>
      </c>
      <c r="FY22" t="e">
        <f>AND(#REF!,"AAAAAG1pOLQ=")</f>
        <v>#REF!</v>
      </c>
      <c r="FZ22" t="e">
        <f>AND(#REF!,"AAAAAG1pOLU=")</f>
        <v>#REF!</v>
      </c>
      <c r="GA22" t="e">
        <f>AND(#REF!,"AAAAAG1pOLY=")</f>
        <v>#REF!</v>
      </c>
      <c r="GB22" t="e">
        <f>AND(#REF!,"AAAAAG1pOLc=")</f>
        <v>#REF!</v>
      </c>
      <c r="GC22" t="e">
        <f>AND(#REF!,"AAAAAG1pOLg=")</f>
        <v>#REF!</v>
      </c>
      <c r="GD22" t="e">
        <f>AND(#REF!,"AAAAAG1pOLk=")</f>
        <v>#REF!</v>
      </c>
      <c r="GE22" t="e">
        <f>AND(#REF!,"AAAAAG1pOLo=")</f>
        <v>#REF!</v>
      </c>
      <c r="GF22" t="e">
        <f>AND(#REF!,"AAAAAG1pOLs=")</f>
        <v>#REF!</v>
      </c>
      <c r="GG22" t="e">
        <f>AND(#REF!,"AAAAAG1pOLw=")</f>
        <v>#REF!</v>
      </c>
      <c r="GH22" t="e">
        <f>AND(#REF!,"AAAAAG1pOL0=")</f>
        <v>#REF!</v>
      </c>
      <c r="GI22" t="e">
        <f>AND(#REF!,"AAAAAG1pOL4=")</f>
        <v>#REF!</v>
      </c>
      <c r="GJ22" t="e">
        <f>AND(#REF!,"AAAAAG1pOL8=")</f>
        <v>#REF!</v>
      </c>
      <c r="GK22" t="e">
        <f>AND(#REF!,"AAAAAG1pOMA=")</f>
        <v>#REF!</v>
      </c>
      <c r="GL22" t="e">
        <f>AND(#REF!,"AAAAAG1pOME=")</f>
        <v>#REF!</v>
      </c>
      <c r="GM22" t="e">
        <f>AND(#REF!,"AAAAAG1pOMI=")</f>
        <v>#REF!</v>
      </c>
      <c r="GN22" t="e">
        <f>AND(#REF!,"AAAAAG1pOMM=")</f>
        <v>#REF!</v>
      </c>
      <c r="GO22" t="e">
        <f>AND(#REF!,"AAAAAG1pOMQ=")</f>
        <v>#REF!</v>
      </c>
      <c r="GP22" t="e">
        <f>AND(#REF!,"AAAAAG1pOMU=")</f>
        <v>#REF!</v>
      </c>
      <c r="GQ22" t="e">
        <f>AND(#REF!,"AAAAAG1pOMY=")</f>
        <v>#REF!</v>
      </c>
      <c r="GR22" t="e">
        <f>AND(#REF!,"AAAAAG1pOMc=")</f>
        <v>#REF!</v>
      </c>
      <c r="GS22" t="e">
        <f>AND(#REF!,"AAAAAG1pOMg=")</f>
        <v>#REF!</v>
      </c>
      <c r="GT22" t="e">
        <f>AND(#REF!,"AAAAAG1pOMk=")</f>
        <v>#REF!</v>
      </c>
      <c r="GU22" t="e">
        <f>AND(#REF!,"AAAAAG1pOMo=")</f>
        <v>#REF!</v>
      </c>
      <c r="GV22" t="e">
        <f>AND(#REF!,"AAAAAG1pOMs=")</f>
        <v>#REF!</v>
      </c>
      <c r="GW22" t="e">
        <f>AND(#REF!,"AAAAAG1pOMw=")</f>
        <v>#REF!</v>
      </c>
      <c r="GX22" t="e">
        <f>AND(#REF!,"AAAAAG1pOM0=")</f>
        <v>#REF!</v>
      </c>
      <c r="GY22" t="e">
        <f>AND(#REF!,"AAAAAG1pOM4=")</f>
        <v>#REF!</v>
      </c>
      <c r="GZ22" t="e">
        <f>AND(#REF!,"AAAAAG1pOM8=")</f>
        <v>#REF!</v>
      </c>
      <c r="HA22" t="e">
        <f>AND(#REF!,"AAAAAG1pONA=")</f>
        <v>#REF!</v>
      </c>
      <c r="HB22" t="e">
        <f>AND(#REF!,"AAAAAG1pONE=")</f>
        <v>#REF!</v>
      </c>
      <c r="HC22" t="e">
        <f>AND(#REF!,"AAAAAG1pONI=")</f>
        <v>#REF!</v>
      </c>
      <c r="HD22" t="e">
        <f>AND(#REF!,"AAAAAG1pONM=")</f>
        <v>#REF!</v>
      </c>
      <c r="HE22" t="e">
        <f>AND(#REF!,"AAAAAG1pONQ=")</f>
        <v>#REF!</v>
      </c>
      <c r="HF22" t="e">
        <f>AND(#REF!,"AAAAAG1pONU=")</f>
        <v>#REF!</v>
      </c>
      <c r="HG22" t="e">
        <f>AND(#REF!,"AAAAAG1pONY=")</f>
        <v>#REF!</v>
      </c>
      <c r="HH22" t="e">
        <f>AND(#REF!,"AAAAAG1pONc=")</f>
        <v>#REF!</v>
      </c>
      <c r="HI22" t="e">
        <f>AND(#REF!,"AAAAAG1pONg=")</f>
        <v>#REF!</v>
      </c>
      <c r="HJ22" t="e">
        <f>AND(#REF!,"AAAAAG1pONk=")</f>
        <v>#REF!</v>
      </c>
      <c r="HK22" t="e">
        <f>AND(#REF!,"AAAAAG1pONo=")</f>
        <v>#REF!</v>
      </c>
      <c r="HL22" t="e">
        <f>AND(#REF!,"AAAAAG1pONs=")</f>
        <v>#REF!</v>
      </c>
      <c r="HM22" t="e">
        <f>AND(#REF!,"AAAAAG1pONw=")</f>
        <v>#REF!</v>
      </c>
      <c r="HN22" t="e">
        <f>AND(#REF!,"AAAAAG1pON0=")</f>
        <v>#REF!</v>
      </c>
      <c r="HO22" t="e">
        <f>AND(#REF!,"AAAAAG1pON4=")</f>
        <v>#REF!</v>
      </c>
      <c r="HP22" t="e">
        <f>AND(#REF!,"AAAAAG1pON8=")</f>
        <v>#REF!</v>
      </c>
      <c r="HQ22" t="e">
        <f>AND(#REF!,"AAAAAG1pOOA=")</f>
        <v>#REF!</v>
      </c>
      <c r="HR22" t="e">
        <f>AND(#REF!,"AAAAAG1pOOE=")</f>
        <v>#REF!</v>
      </c>
      <c r="HS22" t="e">
        <f>AND(#REF!,"AAAAAG1pOOI=")</f>
        <v>#REF!</v>
      </c>
      <c r="HT22" t="e">
        <f>AND(#REF!,"AAAAAG1pOOM=")</f>
        <v>#REF!</v>
      </c>
      <c r="HU22" t="e">
        <f>AND(#REF!,"AAAAAG1pOOQ=")</f>
        <v>#REF!</v>
      </c>
      <c r="HV22" t="e">
        <f>AND(#REF!,"AAAAAG1pOOU=")</f>
        <v>#REF!</v>
      </c>
      <c r="HW22" t="e">
        <f>AND(#REF!,"AAAAAG1pOOY=")</f>
        <v>#REF!</v>
      </c>
      <c r="HX22" t="e">
        <f>AND(#REF!,"AAAAAG1pOOc=")</f>
        <v>#REF!</v>
      </c>
      <c r="HY22" t="e">
        <f>AND(#REF!,"AAAAAG1pOOg=")</f>
        <v>#REF!</v>
      </c>
      <c r="HZ22" t="e">
        <f>AND(#REF!,"AAAAAG1pOOk=")</f>
        <v>#REF!</v>
      </c>
      <c r="IA22" t="e">
        <f>AND(#REF!,"AAAAAG1pOOo=")</f>
        <v>#REF!</v>
      </c>
      <c r="IB22" t="e">
        <f>AND(#REF!,"AAAAAG1pOOs=")</f>
        <v>#REF!</v>
      </c>
      <c r="IC22" t="e">
        <f>AND(#REF!,"AAAAAG1pOOw=")</f>
        <v>#REF!</v>
      </c>
      <c r="ID22" t="e">
        <f>AND(#REF!,"AAAAAG1pOO0=")</f>
        <v>#REF!</v>
      </c>
      <c r="IE22" t="e">
        <f>AND(#REF!,"AAAAAG1pOO4=")</f>
        <v>#REF!</v>
      </c>
      <c r="IF22" t="e">
        <f>AND(#REF!,"AAAAAG1pOO8=")</f>
        <v>#REF!</v>
      </c>
      <c r="IG22" t="e">
        <f>AND(#REF!,"AAAAAG1pOPA=")</f>
        <v>#REF!</v>
      </c>
      <c r="IH22" t="e">
        <f>AND(#REF!,"AAAAAG1pOPE=")</f>
        <v>#REF!</v>
      </c>
      <c r="II22" t="e">
        <f>AND(#REF!,"AAAAAG1pOPI=")</f>
        <v>#REF!</v>
      </c>
      <c r="IJ22" t="e">
        <f>AND(#REF!,"AAAAAG1pOPM=")</f>
        <v>#REF!</v>
      </c>
      <c r="IK22" t="e">
        <f>AND(#REF!,"AAAAAG1pOPQ=")</f>
        <v>#REF!</v>
      </c>
      <c r="IL22" t="e">
        <f>AND(#REF!,"AAAAAG1pOPU=")</f>
        <v>#REF!</v>
      </c>
      <c r="IM22" t="e">
        <f>AND(#REF!,"AAAAAG1pOPY=")</f>
        <v>#REF!</v>
      </c>
      <c r="IN22" t="e">
        <f>AND(#REF!,"AAAAAG1pOPc=")</f>
        <v>#REF!</v>
      </c>
      <c r="IO22" t="e">
        <f>AND(#REF!,"AAAAAG1pOPg=")</f>
        <v>#REF!</v>
      </c>
      <c r="IP22" t="e">
        <f>AND(#REF!,"AAAAAG1pOPk=")</f>
        <v>#REF!</v>
      </c>
      <c r="IQ22" t="e">
        <f>AND(#REF!,"AAAAAG1pOPo=")</f>
        <v>#REF!</v>
      </c>
      <c r="IR22" t="e">
        <f>AND(#REF!,"AAAAAG1pOPs=")</f>
        <v>#REF!</v>
      </c>
      <c r="IS22" t="e">
        <f>AND(#REF!,"AAAAAG1pOPw=")</f>
        <v>#REF!</v>
      </c>
      <c r="IT22" t="e">
        <f>AND(#REF!,"AAAAAG1pOP0=")</f>
        <v>#REF!</v>
      </c>
      <c r="IU22" t="e">
        <f>AND(#REF!,"AAAAAG1pOP4=")</f>
        <v>#REF!</v>
      </c>
      <c r="IV22" t="e">
        <f>AND(#REF!,"AAAAAG1pOP8=")</f>
        <v>#REF!</v>
      </c>
    </row>
    <row r="23" spans="1:256" x14ac:dyDescent="0.25">
      <c r="A23" t="e">
        <f>AND(#REF!,"AAAAAGbr/wA=")</f>
        <v>#REF!</v>
      </c>
      <c r="B23" t="e">
        <f>AND(#REF!,"AAAAAGbr/wE=")</f>
        <v>#REF!</v>
      </c>
      <c r="C23" t="e">
        <f>AND(#REF!,"AAAAAGbr/wI=")</f>
        <v>#REF!</v>
      </c>
      <c r="D23" t="e">
        <f>AND(#REF!,"AAAAAGbr/wM=")</f>
        <v>#REF!</v>
      </c>
      <c r="E23" t="e">
        <f>AND(#REF!,"AAAAAGbr/wQ=")</f>
        <v>#REF!</v>
      </c>
      <c r="F23" t="e">
        <f>AND(#REF!,"AAAAAGbr/wU=")</f>
        <v>#REF!</v>
      </c>
      <c r="G23" t="e">
        <f>AND(#REF!,"AAAAAGbr/wY=")</f>
        <v>#REF!</v>
      </c>
      <c r="H23" t="e">
        <f>AND(#REF!,"AAAAAGbr/wc=")</f>
        <v>#REF!</v>
      </c>
      <c r="I23" t="e">
        <f>AND(#REF!,"AAAAAGbr/wg=")</f>
        <v>#REF!</v>
      </c>
      <c r="J23" t="e">
        <f>AND(#REF!,"AAAAAGbr/wk=")</f>
        <v>#REF!</v>
      </c>
      <c r="K23" t="e">
        <f>AND(#REF!,"AAAAAGbr/wo=")</f>
        <v>#REF!</v>
      </c>
      <c r="L23" t="e">
        <f>AND(#REF!,"AAAAAGbr/ws=")</f>
        <v>#REF!</v>
      </c>
      <c r="M23" t="e">
        <f>AND(#REF!,"AAAAAGbr/ww=")</f>
        <v>#REF!</v>
      </c>
      <c r="N23" t="e">
        <f>AND(#REF!,"AAAAAGbr/w0=")</f>
        <v>#REF!</v>
      </c>
      <c r="O23" t="e">
        <f>AND(#REF!,"AAAAAGbr/w4=")</f>
        <v>#REF!</v>
      </c>
      <c r="P23" t="e">
        <f>AND(#REF!,"AAAAAGbr/w8=")</f>
        <v>#REF!</v>
      </c>
      <c r="Q23" t="e">
        <f>AND(#REF!,"AAAAAGbr/xA=")</f>
        <v>#REF!</v>
      </c>
      <c r="R23" t="e">
        <f>AND(#REF!,"AAAAAGbr/xE=")</f>
        <v>#REF!</v>
      </c>
      <c r="S23" t="e">
        <f>AND(#REF!,"AAAAAGbr/xI=")</f>
        <v>#REF!</v>
      </c>
      <c r="T23" t="e">
        <f>AND(#REF!,"AAAAAGbr/xM=")</f>
        <v>#REF!</v>
      </c>
      <c r="U23" t="e">
        <f>AND(#REF!,"AAAAAGbr/xQ=")</f>
        <v>#REF!</v>
      </c>
      <c r="V23" t="e">
        <f>AND(#REF!,"AAAAAGbr/xU=")</f>
        <v>#REF!</v>
      </c>
      <c r="W23" t="e">
        <f>AND(#REF!,"AAAAAGbr/xY=")</f>
        <v>#REF!</v>
      </c>
      <c r="X23" t="e">
        <f>AND(#REF!,"AAAAAGbr/xc=")</f>
        <v>#REF!</v>
      </c>
      <c r="Y23" t="e">
        <f>AND(#REF!,"AAAAAGbr/xg=")</f>
        <v>#REF!</v>
      </c>
      <c r="Z23" t="e">
        <f>AND(#REF!,"AAAAAGbr/xk=")</f>
        <v>#REF!</v>
      </c>
      <c r="AA23" t="e">
        <f>AND(#REF!,"AAAAAGbr/xo=")</f>
        <v>#REF!</v>
      </c>
      <c r="AB23" t="e">
        <f>AND(#REF!,"AAAAAGbr/xs=")</f>
        <v>#REF!</v>
      </c>
      <c r="AC23" t="e">
        <f>AND(#REF!,"AAAAAGbr/xw=")</f>
        <v>#REF!</v>
      </c>
      <c r="AD23" t="e">
        <f>AND(#REF!,"AAAAAGbr/x0=")</f>
        <v>#REF!</v>
      </c>
      <c r="AE23" t="e">
        <f>AND(#REF!,"AAAAAGbr/x4=")</f>
        <v>#REF!</v>
      </c>
      <c r="AF23" t="e">
        <f>AND(#REF!,"AAAAAGbr/x8=")</f>
        <v>#REF!</v>
      </c>
      <c r="AG23" t="e">
        <f>AND(#REF!,"AAAAAGbr/yA=")</f>
        <v>#REF!</v>
      </c>
      <c r="AH23" t="e">
        <f>AND(#REF!,"AAAAAGbr/yE=")</f>
        <v>#REF!</v>
      </c>
      <c r="AI23" t="e">
        <f>AND(#REF!,"AAAAAGbr/yI=")</f>
        <v>#REF!</v>
      </c>
      <c r="AJ23" t="e">
        <f>AND(#REF!,"AAAAAGbr/yM=")</f>
        <v>#REF!</v>
      </c>
      <c r="AK23" t="e">
        <f>AND(#REF!,"AAAAAGbr/yQ=")</f>
        <v>#REF!</v>
      </c>
      <c r="AL23" t="e">
        <f>AND(#REF!,"AAAAAGbr/yU=")</f>
        <v>#REF!</v>
      </c>
      <c r="AM23" t="e">
        <f>AND(#REF!,"AAAAAGbr/yY=")</f>
        <v>#REF!</v>
      </c>
      <c r="AN23" t="e">
        <f>AND(#REF!,"AAAAAGbr/yc=")</f>
        <v>#REF!</v>
      </c>
      <c r="AO23" t="e">
        <f>AND(#REF!,"AAAAAGbr/yg=")</f>
        <v>#REF!</v>
      </c>
      <c r="AP23" t="e">
        <f>AND(#REF!,"AAAAAGbr/yk=")</f>
        <v>#REF!</v>
      </c>
      <c r="AQ23" t="e">
        <f>AND(#REF!,"AAAAAGbr/yo=")</f>
        <v>#REF!</v>
      </c>
      <c r="AR23" t="e">
        <f>AND(#REF!,"AAAAAGbr/ys=")</f>
        <v>#REF!</v>
      </c>
      <c r="AS23" t="e">
        <f>AND(#REF!,"AAAAAGbr/yw=")</f>
        <v>#REF!</v>
      </c>
      <c r="AT23" t="e">
        <f>AND(#REF!,"AAAAAGbr/y0=")</f>
        <v>#REF!</v>
      </c>
      <c r="AU23" t="e">
        <f>AND(#REF!,"AAAAAGbr/y4=")</f>
        <v>#REF!</v>
      </c>
      <c r="AV23" t="e">
        <f>AND(#REF!,"AAAAAGbr/y8=")</f>
        <v>#REF!</v>
      </c>
      <c r="AW23" t="e">
        <f>AND(#REF!,"AAAAAGbr/zA=")</f>
        <v>#REF!</v>
      </c>
      <c r="AX23" t="e">
        <f>AND(#REF!,"AAAAAGbr/zE=")</f>
        <v>#REF!</v>
      </c>
      <c r="AY23" t="e">
        <f>AND(#REF!,"AAAAAGbr/zI=")</f>
        <v>#REF!</v>
      </c>
      <c r="AZ23" t="e">
        <f>AND(#REF!,"AAAAAGbr/zM=")</f>
        <v>#REF!</v>
      </c>
      <c r="BA23" t="e">
        <f>AND(#REF!,"AAAAAGbr/zQ=")</f>
        <v>#REF!</v>
      </c>
      <c r="BB23" t="e">
        <f>AND(#REF!,"AAAAAGbr/zU=")</f>
        <v>#REF!</v>
      </c>
      <c r="BC23" t="e">
        <f>AND(#REF!,"AAAAAGbr/zY=")</f>
        <v>#REF!</v>
      </c>
      <c r="BD23" t="e">
        <f>AND(#REF!,"AAAAAGbr/zc=")</f>
        <v>#REF!</v>
      </c>
      <c r="BE23" t="e">
        <f>AND(#REF!,"AAAAAGbr/zg=")</f>
        <v>#REF!</v>
      </c>
      <c r="BF23" t="e">
        <f>AND(#REF!,"AAAAAGbr/zk=")</f>
        <v>#REF!</v>
      </c>
      <c r="BG23" t="e">
        <f>AND(#REF!,"AAAAAGbr/zo=")</f>
        <v>#REF!</v>
      </c>
      <c r="BH23" t="e">
        <f>AND(#REF!,"AAAAAGbr/zs=")</f>
        <v>#REF!</v>
      </c>
      <c r="BI23" t="e">
        <f>AND(#REF!,"AAAAAGbr/zw=")</f>
        <v>#REF!</v>
      </c>
      <c r="BJ23" t="e">
        <f>AND(#REF!,"AAAAAGbr/z0=")</f>
        <v>#REF!</v>
      </c>
      <c r="BK23" t="e">
        <f>AND(#REF!,"AAAAAGbr/z4=")</f>
        <v>#REF!</v>
      </c>
      <c r="BL23" t="e">
        <f>AND(#REF!,"AAAAAGbr/z8=")</f>
        <v>#REF!</v>
      </c>
      <c r="BM23" t="e">
        <f>AND(#REF!,"AAAAAGbr/0A=")</f>
        <v>#REF!</v>
      </c>
      <c r="BN23" t="e">
        <f>AND(#REF!,"AAAAAGbr/0E=")</f>
        <v>#REF!</v>
      </c>
      <c r="BO23" t="e">
        <f>AND(#REF!,"AAAAAGbr/0I=")</f>
        <v>#REF!</v>
      </c>
      <c r="BP23" t="e">
        <f>AND(#REF!,"AAAAAGbr/0M=")</f>
        <v>#REF!</v>
      </c>
      <c r="BQ23" t="e">
        <f>AND(#REF!,"AAAAAGbr/0Q=")</f>
        <v>#REF!</v>
      </c>
      <c r="BR23" t="e">
        <f>AND(#REF!,"AAAAAGbr/0U=")</f>
        <v>#REF!</v>
      </c>
      <c r="BS23" t="e">
        <f>AND(#REF!,"AAAAAGbr/0Y=")</f>
        <v>#REF!</v>
      </c>
      <c r="BT23" t="e">
        <f>AND(#REF!,"AAAAAGbr/0c=")</f>
        <v>#REF!</v>
      </c>
      <c r="BU23" t="e">
        <f>AND(#REF!,"AAAAAGbr/0g=")</f>
        <v>#REF!</v>
      </c>
      <c r="BV23" t="e">
        <f>AND(#REF!,"AAAAAGbr/0k=")</f>
        <v>#REF!</v>
      </c>
      <c r="BW23" t="e">
        <f>AND(#REF!,"AAAAAGbr/0o=")</f>
        <v>#REF!</v>
      </c>
      <c r="BX23" t="e">
        <f>IF(#REF!,"AAAAAGbr/0s=",0)</f>
        <v>#REF!</v>
      </c>
      <c r="BY23" t="e">
        <f>AND(#REF!,"AAAAAGbr/0w=")</f>
        <v>#REF!</v>
      </c>
      <c r="BZ23" t="e">
        <f>AND(#REF!,"AAAAAGbr/00=")</f>
        <v>#REF!</v>
      </c>
      <c r="CA23" t="e">
        <f>AND(#REF!,"AAAAAGbr/04=")</f>
        <v>#REF!</v>
      </c>
      <c r="CB23" t="e">
        <f>AND(#REF!,"AAAAAGbr/08=")</f>
        <v>#REF!</v>
      </c>
      <c r="CC23" t="e">
        <f>AND(#REF!,"AAAAAGbr/1A=")</f>
        <v>#REF!</v>
      </c>
      <c r="CD23" t="e">
        <f>AND(#REF!,"AAAAAGbr/1E=")</f>
        <v>#REF!</v>
      </c>
      <c r="CE23" t="e">
        <f>AND(#REF!,"AAAAAGbr/1I=")</f>
        <v>#REF!</v>
      </c>
      <c r="CF23" t="e">
        <f>AND(#REF!,"AAAAAGbr/1M=")</f>
        <v>#REF!</v>
      </c>
      <c r="CG23" t="e">
        <f>AND(#REF!,"AAAAAGbr/1Q=")</f>
        <v>#REF!</v>
      </c>
      <c r="CH23" t="e">
        <f>AND(#REF!,"AAAAAGbr/1U=")</f>
        <v>#REF!</v>
      </c>
      <c r="CI23" t="e">
        <f>AND(#REF!,"AAAAAGbr/1Y=")</f>
        <v>#REF!</v>
      </c>
      <c r="CJ23" t="e">
        <f>AND(#REF!,"AAAAAGbr/1c=")</f>
        <v>#REF!</v>
      </c>
      <c r="CK23" t="e">
        <f>AND(#REF!,"AAAAAGbr/1g=")</f>
        <v>#REF!</v>
      </c>
      <c r="CL23" t="e">
        <f>AND(#REF!,"AAAAAGbr/1k=")</f>
        <v>#REF!</v>
      </c>
      <c r="CM23" t="e">
        <f>AND(#REF!,"AAAAAGbr/1o=")</f>
        <v>#REF!</v>
      </c>
      <c r="CN23" t="e">
        <f>AND(#REF!,"AAAAAGbr/1s=")</f>
        <v>#REF!</v>
      </c>
      <c r="CO23" t="e">
        <f>AND(#REF!,"AAAAAGbr/1w=")</f>
        <v>#REF!</v>
      </c>
      <c r="CP23" t="e">
        <f>AND(#REF!,"AAAAAGbr/10=")</f>
        <v>#REF!</v>
      </c>
      <c r="CQ23" t="e">
        <f>AND(#REF!,"AAAAAGbr/14=")</f>
        <v>#REF!</v>
      </c>
      <c r="CR23" t="e">
        <f>AND(#REF!,"AAAAAGbr/18=")</f>
        <v>#REF!</v>
      </c>
      <c r="CS23" t="e">
        <f>AND(#REF!,"AAAAAGbr/2A=")</f>
        <v>#REF!</v>
      </c>
      <c r="CT23" t="e">
        <f>AND(#REF!,"AAAAAGbr/2E=")</f>
        <v>#REF!</v>
      </c>
      <c r="CU23" t="e">
        <f>AND(#REF!,"AAAAAGbr/2I=")</f>
        <v>#REF!</v>
      </c>
      <c r="CV23" t="e">
        <f>AND(#REF!,"AAAAAGbr/2M=")</f>
        <v>#REF!</v>
      </c>
      <c r="CW23" t="e">
        <f>AND(#REF!,"AAAAAGbr/2Q=")</f>
        <v>#REF!</v>
      </c>
      <c r="CX23" t="e">
        <f>AND(#REF!,"AAAAAGbr/2U=")</f>
        <v>#REF!</v>
      </c>
      <c r="CY23" t="e">
        <f>AND(#REF!,"AAAAAGbr/2Y=")</f>
        <v>#REF!</v>
      </c>
      <c r="CZ23" t="e">
        <f>AND(#REF!,"AAAAAGbr/2c=")</f>
        <v>#REF!</v>
      </c>
      <c r="DA23" t="e">
        <f>AND(#REF!,"AAAAAGbr/2g=")</f>
        <v>#REF!</v>
      </c>
      <c r="DB23" t="e">
        <f>AND(#REF!,"AAAAAGbr/2k=")</f>
        <v>#REF!</v>
      </c>
      <c r="DC23" t="e">
        <f>AND(#REF!,"AAAAAGbr/2o=")</f>
        <v>#REF!</v>
      </c>
      <c r="DD23" t="e">
        <f>AND(#REF!,"AAAAAGbr/2s=")</f>
        <v>#REF!</v>
      </c>
      <c r="DE23" t="e">
        <f>AND(#REF!,"AAAAAGbr/2w=")</f>
        <v>#REF!</v>
      </c>
      <c r="DF23" t="e">
        <f>AND(#REF!,"AAAAAGbr/20=")</f>
        <v>#REF!</v>
      </c>
      <c r="DG23" t="e">
        <f>AND(#REF!,"AAAAAGbr/24=")</f>
        <v>#REF!</v>
      </c>
      <c r="DH23" t="e">
        <f>AND(#REF!,"AAAAAGbr/28=")</f>
        <v>#REF!</v>
      </c>
      <c r="DI23" t="e">
        <f>AND(#REF!,"AAAAAGbr/3A=")</f>
        <v>#REF!</v>
      </c>
      <c r="DJ23" t="e">
        <f>AND(#REF!,"AAAAAGbr/3E=")</f>
        <v>#REF!</v>
      </c>
      <c r="DK23" t="e">
        <f>AND(#REF!,"AAAAAGbr/3I=")</f>
        <v>#REF!</v>
      </c>
      <c r="DL23" t="e">
        <f>AND(#REF!,"AAAAAGbr/3M=")</f>
        <v>#REF!</v>
      </c>
      <c r="DM23" t="e">
        <f>AND(#REF!,"AAAAAGbr/3Q=")</f>
        <v>#REF!</v>
      </c>
      <c r="DN23" t="e">
        <f>AND(#REF!,"AAAAAGbr/3U=")</f>
        <v>#REF!</v>
      </c>
      <c r="DO23" t="e">
        <f>AND(#REF!,"AAAAAGbr/3Y=")</f>
        <v>#REF!</v>
      </c>
      <c r="DP23" t="e">
        <f>AND(#REF!,"AAAAAGbr/3c=")</f>
        <v>#REF!</v>
      </c>
      <c r="DQ23" t="e">
        <f>AND(#REF!,"AAAAAGbr/3g=")</f>
        <v>#REF!</v>
      </c>
      <c r="DR23" t="e">
        <f>AND(#REF!,"AAAAAGbr/3k=")</f>
        <v>#REF!</v>
      </c>
      <c r="DS23" t="e">
        <f>AND(#REF!,"AAAAAGbr/3o=")</f>
        <v>#REF!</v>
      </c>
      <c r="DT23" t="e">
        <f>AND(#REF!,"AAAAAGbr/3s=")</f>
        <v>#REF!</v>
      </c>
      <c r="DU23" t="e">
        <f>AND(#REF!,"AAAAAGbr/3w=")</f>
        <v>#REF!</v>
      </c>
      <c r="DV23" t="e">
        <f>AND(#REF!,"AAAAAGbr/30=")</f>
        <v>#REF!</v>
      </c>
      <c r="DW23" t="e">
        <f>AND(#REF!,"AAAAAGbr/34=")</f>
        <v>#REF!</v>
      </c>
      <c r="DX23" t="e">
        <f>AND(#REF!,"AAAAAGbr/38=")</f>
        <v>#REF!</v>
      </c>
      <c r="DY23" t="e">
        <f>AND(#REF!,"AAAAAGbr/4A=")</f>
        <v>#REF!</v>
      </c>
      <c r="DZ23" t="e">
        <f>AND(#REF!,"AAAAAGbr/4E=")</f>
        <v>#REF!</v>
      </c>
      <c r="EA23" t="e">
        <f>AND(#REF!,"AAAAAGbr/4I=")</f>
        <v>#REF!</v>
      </c>
      <c r="EB23" t="e">
        <f>AND(#REF!,"AAAAAGbr/4M=")</f>
        <v>#REF!</v>
      </c>
      <c r="EC23" t="e">
        <f>AND(#REF!,"AAAAAGbr/4Q=")</f>
        <v>#REF!</v>
      </c>
      <c r="ED23" t="e">
        <f>AND(#REF!,"AAAAAGbr/4U=")</f>
        <v>#REF!</v>
      </c>
      <c r="EE23" t="e">
        <f>AND(#REF!,"AAAAAGbr/4Y=")</f>
        <v>#REF!</v>
      </c>
      <c r="EF23" t="e">
        <f>AND(#REF!,"AAAAAGbr/4c=")</f>
        <v>#REF!</v>
      </c>
      <c r="EG23" t="e">
        <f>AND(#REF!,"AAAAAGbr/4g=")</f>
        <v>#REF!</v>
      </c>
      <c r="EH23" t="e">
        <f>AND(#REF!,"AAAAAGbr/4k=")</f>
        <v>#REF!</v>
      </c>
      <c r="EI23" t="e">
        <f>AND(#REF!,"AAAAAGbr/4o=")</f>
        <v>#REF!</v>
      </c>
      <c r="EJ23" t="e">
        <f>AND(#REF!,"AAAAAGbr/4s=")</f>
        <v>#REF!</v>
      </c>
      <c r="EK23" t="e">
        <f>AND(#REF!,"AAAAAGbr/4w=")</f>
        <v>#REF!</v>
      </c>
      <c r="EL23" t="e">
        <f>AND(#REF!,"AAAAAGbr/40=")</f>
        <v>#REF!</v>
      </c>
      <c r="EM23" t="e">
        <f>AND(#REF!,"AAAAAGbr/44=")</f>
        <v>#REF!</v>
      </c>
      <c r="EN23" t="e">
        <f>AND(#REF!,"AAAAAGbr/48=")</f>
        <v>#REF!</v>
      </c>
      <c r="EO23" t="e">
        <f>AND(#REF!,"AAAAAGbr/5A=")</f>
        <v>#REF!</v>
      </c>
      <c r="EP23" t="e">
        <f>AND(#REF!,"AAAAAGbr/5E=")</f>
        <v>#REF!</v>
      </c>
      <c r="EQ23" t="e">
        <f>AND(#REF!,"AAAAAGbr/5I=")</f>
        <v>#REF!</v>
      </c>
      <c r="ER23" t="e">
        <f>AND(#REF!,"AAAAAGbr/5M=")</f>
        <v>#REF!</v>
      </c>
      <c r="ES23" t="e">
        <f>AND(#REF!,"AAAAAGbr/5Q=")</f>
        <v>#REF!</v>
      </c>
      <c r="ET23" t="e">
        <f>AND(#REF!,"AAAAAGbr/5U=")</f>
        <v>#REF!</v>
      </c>
      <c r="EU23" t="e">
        <f>AND(#REF!,"AAAAAGbr/5Y=")</f>
        <v>#REF!</v>
      </c>
      <c r="EV23" t="e">
        <f>AND(#REF!,"AAAAAGbr/5c=")</f>
        <v>#REF!</v>
      </c>
      <c r="EW23" t="e">
        <f>AND(#REF!,"AAAAAGbr/5g=")</f>
        <v>#REF!</v>
      </c>
      <c r="EX23" t="e">
        <f>AND(#REF!,"AAAAAGbr/5k=")</f>
        <v>#REF!</v>
      </c>
      <c r="EY23" t="e">
        <f>AND(#REF!,"AAAAAGbr/5o=")</f>
        <v>#REF!</v>
      </c>
      <c r="EZ23" t="e">
        <f>AND(#REF!,"AAAAAGbr/5s=")</f>
        <v>#REF!</v>
      </c>
      <c r="FA23" t="e">
        <f>AND(#REF!,"AAAAAGbr/5w=")</f>
        <v>#REF!</v>
      </c>
      <c r="FB23" t="e">
        <f>AND(#REF!,"AAAAAGbr/50=")</f>
        <v>#REF!</v>
      </c>
      <c r="FC23" t="e">
        <f>AND(#REF!,"AAAAAGbr/54=")</f>
        <v>#REF!</v>
      </c>
      <c r="FD23" t="e">
        <f>AND(#REF!,"AAAAAGbr/58=")</f>
        <v>#REF!</v>
      </c>
      <c r="FE23" t="e">
        <f>AND(#REF!,"AAAAAGbr/6A=")</f>
        <v>#REF!</v>
      </c>
      <c r="FF23" t="e">
        <f>AND(#REF!,"AAAAAGbr/6E=")</f>
        <v>#REF!</v>
      </c>
      <c r="FG23" t="e">
        <f>AND(#REF!,"AAAAAGbr/6I=")</f>
        <v>#REF!</v>
      </c>
      <c r="FH23" t="e">
        <f>AND(#REF!,"AAAAAGbr/6M=")</f>
        <v>#REF!</v>
      </c>
      <c r="FI23" t="e">
        <f>AND(#REF!,"AAAAAGbr/6Q=")</f>
        <v>#REF!</v>
      </c>
      <c r="FJ23" t="e">
        <f>AND(#REF!,"AAAAAGbr/6U=")</f>
        <v>#REF!</v>
      </c>
      <c r="FK23" t="e">
        <f>AND(#REF!,"AAAAAGbr/6Y=")</f>
        <v>#REF!</v>
      </c>
      <c r="FL23" t="e">
        <f>AND(#REF!,"AAAAAGbr/6c=")</f>
        <v>#REF!</v>
      </c>
      <c r="FM23" t="e">
        <f>AND(#REF!,"AAAAAGbr/6g=")</f>
        <v>#REF!</v>
      </c>
      <c r="FN23" t="e">
        <f>AND(#REF!,"AAAAAGbr/6k=")</f>
        <v>#REF!</v>
      </c>
      <c r="FO23" t="e">
        <f>AND(#REF!,"AAAAAGbr/6o=")</f>
        <v>#REF!</v>
      </c>
      <c r="FP23" t="e">
        <f>AND(#REF!,"AAAAAGbr/6s=")</f>
        <v>#REF!</v>
      </c>
      <c r="FQ23" t="e">
        <f>AND(#REF!,"AAAAAGbr/6w=")</f>
        <v>#REF!</v>
      </c>
      <c r="FR23" t="e">
        <f>AND(#REF!,"AAAAAGbr/60=")</f>
        <v>#REF!</v>
      </c>
      <c r="FS23" t="e">
        <f>AND(#REF!,"AAAAAGbr/64=")</f>
        <v>#REF!</v>
      </c>
      <c r="FT23" t="e">
        <f>AND(#REF!,"AAAAAGbr/68=")</f>
        <v>#REF!</v>
      </c>
      <c r="FU23" t="e">
        <f>AND(#REF!,"AAAAAGbr/7A=")</f>
        <v>#REF!</v>
      </c>
      <c r="FV23" t="e">
        <f>AND(#REF!,"AAAAAGbr/7E=")</f>
        <v>#REF!</v>
      </c>
      <c r="FW23" t="e">
        <f>AND(#REF!,"AAAAAGbr/7I=")</f>
        <v>#REF!</v>
      </c>
      <c r="FX23" t="e">
        <f>AND(#REF!,"AAAAAGbr/7M=")</f>
        <v>#REF!</v>
      </c>
      <c r="FY23" t="e">
        <f>AND(#REF!,"AAAAAGbr/7Q=")</f>
        <v>#REF!</v>
      </c>
      <c r="FZ23" t="e">
        <f>AND(#REF!,"AAAAAGbr/7U=")</f>
        <v>#REF!</v>
      </c>
      <c r="GA23" t="e">
        <f>AND(#REF!,"AAAAAGbr/7Y=")</f>
        <v>#REF!</v>
      </c>
      <c r="GB23" t="e">
        <f>AND(#REF!,"AAAAAGbr/7c=")</f>
        <v>#REF!</v>
      </c>
      <c r="GC23" t="e">
        <f>AND(#REF!,"AAAAAGbr/7g=")</f>
        <v>#REF!</v>
      </c>
      <c r="GD23" t="e">
        <f>AND(#REF!,"AAAAAGbr/7k=")</f>
        <v>#REF!</v>
      </c>
      <c r="GE23" t="e">
        <f>AND(#REF!,"AAAAAGbr/7o=")</f>
        <v>#REF!</v>
      </c>
      <c r="GF23" t="e">
        <f>AND(#REF!,"AAAAAGbr/7s=")</f>
        <v>#REF!</v>
      </c>
      <c r="GG23" t="e">
        <f>AND(#REF!,"AAAAAGbr/7w=")</f>
        <v>#REF!</v>
      </c>
      <c r="GH23" t="e">
        <f>AND(#REF!,"AAAAAGbr/70=")</f>
        <v>#REF!</v>
      </c>
      <c r="GI23" t="e">
        <f>AND(#REF!,"AAAAAGbr/74=")</f>
        <v>#REF!</v>
      </c>
      <c r="GJ23" t="e">
        <f>AND(#REF!,"AAAAAGbr/78=")</f>
        <v>#REF!</v>
      </c>
      <c r="GK23" t="e">
        <f>AND(#REF!,"AAAAAGbr/8A=")</f>
        <v>#REF!</v>
      </c>
      <c r="GL23" t="e">
        <f>AND(#REF!,"AAAAAGbr/8E=")</f>
        <v>#REF!</v>
      </c>
      <c r="GM23" t="e">
        <f>AND(#REF!,"AAAAAGbr/8I=")</f>
        <v>#REF!</v>
      </c>
      <c r="GN23" t="e">
        <f>AND(#REF!,"AAAAAGbr/8M=")</f>
        <v>#REF!</v>
      </c>
      <c r="GO23" t="e">
        <f>AND(#REF!,"AAAAAGbr/8Q=")</f>
        <v>#REF!</v>
      </c>
      <c r="GP23" t="e">
        <f>AND(#REF!,"AAAAAGbr/8U=")</f>
        <v>#REF!</v>
      </c>
      <c r="GQ23" t="e">
        <f>AND(#REF!,"AAAAAGbr/8Y=")</f>
        <v>#REF!</v>
      </c>
      <c r="GR23" t="e">
        <f>AND(#REF!,"AAAAAGbr/8c=")</f>
        <v>#REF!</v>
      </c>
      <c r="GS23" t="e">
        <f>AND(#REF!,"AAAAAGbr/8g=")</f>
        <v>#REF!</v>
      </c>
      <c r="GT23" t="e">
        <f>AND(#REF!,"AAAAAGbr/8k=")</f>
        <v>#REF!</v>
      </c>
      <c r="GU23" t="e">
        <f>AND(#REF!,"AAAAAGbr/8o=")</f>
        <v>#REF!</v>
      </c>
      <c r="GV23" t="e">
        <f>AND(#REF!,"AAAAAGbr/8s=")</f>
        <v>#REF!</v>
      </c>
      <c r="GW23" t="e">
        <f>AND(#REF!,"AAAAAGbr/8w=")</f>
        <v>#REF!</v>
      </c>
      <c r="GX23" t="e">
        <f>AND(#REF!,"AAAAAGbr/80=")</f>
        <v>#REF!</v>
      </c>
      <c r="GY23" t="e">
        <f>AND(#REF!,"AAAAAGbr/84=")</f>
        <v>#REF!</v>
      </c>
      <c r="GZ23" t="e">
        <f>AND(#REF!,"AAAAAGbr/88=")</f>
        <v>#REF!</v>
      </c>
      <c r="HA23" t="e">
        <f>AND(#REF!,"AAAAAGbr/9A=")</f>
        <v>#REF!</v>
      </c>
      <c r="HB23" t="e">
        <f>AND(#REF!,"AAAAAGbr/9E=")</f>
        <v>#REF!</v>
      </c>
      <c r="HC23" t="e">
        <f>AND(#REF!,"AAAAAGbr/9I=")</f>
        <v>#REF!</v>
      </c>
      <c r="HD23" t="e">
        <f>AND(#REF!,"AAAAAGbr/9M=")</f>
        <v>#REF!</v>
      </c>
      <c r="HE23" t="e">
        <f>AND(#REF!,"AAAAAGbr/9Q=")</f>
        <v>#REF!</v>
      </c>
      <c r="HF23" t="e">
        <f>AND(#REF!,"AAAAAGbr/9U=")</f>
        <v>#REF!</v>
      </c>
      <c r="HG23" t="e">
        <f>AND(#REF!,"AAAAAGbr/9Y=")</f>
        <v>#REF!</v>
      </c>
      <c r="HH23" t="e">
        <f>AND(#REF!,"AAAAAGbr/9c=")</f>
        <v>#REF!</v>
      </c>
      <c r="HI23" t="e">
        <f>AND(#REF!,"AAAAAGbr/9g=")</f>
        <v>#REF!</v>
      </c>
      <c r="HJ23" t="e">
        <f>AND(#REF!,"AAAAAGbr/9k=")</f>
        <v>#REF!</v>
      </c>
      <c r="HK23" t="e">
        <f>AND(#REF!,"AAAAAGbr/9o=")</f>
        <v>#REF!</v>
      </c>
      <c r="HL23" t="e">
        <f>AND(#REF!,"AAAAAGbr/9s=")</f>
        <v>#REF!</v>
      </c>
      <c r="HM23" t="e">
        <f>AND(#REF!,"AAAAAGbr/9w=")</f>
        <v>#REF!</v>
      </c>
      <c r="HN23" t="e">
        <f>AND(#REF!,"AAAAAGbr/90=")</f>
        <v>#REF!</v>
      </c>
      <c r="HO23" t="e">
        <f>AND(#REF!,"AAAAAGbr/94=")</f>
        <v>#REF!</v>
      </c>
      <c r="HP23" t="e">
        <f>AND(#REF!,"AAAAAGbr/98=")</f>
        <v>#REF!</v>
      </c>
      <c r="HQ23" t="e">
        <f>AND(#REF!,"AAAAAGbr/+A=")</f>
        <v>#REF!</v>
      </c>
      <c r="HR23" t="e">
        <f>AND(#REF!,"AAAAAGbr/+E=")</f>
        <v>#REF!</v>
      </c>
      <c r="HS23" t="e">
        <f>AND(#REF!,"AAAAAGbr/+I=")</f>
        <v>#REF!</v>
      </c>
      <c r="HT23" t="e">
        <f>AND(#REF!,"AAAAAGbr/+M=")</f>
        <v>#REF!</v>
      </c>
      <c r="HU23" t="e">
        <f>AND(#REF!,"AAAAAGbr/+Q=")</f>
        <v>#REF!</v>
      </c>
      <c r="HV23" t="e">
        <f>AND(#REF!,"AAAAAGbr/+U=")</f>
        <v>#REF!</v>
      </c>
      <c r="HW23" t="e">
        <f>AND(#REF!,"AAAAAGbr/+Y=")</f>
        <v>#REF!</v>
      </c>
      <c r="HX23" t="e">
        <f>AND(#REF!,"AAAAAGbr/+c=")</f>
        <v>#REF!</v>
      </c>
      <c r="HY23" t="e">
        <f>AND(#REF!,"AAAAAGbr/+g=")</f>
        <v>#REF!</v>
      </c>
      <c r="HZ23" t="e">
        <f>AND(#REF!,"AAAAAGbr/+k=")</f>
        <v>#REF!</v>
      </c>
      <c r="IA23" t="e">
        <f>AND(#REF!,"AAAAAGbr/+o=")</f>
        <v>#REF!</v>
      </c>
      <c r="IB23" t="e">
        <f>AND(#REF!,"AAAAAGbr/+s=")</f>
        <v>#REF!</v>
      </c>
      <c r="IC23" t="e">
        <f>AND(#REF!,"AAAAAGbr/+w=")</f>
        <v>#REF!</v>
      </c>
      <c r="ID23" t="e">
        <f>AND(#REF!,"AAAAAGbr/+0=")</f>
        <v>#REF!</v>
      </c>
      <c r="IE23" t="e">
        <f>AND(#REF!,"AAAAAGbr/+4=")</f>
        <v>#REF!</v>
      </c>
      <c r="IF23" t="e">
        <f>AND(#REF!,"AAAAAGbr/+8=")</f>
        <v>#REF!</v>
      </c>
      <c r="IG23" t="e">
        <f>AND(#REF!,"AAAAAGbr//A=")</f>
        <v>#REF!</v>
      </c>
      <c r="IH23" t="e">
        <f>AND(#REF!,"AAAAAGbr//E=")</f>
        <v>#REF!</v>
      </c>
      <c r="II23" t="e">
        <f>AND(#REF!,"AAAAAGbr//I=")</f>
        <v>#REF!</v>
      </c>
      <c r="IJ23" t="e">
        <f>AND(#REF!,"AAAAAGbr//M=")</f>
        <v>#REF!</v>
      </c>
      <c r="IK23" t="e">
        <f>AND(#REF!,"AAAAAGbr//Q=")</f>
        <v>#REF!</v>
      </c>
      <c r="IL23" t="e">
        <f>AND(#REF!,"AAAAAGbr//U=")</f>
        <v>#REF!</v>
      </c>
      <c r="IM23" t="e">
        <f>AND(#REF!,"AAAAAGbr//Y=")</f>
        <v>#REF!</v>
      </c>
      <c r="IN23" t="e">
        <f>AND(#REF!,"AAAAAGbr//c=")</f>
        <v>#REF!</v>
      </c>
      <c r="IO23" t="e">
        <f>AND(#REF!,"AAAAAGbr//g=")</f>
        <v>#REF!</v>
      </c>
      <c r="IP23" t="e">
        <f>AND(#REF!,"AAAAAGbr//k=")</f>
        <v>#REF!</v>
      </c>
      <c r="IQ23" t="e">
        <f>AND(#REF!,"AAAAAGbr//o=")</f>
        <v>#REF!</v>
      </c>
      <c r="IR23" t="e">
        <f>AND(#REF!,"AAAAAGbr//s=")</f>
        <v>#REF!</v>
      </c>
      <c r="IS23" t="e">
        <f>AND(#REF!,"AAAAAGbr//w=")</f>
        <v>#REF!</v>
      </c>
      <c r="IT23" t="e">
        <f>AND(#REF!,"AAAAAGbr//0=")</f>
        <v>#REF!</v>
      </c>
      <c r="IU23" t="e">
        <f>AND(#REF!,"AAAAAGbr//4=")</f>
        <v>#REF!</v>
      </c>
      <c r="IV23" t="e">
        <f>AND(#REF!,"AAAAAGbr//8=")</f>
        <v>#REF!</v>
      </c>
    </row>
    <row r="24" spans="1:256" x14ac:dyDescent="0.25">
      <c r="A24" t="e">
        <f>AND(#REF!,"AAAAAF75xQA=")</f>
        <v>#REF!</v>
      </c>
      <c r="B24" t="e">
        <f>AND(#REF!,"AAAAAF75xQE=")</f>
        <v>#REF!</v>
      </c>
      <c r="C24" t="e">
        <f>AND(#REF!,"AAAAAF75xQI=")</f>
        <v>#REF!</v>
      </c>
      <c r="D24" t="e">
        <f>AND(#REF!,"AAAAAF75xQM=")</f>
        <v>#REF!</v>
      </c>
      <c r="E24" t="e">
        <f>AND(#REF!,"AAAAAF75xQQ=")</f>
        <v>#REF!</v>
      </c>
      <c r="F24" t="e">
        <f>AND(#REF!,"AAAAAF75xQU=")</f>
        <v>#REF!</v>
      </c>
      <c r="G24" t="e">
        <f>AND(#REF!,"AAAAAF75xQY=")</f>
        <v>#REF!</v>
      </c>
      <c r="H24" t="e">
        <f>AND(#REF!,"AAAAAF75xQc=")</f>
        <v>#REF!</v>
      </c>
      <c r="I24" t="e">
        <f>IF(#REF!,"AAAAAF75xQg=",0)</f>
        <v>#REF!</v>
      </c>
      <c r="J24" t="e">
        <f>AND(#REF!,"AAAAAF75xQk=")</f>
        <v>#REF!</v>
      </c>
      <c r="K24" t="e">
        <f>AND(#REF!,"AAAAAF75xQo=")</f>
        <v>#REF!</v>
      </c>
      <c r="L24" t="e">
        <f>AND(#REF!,"AAAAAF75xQs=")</f>
        <v>#REF!</v>
      </c>
      <c r="M24" t="e">
        <f>AND(#REF!,"AAAAAF75xQw=")</f>
        <v>#REF!</v>
      </c>
      <c r="N24" t="e">
        <f>AND(#REF!,"AAAAAF75xQ0=")</f>
        <v>#REF!</v>
      </c>
      <c r="O24" t="e">
        <f>AND(#REF!,"AAAAAF75xQ4=")</f>
        <v>#REF!</v>
      </c>
      <c r="P24" t="e">
        <f>AND(#REF!,"AAAAAF75xQ8=")</f>
        <v>#REF!</v>
      </c>
      <c r="Q24" t="e">
        <f>AND(#REF!,"AAAAAF75xRA=")</f>
        <v>#REF!</v>
      </c>
      <c r="R24" t="e">
        <f>AND(#REF!,"AAAAAF75xRE=")</f>
        <v>#REF!</v>
      </c>
      <c r="S24" t="e">
        <f>AND(#REF!,"AAAAAF75xRI=")</f>
        <v>#REF!</v>
      </c>
      <c r="T24" t="e">
        <f>AND(#REF!,"AAAAAF75xRM=")</f>
        <v>#REF!</v>
      </c>
      <c r="U24" t="e">
        <f>AND(#REF!,"AAAAAF75xRQ=")</f>
        <v>#REF!</v>
      </c>
      <c r="V24" t="e">
        <f>AND(#REF!,"AAAAAF75xRU=")</f>
        <v>#REF!</v>
      </c>
      <c r="W24" t="e">
        <f>AND(#REF!,"AAAAAF75xRY=")</f>
        <v>#REF!</v>
      </c>
      <c r="X24" t="e">
        <f>AND(#REF!,"AAAAAF75xRc=")</f>
        <v>#REF!</v>
      </c>
      <c r="Y24" t="e">
        <f>AND(#REF!,"AAAAAF75xRg=")</f>
        <v>#REF!</v>
      </c>
      <c r="Z24" t="e">
        <f>AND(#REF!,"AAAAAF75xRk=")</f>
        <v>#REF!</v>
      </c>
      <c r="AA24" t="e">
        <f>AND(#REF!,"AAAAAF75xRo=")</f>
        <v>#REF!</v>
      </c>
      <c r="AB24" t="e">
        <f>AND(#REF!,"AAAAAF75xRs=")</f>
        <v>#REF!</v>
      </c>
      <c r="AC24" t="e">
        <f>AND(#REF!,"AAAAAF75xRw=")</f>
        <v>#REF!</v>
      </c>
      <c r="AD24" t="e">
        <f>AND(#REF!,"AAAAAF75xR0=")</f>
        <v>#REF!</v>
      </c>
      <c r="AE24" t="e">
        <f>AND(#REF!,"AAAAAF75xR4=")</f>
        <v>#REF!</v>
      </c>
      <c r="AF24" t="e">
        <f>AND(#REF!,"AAAAAF75xR8=")</f>
        <v>#REF!</v>
      </c>
      <c r="AG24" t="e">
        <f>AND(#REF!,"AAAAAF75xSA=")</f>
        <v>#REF!</v>
      </c>
      <c r="AH24" t="e">
        <f>AND(#REF!,"AAAAAF75xSE=")</f>
        <v>#REF!</v>
      </c>
      <c r="AI24" t="e">
        <f>AND(#REF!,"AAAAAF75xSI=")</f>
        <v>#REF!</v>
      </c>
      <c r="AJ24" t="e">
        <f>AND(#REF!,"AAAAAF75xSM=")</f>
        <v>#REF!</v>
      </c>
      <c r="AK24" t="e">
        <f>AND(#REF!,"AAAAAF75xSQ=")</f>
        <v>#REF!</v>
      </c>
      <c r="AL24" t="e">
        <f>AND(#REF!,"AAAAAF75xSU=")</f>
        <v>#REF!</v>
      </c>
      <c r="AM24" t="e">
        <f>AND(#REF!,"AAAAAF75xSY=")</f>
        <v>#REF!</v>
      </c>
      <c r="AN24" t="e">
        <f>AND(#REF!,"AAAAAF75xSc=")</f>
        <v>#REF!</v>
      </c>
      <c r="AO24" t="e">
        <f>AND(#REF!,"AAAAAF75xSg=")</f>
        <v>#REF!</v>
      </c>
      <c r="AP24" t="e">
        <f>AND(#REF!,"AAAAAF75xSk=")</f>
        <v>#REF!</v>
      </c>
      <c r="AQ24" t="e">
        <f>AND(#REF!,"AAAAAF75xSo=")</f>
        <v>#REF!</v>
      </c>
      <c r="AR24" t="e">
        <f>AND(#REF!,"AAAAAF75xSs=")</f>
        <v>#REF!</v>
      </c>
      <c r="AS24" t="e">
        <f>AND(#REF!,"AAAAAF75xSw=")</f>
        <v>#REF!</v>
      </c>
      <c r="AT24" t="e">
        <f>AND(#REF!,"AAAAAF75xS0=")</f>
        <v>#REF!</v>
      </c>
      <c r="AU24" t="e">
        <f>AND(#REF!,"AAAAAF75xS4=")</f>
        <v>#REF!</v>
      </c>
      <c r="AV24" t="e">
        <f>AND(#REF!,"AAAAAF75xS8=")</f>
        <v>#REF!</v>
      </c>
      <c r="AW24" t="e">
        <f>AND(#REF!,"AAAAAF75xTA=")</f>
        <v>#REF!</v>
      </c>
      <c r="AX24" t="e">
        <f>AND(#REF!,"AAAAAF75xTE=")</f>
        <v>#REF!</v>
      </c>
      <c r="AY24" t="e">
        <f>AND(#REF!,"AAAAAF75xTI=")</f>
        <v>#REF!</v>
      </c>
      <c r="AZ24" t="e">
        <f>AND(#REF!,"AAAAAF75xTM=")</f>
        <v>#REF!</v>
      </c>
      <c r="BA24" t="e">
        <f>AND(#REF!,"AAAAAF75xTQ=")</f>
        <v>#REF!</v>
      </c>
      <c r="BB24" t="e">
        <f>AND(#REF!,"AAAAAF75xTU=")</f>
        <v>#REF!</v>
      </c>
      <c r="BC24" t="e">
        <f>AND(#REF!,"AAAAAF75xTY=")</f>
        <v>#REF!</v>
      </c>
      <c r="BD24" t="e">
        <f>AND(#REF!,"AAAAAF75xTc=")</f>
        <v>#REF!</v>
      </c>
      <c r="BE24" t="e">
        <f>AND(#REF!,"AAAAAF75xTg=")</f>
        <v>#REF!</v>
      </c>
      <c r="BF24" t="e">
        <f>AND(#REF!,"AAAAAF75xTk=")</f>
        <v>#REF!</v>
      </c>
      <c r="BG24" t="e">
        <f>AND(#REF!,"AAAAAF75xTo=")</f>
        <v>#REF!</v>
      </c>
      <c r="BH24" t="e">
        <f>AND(#REF!,"AAAAAF75xTs=")</f>
        <v>#REF!</v>
      </c>
      <c r="BI24" t="e">
        <f>AND(#REF!,"AAAAAF75xTw=")</f>
        <v>#REF!</v>
      </c>
      <c r="BJ24" t="e">
        <f>AND(#REF!,"AAAAAF75xT0=")</f>
        <v>#REF!</v>
      </c>
      <c r="BK24" t="e">
        <f>AND(#REF!,"AAAAAF75xT4=")</f>
        <v>#REF!</v>
      </c>
      <c r="BL24" t="e">
        <f>AND(#REF!,"AAAAAF75xT8=")</f>
        <v>#REF!</v>
      </c>
      <c r="BM24" t="e">
        <f>AND(#REF!,"AAAAAF75xUA=")</f>
        <v>#REF!</v>
      </c>
      <c r="BN24" t="e">
        <f>AND(#REF!,"AAAAAF75xUE=")</f>
        <v>#REF!</v>
      </c>
      <c r="BO24" t="e">
        <f>AND(#REF!,"AAAAAF75xUI=")</f>
        <v>#REF!</v>
      </c>
      <c r="BP24" t="e">
        <f>AND(#REF!,"AAAAAF75xUM=")</f>
        <v>#REF!</v>
      </c>
      <c r="BQ24" t="e">
        <f>AND(#REF!,"AAAAAF75xUQ=")</f>
        <v>#REF!</v>
      </c>
      <c r="BR24" t="e">
        <f>AND(#REF!,"AAAAAF75xUU=")</f>
        <v>#REF!</v>
      </c>
      <c r="BS24" t="e">
        <f>AND(#REF!,"AAAAAF75xUY=")</f>
        <v>#REF!</v>
      </c>
      <c r="BT24" t="e">
        <f>AND(#REF!,"AAAAAF75xUc=")</f>
        <v>#REF!</v>
      </c>
      <c r="BU24" t="e">
        <f>AND(#REF!,"AAAAAF75xUg=")</f>
        <v>#REF!</v>
      </c>
      <c r="BV24" t="e">
        <f>AND(#REF!,"AAAAAF75xUk=")</f>
        <v>#REF!</v>
      </c>
      <c r="BW24" t="e">
        <f>AND(#REF!,"AAAAAF75xUo=")</f>
        <v>#REF!</v>
      </c>
      <c r="BX24" t="e">
        <f>AND(#REF!,"AAAAAF75xUs=")</f>
        <v>#REF!</v>
      </c>
      <c r="BY24" t="e">
        <f>AND(#REF!,"AAAAAF75xUw=")</f>
        <v>#REF!</v>
      </c>
      <c r="BZ24" t="e">
        <f>AND(#REF!,"AAAAAF75xU0=")</f>
        <v>#REF!</v>
      </c>
      <c r="CA24" t="e">
        <f>AND(#REF!,"AAAAAF75xU4=")</f>
        <v>#REF!</v>
      </c>
      <c r="CB24" t="e">
        <f>AND(#REF!,"AAAAAF75xU8=")</f>
        <v>#REF!</v>
      </c>
      <c r="CC24" t="e">
        <f>AND(#REF!,"AAAAAF75xVA=")</f>
        <v>#REF!</v>
      </c>
      <c r="CD24" t="e">
        <f>AND(#REF!,"AAAAAF75xVE=")</f>
        <v>#REF!</v>
      </c>
      <c r="CE24" t="e">
        <f>AND(#REF!,"AAAAAF75xVI=")</f>
        <v>#REF!</v>
      </c>
      <c r="CF24" t="e">
        <f>AND(#REF!,"AAAAAF75xVM=")</f>
        <v>#REF!</v>
      </c>
      <c r="CG24" t="e">
        <f>AND(#REF!,"AAAAAF75xVQ=")</f>
        <v>#REF!</v>
      </c>
      <c r="CH24" t="e">
        <f>AND(#REF!,"AAAAAF75xVU=")</f>
        <v>#REF!</v>
      </c>
      <c r="CI24" t="e">
        <f>AND(#REF!,"AAAAAF75xVY=")</f>
        <v>#REF!</v>
      </c>
      <c r="CJ24" t="e">
        <f>AND(#REF!,"AAAAAF75xVc=")</f>
        <v>#REF!</v>
      </c>
      <c r="CK24" t="e">
        <f>AND(#REF!,"AAAAAF75xVg=")</f>
        <v>#REF!</v>
      </c>
      <c r="CL24" t="e">
        <f>AND(#REF!,"AAAAAF75xVk=")</f>
        <v>#REF!</v>
      </c>
      <c r="CM24" t="e">
        <f>AND(#REF!,"AAAAAF75xVo=")</f>
        <v>#REF!</v>
      </c>
      <c r="CN24" t="e">
        <f>AND(#REF!,"AAAAAF75xVs=")</f>
        <v>#REF!</v>
      </c>
      <c r="CO24" t="e">
        <f>AND(#REF!,"AAAAAF75xVw=")</f>
        <v>#REF!</v>
      </c>
      <c r="CP24" t="e">
        <f>AND(#REF!,"AAAAAF75xV0=")</f>
        <v>#REF!</v>
      </c>
      <c r="CQ24" t="e">
        <f>AND(#REF!,"AAAAAF75xV4=")</f>
        <v>#REF!</v>
      </c>
      <c r="CR24" t="e">
        <f>AND(#REF!,"AAAAAF75xV8=")</f>
        <v>#REF!</v>
      </c>
      <c r="CS24" t="e">
        <f>AND(#REF!,"AAAAAF75xWA=")</f>
        <v>#REF!</v>
      </c>
      <c r="CT24" t="e">
        <f>AND(#REF!,"AAAAAF75xWE=")</f>
        <v>#REF!</v>
      </c>
      <c r="CU24" t="e">
        <f>AND(#REF!,"AAAAAF75xWI=")</f>
        <v>#REF!</v>
      </c>
      <c r="CV24" t="e">
        <f>AND(#REF!,"AAAAAF75xWM=")</f>
        <v>#REF!</v>
      </c>
      <c r="CW24" t="e">
        <f>AND(#REF!,"AAAAAF75xWQ=")</f>
        <v>#REF!</v>
      </c>
      <c r="CX24" t="e">
        <f>AND(#REF!,"AAAAAF75xWU=")</f>
        <v>#REF!</v>
      </c>
      <c r="CY24" t="e">
        <f>AND(#REF!,"AAAAAF75xWY=")</f>
        <v>#REF!</v>
      </c>
      <c r="CZ24" t="e">
        <f>AND(#REF!,"AAAAAF75xWc=")</f>
        <v>#REF!</v>
      </c>
      <c r="DA24" t="e">
        <f>AND(#REF!,"AAAAAF75xWg=")</f>
        <v>#REF!</v>
      </c>
      <c r="DB24" t="e">
        <f>AND(#REF!,"AAAAAF75xWk=")</f>
        <v>#REF!</v>
      </c>
      <c r="DC24" t="e">
        <f>AND(#REF!,"AAAAAF75xWo=")</f>
        <v>#REF!</v>
      </c>
      <c r="DD24" t="e">
        <f>AND(#REF!,"AAAAAF75xWs=")</f>
        <v>#REF!</v>
      </c>
      <c r="DE24" t="e">
        <f>AND(#REF!,"AAAAAF75xWw=")</f>
        <v>#REF!</v>
      </c>
      <c r="DF24" t="e">
        <f>AND(#REF!,"AAAAAF75xW0=")</f>
        <v>#REF!</v>
      </c>
      <c r="DG24" t="e">
        <f>AND(#REF!,"AAAAAF75xW4=")</f>
        <v>#REF!</v>
      </c>
      <c r="DH24" t="e">
        <f>AND(#REF!,"AAAAAF75xW8=")</f>
        <v>#REF!</v>
      </c>
      <c r="DI24" t="e">
        <f>AND(#REF!,"AAAAAF75xXA=")</f>
        <v>#REF!</v>
      </c>
      <c r="DJ24" t="e">
        <f>AND(#REF!,"AAAAAF75xXE=")</f>
        <v>#REF!</v>
      </c>
      <c r="DK24" t="e">
        <f>AND(#REF!,"AAAAAF75xXI=")</f>
        <v>#REF!</v>
      </c>
      <c r="DL24" t="e">
        <f>AND(#REF!,"AAAAAF75xXM=")</f>
        <v>#REF!</v>
      </c>
      <c r="DM24" t="e">
        <f>AND(#REF!,"AAAAAF75xXQ=")</f>
        <v>#REF!</v>
      </c>
      <c r="DN24" t="e">
        <f>AND(#REF!,"AAAAAF75xXU=")</f>
        <v>#REF!</v>
      </c>
      <c r="DO24" t="e">
        <f>AND(#REF!,"AAAAAF75xXY=")</f>
        <v>#REF!</v>
      </c>
      <c r="DP24" t="e">
        <f>AND(#REF!,"AAAAAF75xXc=")</f>
        <v>#REF!</v>
      </c>
      <c r="DQ24" t="e">
        <f>AND(#REF!,"AAAAAF75xXg=")</f>
        <v>#REF!</v>
      </c>
      <c r="DR24" t="e">
        <f>AND(#REF!,"AAAAAF75xXk=")</f>
        <v>#REF!</v>
      </c>
      <c r="DS24" t="e">
        <f>AND(#REF!,"AAAAAF75xXo=")</f>
        <v>#REF!</v>
      </c>
      <c r="DT24" t="e">
        <f>AND(#REF!,"AAAAAF75xXs=")</f>
        <v>#REF!</v>
      </c>
      <c r="DU24" t="e">
        <f>AND(#REF!,"AAAAAF75xXw=")</f>
        <v>#REF!</v>
      </c>
      <c r="DV24" t="e">
        <f>AND(#REF!,"AAAAAF75xX0=")</f>
        <v>#REF!</v>
      </c>
      <c r="DW24" t="e">
        <f>AND(#REF!,"AAAAAF75xX4=")</f>
        <v>#REF!</v>
      </c>
      <c r="DX24" t="e">
        <f>AND(#REF!,"AAAAAF75xX8=")</f>
        <v>#REF!</v>
      </c>
      <c r="DY24" t="e">
        <f>AND(#REF!,"AAAAAF75xYA=")</f>
        <v>#REF!</v>
      </c>
      <c r="DZ24" t="e">
        <f>AND(#REF!,"AAAAAF75xYE=")</f>
        <v>#REF!</v>
      </c>
      <c r="EA24" t="e">
        <f>AND(#REF!,"AAAAAF75xYI=")</f>
        <v>#REF!</v>
      </c>
      <c r="EB24" t="e">
        <f>AND(#REF!,"AAAAAF75xYM=")</f>
        <v>#REF!</v>
      </c>
      <c r="EC24" t="e">
        <f>AND(#REF!,"AAAAAF75xYQ=")</f>
        <v>#REF!</v>
      </c>
      <c r="ED24" t="e">
        <f>AND(#REF!,"AAAAAF75xYU=")</f>
        <v>#REF!</v>
      </c>
      <c r="EE24" t="e">
        <f>AND(#REF!,"AAAAAF75xYY=")</f>
        <v>#REF!</v>
      </c>
      <c r="EF24" t="e">
        <f>AND(#REF!,"AAAAAF75xYc=")</f>
        <v>#REF!</v>
      </c>
      <c r="EG24" t="e">
        <f>AND(#REF!,"AAAAAF75xYg=")</f>
        <v>#REF!</v>
      </c>
      <c r="EH24" t="e">
        <f>AND(#REF!,"AAAAAF75xYk=")</f>
        <v>#REF!</v>
      </c>
      <c r="EI24" t="e">
        <f>AND(#REF!,"AAAAAF75xYo=")</f>
        <v>#REF!</v>
      </c>
      <c r="EJ24" t="e">
        <f>AND(#REF!,"AAAAAF75xYs=")</f>
        <v>#REF!</v>
      </c>
      <c r="EK24" t="e">
        <f>AND(#REF!,"AAAAAF75xYw=")</f>
        <v>#REF!</v>
      </c>
      <c r="EL24" t="e">
        <f>AND(#REF!,"AAAAAF75xY0=")</f>
        <v>#REF!</v>
      </c>
      <c r="EM24" t="e">
        <f>AND(#REF!,"AAAAAF75xY4=")</f>
        <v>#REF!</v>
      </c>
      <c r="EN24" t="e">
        <f>AND(#REF!,"AAAAAF75xY8=")</f>
        <v>#REF!</v>
      </c>
      <c r="EO24" t="e">
        <f>AND(#REF!,"AAAAAF75xZA=")</f>
        <v>#REF!</v>
      </c>
      <c r="EP24" t="e">
        <f>AND(#REF!,"AAAAAF75xZE=")</f>
        <v>#REF!</v>
      </c>
      <c r="EQ24" t="e">
        <f>AND(#REF!,"AAAAAF75xZI=")</f>
        <v>#REF!</v>
      </c>
      <c r="ER24" t="e">
        <f>AND(#REF!,"AAAAAF75xZM=")</f>
        <v>#REF!</v>
      </c>
      <c r="ES24" t="e">
        <f>AND(#REF!,"AAAAAF75xZQ=")</f>
        <v>#REF!</v>
      </c>
      <c r="ET24" t="e">
        <f>AND(#REF!,"AAAAAF75xZU=")</f>
        <v>#REF!</v>
      </c>
      <c r="EU24" t="e">
        <f>AND(#REF!,"AAAAAF75xZY=")</f>
        <v>#REF!</v>
      </c>
      <c r="EV24" t="e">
        <f>AND(#REF!,"AAAAAF75xZc=")</f>
        <v>#REF!</v>
      </c>
      <c r="EW24" t="e">
        <f>AND(#REF!,"AAAAAF75xZg=")</f>
        <v>#REF!</v>
      </c>
      <c r="EX24" t="e">
        <f>AND(#REF!,"AAAAAF75xZk=")</f>
        <v>#REF!</v>
      </c>
      <c r="EY24" t="e">
        <f>AND(#REF!,"AAAAAF75xZo=")</f>
        <v>#REF!</v>
      </c>
      <c r="EZ24" t="e">
        <f>AND(#REF!,"AAAAAF75xZs=")</f>
        <v>#REF!</v>
      </c>
      <c r="FA24" t="e">
        <f>AND(#REF!,"AAAAAF75xZw=")</f>
        <v>#REF!</v>
      </c>
      <c r="FB24" t="e">
        <f>AND(#REF!,"AAAAAF75xZ0=")</f>
        <v>#REF!</v>
      </c>
      <c r="FC24" t="e">
        <f>AND(#REF!,"AAAAAF75xZ4=")</f>
        <v>#REF!</v>
      </c>
      <c r="FD24" t="e">
        <f>AND(#REF!,"AAAAAF75xZ8=")</f>
        <v>#REF!</v>
      </c>
      <c r="FE24" t="e">
        <f>AND(#REF!,"AAAAAF75xaA=")</f>
        <v>#REF!</v>
      </c>
      <c r="FF24" t="e">
        <f>AND(#REF!,"AAAAAF75xaE=")</f>
        <v>#REF!</v>
      </c>
      <c r="FG24" t="e">
        <f>AND(#REF!,"AAAAAF75xaI=")</f>
        <v>#REF!</v>
      </c>
      <c r="FH24" t="e">
        <f>AND(#REF!,"AAAAAF75xaM=")</f>
        <v>#REF!</v>
      </c>
      <c r="FI24" t="e">
        <f>AND(#REF!,"AAAAAF75xaQ=")</f>
        <v>#REF!</v>
      </c>
      <c r="FJ24" t="e">
        <f>AND(#REF!,"AAAAAF75xaU=")</f>
        <v>#REF!</v>
      </c>
      <c r="FK24" t="e">
        <f>AND(#REF!,"AAAAAF75xaY=")</f>
        <v>#REF!</v>
      </c>
      <c r="FL24" t="e">
        <f>AND(#REF!,"AAAAAF75xac=")</f>
        <v>#REF!</v>
      </c>
      <c r="FM24" t="e">
        <f>AND(#REF!,"AAAAAF75xag=")</f>
        <v>#REF!</v>
      </c>
      <c r="FN24" t="e">
        <f>AND(#REF!,"AAAAAF75xak=")</f>
        <v>#REF!</v>
      </c>
      <c r="FO24" t="e">
        <f>AND(#REF!,"AAAAAF75xao=")</f>
        <v>#REF!</v>
      </c>
      <c r="FP24" t="e">
        <f>AND(#REF!,"AAAAAF75xas=")</f>
        <v>#REF!</v>
      </c>
      <c r="FQ24" t="e">
        <f>AND(#REF!,"AAAAAF75xaw=")</f>
        <v>#REF!</v>
      </c>
      <c r="FR24" t="e">
        <f>AND(#REF!,"AAAAAF75xa0=")</f>
        <v>#REF!</v>
      </c>
      <c r="FS24" t="e">
        <f>AND(#REF!,"AAAAAF75xa4=")</f>
        <v>#REF!</v>
      </c>
      <c r="FT24" t="e">
        <f>AND(#REF!,"AAAAAF75xa8=")</f>
        <v>#REF!</v>
      </c>
      <c r="FU24" t="e">
        <f>AND(#REF!,"AAAAAF75xbA=")</f>
        <v>#REF!</v>
      </c>
      <c r="FV24" t="e">
        <f>AND(#REF!,"AAAAAF75xbE=")</f>
        <v>#REF!</v>
      </c>
      <c r="FW24" t="e">
        <f>AND(#REF!,"AAAAAF75xbI=")</f>
        <v>#REF!</v>
      </c>
      <c r="FX24" t="e">
        <f>AND(#REF!,"AAAAAF75xbM=")</f>
        <v>#REF!</v>
      </c>
      <c r="FY24" t="e">
        <f>AND(#REF!,"AAAAAF75xbQ=")</f>
        <v>#REF!</v>
      </c>
      <c r="FZ24" t="e">
        <f>AND(#REF!,"AAAAAF75xbU=")</f>
        <v>#REF!</v>
      </c>
      <c r="GA24" t="e">
        <f>AND(#REF!,"AAAAAF75xbY=")</f>
        <v>#REF!</v>
      </c>
      <c r="GB24" t="e">
        <f>AND(#REF!,"AAAAAF75xbc=")</f>
        <v>#REF!</v>
      </c>
      <c r="GC24" t="e">
        <f>AND(#REF!,"AAAAAF75xbg=")</f>
        <v>#REF!</v>
      </c>
      <c r="GD24" t="e">
        <f>AND(#REF!,"AAAAAF75xbk=")</f>
        <v>#REF!</v>
      </c>
      <c r="GE24" t="e">
        <f>AND(#REF!,"AAAAAF75xbo=")</f>
        <v>#REF!</v>
      </c>
      <c r="GF24" t="e">
        <f>AND(#REF!,"AAAAAF75xbs=")</f>
        <v>#REF!</v>
      </c>
      <c r="GG24" t="e">
        <f>AND(#REF!,"AAAAAF75xbw=")</f>
        <v>#REF!</v>
      </c>
      <c r="GH24" t="e">
        <f>AND(#REF!,"AAAAAF75xb0=")</f>
        <v>#REF!</v>
      </c>
      <c r="GI24" t="e">
        <f>AND(#REF!,"AAAAAF75xb4=")</f>
        <v>#REF!</v>
      </c>
      <c r="GJ24" t="e">
        <f>AND(#REF!,"AAAAAF75xb8=")</f>
        <v>#REF!</v>
      </c>
      <c r="GK24" t="e">
        <f>AND(#REF!,"AAAAAF75xcA=")</f>
        <v>#REF!</v>
      </c>
      <c r="GL24" t="e">
        <f>AND(#REF!,"AAAAAF75xcE=")</f>
        <v>#REF!</v>
      </c>
      <c r="GM24" t="e">
        <f>AND(#REF!,"AAAAAF75xcI=")</f>
        <v>#REF!</v>
      </c>
      <c r="GN24" t="e">
        <f>AND(#REF!,"AAAAAF75xcM=")</f>
        <v>#REF!</v>
      </c>
      <c r="GO24" t="e">
        <f>AND(#REF!,"AAAAAF75xcQ=")</f>
        <v>#REF!</v>
      </c>
      <c r="GP24" t="e">
        <f>IF(#REF!,"AAAAAF75xcU=",0)</f>
        <v>#REF!</v>
      </c>
      <c r="GQ24" t="e">
        <f>AND(#REF!,"AAAAAF75xcY=")</f>
        <v>#REF!</v>
      </c>
      <c r="GR24" t="e">
        <f>AND(#REF!,"AAAAAF75xcc=")</f>
        <v>#REF!</v>
      </c>
      <c r="GS24" t="e">
        <f>AND(#REF!,"AAAAAF75xcg=")</f>
        <v>#REF!</v>
      </c>
      <c r="GT24" t="e">
        <f>AND(#REF!,"AAAAAF75xck=")</f>
        <v>#REF!</v>
      </c>
      <c r="GU24" t="e">
        <f>AND(#REF!,"AAAAAF75xco=")</f>
        <v>#REF!</v>
      </c>
      <c r="GV24" t="e">
        <f>AND(#REF!,"AAAAAF75xcs=")</f>
        <v>#REF!</v>
      </c>
      <c r="GW24" t="e">
        <f>AND(#REF!,"AAAAAF75xcw=")</f>
        <v>#REF!</v>
      </c>
      <c r="GX24" t="e">
        <f>AND(#REF!,"AAAAAF75xc0=")</f>
        <v>#REF!</v>
      </c>
      <c r="GY24" t="e">
        <f>AND(#REF!,"AAAAAF75xc4=")</f>
        <v>#REF!</v>
      </c>
      <c r="GZ24" t="e">
        <f>AND(#REF!,"AAAAAF75xc8=")</f>
        <v>#REF!</v>
      </c>
      <c r="HA24" t="e">
        <f>AND(#REF!,"AAAAAF75xdA=")</f>
        <v>#REF!</v>
      </c>
      <c r="HB24" t="e">
        <f>AND(#REF!,"AAAAAF75xdE=")</f>
        <v>#REF!</v>
      </c>
      <c r="HC24" t="e">
        <f>AND(#REF!,"AAAAAF75xdI=")</f>
        <v>#REF!</v>
      </c>
      <c r="HD24" t="e">
        <f>AND(#REF!,"AAAAAF75xdM=")</f>
        <v>#REF!</v>
      </c>
      <c r="HE24" t="e">
        <f>AND(#REF!,"AAAAAF75xdQ=")</f>
        <v>#REF!</v>
      </c>
      <c r="HF24" t="e">
        <f>AND(#REF!,"AAAAAF75xdU=")</f>
        <v>#REF!</v>
      </c>
      <c r="HG24" t="e">
        <f>AND(#REF!,"AAAAAF75xdY=")</f>
        <v>#REF!</v>
      </c>
      <c r="HH24" t="e">
        <f>AND(#REF!,"AAAAAF75xdc=")</f>
        <v>#REF!</v>
      </c>
      <c r="HI24" t="e">
        <f>AND(#REF!,"AAAAAF75xdg=")</f>
        <v>#REF!</v>
      </c>
      <c r="HJ24" t="e">
        <f>AND(#REF!,"AAAAAF75xdk=")</f>
        <v>#REF!</v>
      </c>
      <c r="HK24" t="e">
        <f>AND(#REF!,"AAAAAF75xdo=")</f>
        <v>#REF!</v>
      </c>
      <c r="HL24" t="e">
        <f>AND(#REF!,"AAAAAF75xds=")</f>
        <v>#REF!</v>
      </c>
      <c r="HM24" t="e">
        <f>AND(#REF!,"AAAAAF75xdw=")</f>
        <v>#REF!</v>
      </c>
      <c r="HN24" t="e">
        <f>AND(#REF!,"AAAAAF75xd0=")</f>
        <v>#REF!</v>
      </c>
      <c r="HO24" t="e">
        <f>AND(#REF!,"AAAAAF75xd4=")</f>
        <v>#REF!</v>
      </c>
      <c r="HP24" t="e">
        <f>AND(#REF!,"AAAAAF75xd8=")</f>
        <v>#REF!</v>
      </c>
      <c r="HQ24" t="e">
        <f>AND(#REF!,"AAAAAF75xeA=")</f>
        <v>#REF!</v>
      </c>
      <c r="HR24" t="e">
        <f>AND(#REF!,"AAAAAF75xeE=")</f>
        <v>#REF!</v>
      </c>
      <c r="HS24" t="e">
        <f>AND(#REF!,"AAAAAF75xeI=")</f>
        <v>#REF!</v>
      </c>
      <c r="HT24" t="e">
        <f>AND(#REF!,"AAAAAF75xeM=")</f>
        <v>#REF!</v>
      </c>
      <c r="HU24" t="e">
        <f>AND(#REF!,"AAAAAF75xeQ=")</f>
        <v>#REF!</v>
      </c>
      <c r="HV24" t="e">
        <f>AND(#REF!,"AAAAAF75xeU=")</f>
        <v>#REF!</v>
      </c>
      <c r="HW24" t="e">
        <f>AND(#REF!,"AAAAAF75xeY=")</f>
        <v>#REF!</v>
      </c>
      <c r="HX24" t="e">
        <f>AND(#REF!,"AAAAAF75xec=")</f>
        <v>#REF!</v>
      </c>
      <c r="HY24" t="e">
        <f>AND(#REF!,"AAAAAF75xeg=")</f>
        <v>#REF!</v>
      </c>
      <c r="HZ24" t="e">
        <f>AND(#REF!,"AAAAAF75xek=")</f>
        <v>#REF!</v>
      </c>
      <c r="IA24" t="e">
        <f>AND(#REF!,"AAAAAF75xeo=")</f>
        <v>#REF!</v>
      </c>
      <c r="IB24" t="e">
        <f>AND(#REF!,"AAAAAF75xes=")</f>
        <v>#REF!</v>
      </c>
      <c r="IC24" t="e">
        <f>AND(#REF!,"AAAAAF75xew=")</f>
        <v>#REF!</v>
      </c>
      <c r="ID24" t="e">
        <f>AND(#REF!,"AAAAAF75xe0=")</f>
        <v>#REF!</v>
      </c>
      <c r="IE24" t="e">
        <f>AND(#REF!,"AAAAAF75xe4=")</f>
        <v>#REF!</v>
      </c>
      <c r="IF24" t="e">
        <f>AND(#REF!,"AAAAAF75xe8=")</f>
        <v>#REF!</v>
      </c>
      <c r="IG24" t="e">
        <f>AND(#REF!,"AAAAAF75xfA=")</f>
        <v>#REF!</v>
      </c>
      <c r="IH24" t="e">
        <f>AND(#REF!,"AAAAAF75xfE=")</f>
        <v>#REF!</v>
      </c>
      <c r="II24" t="e">
        <f>AND(#REF!,"AAAAAF75xfI=")</f>
        <v>#REF!</v>
      </c>
      <c r="IJ24" t="e">
        <f>AND(#REF!,"AAAAAF75xfM=")</f>
        <v>#REF!</v>
      </c>
      <c r="IK24" t="e">
        <f>AND(#REF!,"AAAAAF75xfQ=")</f>
        <v>#REF!</v>
      </c>
      <c r="IL24" t="e">
        <f>AND(#REF!,"AAAAAF75xfU=")</f>
        <v>#REF!</v>
      </c>
      <c r="IM24" t="e">
        <f>AND(#REF!,"AAAAAF75xfY=")</f>
        <v>#REF!</v>
      </c>
      <c r="IN24" t="e">
        <f>AND(#REF!,"AAAAAF75xfc=")</f>
        <v>#REF!</v>
      </c>
      <c r="IO24" t="e">
        <f>AND(#REF!,"AAAAAF75xfg=")</f>
        <v>#REF!</v>
      </c>
      <c r="IP24" t="e">
        <f>AND(#REF!,"AAAAAF75xfk=")</f>
        <v>#REF!</v>
      </c>
      <c r="IQ24" t="e">
        <f>AND(#REF!,"AAAAAF75xfo=")</f>
        <v>#REF!</v>
      </c>
      <c r="IR24" t="e">
        <f>AND(#REF!,"AAAAAF75xfs=")</f>
        <v>#REF!</v>
      </c>
      <c r="IS24" t="e">
        <f>AND(#REF!,"AAAAAF75xfw=")</f>
        <v>#REF!</v>
      </c>
      <c r="IT24" t="e">
        <f>AND(#REF!,"AAAAAF75xf0=")</f>
        <v>#REF!</v>
      </c>
      <c r="IU24" t="e">
        <f>AND(#REF!,"AAAAAF75xf4=")</f>
        <v>#REF!</v>
      </c>
      <c r="IV24" t="e">
        <f>AND(#REF!,"AAAAAF75xf8=")</f>
        <v>#REF!</v>
      </c>
    </row>
    <row r="25" spans="1:256" x14ac:dyDescent="0.25">
      <c r="A25" t="e">
        <f>AND(#REF!,"AAAAAH3+/gA=")</f>
        <v>#REF!</v>
      </c>
      <c r="B25" t="e">
        <f>AND(#REF!,"AAAAAH3+/gE=")</f>
        <v>#REF!</v>
      </c>
      <c r="C25" t="e">
        <f>AND(#REF!,"AAAAAH3+/gI=")</f>
        <v>#REF!</v>
      </c>
      <c r="D25" t="e">
        <f>AND(#REF!,"AAAAAH3+/gM=")</f>
        <v>#REF!</v>
      </c>
      <c r="E25" t="e">
        <f>AND(#REF!,"AAAAAH3+/gQ=")</f>
        <v>#REF!</v>
      </c>
      <c r="F25" t="e">
        <f>AND(#REF!,"AAAAAH3+/gU=")</f>
        <v>#REF!</v>
      </c>
      <c r="G25" t="e">
        <f>AND(#REF!,"AAAAAH3+/gY=")</f>
        <v>#REF!</v>
      </c>
      <c r="H25" t="e">
        <f>AND(#REF!,"AAAAAH3+/gc=")</f>
        <v>#REF!</v>
      </c>
      <c r="I25" t="e">
        <f>AND(#REF!,"AAAAAH3+/gg=")</f>
        <v>#REF!</v>
      </c>
      <c r="J25" t="e">
        <f>AND(#REF!,"AAAAAH3+/gk=")</f>
        <v>#REF!</v>
      </c>
      <c r="K25" t="e">
        <f>AND(#REF!,"AAAAAH3+/go=")</f>
        <v>#REF!</v>
      </c>
      <c r="L25" t="e">
        <f>AND(#REF!,"AAAAAH3+/gs=")</f>
        <v>#REF!</v>
      </c>
      <c r="M25" t="e">
        <f>AND(#REF!,"AAAAAH3+/gw=")</f>
        <v>#REF!</v>
      </c>
      <c r="N25" t="e">
        <f>AND(#REF!,"AAAAAH3+/g0=")</f>
        <v>#REF!</v>
      </c>
      <c r="O25" t="e">
        <f>AND(#REF!,"AAAAAH3+/g4=")</f>
        <v>#REF!</v>
      </c>
      <c r="P25" t="e">
        <f>AND(#REF!,"AAAAAH3+/g8=")</f>
        <v>#REF!</v>
      </c>
      <c r="Q25" t="e">
        <f>AND(#REF!,"AAAAAH3+/hA=")</f>
        <v>#REF!</v>
      </c>
      <c r="R25" t="e">
        <f>AND(#REF!,"AAAAAH3+/hE=")</f>
        <v>#REF!</v>
      </c>
      <c r="S25" t="e">
        <f>AND(#REF!,"AAAAAH3+/hI=")</f>
        <v>#REF!</v>
      </c>
      <c r="T25" t="e">
        <f>AND(#REF!,"AAAAAH3+/hM=")</f>
        <v>#REF!</v>
      </c>
      <c r="U25" t="e">
        <f>AND(#REF!,"AAAAAH3+/hQ=")</f>
        <v>#REF!</v>
      </c>
      <c r="V25" t="e">
        <f>AND(#REF!,"AAAAAH3+/hU=")</f>
        <v>#REF!</v>
      </c>
      <c r="W25" t="e">
        <f>AND(#REF!,"AAAAAH3+/hY=")</f>
        <v>#REF!</v>
      </c>
      <c r="X25" t="e">
        <f>AND(#REF!,"AAAAAH3+/hc=")</f>
        <v>#REF!</v>
      </c>
      <c r="Y25" t="e">
        <f>AND(#REF!,"AAAAAH3+/hg=")</f>
        <v>#REF!</v>
      </c>
      <c r="Z25" t="e">
        <f>AND(#REF!,"AAAAAH3+/hk=")</f>
        <v>#REF!</v>
      </c>
      <c r="AA25" t="e">
        <f>AND(#REF!,"AAAAAH3+/ho=")</f>
        <v>#REF!</v>
      </c>
      <c r="AB25" t="e">
        <f>AND(#REF!,"AAAAAH3+/hs=")</f>
        <v>#REF!</v>
      </c>
      <c r="AC25" t="e">
        <f>AND(#REF!,"AAAAAH3+/hw=")</f>
        <v>#REF!</v>
      </c>
      <c r="AD25" t="e">
        <f>AND(#REF!,"AAAAAH3+/h0=")</f>
        <v>#REF!</v>
      </c>
      <c r="AE25" t="e">
        <f>AND(#REF!,"AAAAAH3+/h4=")</f>
        <v>#REF!</v>
      </c>
      <c r="AF25" t="e">
        <f>AND(#REF!,"AAAAAH3+/h8=")</f>
        <v>#REF!</v>
      </c>
      <c r="AG25" t="e">
        <f>AND(#REF!,"AAAAAH3+/iA=")</f>
        <v>#REF!</v>
      </c>
      <c r="AH25" t="e">
        <f>AND(#REF!,"AAAAAH3+/iE=")</f>
        <v>#REF!</v>
      </c>
      <c r="AI25" t="e">
        <f>AND(#REF!,"AAAAAH3+/iI=")</f>
        <v>#REF!</v>
      </c>
      <c r="AJ25" t="e">
        <f>AND(#REF!,"AAAAAH3+/iM=")</f>
        <v>#REF!</v>
      </c>
      <c r="AK25" t="e">
        <f>AND(#REF!,"AAAAAH3+/iQ=")</f>
        <v>#REF!</v>
      </c>
      <c r="AL25" t="e">
        <f>AND(#REF!,"AAAAAH3+/iU=")</f>
        <v>#REF!</v>
      </c>
      <c r="AM25" t="e">
        <f>AND(#REF!,"AAAAAH3+/iY=")</f>
        <v>#REF!</v>
      </c>
      <c r="AN25" t="e">
        <f>AND(#REF!,"AAAAAH3+/ic=")</f>
        <v>#REF!</v>
      </c>
      <c r="AO25" t="e">
        <f>AND(#REF!,"AAAAAH3+/ig=")</f>
        <v>#REF!</v>
      </c>
      <c r="AP25" t="e">
        <f>AND(#REF!,"AAAAAH3+/ik=")</f>
        <v>#REF!</v>
      </c>
      <c r="AQ25" t="e">
        <f>AND(#REF!,"AAAAAH3+/io=")</f>
        <v>#REF!</v>
      </c>
      <c r="AR25" t="e">
        <f>AND(#REF!,"AAAAAH3+/is=")</f>
        <v>#REF!</v>
      </c>
      <c r="AS25" t="e">
        <f>AND(#REF!,"AAAAAH3+/iw=")</f>
        <v>#REF!</v>
      </c>
      <c r="AT25" t="e">
        <f>AND(#REF!,"AAAAAH3+/i0=")</f>
        <v>#REF!</v>
      </c>
      <c r="AU25" t="e">
        <f>AND(#REF!,"AAAAAH3+/i4=")</f>
        <v>#REF!</v>
      </c>
      <c r="AV25" t="e">
        <f>AND(#REF!,"AAAAAH3+/i8=")</f>
        <v>#REF!</v>
      </c>
      <c r="AW25" t="e">
        <f>AND(#REF!,"AAAAAH3+/jA=")</f>
        <v>#REF!</v>
      </c>
      <c r="AX25" t="e">
        <f>AND(#REF!,"AAAAAH3+/jE=")</f>
        <v>#REF!</v>
      </c>
      <c r="AY25" t="e">
        <f>AND(#REF!,"AAAAAH3+/jI=")</f>
        <v>#REF!</v>
      </c>
      <c r="AZ25" t="e">
        <f>AND(#REF!,"AAAAAH3+/jM=")</f>
        <v>#REF!</v>
      </c>
      <c r="BA25" t="e">
        <f>AND(#REF!,"AAAAAH3+/jQ=")</f>
        <v>#REF!</v>
      </c>
      <c r="BB25" t="e">
        <f>AND(#REF!,"AAAAAH3+/jU=")</f>
        <v>#REF!</v>
      </c>
      <c r="BC25" t="e">
        <f>AND(#REF!,"AAAAAH3+/jY=")</f>
        <v>#REF!</v>
      </c>
      <c r="BD25" t="e">
        <f>AND(#REF!,"AAAAAH3+/jc=")</f>
        <v>#REF!</v>
      </c>
      <c r="BE25" t="e">
        <f>AND(#REF!,"AAAAAH3+/jg=")</f>
        <v>#REF!</v>
      </c>
      <c r="BF25" t="e">
        <f>AND(#REF!,"AAAAAH3+/jk=")</f>
        <v>#REF!</v>
      </c>
      <c r="BG25" t="e">
        <f>AND(#REF!,"AAAAAH3+/jo=")</f>
        <v>#REF!</v>
      </c>
      <c r="BH25" t="e">
        <f>AND(#REF!,"AAAAAH3+/js=")</f>
        <v>#REF!</v>
      </c>
      <c r="BI25" t="e">
        <f>AND(#REF!,"AAAAAH3+/jw=")</f>
        <v>#REF!</v>
      </c>
      <c r="BJ25" t="e">
        <f>AND(#REF!,"AAAAAH3+/j0=")</f>
        <v>#REF!</v>
      </c>
      <c r="BK25" t="e">
        <f>AND(#REF!,"AAAAAH3+/j4=")</f>
        <v>#REF!</v>
      </c>
      <c r="BL25" t="e">
        <f>AND(#REF!,"AAAAAH3+/j8=")</f>
        <v>#REF!</v>
      </c>
      <c r="BM25" t="e">
        <f>AND(#REF!,"AAAAAH3+/kA=")</f>
        <v>#REF!</v>
      </c>
      <c r="BN25" t="e">
        <f>AND(#REF!,"AAAAAH3+/kE=")</f>
        <v>#REF!</v>
      </c>
      <c r="BO25" t="e">
        <f>AND(#REF!,"AAAAAH3+/kI=")</f>
        <v>#REF!</v>
      </c>
      <c r="BP25" t="e">
        <f>AND(#REF!,"AAAAAH3+/kM=")</f>
        <v>#REF!</v>
      </c>
      <c r="BQ25" t="e">
        <f>AND(#REF!,"AAAAAH3+/kQ=")</f>
        <v>#REF!</v>
      </c>
      <c r="BR25" t="e">
        <f>AND(#REF!,"AAAAAH3+/kU=")</f>
        <v>#REF!</v>
      </c>
      <c r="BS25" t="e">
        <f>AND(#REF!,"AAAAAH3+/kY=")</f>
        <v>#REF!</v>
      </c>
      <c r="BT25" t="e">
        <f>AND(#REF!,"AAAAAH3+/kc=")</f>
        <v>#REF!</v>
      </c>
      <c r="BU25" t="e">
        <f>AND(#REF!,"AAAAAH3+/kg=")</f>
        <v>#REF!</v>
      </c>
      <c r="BV25" t="e">
        <f>AND(#REF!,"AAAAAH3+/kk=")</f>
        <v>#REF!</v>
      </c>
      <c r="BW25" t="e">
        <f>AND(#REF!,"AAAAAH3+/ko=")</f>
        <v>#REF!</v>
      </c>
      <c r="BX25" t="e">
        <f>AND(#REF!,"AAAAAH3+/ks=")</f>
        <v>#REF!</v>
      </c>
      <c r="BY25" t="e">
        <f>AND(#REF!,"AAAAAH3+/kw=")</f>
        <v>#REF!</v>
      </c>
      <c r="BZ25" t="e">
        <f>AND(#REF!,"AAAAAH3+/k0=")</f>
        <v>#REF!</v>
      </c>
      <c r="CA25" t="e">
        <f>AND(#REF!,"AAAAAH3+/k4=")</f>
        <v>#REF!</v>
      </c>
      <c r="CB25" t="e">
        <f>AND(#REF!,"AAAAAH3+/k8=")</f>
        <v>#REF!</v>
      </c>
      <c r="CC25" t="e">
        <f>AND(#REF!,"AAAAAH3+/lA=")</f>
        <v>#REF!</v>
      </c>
      <c r="CD25" t="e">
        <f>AND(#REF!,"AAAAAH3+/lE=")</f>
        <v>#REF!</v>
      </c>
      <c r="CE25" t="e">
        <f>AND(#REF!,"AAAAAH3+/lI=")</f>
        <v>#REF!</v>
      </c>
      <c r="CF25" t="e">
        <f>AND(#REF!,"AAAAAH3+/lM=")</f>
        <v>#REF!</v>
      </c>
      <c r="CG25" t="e">
        <f>AND(#REF!,"AAAAAH3+/lQ=")</f>
        <v>#REF!</v>
      </c>
      <c r="CH25" t="e">
        <f>AND(#REF!,"AAAAAH3+/lU=")</f>
        <v>#REF!</v>
      </c>
      <c r="CI25" t="e">
        <f>AND(#REF!,"AAAAAH3+/lY=")</f>
        <v>#REF!</v>
      </c>
      <c r="CJ25" t="e">
        <f>AND(#REF!,"AAAAAH3+/lc=")</f>
        <v>#REF!</v>
      </c>
      <c r="CK25" t="e">
        <f>AND(#REF!,"AAAAAH3+/lg=")</f>
        <v>#REF!</v>
      </c>
      <c r="CL25" t="e">
        <f>AND(#REF!,"AAAAAH3+/lk=")</f>
        <v>#REF!</v>
      </c>
      <c r="CM25" t="e">
        <f>AND(#REF!,"AAAAAH3+/lo=")</f>
        <v>#REF!</v>
      </c>
      <c r="CN25" t="e">
        <f>AND(#REF!,"AAAAAH3+/ls=")</f>
        <v>#REF!</v>
      </c>
      <c r="CO25" t="e">
        <f>AND(#REF!,"AAAAAH3+/lw=")</f>
        <v>#REF!</v>
      </c>
      <c r="CP25" t="e">
        <f>AND(#REF!,"AAAAAH3+/l0=")</f>
        <v>#REF!</v>
      </c>
      <c r="CQ25" t="e">
        <f>AND(#REF!,"AAAAAH3+/l4=")</f>
        <v>#REF!</v>
      </c>
      <c r="CR25" t="e">
        <f>AND(#REF!,"AAAAAH3+/l8=")</f>
        <v>#REF!</v>
      </c>
      <c r="CS25" t="e">
        <f>AND(#REF!,"AAAAAH3+/mA=")</f>
        <v>#REF!</v>
      </c>
      <c r="CT25" t="e">
        <f>AND(#REF!,"AAAAAH3+/mE=")</f>
        <v>#REF!</v>
      </c>
      <c r="CU25" t="e">
        <f>AND(#REF!,"AAAAAH3+/mI=")</f>
        <v>#REF!</v>
      </c>
      <c r="CV25" t="e">
        <f>AND(#REF!,"AAAAAH3+/mM=")</f>
        <v>#REF!</v>
      </c>
      <c r="CW25" t="e">
        <f>AND(#REF!,"AAAAAH3+/mQ=")</f>
        <v>#REF!</v>
      </c>
      <c r="CX25" t="e">
        <f>AND(#REF!,"AAAAAH3+/mU=")</f>
        <v>#REF!</v>
      </c>
      <c r="CY25" t="e">
        <f>AND(#REF!,"AAAAAH3+/mY=")</f>
        <v>#REF!</v>
      </c>
      <c r="CZ25" t="e">
        <f>AND(#REF!,"AAAAAH3+/mc=")</f>
        <v>#REF!</v>
      </c>
      <c r="DA25" t="e">
        <f>AND(#REF!,"AAAAAH3+/mg=")</f>
        <v>#REF!</v>
      </c>
      <c r="DB25" t="e">
        <f>AND(#REF!,"AAAAAH3+/mk=")</f>
        <v>#REF!</v>
      </c>
      <c r="DC25" t="e">
        <f>AND(#REF!,"AAAAAH3+/mo=")</f>
        <v>#REF!</v>
      </c>
      <c r="DD25" t="e">
        <f>AND(#REF!,"AAAAAH3+/ms=")</f>
        <v>#REF!</v>
      </c>
      <c r="DE25" t="e">
        <f>AND(#REF!,"AAAAAH3+/mw=")</f>
        <v>#REF!</v>
      </c>
      <c r="DF25" t="e">
        <f>AND(#REF!,"AAAAAH3+/m0=")</f>
        <v>#REF!</v>
      </c>
      <c r="DG25" t="e">
        <f>AND(#REF!,"AAAAAH3+/m4=")</f>
        <v>#REF!</v>
      </c>
      <c r="DH25" t="e">
        <f>AND(#REF!,"AAAAAH3+/m8=")</f>
        <v>#REF!</v>
      </c>
      <c r="DI25" t="e">
        <f>AND(#REF!,"AAAAAH3+/nA=")</f>
        <v>#REF!</v>
      </c>
      <c r="DJ25" t="e">
        <f>AND(#REF!,"AAAAAH3+/nE=")</f>
        <v>#REF!</v>
      </c>
      <c r="DK25" t="e">
        <f>AND(#REF!,"AAAAAH3+/nI=")</f>
        <v>#REF!</v>
      </c>
      <c r="DL25" t="e">
        <f>AND(#REF!,"AAAAAH3+/nM=")</f>
        <v>#REF!</v>
      </c>
      <c r="DM25" t="e">
        <f>AND(#REF!,"AAAAAH3+/nQ=")</f>
        <v>#REF!</v>
      </c>
      <c r="DN25" t="e">
        <f>AND(#REF!,"AAAAAH3+/nU=")</f>
        <v>#REF!</v>
      </c>
      <c r="DO25" t="e">
        <f>AND(#REF!,"AAAAAH3+/nY=")</f>
        <v>#REF!</v>
      </c>
      <c r="DP25" t="e">
        <f>AND(#REF!,"AAAAAH3+/nc=")</f>
        <v>#REF!</v>
      </c>
      <c r="DQ25" t="e">
        <f>AND(#REF!,"AAAAAH3+/ng=")</f>
        <v>#REF!</v>
      </c>
      <c r="DR25" t="e">
        <f>AND(#REF!,"AAAAAH3+/nk=")</f>
        <v>#REF!</v>
      </c>
      <c r="DS25" t="e">
        <f>AND(#REF!,"AAAAAH3+/no=")</f>
        <v>#REF!</v>
      </c>
      <c r="DT25" t="e">
        <f>AND(#REF!,"AAAAAH3+/ns=")</f>
        <v>#REF!</v>
      </c>
      <c r="DU25" t="e">
        <f>AND(#REF!,"AAAAAH3+/nw=")</f>
        <v>#REF!</v>
      </c>
      <c r="DV25" t="e">
        <f>AND(#REF!,"AAAAAH3+/n0=")</f>
        <v>#REF!</v>
      </c>
      <c r="DW25" t="e">
        <f>AND(#REF!,"AAAAAH3+/n4=")</f>
        <v>#REF!</v>
      </c>
      <c r="DX25" t="e">
        <f>AND(#REF!,"AAAAAH3+/n8=")</f>
        <v>#REF!</v>
      </c>
      <c r="DY25" t="e">
        <f>AND(#REF!,"AAAAAH3+/oA=")</f>
        <v>#REF!</v>
      </c>
      <c r="DZ25" t="e">
        <f>AND(#REF!,"AAAAAH3+/oE=")</f>
        <v>#REF!</v>
      </c>
      <c r="EA25" t="e">
        <f>IF(#REF!,"AAAAAH3+/oI=",0)</f>
        <v>#REF!</v>
      </c>
      <c r="EB25" t="e">
        <f>AND(#REF!,"AAAAAH3+/oM=")</f>
        <v>#REF!</v>
      </c>
      <c r="EC25" t="e">
        <f>AND(#REF!,"AAAAAH3+/oQ=")</f>
        <v>#REF!</v>
      </c>
      <c r="ED25" t="e">
        <f>AND(#REF!,"AAAAAH3+/oU=")</f>
        <v>#REF!</v>
      </c>
      <c r="EE25" t="e">
        <f>AND(#REF!,"AAAAAH3+/oY=")</f>
        <v>#REF!</v>
      </c>
      <c r="EF25" t="e">
        <f>AND(#REF!,"AAAAAH3+/oc=")</f>
        <v>#REF!</v>
      </c>
      <c r="EG25" t="e">
        <f>AND(#REF!,"AAAAAH3+/og=")</f>
        <v>#REF!</v>
      </c>
      <c r="EH25" t="e">
        <f>AND(#REF!,"AAAAAH3+/ok=")</f>
        <v>#REF!</v>
      </c>
      <c r="EI25" t="e">
        <f>AND(#REF!,"AAAAAH3+/oo=")</f>
        <v>#REF!</v>
      </c>
      <c r="EJ25" t="e">
        <f>AND(#REF!,"AAAAAH3+/os=")</f>
        <v>#REF!</v>
      </c>
      <c r="EK25" t="e">
        <f>AND(#REF!,"AAAAAH3+/ow=")</f>
        <v>#REF!</v>
      </c>
      <c r="EL25" t="e">
        <f>AND(#REF!,"AAAAAH3+/o0=")</f>
        <v>#REF!</v>
      </c>
      <c r="EM25" t="e">
        <f>AND(#REF!,"AAAAAH3+/o4=")</f>
        <v>#REF!</v>
      </c>
      <c r="EN25" t="e">
        <f>AND(#REF!,"AAAAAH3+/o8=")</f>
        <v>#REF!</v>
      </c>
      <c r="EO25" t="e">
        <f>AND(#REF!,"AAAAAH3+/pA=")</f>
        <v>#REF!</v>
      </c>
      <c r="EP25" t="e">
        <f>AND(#REF!,"AAAAAH3+/pE=")</f>
        <v>#REF!</v>
      </c>
      <c r="EQ25" t="e">
        <f>AND(#REF!,"AAAAAH3+/pI=")</f>
        <v>#REF!</v>
      </c>
      <c r="ER25" t="e">
        <f>AND(#REF!,"AAAAAH3+/pM=")</f>
        <v>#REF!</v>
      </c>
      <c r="ES25" t="e">
        <f>AND(#REF!,"AAAAAH3+/pQ=")</f>
        <v>#REF!</v>
      </c>
      <c r="ET25" t="e">
        <f>AND(#REF!,"AAAAAH3+/pU=")</f>
        <v>#REF!</v>
      </c>
      <c r="EU25" t="e">
        <f>AND(#REF!,"AAAAAH3+/pY=")</f>
        <v>#REF!</v>
      </c>
      <c r="EV25" t="e">
        <f>AND(#REF!,"AAAAAH3+/pc=")</f>
        <v>#REF!</v>
      </c>
      <c r="EW25" t="e">
        <f>AND(#REF!,"AAAAAH3+/pg=")</f>
        <v>#REF!</v>
      </c>
      <c r="EX25" t="e">
        <f>AND(#REF!,"AAAAAH3+/pk=")</f>
        <v>#REF!</v>
      </c>
      <c r="EY25" t="e">
        <f>AND(#REF!,"AAAAAH3+/po=")</f>
        <v>#REF!</v>
      </c>
      <c r="EZ25" t="e">
        <f>AND(#REF!,"AAAAAH3+/ps=")</f>
        <v>#REF!</v>
      </c>
      <c r="FA25" t="e">
        <f>AND(#REF!,"AAAAAH3+/pw=")</f>
        <v>#REF!</v>
      </c>
      <c r="FB25" t="e">
        <f>AND(#REF!,"AAAAAH3+/p0=")</f>
        <v>#REF!</v>
      </c>
      <c r="FC25" t="e">
        <f>AND(#REF!,"AAAAAH3+/p4=")</f>
        <v>#REF!</v>
      </c>
      <c r="FD25" t="e">
        <f>AND(#REF!,"AAAAAH3+/p8=")</f>
        <v>#REF!</v>
      </c>
      <c r="FE25" t="e">
        <f>AND(#REF!,"AAAAAH3+/qA=")</f>
        <v>#REF!</v>
      </c>
      <c r="FF25" t="e">
        <f>AND(#REF!,"AAAAAH3+/qE=")</f>
        <v>#REF!</v>
      </c>
      <c r="FG25" t="e">
        <f>AND(#REF!,"AAAAAH3+/qI=")</f>
        <v>#REF!</v>
      </c>
      <c r="FH25" t="e">
        <f>AND(#REF!,"AAAAAH3+/qM=")</f>
        <v>#REF!</v>
      </c>
      <c r="FI25" t="e">
        <f>AND(#REF!,"AAAAAH3+/qQ=")</f>
        <v>#REF!</v>
      </c>
      <c r="FJ25" t="e">
        <f>AND(#REF!,"AAAAAH3+/qU=")</f>
        <v>#REF!</v>
      </c>
      <c r="FK25" t="e">
        <f>AND(#REF!,"AAAAAH3+/qY=")</f>
        <v>#REF!</v>
      </c>
      <c r="FL25" t="e">
        <f>AND(#REF!,"AAAAAH3+/qc=")</f>
        <v>#REF!</v>
      </c>
      <c r="FM25" t="e">
        <f>AND(#REF!,"AAAAAH3+/qg=")</f>
        <v>#REF!</v>
      </c>
      <c r="FN25" t="e">
        <f>AND(#REF!,"AAAAAH3+/qk=")</f>
        <v>#REF!</v>
      </c>
      <c r="FO25" t="e">
        <f>AND(#REF!,"AAAAAH3+/qo=")</f>
        <v>#REF!</v>
      </c>
      <c r="FP25" t="e">
        <f>AND(#REF!,"AAAAAH3+/qs=")</f>
        <v>#REF!</v>
      </c>
      <c r="FQ25" t="e">
        <f>AND(#REF!,"AAAAAH3+/qw=")</f>
        <v>#REF!</v>
      </c>
      <c r="FR25" t="e">
        <f>AND(#REF!,"AAAAAH3+/q0=")</f>
        <v>#REF!</v>
      </c>
      <c r="FS25" t="e">
        <f>AND(#REF!,"AAAAAH3+/q4=")</f>
        <v>#REF!</v>
      </c>
      <c r="FT25" t="e">
        <f>AND(#REF!,"AAAAAH3+/q8=")</f>
        <v>#REF!</v>
      </c>
      <c r="FU25" t="e">
        <f>AND(#REF!,"AAAAAH3+/rA=")</f>
        <v>#REF!</v>
      </c>
      <c r="FV25" t="e">
        <f>AND(#REF!,"AAAAAH3+/rE=")</f>
        <v>#REF!</v>
      </c>
      <c r="FW25" t="e">
        <f>AND(#REF!,"AAAAAH3+/rI=")</f>
        <v>#REF!</v>
      </c>
      <c r="FX25" t="e">
        <f>AND(#REF!,"AAAAAH3+/rM=")</f>
        <v>#REF!</v>
      </c>
      <c r="FY25" t="e">
        <f>AND(#REF!,"AAAAAH3+/rQ=")</f>
        <v>#REF!</v>
      </c>
      <c r="FZ25" t="e">
        <f>AND(#REF!,"AAAAAH3+/rU=")</f>
        <v>#REF!</v>
      </c>
      <c r="GA25" t="e">
        <f>AND(#REF!,"AAAAAH3+/rY=")</f>
        <v>#REF!</v>
      </c>
      <c r="GB25" t="e">
        <f>AND(#REF!,"AAAAAH3+/rc=")</f>
        <v>#REF!</v>
      </c>
      <c r="GC25" t="e">
        <f>AND(#REF!,"AAAAAH3+/rg=")</f>
        <v>#REF!</v>
      </c>
      <c r="GD25" t="e">
        <f>AND(#REF!,"AAAAAH3+/rk=")</f>
        <v>#REF!</v>
      </c>
      <c r="GE25" t="e">
        <f>AND(#REF!,"AAAAAH3+/ro=")</f>
        <v>#REF!</v>
      </c>
      <c r="GF25" t="e">
        <f>AND(#REF!,"AAAAAH3+/rs=")</f>
        <v>#REF!</v>
      </c>
      <c r="GG25" t="e">
        <f>AND(#REF!,"AAAAAH3+/rw=")</f>
        <v>#REF!</v>
      </c>
      <c r="GH25" t="e">
        <f>AND(#REF!,"AAAAAH3+/r0=")</f>
        <v>#REF!</v>
      </c>
      <c r="GI25" t="e">
        <f>AND(#REF!,"AAAAAH3+/r4=")</f>
        <v>#REF!</v>
      </c>
      <c r="GJ25" t="e">
        <f>AND(#REF!,"AAAAAH3+/r8=")</f>
        <v>#REF!</v>
      </c>
      <c r="GK25" t="e">
        <f>AND(#REF!,"AAAAAH3+/sA=")</f>
        <v>#REF!</v>
      </c>
      <c r="GL25" t="e">
        <f>AND(#REF!,"AAAAAH3+/sE=")</f>
        <v>#REF!</v>
      </c>
      <c r="GM25" t="e">
        <f>AND(#REF!,"AAAAAH3+/sI=")</f>
        <v>#REF!</v>
      </c>
      <c r="GN25" t="e">
        <f>AND(#REF!,"AAAAAH3+/sM=")</f>
        <v>#REF!</v>
      </c>
      <c r="GO25" t="e">
        <f>AND(#REF!,"AAAAAH3+/sQ=")</f>
        <v>#REF!</v>
      </c>
      <c r="GP25" t="e">
        <f>AND(#REF!,"AAAAAH3+/sU=")</f>
        <v>#REF!</v>
      </c>
      <c r="GQ25" t="e">
        <f>AND(#REF!,"AAAAAH3+/sY=")</f>
        <v>#REF!</v>
      </c>
      <c r="GR25" t="e">
        <f>AND(#REF!,"AAAAAH3+/sc=")</f>
        <v>#REF!</v>
      </c>
      <c r="GS25" t="e">
        <f>AND(#REF!,"AAAAAH3+/sg=")</f>
        <v>#REF!</v>
      </c>
      <c r="GT25" t="e">
        <f>AND(#REF!,"AAAAAH3+/sk=")</f>
        <v>#REF!</v>
      </c>
      <c r="GU25" t="e">
        <f>AND(#REF!,"AAAAAH3+/so=")</f>
        <v>#REF!</v>
      </c>
      <c r="GV25" t="e">
        <f>AND(#REF!,"AAAAAH3+/ss=")</f>
        <v>#REF!</v>
      </c>
      <c r="GW25" t="e">
        <f>AND(#REF!,"AAAAAH3+/sw=")</f>
        <v>#REF!</v>
      </c>
      <c r="GX25" t="e">
        <f>AND(#REF!,"AAAAAH3+/s0=")</f>
        <v>#REF!</v>
      </c>
      <c r="GY25" t="e">
        <f>AND(#REF!,"AAAAAH3+/s4=")</f>
        <v>#REF!</v>
      </c>
      <c r="GZ25" t="e">
        <f>AND(#REF!,"AAAAAH3+/s8=")</f>
        <v>#REF!</v>
      </c>
      <c r="HA25" t="e">
        <f>AND(#REF!,"AAAAAH3+/tA=")</f>
        <v>#REF!</v>
      </c>
      <c r="HB25" t="e">
        <f>AND(#REF!,"AAAAAH3+/tE=")</f>
        <v>#REF!</v>
      </c>
      <c r="HC25" t="e">
        <f>AND(#REF!,"AAAAAH3+/tI=")</f>
        <v>#REF!</v>
      </c>
      <c r="HD25" t="e">
        <f>AND(#REF!,"AAAAAH3+/tM=")</f>
        <v>#REF!</v>
      </c>
      <c r="HE25" t="e">
        <f>AND(#REF!,"AAAAAH3+/tQ=")</f>
        <v>#REF!</v>
      </c>
      <c r="HF25" t="e">
        <f>AND(#REF!,"AAAAAH3+/tU=")</f>
        <v>#REF!</v>
      </c>
      <c r="HG25" t="e">
        <f>AND(#REF!,"AAAAAH3+/tY=")</f>
        <v>#REF!</v>
      </c>
      <c r="HH25" t="e">
        <f>AND(#REF!,"AAAAAH3+/tc=")</f>
        <v>#REF!</v>
      </c>
      <c r="HI25" t="e">
        <f>AND(#REF!,"AAAAAH3+/tg=")</f>
        <v>#REF!</v>
      </c>
      <c r="HJ25" t="e">
        <f>AND(#REF!,"AAAAAH3+/tk=")</f>
        <v>#REF!</v>
      </c>
      <c r="HK25" t="e">
        <f>AND(#REF!,"AAAAAH3+/to=")</f>
        <v>#REF!</v>
      </c>
      <c r="HL25" t="e">
        <f>AND(#REF!,"AAAAAH3+/ts=")</f>
        <v>#REF!</v>
      </c>
      <c r="HM25" t="e">
        <f>AND(#REF!,"AAAAAH3+/tw=")</f>
        <v>#REF!</v>
      </c>
      <c r="HN25" t="e">
        <f>AND(#REF!,"AAAAAH3+/t0=")</f>
        <v>#REF!</v>
      </c>
      <c r="HO25" t="e">
        <f>AND(#REF!,"AAAAAH3+/t4=")</f>
        <v>#REF!</v>
      </c>
      <c r="HP25" t="e">
        <f>AND(#REF!,"AAAAAH3+/t8=")</f>
        <v>#REF!</v>
      </c>
      <c r="HQ25" t="e">
        <f>AND(#REF!,"AAAAAH3+/uA=")</f>
        <v>#REF!</v>
      </c>
      <c r="HR25" t="e">
        <f>AND(#REF!,"AAAAAH3+/uE=")</f>
        <v>#REF!</v>
      </c>
      <c r="HS25" t="e">
        <f>AND(#REF!,"AAAAAH3+/uI=")</f>
        <v>#REF!</v>
      </c>
      <c r="HT25" t="e">
        <f>AND(#REF!,"AAAAAH3+/uM=")</f>
        <v>#REF!</v>
      </c>
      <c r="HU25" t="e">
        <f>AND(#REF!,"AAAAAH3+/uQ=")</f>
        <v>#REF!</v>
      </c>
      <c r="HV25" t="e">
        <f>AND(#REF!,"AAAAAH3+/uU=")</f>
        <v>#REF!</v>
      </c>
      <c r="HW25" t="e">
        <f>AND(#REF!,"AAAAAH3+/uY=")</f>
        <v>#REF!</v>
      </c>
      <c r="HX25" t="e">
        <f>AND(#REF!,"AAAAAH3+/uc=")</f>
        <v>#REF!</v>
      </c>
      <c r="HY25" t="e">
        <f>AND(#REF!,"AAAAAH3+/ug=")</f>
        <v>#REF!</v>
      </c>
      <c r="HZ25" t="e">
        <f>AND(#REF!,"AAAAAH3+/uk=")</f>
        <v>#REF!</v>
      </c>
      <c r="IA25" t="e">
        <f>AND(#REF!,"AAAAAH3+/uo=")</f>
        <v>#REF!</v>
      </c>
      <c r="IB25" t="e">
        <f>AND(#REF!,"AAAAAH3+/us=")</f>
        <v>#REF!</v>
      </c>
      <c r="IC25" t="e">
        <f>AND(#REF!,"AAAAAH3+/uw=")</f>
        <v>#REF!</v>
      </c>
      <c r="ID25" t="e">
        <f>AND(#REF!,"AAAAAH3+/u0=")</f>
        <v>#REF!</v>
      </c>
      <c r="IE25" t="e">
        <f>AND(#REF!,"AAAAAH3+/u4=")</f>
        <v>#REF!</v>
      </c>
      <c r="IF25" t="e">
        <f>AND(#REF!,"AAAAAH3+/u8=")</f>
        <v>#REF!</v>
      </c>
      <c r="IG25" t="e">
        <f>AND(#REF!,"AAAAAH3+/vA=")</f>
        <v>#REF!</v>
      </c>
      <c r="IH25" t="e">
        <f>AND(#REF!,"AAAAAH3+/vE=")</f>
        <v>#REF!</v>
      </c>
      <c r="II25" t="e">
        <f>AND(#REF!,"AAAAAH3+/vI=")</f>
        <v>#REF!</v>
      </c>
      <c r="IJ25" t="e">
        <f>AND(#REF!,"AAAAAH3+/vM=")</f>
        <v>#REF!</v>
      </c>
      <c r="IK25" t="e">
        <f>AND(#REF!,"AAAAAH3+/vQ=")</f>
        <v>#REF!</v>
      </c>
      <c r="IL25" t="e">
        <f>AND(#REF!,"AAAAAH3+/vU=")</f>
        <v>#REF!</v>
      </c>
      <c r="IM25" t="e">
        <f>AND(#REF!,"AAAAAH3+/vY=")</f>
        <v>#REF!</v>
      </c>
      <c r="IN25" t="e">
        <f>AND(#REF!,"AAAAAH3+/vc=")</f>
        <v>#REF!</v>
      </c>
      <c r="IO25" t="e">
        <f>AND(#REF!,"AAAAAH3+/vg=")</f>
        <v>#REF!</v>
      </c>
      <c r="IP25" t="e">
        <f>AND(#REF!,"AAAAAH3+/vk=")</f>
        <v>#REF!</v>
      </c>
      <c r="IQ25" t="e">
        <f>AND(#REF!,"AAAAAH3+/vo=")</f>
        <v>#REF!</v>
      </c>
      <c r="IR25" t="e">
        <f>AND(#REF!,"AAAAAH3+/vs=")</f>
        <v>#REF!</v>
      </c>
      <c r="IS25" t="e">
        <f>AND(#REF!,"AAAAAH3+/vw=")</f>
        <v>#REF!</v>
      </c>
      <c r="IT25" t="e">
        <f>AND(#REF!,"AAAAAH3+/v0=")</f>
        <v>#REF!</v>
      </c>
      <c r="IU25" t="e">
        <f>AND(#REF!,"AAAAAH3+/v4=")</f>
        <v>#REF!</v>
      </c>
      <c r="IV25" t="e">
        <f>AND(#REF!,"AAAAAH3+/v8=")</f>
        <v>#REF!</v>
      </c>
    </row>
    <row r="26" spans="1:256" x14ac:dyDescent="0.25">
      <c r="A26" t="e">
        <f>AND(#REF!,"AAAAAHn//wA=")</f>
        <v>#REF!</v>
      </c>
      <c r="B26" t="e">
        <f>AND(#REF!,"AAAAAHn//wE=")</f>
        <v>#REF!</v>
      </c>
      <c r="C26" t="e">
        <f>AND(#REF!,"AAAAAHn//wI=")</f>
        <v>#REF!</v>
      </c>
      <c r="D26" t="e">
        <f>AND(#REF!,"AAAAAHn//wM=")</f>
        <v>#REF!</v>
      </c>
      <c r="E26" t="e">
        <f>AND(#REF!,"AAAAAHn//wQ=")</f>
        <v>#REF!</v>
      </c>
      <c r="F26" t="e">
        <f>AND(#REF!,"AAAAAHn//wU=")</f>
        <v>#REF!</v>
      </c>
      <c r="G26" t="e">
        <f>AND(#REF!,"AAAAAHn//wY=")</f>
        <v>#REF!</v>
      </c>
      <c r="H26" t="e">
        <f>AND(#REF!,"AAAAAHn//wc=")</f>
        <v>#REF!</v>
      </c>
      <c r="I26" t="e">
        <f>AND(#REF!,"AAAAAHn//wg=")</f>
        <v>#REF!</v>
      </c>
      <c r="J26" t="e">
        <f>AND(#REF!,"AAAAAHn//wk=")</f>
        <v>#REF!</v>
      </c>
      <c r="K26" t="e">
        <f>AND(#REF!,"AAAAAHn//wo=")</f>
        <v>#REF!</v>
      </c>
      <c r="L26" t="e">
        <f>AND(#REF!,"AAAAAHn//ws=")</f>
        <v>#REF!</v>
      </c>
      <c r="M26" t="e">
        <f>AND(#REF!,"AAAAAHn//ww=")</f>
        <v>#REF!</v>
      </c>
      <c r="N26" t="e">
        <f>AND(#REF!,"AAAAAHn//w0=")</f>
        <v>#REF!</v>
      </c>
      <c r="O26" t="e">
        <f>AND(#REF!,"AAAAAHn//w4=")</f>
        <v>#REF!</v>
      </c>
      <c r="P26" t="e">
        <f>AND(#REF!,"AAAAAHn//w8=")</f>
        <v>#REF!</v>
      </c>
      <c r="Q26" t="e">
        <f>AND(#REF!,"AAAAAHn//xA=")</f>
        <v>#REF!</v>
      </c>
      <c r="R26" t="e">
        <f>AND(#REF!,"AAAAAHn//xE=")</f>
        <v>#REF!</v>
      </c>
      <c r="S26" t="e">
        <f>AND(#REF!,"AAAAAHn//xI=")</f>
        <v>#REF!</v>
      </c>
      <c r="T26" t="e">
        <f>AND(#REF!,"AAAAAHn//xM=")</f>
        <v>#REF!</v>
      </c>
      <c r="U26" t="e">
        <f>AND(#REF!,"AAAAAHn//xQ=")</f>
        <v>#REF!</v>
      </c>
      <c r="V26" t="e">
        <f>AND(#REF!,"AAAAAHn//xU=")</f>
        <v>#REF!</v>
      </c>
      <c r="W26" t="e">
        <f>AND(#REF!,"AAAAAHn//xY=")</f>
        <v>#REF!</v>
      </c>
      <c r="X26" t="e">
        <f>AND(#REF!,"AAAAAHn//xc=")</f>
        <v>#REF!</v>
      </c>
      <c r="Y26" t="e">
        <f>AND(#REF!,"AAAAAHn//xg=")</f>
        <v>#REF!</v>
      </c>
      <c r="Z26" t="e">
        <f>AND(#REF!,"AAAAAHn//xk=")</f>
        <v>#REF!</v>
      </c>
      <c r="AA26" t="e">
        <f>AND(#REF!,"AAAAAHn//xo=")</f>
        <v>#REF!</v>
      </c>
      <c r="AB26" t="e">
        <f>AND(#REF!,"AAAAAHn//xs=")</f>
        <v>#REF!</v>
      </c>
      <c r="AC26" t="e">
        <f>AND(#REF!,"AAAAAHn//xw=")</f>
        <v>#REF!</v>
      </c>
      <c r="AD26" t="e">
        <f>AND(#REF!,"AAAAAHn//x0=")</f>
        <v>#REF!</v>
      </c>
      <c r="AE26" t="e">
        <f>AND(#REF!,"AAAAAHn//x4=")</f>
        <v>#REF!</v>
      </c>
      <c r="AF26" t="e">
        <f>AND(#REF!,"AAAAAHn//x8=")</f>
        <v>#REF!</v>
      </c>
      <c r="AG26" t="e">
        <f>AND(#REF!,"AAAAAHn//yA=")</f>
        <v>#REF!</v>
      </c>
      <c r="AH26" t="e">
        <f>AND(#REF!,"AAAAAHn//yE=")</f>
        <v>#REF!</v>
      </c>
      <c r="AI26" t="e">
        <f>AND(#REF!,"AAAAAHn//yI=")</f>
        <v>#REF!</v>
      </c>
      <c r="AJ26" t="e">
        <f>AND(#REF!,"AAAAAHn//yM=")</f>
        <v>#REF!</v>
      </c>
      <c r="AK26" t="e">
        <f>AND(#REF!,"AAAAAHn//yQ=")</f>
        <v>#REF!</v>
      </c>
      <c r="AL26" t="e">
        <f>AND(#REF!,"AAAAAHn//yU=")</f>
        <v>#REF!</v>
      </c>
      <c r="AM26" t="e">
        <f>AND(#REF!,"AAAAAHn//yY=")</f>
        <v>#REF!</v>
      </c>
      <c r="AN26" t="e">
        <f>AND(#REF!,"AAAAAHn//yc=")</f>
        <v>#REF!</v>
      </c>
      <c r="AO26" t="e">
        <f>AND(#REF!,"AAAAAHn//yg=")</f>
        <v>#REF!</v>
      </c>
      <c r="AP26" t="e">
        <f>AND(#REF!,"AAAAAHn//yk=")</f>
        <v>#REF!</v>
      </c>
      <c r="AQ26" t="e">
        <f>AND(#REF!,"AAAAAHn//yo=")</f>
        <v>#REF!</v>
      </c>
      <c r="AR26" t="e">
        <f>AND(#REF!,"AAAAAHn//ys=")</f>
        <v>#REF!</v>
      </c>
      <c r="AS26" t="e">
        <f>AND(#REF!,"AAAAAHn//yw=")</f>
        <v>#REF!</v>
      </c>
      <c r="AT26" t="e">
        <f>AND(#REF!,"AAAAAHn//y0=")</f>
        <v>#REF!</v>
      </c>
      <c r="AU26" t="e">
        <f>AND(#REF!,"AAAAAHn//y4=")</f>
        <v>#REF!</v>
      </c>
      <c r="AV26" t="e">
        <f>AND(#REF!,"AAAAAHn//y8=")</f>
        <v>#REF!</v>
      </c>
      <c r="AW26" t="e">
        <f>AND(#REF!,"AAAAAHn//zA=")</f>
        <v>#REF!</v>
      </c>
      <c r="AX26" t="e">
        <f>AND(#REF!,"AAAAAHn//zE=")</f>
        <v>#REF!</v>
      </c>
      <c r="AY26" t="e">
        <f>AND(#REF!,"AAAAAHn//zI=")</f>
        <v>#REF!</v>
      </c>
      <c r="AZ26" t="e">
        <f>AND(#REF!,"AAAAAHn//zM=")</f>
        <v>#REF!</v>
      </c>
      <c r="BA26" t="e">
        <f>AND(#REF!,"AAAAAHn//zQ=")</f>
        <v>#REF!</v>
      </c>
      <c r="BB26" t="e">
        <f>AND(#REF!,"AAAAAHn//zU=")</f>
        <v>#REF!</v>
      </c>
      <c r="BC26" t="e">
        <f>AND(#REF!,"AAAAAHn//zY=")</f>
        <v>#REF!</v>
      </c>
      <c r="BD26" t="e">
        <f>AND(#REF!,"AAAAAHn//zc=")</f>
        <v>#REF!</v>
      </c>
      <c r="BE26" t="e">
        <f>AND(#REF!,"AAAAAHn//zg=")</f>
        <v>#REF!</v>
      </c>
      <c r="BF26" t="e">
        <f>AND(#REF!,"AAAAAHn//zk=")</f>
        <v>#REF!</v>
      </c>
      <c r="BG26" t="e">
        <f>AND(#REF!,"AAAAAHn//zo=")</f>
        <v>#REF!</v>
      </c>
      <c r="BH26" t="e">
        <f>AND(#REF!,"AAAAAHn//zs=")</f>
        <v>#REF!</v>
      </c>
      <c r="BI26" t="e">
        <f>AND(#REF!,"AAAAAHn//zw=")</f>
        <v>#REF!</v>
      </c>
      <c r="BJ26" t="e">
        <f>AND(#REF!,"AAAAAHn//z0=")</f>
        <v>#REF!</v>
      </c>
      <c r="BK26" t="e">
        <f>AND(#REF!,"AAAAAHn//z4=")</f>
        <v>#REF!</v>
      </c>
      <c r="BL26" t="e">
        <f>IF(#REF!,"AAAAAHn//z8=",0)</f>
        <v>#REF!</v>
      </c>
      <c r="BM26" t="e">
        <f>AND(#REF!,"AAAAAHn//0A=")</f>
        <v>#REF!</v>
      </c>
      <c r="BN26" t="e">
        <f>AND(#REF!,"AAAAAHn//0E=")</f>
        <v>#REF!</v>
      </c>
      <c r="BO26" t="e">
        <f>AND(#REF!,"AAAAAHn//0I=")</f>
        <v>#REF!</v>
      </c>
      <c r="BP26" t="e">
        <f>AND(#REF!,"AAAAAHn//0M=")</f>
        <v>#REF!</v>
      </c>
      <c r="BQ26" t="e">
        <f>AND(#REF!,"AAAAAHn//0Q=")</f>
        <v>#REF!</v>
      </c>
      <c r="BR26" t="e">
        <f>AND(#REF!,"AAAAAHn//0U=")</f>
        <v>#REF!</v>
      </c>
      <c r="BS26" t="e">
        <f>AND(#REF!,"AAAAAHn//0Y=")</f>
        <v>#REF!</v>
      </c>
      <c r="BT26" t="e">
        <f>AND(#REF!,"AAAAAHn//0c=")</f>
        <v>#REF!</v>
      </c>
      <c r="BU26" t="e">
        <f>AND(#REF!,"AAAAAHn//0g=")</f>
        <v>#REF!</v>
      </c>
      <c r="BV26" t="e">
        <f>AND(#REF!,"AAAAAHn//0k=")</f>
        <v>#REF!</v>
      </c>
      <c r="BW26" t="e">
        <f>AND(#REF!,"AAAAAHn//0o=")</f>
        <v>#REF!</v>
      </c>
      <c r="BX26" t="e">
        <f>AND(#REF!,"AAAAAHn//0s=")</f>
        <v>#REF!</v>
      </c>
      <c r="BY26" t="e">
        <f>AND(#REF!,"AAAAAHn//0w=")</f>
        <v>#REF!</v>
      </c>
      <c r="BZ26" t="e">
        <f>AND(#REF!,"AAAAAHn//00=")</f>
        <v>#REF!</v>
      </c>
      <c r="CA26" t="e">
        <f>AND(#REF!,"AAAAAHn//04=")</f>
        <v>#REF!</v>
      </c>
      <c r="CB26" t="e">
        <f>AND(#REF!,"AAAAAHn//08=")</f>
        <v>#REF!</v>
      </c>
      <c r="CC26" t="e">
        <f>AND(#REF!,"AAAAAHn//1A=")</f>
        <v>#REF!</v>
      </c>
      <c r="CD26" t="e">
        <f>AND(#REF!,"AAAAAHn//1E=")</f>
        <v>#REF!</v>
      </c>
      <c r="CE26" t="e">
        <f>AND(#REF!,"AAAAAHn//1I=")</f>
        <v>#REF!</v>
      </c>
      <c r="CF26" t="e">
        <f>AND(#REF!,"AAAAAHn//1M=")</f>
        <v>#REF!</v>
      </c>
      <c r="CG26" t="e">
        <f>AND(#REF!,"AAAAAHn//1Q=")</f>
        <v>#REF!</v>
      </c>
      <c r="CH26" t="e">
        <f>AND(#REF!,"AAAAAHn//1U=")</f>
        <v>#REF!</v>
      </c>
      <c r="CI26" t="e">
        <f>AND(#REF!,"AAAAAHn//1Y=")</f>
        <v>#REF!</v>
      </c>
      <c r="CJ26" t="e">
        <f>AND(#REF!,"AAAAAHn//1c=")</f>
        <v>#REF!</v>
      </c>
      <c r="CK26" t="e">
        <f>AND(#REF!,"AAAAAHn//1g=")</f>
        <v>#REF!</v>
      </c>
      <c r="CL26" t="e">
        <f>AND(#REF!,"AAAAAHn//1k=")</f>
        <v>#REF!</v>
      </c>
      <c r="CM26" t="e">
        <f>AND(#REF!,"AAAAAHn//1o=")</f>
        <v>#REF!</v>
      </c>
      <c r="CN26" t="e">
        <f>AND(#REF!,"AAAAAHn//1s=")</f>
        <v>#REF!</v>
      </c>
      <c r="CO26" t="e">
        <f>AND(#REF!,"AAAAAHn//1w=")</f>
        <v>#REF!</v>
      </c>
      <c r="CP26" t="e">
        <f>AND(#REF!,"AAAAAHn//10=")</f>
        <v>#REF!</v>
      </c>
      <c r="CQ26" t="e">
        <f>AND(#REF!,"AAAAAHn//14=")</f>
        <v>#REF!</v>
      </c>
      <c r="CR26" t="e">
        <f>AND(#REF!,"AAAAAHn//18=")</f>
        <v>#REF!</v>
      </c>
      <c r="CS26" t="e">
        <f>AND(#REF!,"AAAAAHn//2A=")</f>
        <v>#REF!</v>
      </c>
      <c r="CT26" t="e">
        <f>AND(#REF!,"AAAAAHn//2E=")</f>
        <v>#REF!</v>
      </c>
      <c r="CU26" t="e">
        <f>AND(#REF!,"AAAAAHn//2I=")</f>
        <v>#REF!</v>
      </c>
      <c r="CV26" t="e">
        <f>AND(#REF!,"AAAAAHn//2M=")</f>
        <v>#REF!</v>
      </c>
      <c r="CW26" t="e">
        <f>AND(#REF!,"AAAAAHn//2Q=")</f>
        <v>#REF!</v>
      </c>
      <c r="CX26" t="e">
        <f>AND(#REF!,"AAAAAHn//2U=")</f>
        <v>#REF!</v>
      </c>
      <c r="CY26" t="e">
        <f>AND(#REF!,"AAAAAHn//2Y=")</f>
        <v>#REF!</v>
      </c>
      <c r="CZ26" t="e">
        <f>AND(#REF!,"AAAAAHn//2c=")</f>
        <v>#REF!</v>
      </c>
      <c r="DA26" t="e">
        <f>AND(#REF!,"AAAAAHn//2g=")</f>
        <v>#REF!</v>
      </c>
      <c r="DB26" t="e">
        <f>AND(#REF!,"AAAAAHn//2k=")</f>
        <v>#REF!</v>
      </c>
      <c r="DC26" t="e">
        <f>AND(#REF!,"AAAAAHn//2o=")</f>
        <v>#REF!</v>
      </c>
      <c r="DD26" t="e">
        <f>AND(#REF!,"AAAAAHn//2s=")</f>
        <v>#REF!</v>
      </c>
      <c r="DE26" t="e">
        <f>AND(#REF!,"AAAAAHn//2w=")</f>
        <v>#REF!</v>
      </c>
      <c r="DF26" t="e">
        <f>AND(#REF!,"AAAAAHn//20=")</f>
        <v>#REF!</v>
      </c>
      <c r="DG26" t="e">
        <f>AND(#REF!,"AAAAAHn//24=")</f>
        <v>#REF!</v>
      </c>
      <c r="DH26" t="e">
        <f>AND(#REF!,"AAAAAHn//28=")</f>
        <v>#REF!</v>
      </c>
      <c r="DI26" t="e">
        <f>AND(#REF!,"AAAAAHn//3A=")</f>
        <v>#REF!</v>
      </c>
      <c r="DJ26" t="e">
        <f>AND(#REF!,"AAAAAHn//3E=")</f>
        <v>#REF!</v>
      </c>
      <c r="DK26" t="e">
        <f>AND(#REF!,"AAAAAHn//3I=")</f>
        <v>#REF!</v>
      </c>
      <c r="DL26" t="e">
        <f>AND(#REF!,"AAAAAHn//3M=")</f>
        <v>#REF!</v>
      </c>
      <c r="DM26" t="e">
        <f>AND(#REF!,"AAAAAHn//3Q=")</f>
        <v>#REF!</v>
      </c>
      <c r="DN26" t="e">
        <f>AND(#REF!,"AAAAAHn//3U=")</f>
        <v>#REF!</v>
      </c>
      <c r="DO26" t="e">
        <f>AND(#REF!,"AAAAAHn//3Y=")</f>
        <v>#REF!</v>
      </c>
      <c r="DP26" t="e">
        <f>AND(#REF!,"AAAAAHn//3c=")</f>
        <v>#REF!</v>
      </c>
      <c r="DQ26" t="e">
        <f>AND(#REF!,"AAAAAHn//3g=")</f>
        <v>#REF!</v>
      </c>
      <c r="DR26" t="e">
        <f>AND(#REF!,"AAAAAHn//3k=")</f>
        <v>#REF!</v>
      </c>
      <c r="DS26" t="e">
        <f>AND(#REF!,"AAAAAHn//3o=")</f>
        <v>#REF!</v>
      </c>
      <c r="DT26" t="e">
        <f>AND(#REF!,"AAAAAHn//3s=")</f>
        <v>#REF!</v>
      </c>
      <c r="DU26" t="e">
        <f>AND(#REF!,"AAAAAHn//3w=")</f>
        <v>#REF!</v>
      </c>
      <c r="DV26" t="e">
        <f>AND(#REF!,"AAAAAHn//30=")</f>
        <v>#REF!</v>
      </c>
      <c r="DW26" t="e">
        <f>AND(#REF!,"AAAAAHn//34=")</f>
        <v>#REF!</v>
      </c>
      <c r="DX26" t="e">
        <f>AND(#REF!,"AAAAAHn//38=")</f>
        <v>#REF!</v>
      </c>
      <c r="DY26" t="e">
        <f>AND(#REF!,"AAAAAHn//4A=")</f>
        <v>#REF!</v>
      </c>
      <c r="DZ26" t="e">
        <f>AND(#REF!,"AAAAAHn//4E=")</f>
        <v>#REF!</v>
      </c>
      <c r="EA26" t="e">
        <f>AND(#REF!,"AAAAAHn//4I=")</f>
        <v>#REF!</v>
      </c>
      <c r="EB26" t="e">
        <f>AND(#REF!,"AAAAAHn//4M=")</f>
        <v>#REF!</v>
      </c>
      <c r="EC26" t="e">
        <f>AND(#REF!,"AAAAAHn//4Q=")</f>
        <v>#REF!</v>
      </c>
      <c r="ED26" t="e">
        <f>AND(#REF!,"AAAAAHn//4U=")</f>
        <v>#REF!</v>
      </c>
      <c r="EE26" t="e">
        <f>AND(#REF!,"AAAAAHn//4Y=")</f>
        <v>#REF!</v>
      </c>
      <c r="EF26" t="e">
        <f>AND(#REF!,"AAAAAHn//4c=")</f>
        <v>#REF!</v>
      </c>
      <c r="EG26" t="e">
        <f>AND(#REF!,"AAAAAHn//4g=")</f>
        <v>#REF!</v>
      </c>
      <c r="EH26" t="e">
        <f>AND(#REF!,"AAAAAHn//4k=")</f>
        <v>#REF!</v>
      </c>
      <c r="EI26" t="e">
        <f>AND(#REF!,"AAAAAHn//4o=")</f>
        <v>#REF!</v>
      </c>
      <c r="EJ26" t="e">
        <f>AND(#REF!,"AAAAAHn//4s=")</f>
        <v>#REF!</v>
      </c>
      <c r="EK26" t="e">
        <f>AND(#REF!,"AAAAAHn//4w=")</f>
        <v>#REF!</v>
      </c>
      <c r="EL26" t="e">
        <f>AND(#REF!,"AAAAAHn//40=")</f>
        <v>#REF!</v>
      </c>
      <c r="EM26" t="e">
        <f>AND(#REF!,"AAAAAHn//44=")</f>
        <v>#REF!</v>
      </c>
      <c r="EN26" t="e">
        <f>AND(#REF!,"AAAAAHn//48=")</f>
        <v>#REF!</v>
      </c>
      <c r="EO26" t="e">
        <f>AND(#REF!,"AAAAAHn//5A=")</f>
        <v>#REF!</v>
      </c>
      <c r="EP26" t="e">
        <f>AND(#REF!,"AAAAAHn//5E=")</f>
        <v>#REF!</v>
      </c>
      <c r="EQ26" t="e">
        <f>AND(#REF!,"AAAAAHn//5I=")</f>
        <v>#REF!</v>
      </c>
      <c r="ER26" t="e">
        <f>AND(#REF!,"AAAAAHn//5M=")</f>
        <v>#REF!</v>
      </c>
      <c r="ES26" t="e">
        <f>AND(#REF!,"AAAAAHn//5Q=")</f>
        <v>#REF!</v>
      </c>
      <c r="ET26" t="e">
        <f>AND(#REF!,"AAAAAHn//5U=")</f>
        <v>#REF!</v>
      </c>
      <c r="EU26" t="e">
        <f>AND(#REF!,"AAAAAHn//5Y=")</f>
        <v>#REF!</v>
      </c>
      <c r="EV26" t="e">
        <f>AND(#REF!,"AAAAAHn//5c=")</f>
        <v>#REF!</v>
      </c>
      <c r="EW26" t="e">
        <f>AND(#REF!,"AAAAAHn//5g=")</f>
        <v>#REF!</v>
      </c>
      <c r="EX26" t="e">
        <f>AND(#REF!,"AAAAAHn//5k=")</f>
        <v>#REF!</v>
      </c>
      <c r="EY26" t="e">
        <f>AND(#REF!,"AAAAAHn//5o=")</f>
        <v>#REF!</v>
      </c>
      <c r="EZ26" t="e">
        <f>AND(#REF!,"AAAAAHn//5s=")</f>
        <v>#REF!</v>
      </c>
      <c r="FA26" t="e">
        <f>AND(#REF!,"AAAAAHn//5w=")</f>
        <v>#REF!</v>
      </c>
      <c r="FB26" t="e">
        <f>AND(#REF!,"AAAAAHn//50=")</f>
        <v>#REF!</v>
      </c>
      <c r="FC26" t="e">
        <f>AND(#REF!,"AAAAAHn//54=")</f>
        <v>#REF!</v>
      </c>
      <c r="FD26" t="e">
        <f>AND(#REF!,"AAAAAHn//58=")</f>
        <v>#REF!</v>
      </c>
      <c r="FE26" t="e">
        <f>AND(#REF!,"AAAAAHn//6A=")</f>
        <v>#REF!</v>
      </c>
      <c r="FF26" t="e">
        <f>AND(#REF!,"AAAAAHn//6E=")</f>
        <v>#REF!</v>
      </c>
      <c r="FG26" t="e">
        <f>AND(#REF!,"AAAAAHn//6I=")</f>
        <v>#REF!</v>
      </c>
      <c r="FH26" t="e">
        <f>AND(#REF!,"AAAAAHn//6M=")</f>
        <v>#REF!</v>
      </c>
      <c r="FI26" t="e">
        <f>AND(#REF!,"AAAAAHn//6Q=")</f>
        <v>#REF!</v>
      </c>
      <c r="FJ26" t="e">
        <f>AND(#REF!,"AAAAAHn//6U=")</f>
        <v>#REF!</v>
      </c>
      <c r="FK26" t="e">
        <f>AND(#REF!,"AAAAAHn//6Y=")</f>
        <v>#REF!</v>
      </c>
      <c r="FL26" t="e">
        <f>AND(#REF!,"AAAAAHn//6c=")</f>
        <v>#REF!</v>
      </c>
      <c r="FM26" t="e">
        <f>AND(#REF!,"AAAAAHn//6g=")</f>
        <v>#REF!</v>
      </c>
      <c r="FN26" t="e">
        <f>AND(#REF!,"AAAAAHn//6k=")</f>
        <v>#REF!</v>
      </c>
      <c r="FO26" t="e">
        <f>AND(#REF!,"AAAAAHn//6o=")</f>
        <v>#REF!</v>
      </c>
      <c r="FP26" t="e">
        <f>AND(#REF!,"AAAAAHn//6s=")</f>
        <v>#REF!</v>
      </c>
      <c r="FQ26" t="e">
        <f>AND(#REF!,"AAAAAHn//6w=")</f>
        <v>#REF!</v>
      </c>
      <c r="FR26" t="e">
        <f>AND(#REF!,"AAAAAHn//60=")</f>
        <v>#REF!</v>
      </c>
      <c r="FS26" t="e">
        <f>AND(#REF!,"AAAAAHn//64=")</f>
        <v>#REF!</v>
      </c>
      <c r="FT26" t="e">
        <f>AND(#REF!,"AAAAAHn//68=")</f>
        <v>#REF!</v>
      </c>
      <c r="FU26" t="e">
        <f>AND(#REF!,"AAAAAHn//7A=")</f>
        <v>#REF!</v>
      </c>
      <c r="FV26" t="e">
        <f>AND(#REF!,"AAAAAHn//7E=")</f>
        <v>#REF!</v>
      </c>
      <c r="FW26" t="e">
        <f>AND(#REF!,"AAAAAHn//7I=")</f>
        <v>#REF!</v>
      </c>
      <c r="FX26" t="e">
        <f>AND(#REF!,"AAAAAHn//7M=")</f>
        <v>#REF!</v>
      </c>
      <c r="FY26" t="e">
        <f>AND(#REF!,"AAAAAHn//7Q=")</f>
        <v>#REF!</v>
      </c>
      <c r="FZ26" t="e">
        <f>AND(#REF!,"AAAAAHn//7U=")</f>
        <v>#REF!</v>
      </c>
      <c r="GA26" t="e">
        <f>AND(#REF!,"AAAAAHn//7Y=")</f>
        <v>#REF!</v>
      </c>
      <c r="GB26" t="e">
        <f>AND(#REF!,"AAAAAHn//7c=")</f>
        <v>#REF!</v>
      </c>
      <c r="GC26" t="e">
        <f>AND(#REF!,"AAAAAHn//7g=")</f>
        <v>#REF!</v>
      </c>
      <c r="GD26" t="e">
        <f>AND(#REF!,"AAAAAHn//7k=")</f>
        <v>#REF!</v>
      </c>
      <c r="GE26" t="e">
        <f>AND(#REF!,"AAAAAHn//7o=")</f>
        <v>#REF!</v>
      </c>
      <c r="GF26" t="e">
        <f>AND(#REF!,"AAAAAHn//7s=")</f>
        <v>#REF!</v>
      </c>
      <c r="GG26" t="e">
        <f>AND(#REF!,"AAAAAHn//7w=")</f>
        <v>#REF!</v>
      </c>
      <c r="GH26" t="e">
        <f>AND(#REF!,"AAAAAHn//70=")</f>
        <v>#REF!</v>
      </c>
      <c r="GI26" t="e">
        <f>AND(#REF!,"AAAAAHn//74=")</f>
        <v>#REF!</v>
      </c>
      <c r="GJ26" t="e">
        <f>AND(#REF!,"AAAAAHn//78=")</f>
        <v>#REF!</v>
      </c>
      <c r="GK26" t="e">
        <f>AND(#REF!,"AAAAAHn//8A=")</f>
        <v>#REF!</v>
      </c>
      <c r="GL26" t="e">
        <f>AND(#REF!,"AAAAAHn//8E=")</f>
        <v>#REF!</v>
      </c>
      <c r="GM26" t="e">
        <f>AND(#REF!,"AAAAAHn//8I=")</f>
        <v>#REF!</v>
      </c>
      <c r="GN26" t="e">
        <f>AND(#REF!,"AAAAAHn//8M=")</f>
        <v>#REF!</v>
      </c>
      <c r="GO26" t="e">
        <f>AND(#REF!,"AAAAAHn//8Q=")</f>
        <v>#REF!</v>
      </c>
      <c r="GP26" t="e">
        <f>AND(#REF!,"AAAAAHn//8U=")</f>
        <v>#REF!</v>
      </c>
      <c r="GQ26" t="e">
        <f>AND(#REF!,"AAAAAHn//8Y=")</f>
        <v>#REF!</v>
      </c>
      <c r="GR26" t="e">
        <f>AND(#REF!,"AAAAAHn//8c=")</f>
        <v>#REF!</v>
      </c>
      <c r="GS26" t="e">
        <f>AND(#REF!,"AAAAAHn//8g=")</f>
        <v>#REF!</v>
      </c>
      <c r="GT26" t="e">
        <f>AND(#REF!,"AAAAAHn//8k=")</f>
        <v>#REF!</v>
      </c>
      <c r="GU26" t="e">
        <f>AND(#REF!,"AAAAAHn//8o=")</f>
        <v>#REF!</v>
      </c>
      <c r="GV26" t="e">
        <f>AND(#REF!,"AAAAAHn//8s=")</f>
        <v>#REF!</v>
      </c>
      <c r="GW26" t="e">
        <f>AND(#REF!,"AAAAAHn//8w=")</f>
        <v>#REF!</v>
      </c>
      <c r="GX26" t="e">
        <f>AND(#REF!,"AAAAAHn//80=")</f>
        <v>#REF!</v>
      </c>
      <c r="GY26" t="e">
        <f>AND(#REF!,"AAAAAHn//84=")</f>
        <v>#REF!</v>
      </c>
      <c r="GZ26" t="e">
        <f>AND(#REF!,"AAAAAHn//88=")</f>
        <v>#REF!</v>
      </c>
      <c r="HA26" t="e">
        <f>AND(#REF!,"AAAAAHn//9A=")</f>
        <v>#REF!</v>
      </c>
      <c r="HB26" t="e">
        <f>AND(#REF!,"AAAAAHn//9E=")</f>
        <v>#REF!</v>
      </c>
      <c r="HC26" t="e">
        <f>AND(#REF!,"AAAAAHn//9I=")</f>
        <v>#REF!</v>
      </c>
      <c r="HD26" t="e">
        <f>AND(#REF!,"AAAAAHn//9M=")</f>
        <v>#REF!</v>
      </c>
      <c r="HE26" t="e">
        <f>AND(#REF!,"AAAAAHn//9Q=")</f>
        <v>#REF!</v>
      </c>
      <c r="HF26" t="e">
        <f>AND(#REF!,"AAAAAHn//9U=")</f>
        <v>#REF!</v>
      </c>
      <c r="HG26" t="e">
        <f>AND(#REF!,"AAAAAHn//9Y=")</f>
        <v>#REF!</v>
      </c>
      <c r="HH26" t="e">
        <f>AND(#REF!,"AAAAAHn//9c=")</f>
        <v>#REF!</v>
      </c>
      <c r="HI26" t="e">
        <f>AND(#REF!,"AAAAAHn//9g=")</f>
        <v>#REF!</v>
      </c>
      <c r="HJ26" t="e">
        <f>AND(#REF!,"AAAAAHn//9k=")</f>
        <v>#REF!</v>
      </c>
      <c r="HK26" t="e">
        <f>AND(#REF!,"AAAAAHn//9o=")</f>
        <v>#REF!</v>
      </c>
      <c r="HL26" t="e">
        <f>AND(#REF!,"AAAAAHn//9s=")</f>
        <v>#REF!</v>
      </c>
      <c r="HM26" t="e">
        <f>AND(#REF!,"AAAAAHn//9w=")</f>
        <v>#REF!</v>
      </c>
      <c r="HN26" t="e">
        <f>AND(#REF!,"AAAAAHn//90=")</f>
        <v>#REF!</v>
      </c>
      <c r="HO26" t="e">
        <f>AND(#REF!,"AAAAAHn//94=")</f>
        <v>#REF!</v>
      </c>
      <c r="HP26" t="e">
        <f>AND(#REF!,"AAAAAHn//98=")</f>
        <v>#REF!</v>
      </c>
      <c r="HQ26" t="e">
        <f>AND(#REF!,"AAAAAHn//+A=")</f>
        <v>#REF!</v>
      </c>
      <c r="HR26" t="e">
        <f>AND(#REF!,"AAAAAHn//+E=")</f>
        <v>#REF!</v>
      </c>
      <c r="HS26" t="e">
        <f>AND(#REF!,"AAAAAHn//+I=")</f>
        <v>#REF!</v>
      </c>
      <c r="HT26" t="e">
        <f>AND(#REF!,"AAAAAHn//+M=")</f>
        <v>#REF!</v>
      </c>
      <c r="HU26" t="e">
        <f>AND(#REF!,"AAAAAHn//+Q=")</f>
        <v>#REF!</v>
      </c>
      <c r="HV26" t="e">
        <f>AND(#REF!,"AAAAAHn//+U=")</f>
        <v>#REF!</v>
      </c>
      <c r="HW26" t="e">
        <f>AND(#REF!,"AAAAAHn//+Y=")</f>
        <v>#REF!</v>
      </c>
      <c r="HX26" t="e">
        <f>AND(#REF!,"AAAAAHn//+c=")</f>
        <v>#REF!</v>
      </c>
      <c r="HY26" t="e">
        <f>AND(#REF!,"AAAAAHn//+g=")</f>
        <v>#REF!</v>
      </c>
      <c r="HZ26" t="e">
        <f>AND(#REF!,"AAAAAHn//+k=")</f>
        <v>#REF!</v>
      </c>
      <c r="IA26" t="e">
        <f>AND(#REF!,"AAAAAHn//+o=")</f>
        <v>#REF!</v>
      </c>
      <c r="IB26" t="e">
        <f>AND(#REF!,"AAAAAHn//+s=")</f>
        <v>#REF!</v>
      </c>
      <c r="IC26" t="e">
        <f>AND(#REF!,"AAAAAHn//+w=")</f>
        <v>#REF!</v>
      </c>
      <c r="ID26" t="e">
        <f>AND(#REF!,"AAAAAHn//+0=")</f>
        <v>#REF!</v>
      </c>
      <c r="IE26" t="e">
        <f>AND(#REF!,"AAAAAHn//+4=")</f>
        <v>#REF!</v>
      </c>
      <c r="IF26" t="e">
        <f>AND(#REF!,"AAAAAHn//+8=")</f>
        <v>#REF!</v>
      </c>
      <c r="IG26" t="e">
        <f>AND(#REF!,"AAAAAHn///A=")</f>
        <v>#REF!</v>
      </c>
      <c r="IH26" t="e">
        <f>AND(#REF!,"AAAAAHn///E=")</f>
        <v>#REF!</v>
      </c>
      <c r="II26" t="e">
        <f>AND(#REF!,"AAAAAHn///I=")</f>
        <v>#REF!</v>
      </c>
      <c r="IJ26" t="e">
        <f>AND(#REF!,"AAAAAHn///M=")</f>
        <v>#REF!</v>
      </c>
      <c r="IK26" t="e">
        <f>AND(#REF!,"AAAAAHn///Q=")</f>
        <v>#REF!</v>
      </c>
      <c r="IL26" t="e">
        <f>AND(#REF!,"AAAAAHn///U=")</f>
        <v>#REF!</v>
      </c>
      <c r="IM26" t="e">
        <f>AND(#REF!,"AAAAAHn///Y=")</f>
        <v>#REF!</v>
      </c>
      <c r="IN26" t="e">
        <f>AND(#REF!,"AAAAAHn///c=")</f>
        <v>#REF!</v>
      </c>
      <c r="IO26" t="e">
        <f>AND(#REF!,"AAAAAHn///g=")</f>
        <v>#REF!</v>
      </c>
      <c r="IP26" t="e">
        <f>AND(#REF!,"AAAAAHn///k=")</f>
        <v>#REF!</v>
      </c>
      <c r="IQ26" t="e">
        <f>AND(#REF!,"AAAAAHn///o=")</f>
        <v>#REF!</v>
      </c>
      <c r="IR26" t="e">
        <f>AND(#REF!,"AAAAAHn///s=")</f>
        <v>#REF!</v>
      </c>
      <c r="IS26" t="e">
        <f>IF(#REF!,"AAAAAHn///w=",0)</f>
        <v>#REF!</v>
      </c>
      <c r="IT26" t="e">
        <f>AND(#REF!,"AAAAAHn///0=")</f>
        <v>#REF!</v>
      </c>
      <c r="IU26" t="e">
        <f>AND(#REF!,"AAAAAHn///4=")</f>
        <v>#REF!</v>
      </c>
      <c r="IV26" t="e">
        <f>AND(#REF!,"AAAAAHn///8=")</f>
        <v>#REF!</v>
      </c>
    </row>
    <row r="27" spans="1:256" x14ac:dyDescent="0.25">
      <c r="A27" t="e">
        <f>AND(#REF!,"AAAAAH/3bwA=")</f>
        <v>#REF!</v>
      </c>
      <c r="B27" t="e">
        <f>AND(#REF!,"AAAAAH/3bwE=")</f>
        <v>#REF!</v>
      </c>
      <c r="C27" t="e">
        <f>AND(#REF!,"AAAAAH/3bwI=")</f>
        <v>#REF!</v>
      </c>
      <c r="D27" t="e">
        <f>AND(#REF!,"AAAAAH/3bwM=")</f>
        <v>#REF!</v>
      </c>
      <c r="E27" t="e">
        <f>AND(#REF!,"AAAAAH/3bwQ=")</f>
        <v>#REF!</v>
      </c>
      <c r="F27" t="e">
        <f>AND(#REF!,"AAAAAH/3bwU=")</f>
        <v>#REF!</v>
      </c>
      <c r="G27" t="e">
        <f>AND(#REF!,"AAAAAH/3bwY=")</f>
        <v>#REF!</v>
      </c>
      <c r="H27" t="e">
        <f>AND(#REF!,"AAAAAH/3bwc=")</f>
        <v>#REF!</v>
      </c>
      <c r="I27" t="e">
        <f>AND(#REF!,"AAAAAH/3bwg=")</f>
        <v>#REF!</v>
      </c>
      <c r="J27" t="e">
        <f>AND(#REF!,"AAAAAH/3bwk=")</f>
        <v>#REF!</v>
      </c>
      <c r="K27" t="e">
        <f>AND(#REF!,"AAAAAH/3bwo=")</f>
        <v>#REF!</v>
      </c>
      <c r="L27" t="e">
        <f>AND(#REF!,"AAAAAH/3bws=")</f>
        <v>#REF!</v>
      </c>
      <c r="M27" t="e">
        <f>AND(#REF!,"AAAAAH/3bww=")</f>
        <v>#REF!</v>
      </c>
      <c r="N27" t="e">
        <f>AND(#REF!,"AAAAAH/3bw0=")</f>
        <v>#REF!</v>
      </c>
      <c r="O27" t="e">
        <f>AND(#REF!,"AAAAAH/3bw4=")</f>
        <v>#REF!</v>
      </c>
      <c r="P27" t="e">
        <f>AND(#REF!,"AAAAAH/3bw8=")</f>
        <v>#REF!</v>
      </c>
      <c r="Q27" t="e">
        <f>AND(#REF!,"AAAAAH/3bxA=")</f>
        <v>#REF!</v>
      </c>
      <c r="R27" t="e">
        <f>AND(#REF!,"AAAAAH/3bxE=")</f>
        <v>#REF!</v>
      </c>
      <c r="S27" t="e">
        <f>AND(#REF!,"AAAAAH/3bxI=")</f>
        <v>#REF!</v>
      </c>
      <c r="T27" t="e">
        <f>AND(#REF!,"AAAAAH/3bxM=")</f>
        <v>#REF!</v>
      </c>
      <c r="U27" t="e">
        <f>AND(#REF!,"AAAAAH/3bxQ=")</f>
        <v>#REF!</v>
      </c>
      <c r="V27" t="e">
        <f>AND(#REF!,"AAAAAH/3bxU=")</f>
        <v>#REF!</v>
      </c>
      <c r="W27" t="e">
        <f>AND(#REF!,"AAAAAH/3bxY=")</f>
        <v>#REF!</v>
      </c>
      <c r="X27" t="e">
        <f>AND(#REF!,"AAAAAH/3bxc=")</f>
        <v>#REF!</v>
      </c>
      <c r="Y27" t="e">
        <f>AND(#REF!,"AAAAAH/3bxg=")</f>
        <v>#REF!</v>
      </c>
      <c r="Z27" t="e">
        <f>AND(#REF!,"AAAAAH/3bxk=")</f>
        <v>#REF!</v>
      </c>
      <c r="AA27" t="e">
        <f>AND(#REF!,"AAAAAH/3bxo=")</f>
        <v>#REF!</v>
      </c>
      <c r="AB27" t="e">
        <f>AND(#REF!,"AAAAAH/3bxs=")</f>
        <v>#REF!</v>
      </c>
      <c r="AC27" t="e">
        <f>AND(#REF!,"AAAAAH/3bxw=")</f>
        <v>#REF!</v>
      </c>
      <c r="AD27" t="e">
        <f>AND(#REF!,"AAAAAH/3bx0=")</f>
        <v>#REF!</v>
      </c>
      <c r="AE27" t="e">
        <f>AND(#REF!,"AAAAAH/3bx4=")</f>
        <v>#REF!</v>
      </c>
      <c r="AF27" t="e">
        <f>AND(#REF!,"AAAAAH/3bx8=")</f>
        <v>#REF!</v>
      </c>
      <c r="AG27" t="e">
        <f>AND(#REF!,"AAAAAH/3byA=")</f>
        <v>#REF!</v>
      </c>
      <c r="AH27" t="e">
        <f>AND(#REF!,"AAAAAH/3byE=")</f>
        <v>#REF!</v>
      </c>
      <c r="AI27" t="e">
        <f>AND(#REF!,"AAAAAH/3byI=")</f>
        <v>#REF!</v>
      </c>
      <c r="AJ27" t="e">
        <f>AND(#REF!,"AAAAAH/3byM=")</f>
        <v>#REF!</v>
      </c>
      <c r="AK27" t="e">
        <f>AND(#REF!,"AAAAAH/3byQ=")</f>
        <v>#REF!</v>
      </c>
      <c r="AL27" t="e">
        <f>AND(#REF!,"AAAAAH/3byU=")</f>
        <v>#REF!</v>
      </c>
      <c r="AM27" t="e">
        <f>AND(#REF!,"AAAAAH/3byY=")</f>
        <v>#REF!</v>
      </c>
      <c r="AN27" t="e">
        <f>AND(#REF!,"AAAAAH/3byc=")</f>
        <v>#REF!</v>
      </c>
      <c r="AO27" t="e">
        <f>AND(#REF!,"AAAAAH/3byg=")</f>
        <v>#REF!</v>
      </c>
      <c r="AP27" t="e">
        <f>AND(#REF!,"AAAAAH/3byk=")</f>
        <v>#REF!</v>
      </c>
      <c r="AQ27" t="e">
        <f>AND(#REF!,"AAAAAH/3byo=")</f>
        <v>#REF!</v>
      </c>
      <c r="AR27" t="e">
        <f>AND(#REF!,"AAAAAH/3bys=")</f>
        <v>#REF!</v>
      </c>
      <c r="AS27" t="e">
        <f>AND(#REF!,"AAAAAH/3byw=")</f>
        <v>#REF!</v>
      </c>
      <c r="AT27" t="e">
        <f>AND(#REF!,"AAAAAH/3by0=")</f>
        <v>#REF!</v>
      </c>
      <c r="AU27" t="e">
        <f>AND(#REF!,"AAAAAH/3by4=")</f>
        <v>#REF!</v>
      </c>
      <c r="AV27" t="e">
        <f>AND(#REF!,"AAAAAH/3by8=")</f>
        <v>#REF!</v>
      </c>
      <c r="AW27" t="e">
        <f>AND(#REF!,"AAAAAH/3bzA=")</f>
        <v>#REF!</v>
      </c>
      <c r="AX27" t="e">
        <f>AND(#REF!,"AAAAAH/3bzE=")</f>
        <v>#REF!</v>
      </c>
      <c r="AY27" t="e">
        <f>AND(#REF!,"AAAAAH/3bzI=")</f>
        <v>#REF!</v>
      </c>
      <c r="AZ27" t="e">
        <f>AND(#REF!,"AAAAAH/3bzM=")</f>
        <v>#REF!</v>
      </c>
      <c r="BA27" t="e">
        <f>AND(#REF!,"AAAAAH/3bzQ=")</f>
        <v>#REF!</v>
      </c>
      <c r="BB27" t="e">
        <f>AND(#REF!,"AAAAAH/3bzU=")</f>
        <v>#REF!</v>
      </c>
      <c r="BC27" t="e">
        <f>AND(#REF!,"AAAAAH/3bzY=")</f>
        <v>#REF!</v>
      </c>
      <c r="BD27" t="e">
        <f>AND(#REF!,"AAAAAH/3bzc=")</f>
        <v>#REF!</v>
      </c>
      <c r="BE27" t="e">
        <f>AND(#REF!,"AAAAAH/3bzg=")</f>
        <v>#REF!</v>
      </c>
      <c r="BF27" t="e">
        <f>AND(#REF!,"AAAAAH/3bzk=")</f>
        <v>#REF!</v>
      </c>
      <c r="BG27" t="e">
        <f>AND(#REF!,"AAAAAH/3bzo=")</f>
        <v>#REF!</v>
      </c>
      <c r="BH27" t="e">
        <f>AND(#REF!,"AAAAAH/3bzs=")</f>
        <v>#REF!</v>
      </c>
      <c r="BI27" t="e">
        <f>AND(#REF!,"AAAAAH/3bzw=")</f>
        <v>#REF!</v>
      </c>
      <c r="BJ27" t="e">
        <f>AND(#REF!,"AAAAAH/3bz0=")</f>
        <v>#REF!</v>
      </c>
      <c r="BK27" t="e">
        <f>AND(#REF!,"AAAAAH/3bz4=")</f>
        <v>#REF!</v>
      </c>
      <c r="BL27" t="e">
        <f>AND(#REF!,"AAAAAH/3bz8=")</f>
        <v>#REF!</v>
      </c>
      <c r="BM27" t="e">
        <f>AND(#REF!,"AAAAAH/3b0A=")</f>
        <v>#REF!</v>
      </c>
      <c r="BN27" t="e">
        <f>AND(#REF!,"AAAAAH/3b0E=")</f>
        <v>#REF!</v>
      </c>
      <c r="BO27" t="e">
        <f>AND(#REF!,"AAAAAH/3b0I=")</f>
        <v>#REF!</v>
      </c>
      <c r="BP27" t="e">
        <f>AND(#REF!,"AAAAAH/3b0M=")</f>
        <v>#REF!</v>
      </c>
      <c r="BQ27" t="e">
        <f>AND(#REF!,"AAAAAH/3b0Q=")</f>
        <v>#REF!</v>
      </c>
      <c r="BR27" t="e">
        <f>AND(#REF!,"AAAAAH/3b0U=")</f>
        <v>#REF!</v>
      </c>
      <c r="BS27" t="e">
        <f>AND(#REF!,"AAAAAH/3b0Y=")</f>
        <v>#REF!</v>
      </c>
      <c r="BT27" t="e">
        <f>AND(#REF!,"AAAAAH/3b0c=")</f>
        <v>#REF!</v>
      </c>
      <c r="BU27" t="e">
        <f>AND(#REF!,"AAAAAH/3b0g=")</f>
        <v>#REF!</v>
      </c>
      <c r="BV27" t="e">
        <f>AND(#REF!,"AAAAAH/3b0k=")</f>
        <v>#REF!</v>
      </c>
      <c r="BW27" t="e">
        <f>AND(#REF!,"AAAAAH/3b0o=")</f>
        <v>#REF!</v>
      </c>
      <c r="BX27" t="e">
        <f>AND(#REF!,"AAAAAH/3b0s=")</f>
        <v>#REF!</v>
      </c>
      <c r="BY27" t="e">
        <f>AND(#REF!,"AAAAAH/3b0w=")</f>
        <v>#REF!</v>
      </c>
      <c r="BZ27" t="e">
        <f>AND(#REF!,"AAAAAH/3b00=")</f>
        <v>#REF!</v>
      </c>
      <c r="CA27" t="e">
        <f>AND(#REF!,"AAAAAH/3b04=")</f>
        <v>#REF!</v>
      </c>
      <c r="CB27" t="e">
        <f>AND(#REF!,"AAAAAH/3b08=")</f>
        <v>#REF!</v>
      </c>
      <c r="CC27" t="e">
        <f>AND(#REF!,"AAAAAH/3b1A=")</f>
        <v>#REF!</v>
      </c>
      <c r="CD27" t="e">
        <f>AND(#REF!,"AAAAAH/3b1E=")</f>
        <v>#REF!</v>
      </c>
      <c r="CE27" t="e">
        <f>AND(#REF!,"AAAAAH/3b1I=")</f>
        <v>#REF!</v>
      </c>
      <c r="CF27" t="e">
        <f>AND(#REF!,"AAAAAH/3b1M=")</f>
        <v>#REF!</v>
      </c>
      <c r="CG27" t="e">
        <f>AND(#REF!,"AAAAAH/3b1Q=")</f>
        <v>#REF!</v>
      </c>
      <c r="CH27" t="e">
        <f>AND(#REF!,"AAAAAH/3b1U=")</f>
        <v>#REF!</v>
      </c>
      <c r="CI27" t="e">
        <f>AND(#REF!,"AAAAAH/3b1Y=")</f>
        <v>#REF!</v>
      </c>
      <c r="CJ27" t="e">
        <f>AND(#REF!,"AAAAAH/3b1c=")</f>
        <v>#REF!</v>
      </c>
      <c r="CK27" t="e">
        <f>AND(#REF!,"AAAAAH/3b1g=")</f>
        <v>#REF!</v>
      </c>
      <c r="CL27" t="e">
        <f>AND(#REF!,"AAAAAH/3b1k=")</f>
        <v>#REF!</v>
      </c>
      <c r="CM27" t="e">
        <f>AND(#REF!,"AAAAAH/3b1o=")</f>
        <v>#REF!</v>
      </c>
      <c r="CN27" t="e">
        <f>AND(#REF!,"AAAAAH/3b1s=")</f>
        <v>#REF!</v>
      </c>
      <c r="CO27" t="e">
        <f>AND(#REF!,"AAAAAH/3b1w=")</f>
        <v>#REF!</v>
      </c>
      <c r="CP27" t="e">
        <f>AND(#REF!,"AAAAAH/3b10=")</f>
        <v>#REF!</v>
      </c>
      <c r="CQ27" t="e">
        <f>AND(#REF!,"AAAAAH/3b14=")</f>
        <v>#REF!</v>
      </c>
      <c r="CR27" t="e">
        <f>AND(#REF!,"AAAAAH/3b18=")</f>
        <v>#REF!</v>
      </c>
      <c r="CS27" t="e">
        <f>AND(#REF!,"AAAAAH/3b2A=")</f>
        <v>#REF!</v>
      </c>
      <c r="CT27" t="e">
        <f>AND(#REF!,"AAAAAH/3b2E=")</f>
        <v>#REF!</v>
      </c>
      <c r="CU27" t="e">
        <f>AND(#REF!,"AAAAAH/3b2I=")</f>
        <v>#REF!</v>
      </c>
      <c r="CV27" t="e">
        <f>AND(#REF!,"AAAAAH/3b2M=")</f>
        <v>#REF!</v>
      </c>
      <c r="CW27" t="e">
        <f>AND(#REF!,"AAAAAH/3b2Q=")</f>
        <v>#REF!</v>
      </c>
      <c r="CX27" t="e">
        <f>AND(#REF!,"AAAAAH/3b2U=")</f>
        <v>#REF!</v>
      </c>
      <c r="CY27" t="e">
        <f>AND(#REF!,"AAAAAH/3b2Y=")</f>
        <v>#REF!</v>
      </c>
      <c r="CZ27" t="e">
        <f>AND(#REF!,"AAAAAH/3b2c=")</f>
        <v>#REF!</v>
      </c>
      <c r="DA27" t="e">
        <f>AND(#REF!,"AAAAAH/3b2g=")</f>
        <v>#REF!</v>
      </c>
      <c r="DB27" t="e">
        <f>AND(#REF!,"AAAAAH/3b2k=")</f>
        <v>#REF!</v>
      </c>
      <c r="DC27" t="e">
        <f>AND(#REF!,"AAAAAH/3b2o=")</f>
        <v>#REF!</v>
      </c>
      <c r="DD27" t="e">
        <f>AND(#REF!,"AAAAAH/3b2s=")</f>
        <v>#REF!</v>
      </c>
      <c r="DE27" t="e">
        <f>AND(#REF!,"AAAAAH/3b2w=")</f>
        <v>#REF!</v>
      </c>
      <c r="DF27" t="e">
        <f>AND(#REF!,"AAAAAH/3b20=")</f>
        <v>#REF!</v>
      </c>
      <c r="DG27" t="e">
        <f>AND(#REF!,"AAAAAH/3b24=")</f>
        <v>#REF!</v>
      </c>
      <c r="DH27" t="e">
        <f>AND(#REF!,"AAAAAH/3b28=")</f>
        <v>#REF!</v>
      </c>
      <c r="DI27" t="e">
        <f>AND(#REF!,"AAAAAH/3b3A=")</f>
        <v>#REF!</v>
      </c>
      <c r="DJ27" t="e">
        <f>AND(#REF!,"AAAAAH/3b3E=")</f>
        <v>#REF!</v>
      </c>
      <c r="DK27" t="e">
        <f>AND(#REF!,"AAAAAH/3b3I=")</f>
        <v>#REF!</v>
      </c>
      <c r="DL27" t="e">
        <f>AND(#REF!,"AAAAAH/3b3M=")</f>
        <v>#REF!</v>
      </c>
      <c r="DM27" t="e">
        <f>AND(#REF!,"AAAAAH/3b3Q=")</f>
        <v>#REF!</v>
      </c>
      <c r="DN27" t="e">
        <f>AND(#REF!,"AAAAAH/3b3U=")</f>
        <v>#REF!</v>
      </c>
      <c r="DO27" t="e">
        <f>AND(#REF!,"AAAAAH/3b3Y=")</f>
        <v>#REF!</v>
      </c>
      <c r="DP27" t="e">
        <f>AND(#REF!,"AAAAAH/3b3c=")</f>
        <v>#REF!</v>
      </c>
      <c r="DQ27" t="e">
        <f>AND(#REF!,"AAAAAH/3b3g=")</f>
        <v>#REF!</v>
      </c>
      <c r="DR27" t="e">
        <f>AND(#REF!,"AAAAAH/3b3k=")</f>
        <v>#REF!</v>
      </c>
      <c r="DS27" t="e">
        <f>AND(#REF!,"AAAAAH/3b3o=")</f>
        <v>#REF!</v>
      </c>
      <c r="DT27" t="e">
        <f>AND(#REF!,"AAAAAH/3b3s=")</f>
        <v>#REF!</v>
      </c>
      <c r="DU27" t="e">
        <f>AND(#REF!,"AAAAAH/3b3w=")</f>
        <v>#REF!</v>
      </c>
      <c r="DV27" t="e">
        <f>AND(#REF!,"AAAAAH/3b30=")</f>
        <v>#REF!</v>
      </c>
      <c r="DW27" t="e">
        <f>AND(#REF!,"AAAAAH/3b34=")</f>
        <v>#REF!</v>
      </c>
      <c r="DX27" t="e">
        <f>AND(#REF!,"AAAAAH/3b38=")</f>
        <v>#REF!</v>
      </c>
      <c r="DY27" t="e">
        <f>AND(#REF!,"AAAAAH/3b4A=")</f>
        <v>#REF!</v>
      </c>
      <c r="DZ27" t="e">
        <f>AND(#REF!,"AAAAAH/3b4E=")</f>
        <v>#REF!</v>
      </c>
      <c r="EA27" t="e">
        <f>AND(#REF!,"AAAAAH/3b4I=")</f>
        <v>#REF!</v>
      </c>
      <c r="EB27" t="e">
        <f>AND(#REF!,"AAAAAH/3b4M=")</f>
        <v>#REF!</v>
      </c>
      <c r="EC27" t="e">
        <f>AND(#REF!,"AAAAAH/3b4Q=")</f>
        <v>#REF!</v>
      </c>
      <c r="ED27" t="e">
        <f>AND(#REF!,"AAAAAH/3b4U=")</f>
        <v>#REF!</v>
      </c>
      <c r="EE27" t="e">
        <f>AND(#REF!,"AAAAAH/3b4Y=")</f>
        <v>#REF!</v>
      </c>
      <c r="EF27" t="e">
        <f>AND(#REF!,"AAAAAH/3b4c=")</f>
        <v>#REF!</v>
      </c>
      <c r="EG27" t="e">
        <f>AND(#REF!,"AAAAAH/3b4g=")</f>
        <v>#REF!</v>
      </c>
      <c r="EH27" t="e">
        <f>AND(#REF!,"AAAAAH/3b4k=")</f>
        <v>#REF!</v>
      </c>
      <c r="EI27" t="e">
        <f>AND(#REF!,"AAAAAH/3b4o=")</f>
        <v>#REF!</v>
      </c>
      <c r="EJ27" t="e">
        <f>AND(#REF!,"AAAAAH/3b4s=")</f>
        <v>#REF!</v>
      </c>
      <c r="EK27" t="e">
        <f>AND(#REF!,"AAAAAH/3b4w=")</f>
        <v>#REF!</v>
      </c>
      <c r="EL27" t="e">
        <f>AND(#REF!,"AAAAAH/3b40=")</f>
        <v>#REF!</v>
      </c>
      <c r="EM27" t="e">
        <f>AND(#REF!,"AAAAAH/3b44=")</f>
        <v>#REF!</v>
      </c>
      <c r="EN27" t="e">
        <f>AND(#REF!,"AAAAAH/3b48=")</f>
        <v>#REF!</v>
      </c>
      <c r="EO27" t="e">
        <f>AND(#REF!,"AAAAAH/3b5A=")</f>
        <v>#REF!</v>
      </c>
      <c r="EP27" t="e">
        <f>AND(#REF!,"AAAAAH/3b5E=")</f>
        <v>#REF!</v>
      </c>
      <c r="EQ27" t="e">
        <f>AND(#REF!,"AAAAAH/3b5I=")</f>
        <v>#REF!</v>
      </c>
      <c r="ER27" t="e">
        <f>AND(#REF!,"AAAAAH/3b5M=")</f>
        <v>#REF!</v>
      </c>
      <c r="ES27" t="e">
        <f>AND(#REF!,"AAAAAH/3b5Q=")</f>
        <v>#REF!</v>
      </c>
      <c r="ET27" t="e">
        <f>AND(#REF!,"AAAAAH/3b5U=")</f>
        <v>#REF!</v>
      </c>
      <c r="EU27" t="e">
        <f>AND(#REF!,"AAAAAH/3b5Y=")</f>
        <v>#REF!</v>
      </c>
      <c r="EV27" t="e">
        <f>AND(#REF!,"AAAAAH/3b5c=")</f>
        <v>#REF!</v>
      </c>
      <c r="EW27" t="e">
        <f>AND(#REF!,"AAAAAH/3b5g=")</f>
        <v>#REF!</v>
      </c>
      <c r="EX27" t="e">
        <f>AND(#REF!,"AAAAAH/3b5k=")</f>
        <v>#REF!</v>
      </c>
      <c r="EY27" t="e">
        <f>AND(#REF!,"AAAAAH/3b5o=")</f>
        <v>#REF!</v>
      </c>
      <c r="EZ27" t="e">
        <f>AND(#REF!,"AAAAAH/3b5s=")</f>
        <v>#REF!</v>
      </c>
      <c r="FA27" t="e">
        <f>AND(#REF!,"AAAAAH/3b5w=")</f>
        <v>#REF!</v>
      </c>
      <c r="FB27" t="e">
        <f>AND(#REF!,"AAAAAH/3b50=")</f>
        <v>#REF!</v>
      </c>
      <c r="FC27" t="e">
        <f>AND(#REF!,"AAAAAH/3b54=")</f>
        <v>#REF!</v>
      </c>
      <c r="FD27" t="e">
        <f>AND(#REF!,"AAAAAH/3b58=")</f>
        <v>#REF!</v>
      </c>
      <c r="FE27" t="e">
        <f>AND(#REF!,"AAAAAH/3b6A=")</f>
        <v>#REF!</v>
      </c>
      <c r="FF27" t="e">
        <f>AND(#REF!,"AAAAAH/3b6E=")</f>
        <v>#REF!</v>
      </c>
      <c r="FG27" t="e">
        <f>AND(#REF!,"AAAAAH/3b6I=")</f>
        <v>#REF!</v>
      </c>
      <c r="FH27" t="e">
        <f>AND(#REF!,"AAAAAH/3b6M=")</f>
        <v>#REF!</v>
      </c>
      <c r="FI27" t="e">
        <f>AND(#REF!,"AAAAAH/3b6Q=")</f>
        <v>#REF!</v>
      </c>
      <c r="FJ27" t="e">
        <f>AND(#REF!,"AAAAAH/3b6U=")</f>
        <v>#REF!</v>
      </c>
      <c r="FK27" t="e">
        <f>AND(#REF!,"AAAAAH/3b6Y=")</f>
        <v>#REF!</v>
      </c>
      <c r="FL27" t="e">
        <f>AND(#REF!,"AAAAAH/3b6c=")</f>
        <v>#REF!</v>
      </c>
      <c r="FM27" t="e">
        <f>AND(#REF!,"AAAAAH/3b6g=")</f>
        <v>#REF!</v>
      </c>
      <c r="FN27" t="e">
        <f>AND(#REF!,"AAAAAH/3b6k=")</f>
        <v>#REF!</v>
      </c>
      <c r="FO27" t="e">
        <f>AND(#REF!,"AAAAAH/3b6o=")</f>
        <v>#REF!</v>
      </c>
      <c r="FP27" t="e">
        <f>AND(#REF!,"AAAAAH/3b6s=")</f>
        <v>#REF!</v>
      </c>
      <c r="FQ27" t="e">
        <f>AND(#REF!,"AAAAAH/3b6w=")</f>
        <v>#REF!</v>
      </c>
      <c r="FR27" t="e">
        <f>AND(#REF!,"AAAAAH/3b60=")</f>
        <v>#REF!</v>
      </c>
      <c r="FS27" t="e">
        <f>AND(#REF!,"AAAAAH/3b64=")</f>
        <v>#REF!</v>
      </c>
      <c r="FT27" t="e">
        <f>AND(#REF!,"AAAAAH/3b68=")</f>
        <v>#REF!</v>
      </c>
      <c r="FU27" t="e">
        <f>AND(#REF!,"AAAAAH/3b7A=")</f>
        <v>#REF!</v>
      </c>
      <c r="FV27" t="e">
        <f>AND(#REF!,"AAAAAH/3b7E=")</f>
        <v>#REF!</v>
      </c>
      <c r="FW27" t="e">
        <f>AND(#REF!,"AAAAAH/3b7I=")</f>
        <v>#REF!</v>
      </c>
      <c r="FX27" t="e">
        <f>AND(#REF!,"AAAAAH/3b7M=")</f>
        <v>#REF!</v>
      </c>
      <c r="FY27" t="e">
        <f>AND(#REF!,"AAAAAH/3b7Q=")</f>
        <v>#REF!</v>
      </c>
      <c r="FZ27" t="e">
        <f>AND(#REF!,"AAAAAH/3b7U=")</f>
        <v>#REF!</v>
      </c>
      <c r="GA27" t="e">
        <f>AND(#REF!,"AAAAAH/3b7Y=")</f>
        <v>#REF!</v>
      </c>
      <c r="GB27" t="e">
        <f>AND(#REF!,"AAAAAH/3b7c=")</f>
        <v>#REF!</v>
      </c>
      <c r="GC27" t="e">
        <f>AND(#REF!,"AAAAAH/3b7g=")</f>
        <v>#REF!</v>
      </c>
      <c r="GD27" t="e">
        <f>IF(#REF!,"AAAAAH/3b7k=",0)</f>
        <v>#REF!</v>
      </c>
      <c r="GE27" t="e">
        <f>AND(#REF!,"AAAAAH/3b7o=")</f>
        <v>#REF!</v>
      </c>
      <c r="GF27" t="e">
        <f>AND(#REF!,"AAAAAH/3b7s=")</f>
        <v>#REF!</v>
      </c>
      <c r="GG27" t="e">
        <f>AND(#REF!,"AAAAAH/3b7w=")</f>
        <v>#REF!</v>
      </c>
      <c r="GH27" t="e">
        <f>AND(#REF!,"AAAAAH/3b70=")</f>
        <v>#REF!</v>
      </c>
      <c r="GI27" t="e">
        <f>AND(#REF!,"AAAAAH/3b74=")</f>
        <v>#REF!</v>
      </c>
      <c r="GJ27" t="e">
        <f>AND(#REF!,"AAAAAH/3b78=")</f>
        <v>#REF!</v>
      </c>
      <c r="GK27" t="e">
        <f>AND(#REF!,"AAAAAH/3b8A=")</f>
        <v>#REF!</v>
      </c>
      <c r="GL27" t="e">
        <f>AND(#REF!,"AAAAAH/3b8E=")</f>
        <v>#REF!</v>
      </c>
      <c r="GM27" t="e">
        <f>AND(#REF!,"AAAAAH/3b8I=")</f>
        <v>#REF!</v>
      </c>
      <c r="GN27" t="e">
        <f>AND(#REF!,"AAAAAH/3b8M=")</f>
        <v>#REF!</v>
      </c>
      <c r="GO27" t="e">
        <f>AND(#REF!,"AAAAAH/3b8Q=")</f>
        <v>#REF!</v>
      </c>
      <c r="GP27" t="e">
        <f>AND(#REF!,"AAAAAH/3b8U=")</f>
        <v>#REF!</v>
      </c>
      <c r="GQ27" t="e">
        <f>AND(#REF!,"AAAAAH/3b8Y=")</f>
        <v>#REF!</v>
      </c>
      <c r="GR27" t="e">
        <f>AND(#REF!,"AAAAAH/3b8c=")</f>
        <v>#REF!</v>
      </c>
      <c r="GS27" t="e">
        <f>AND(#REF!,"AAAAAH/3b8g=")</f>
        <v>#REF!</v>
      </c>
      <c r="GT27" t="e">
        <f>AND(#REF!,"AAAAAH/3b8k=")</f>
        <v>#REF!</v>
      </c>
      <c r="GU27" t="e">
        <f>AND(#REF!,"AAAAAH/3b8o=")</f>
        <v>#REF!</v>
      </c>
      <c r="GV27" t="e">
        <f>AND(#REF!,"AAAAAH/3b8s=")</f>
        <v>#REF!</v>
      </c>
      <c r="GW27" t="e">
        <f>AND(#REF!,"AAAAAH/3b8w=")</f>
        <v>#REF!</v>
      </c>
      <c r="GX27" t="e">
        <f>AND(#REF!,"AAAAAH/3b80=")</f>
        <v>#REF!</v>
      </c>
      <c r="GY27" t="e">
        <f>AND(#REF!,"AAAAAH/3b84=")</f>
        <v>#REF!</v>
      </c>
      <c r="GZ27" t="e">
        <f>AND(#REF!,"AAAAAH/3b88=")</f>
        <v>#REF!</v>
      </c>
      <c r="HA27" t="e">
        <f>AND(#REF!,"AAAAAH/3b9A=")</f>
        <v>#REF!</v>
      </c>
      <c r="HB27" t="e">
        <f>AND(#REF!,"AAAAAH/3b9E=")</f>
        <v>#REF!</v>
      </c>
      <c r="HC27" t="e">
        <f>AND(#REF!,"AAAAAH/3b9I=")</f>
        <v>#REF!</v>
      </c>
      <c r="HD27" t="e">
        <f>AND(#REF!,"AAAAAH/3b9M=")</f>
        <v>#REF!</v>
      </c>
      <c r="HE27" t="e">
        <f>AND(#REF!,"AAAAAH/3b9Q=")</f>
        <v>#REF!</v>
      </c>
      <c r="HF27" t="e">
        <f>AND(#REF!,"AAAAAH/3b9U=")</f>
        <v>#REF!</v>
      </c>
      <c r="HG27" t="e">
        <f>AND(#REF!,"AAAAAH/3b9Y=")</f>
        <v>#REF!</v>
      </c>
      <c r="HH27" t="e">
        <f>AND(#REF!,"AAAAAH/3b9c=")</f>
        <v>#REF!</v>
      </c>
      <c r="HI27" t="e">
        <f>AND(#REF!,"AAAAAH/3b9g=")</f>
        <v>#REF!</v>
      </c>
      <c r="HJ27" t="e">
        <f>AND(#REF!,"AAAAAH/3b9k=")</f>
        <v>#REF!</v>
      </c>
      <c r="HK27" t="e">
        <f>AND(#REF!,"AAAAAH/3b9o=")</f>
        <v>#REF!</v>
      </c>
      <c r="HL27" t="e">
        <f>AND(#REF!,"AAAAAH/3b9s=")</f>
        <v>#REF!</v>
      </c>
      <c r="HM27" t="e">
        <f>AND(#REF!,"AAAAAH/3b9w=")</f>
        <v>#REF!</v>
      </c>
      <c r="HN27" t="e">
        <f>AND(#REF!,"AAAAAH/3b90=")</f>
        <v>#REF!</v>
      </c>
      <c r="HO27" t="e">
        <f>AND(#REF!,"AAAAAH/3b94=")</f>
        <v>#REF!</v>
      </c>
      <c r="HP27" t="e">
        <f>AND(#REF!,"AAAAAH/3b98=")</f>
        <v>#REF!</v>
      </c>
      <c r="HQ27" t="e">
        <f>AND(#REF!,"AAAAAH/3b+A=")</f>
        <v>#REF!</v>
      </c>
      <c r="HR27" t="e">
        <f>AND(#REF!,"AAAAAH/3b+E=")</f>
        <v>#REF!</v>
      </c>
      <c r="HS27" t="e">
        <f>AND(#REF!,"AAAAAH/3b+I=")</f>
        <v>#REF!</v>
      </c>
      <c r="HT27" t="e">
        <f>AND(#REF!,"AAAAAH/3b+M=")</f>
        <v>#REF!</v>
      </c>
      <c r="HU27" t="e">
        <f>AND(#REF!,"AAAAAH/3b+Q=")</f>
        <v>#REF!</v>
      </c>
      <c r="HV27" t="e">
        <f>AND(#REF!,"AAAAAH/3b+U=")</f>
        <v>#REF!</v>
      </c>
      <c r="HW27" t="e">
        <f>AND(#REF!,"AAAAAH/3b+Y=")</f>
        <v>#REF!</v>
      </c>
      <c r="HX27" t="e">
        <f>AND(#REF!,"AAAAAH/3b+c=")</f>
        <v>#REF!</v>
      </c>
      <c r="HY27" t="e">
        <f>AND(#REF!,"AAAAAH/3b+g=")</f>
        <v>#REF!</v>
      </c>
      <c r="HZ27" t="e">
        <f>AND(#REF!,"AAAAAH/3b+k=")</f>
        <v>#REF!</v>
      </c>
      <c r="IA27" t="e">
        <f>AND(#REF!,"AAAAAH/3b+o=")</f>
        <v>#REF!</v>
      </c>
      <c r="IB27" t="e">
        <f>AND(#REF!,"AAAAAH/3b+s=")</f>
        <v>#REF!</v>
      </c>
      <c r="IC27" t="e">
        <f>AND(#REF!,"AAAAAH/3b+w=")</f>
        <v>#REF!</v>
      </c>
      <c r="ID27" t="e">
        <f>AND(#REF!,"AAAAAH/3b+0=")</f>
        <v>#REF!</v>
      </c>
      <c r="IE27" t="e">
        <f>AND(#REF!,"AAAAAH/3b+4=")</f>
        <v>#REF!</v>
      </c>
      <c r="IF27" t="e">
        <f>AND(#REF!,"AAAAAH/3b+8=")</f>
        <v>#REF!</v>
      </c>
      <c r="IG27" t="e">
        <f>AND(#REF!,"AAAAAH/3b/A=")</f>
        <v>#REF!</v>
      </c>
      <c r="IH27" t="e">
        <f>AND(#REF!,"AAAAAH/3b/E=")</f>
        <v>#REF!</v>
      </c>
      <c r="II27" t="e">
        <f>AND(#REF!,"AAAAAH/3b/I=")</f>
        <v>#REF!</v>
      </c>
      <c r="IJ27" t="e">
        <f>AND(#REF!,"AAAAAH/3b/M=")</f>
        <v>#REF!</v>
      </c>
      <c r="IK27" t="e">
        <f>AND(#REF!,"AAAAAH/3b/Q=")</f>
        <v>#REF!</v>
      </c>
      <c r="IL27" t="e">
        <f>AND(#REF!,"AAAAAH/3b/U=")</f>
        <v>#REF!</v>
      </c>
      <c r="IM27" t="e">
        <f>AND(#REF!,"AAAAAH/3b/Y=")</f>
        <v>#REF!</v>
      </c>
      <c r="IN27" t="e">
        <f>AND(#REF!,"AAAAAH/3b/c=")</f>
        <v>#REF!</v>
      </c>
      <c r="IO27" t="e">
        <f>AND(#REF!,"AAAAAH/3b/g=")</f>
        <v>#REF!</v>
      </c>
      <c r="IP27" t="e">
        <f>AND(#REF!,"AAAAAH/3b/k=")</f>
        <v>#REF!</v>
      </c>
      <c r="IQ27" t="e">
        <f>AND(#REF!,"AAAAAH/3b/o=")</f>
        <v>#REF!</v>
      </c>
      <c r="IR27" t="e">
        <f>AND(#REF!,"AAAAAH/3b/s=")</f>
        <v>#REF!</v>
      </c>
      <c r="IS27" t="e">
        <f>AND(#REF!,"AAAAAH/3b/w=")</f>
        <v>#REF!</v>
      </c>
      <c r="IT27" t="e">
        <f>AND(#REF!,"AAAAAH/3b/0=")</f>
        <v>#REF!</v>
      </c>
      <c r="IU27" t="e">
        <f>AND(#REF!,"AAAAAH/3b/4=")</f>
        <v>#REF!</v>
      </c>
      <c r="IV27" t="e">
        <f>AND(#REF!,"AAAAAH/3b/8=")</f>
        <v>#REF!</v>
      </c>
    </row>
    <row r="28" spans="1:256" x14ac:dyDescent="0.25">
      <c r="A28" t="e">
        <f>AND(#REF!,"AAAAAF/b6wA=")</f>
        <v>#REF!</v>
      </c>
      <c r="B28" t="e">
        <f>AND(#REF!,"AAAAAF/b6wE=")</f>
        <v>#REF!</v>
      </c>
      <c r="C28" t="e">
        <f>AND(#REF!,"AAAAAF/b6wI=")</f>
        <v>#REF!</v>
      </c>
      <c r="D28" t="e">
        <f>AND(#REF!,"AAAAAF/b6wM=")</f>
        <v>#REF!</v>
      </c>
      <c r="E28" t="e">
        <f>AND(#REF!,"AAAAAF/b6wQ=")</f>
        <v>#REF!</v>
      </c>
      <c r="F28" t="e">
        <f>AND(#REF!,"AAAAAF/b6wU=")</f>
        <v>#REF!</v>
      </c>
      <c r="G28" t="e">
        <f>AND(#REF!,"AAAAAF/b6wY=")</f>
        <v>#REF!</v>
      </c>
      <c r="H28" t="e">
        <f>AND(#REF!,"AAAAAF/b6wc=")</f>
        <v>#REF!</v>
      </c>
      <c r="I28" t="e">
        <f>AND(#REF!,"AAAAAF/b6wg=")</f>
        <v>#REF!</v>
      </c>
      <c r="J28" t="e">
        <f>AND(#REF!,"AAAAAF/b6wk=")</f>
        <v>#REF!</v>
      </c>
      <c r="K28" t="e">
        <f>AND(#REF!,"AAAAAF/b6wo=")</f>
        <v>#REF!</v>
      </c>
      <c r="L28" t="e">
        <f>AND(#REF!,"AAAAAF/b6ws=")</f>
        <v>#REF!</v>
      </c>
      <c r="M28" t="e">
        <f>AND(#REF!,"AAAAAF/b6ww=")</f>
        <v>#REF!</v>
      </c>
      <c r="N28" t="e">
        <f>AND(#REF!,"AAAAAF/b6w0=")</f>
        <v>#REF!</v>
      </c>
      <c r="O28" t="e">
        <f>AND(#REF!,"AAAAAF/b6w4=")</f>
        <v>#REF!</v>
      </c>
      <c r="P28" t="e">
        <f>AND(#REF!,"AAAAAF/b6w8=")</f>
        <v>#REF!</v>
      </c>
      <c r="Q28" t="e">
        <f>AND(#REF!,"AAAAAF/b6xA=")</f>
        <v>#REF!</v>
      </c>
      <c r="R28" t="e">
        <f>AND(#REF!,"AAAAAF/b6xE=")</f>
        <v>#REF!</v>
      </c>
      <c r="S28" t="e">
        <f>AND(#REF!,"AAAAAF/b6xI=")</f>
        <v>#REF!</v>
      </c>
      <c r="T28" t="e">
        <f>AND(#REF!,"AAAAAF/b6xM=")</f>
        <v>#REF!</v>
      </c>
      <c r="U28" t="e">
        <f>AND(#REF!,"AAAAAF/b6xQ=")</f>
        <v>#REF!</v>
      </c>
      <c r="V28" t="e">
        <f>AND(#REF!,"AAAAAF/b6xU=")</f>
        <v>#REF!</v>
      </c>
      <c r="W28" t="e">
        <f>AND(#REF!,"AAAAAF/b6xY=")</f>
        <v>#REF!</v>
      </c>
      <c r="X28" t="e">
        <f>AND(#REF!,"AAAAAF/b6xc=")</f>
        <v>#REF!</v>
      </c>
      <c r="Y28" t="e">
        <f>AND(#REF!,"AAAAAF/b6xg=")</f>
        <v>#REF!</v>
      </c>
      <c r="Z28" t="e">
        <f>AND(#REF!,"AAAAAF/b6xk=")</f>
        <v>#REF!</v>
      </c>
      <c r="AA28" t="e">
        <f>AND(#REF!,"AAAAAF/b6xo=")</f>
        <v>#REF!</v>
      </c>
      <c r="AB28" t="e">
        <f>AND(#REF!,"AAAAAF/b6xs=")</f>
        <v>#REF!</v>
      </c>
      <c r="AC28" t="e">
        <f>AND(#REF!,"AAAAAF/b6xw=")</f>
        <v>#REF!</v>
      </c>
      <c r="AD28" t="e">
        <f>AND(#REF!,"AAAAAF/b6x0=")</f>
        <v>#REF!</v>
      </c>
      <c r="AE28" t="e">
        <f>AND(#REF!,"AAAAAF/b6x4=")</f>
        <v>#REF!</v>
      </c>
      <c r="AF28" t="e">
        <f>AND(#REF!,"AAAAAF/b6x8=")</f>
        <v>#REF!</v>
      </c>
      <c r="AG28" t="e">
        <f>AND(#REF!,"AAAAAF/b6yA=")</f>
        <v>#REF!</v>
      </c>
      <c r="AH28" t="e">
        <f>AND(#REF!,"AAAAAF/b6yE=")</f>
        <v>#REF!</v>
      </c>
      <c r="AI28" t="e">
        <f>AND(#REF!,"AAAAAF/b6yI=")</f>
        <v>#REF!</v>
      </c>
      <c r="AJ28" t="e">
        <f>AND(#REF!,"AAAAAF/b6yM=")</f>
        <v>#REF!</v>
      </c>
      <c r="AK28" t="e">
        <f>AND(#REF!,"AAAAAF/b6yQ=")</f>
        <v>#REF!</v>
      </c>
      <c r="AL28" t="e">
        <f>AND(#REF!,"AAAAAF/b6yU=")</f>
        <v>#REF!</v>
      </c>
      <c r="AM28" t="e">
        <f>AND(#REF!,"AAAAAF/b6yY=")</f>
        <v>#REF!</v>
      </c>
      <c r="AN28" t="e">
        <f>AND(#REF!,"AAAAAF/b6yc=")</f>
        <v>#REF!</v>
      </c>
      <c r="AO28" t="e">
        <f>AND(#REF!,"AAAAAF/b6yg=")</f>
        <v>#REF!</v>
      </c>
      <c r="AP28" t="e">
        <f>AND(#REF!,"AAAAAF/b6yk=")</f>
        <v>#REF!</v>
      </c>
      <c r="AQ28" t="e">
        <f>AND(#REF!,"AAAAAF/b6yo=")</f>
        <v>#REF!</v>
      </c>
      <c r="AR28" t="e">
        <f>AND(#REF!,"AAAAAF/b6ys=")</f>
        <v>#REF!</v>
      </c>
      <c r="AS28" t="e">
        <f>AND(#REF!,"AAAAAF/b6yw=")</f>
        <v>#REF!</v>
      </c>
      <c r="AT28" t="e">
        <f>AND(#REF!,"AAAAAF/b6y0=")</f>
        <v>#REF!</v>
      </c>
      <c r="AU28" t="e">
        <f>AND(#REF!,"AAAAAF/b6y4=")</f>
        <v>#REF!</v>
      </c>
      <c r="AV28" t="e">
        <f>AND(#REF!,"AAAAAF/b6y8=")</f>
        <v>#REF!</v>
      </c>
      <c r="AW28" t="e">
        <f>AND(#REF!,"AAAAAF/b6zA=")</f>
        <v>#REF!</v>
      </c>
      <c r="AX28" t="e">
        <f>AND(#REF!,"AAAAAF/b6zE=")</f>
        <v>#REF!</v>
      </c>
      <c r="AY28" t="e">
        <f>AND(#REF!,"AAAAAF/b6zI=")</f>
        <v>#REF!</v>
      </c>
      <c r="AZ28" t="e">
        <f>AND(#REF!,"AAAAAF/b6zM=")</f>
        <v>#REF!</v>
      </c>
      <c r="BA28" t="e">
        <f>AND(#REF!,"AAAAAF/b6zQ=")</f>
        <v>#REF!</v>
      </c>
      <c r="BB28" t="e">
        <f>AND(#REF!,"AAAAAF/b6zU=")</f>
        <v>#REF!</v>
      </c>
      <c r="BC28" t="e">
        <f>AND(#REF!,"AAAAAF/b6zY=")</f>
        <v>#REF!</v>
      </c>
      <c r="BD28" t="e">
        <f>AND(#REF!,"AAAAAF/b6zc=")</f>
        <v>#REF!</v>
      </c>
      <c r="BE28" t="e">
        <f>AND(#REF!,"AAAAAF/b6zg=")</f>
        <v>#REF!</v>
      </c>
      <c r="BF28" t="e">
        <f>AND(#REF!,"AAAAAF/b6zk=")</f>
        <v>#REF!</v>
      </c>
      <c r="BG28" t="e">
        <f>AND(#REF!,"AAAAAF/b6zo=")</f>
        <v>#REF!</v>
      </c>
      <c r="BH28" t="e">
        <f>AND(#REF!,"AAAAAF/b6zs=")</f>
        <v>#REF!</v>
      </c>
      <c r="BI28" t="e">
        <f>AND(#REF!,"AAAAAF/b6zw=")</f>
        <v>#REF!</v>
      </c>
      <c r="BJ28" t="e">
        <f>AND(#REF!,"AAAAAF/b6z0=")</f>
        <v>#REF!</v>
      </c>
      <c r="BK28" t="e">
        <f>AND(#REF!,"AAAAAF/b6z4=")</f>
        <v>#REF!</v>
      </c>
      <c r="BL28" t="e">
        <f>AND(#REF!,"AAAAAF/b6z8=")</f>
        <v>#REF!</v>
      </c>
      <c r="BM28" t="e">
        <f>AND(#REF!,"AAAAAF/b60A=")</f>
        <v>#REF!</v>
      </c>
      <c r="BN28" t="e">
        <f>AND(#REF!,"AAAAAF/b60E=")</f>
        <v>#REF!</v>
      </c>
      <c r="BO28" t="e">
        <f>AND(#REF!,"AAAAAF/b60I=")</f>
        <v>#REF!</v>
      </c>
      <c r="BP28" t="e">
        <f>AND(#REF!,"AAAAAF/b60M=")</f>
        <v>#REF!</v>
      </c>
      <c r="BQ28" t="e">
        <f>AND(#REF!,"AAAAAF/b60Q=")</f>
        <v>#REF!</v>
      </c>
      <c r="BR28" t="e">
        <f>AND(#REF!,"AAAAAF/b60U=")</f>
        <v>#REF!</v>
      </c>
      <c r="BS28" t="e">
        <f>AND(#REF!,"AAAAAF/b60Y=")</f>
        <v>#REF!</v>
      </c>
      <c r="BT28" t="e">
        <f>AND(#REF!,"AAAAAF/b60c=")</f>
        <v>#REF!</v>
      </c>
      <c r="BU28" t="e">
        <f>AND(#REF!,"AAAAAF/b60g=")</f>
        <v>#REF!</v>
      </c>
      <c r="BV28" t="e">
        <f>AND(#REF!,"AAAAAF/b60k=")</f>
        <v>#REF!</v>
      </c>
      <c r="BW28" t="e">
        <f>AND(#REF!,"AAAAAF/b60o=")</f>
        <v>#REF!</v>
      </c>
      <c r="BX28" t="e">
        <f>AND(#REF!,"AAAAAF/b60s=")</f>
        <v>#REF!</v>
      </c>
      <c r="BY28" t="e">
        <f>AND(#REF!,"AAAAAF/b60w=")</f>
        <v>#REF!</v>
      </c>
      <c r="BZ28" t="e">
        <f>AND(#REF!,"AAAAAF/b600=")</f>
        <v>#REF!</v>
      </c>
      <c r="CA28" t="e">
        <f>AND(#REF!,"AAAAAF/b604=")</f>
        <v>#REF!</v>
      </c>
      <c r="CB28" t="e">
        <f>AND(#REF!,"AAAAAF/b608=")</f>
        <v>#REF!</v>
      </c>
      <c r="CC28" t="e">
        <f>AND(#REF!,"AAAAAF/b61A=")</f>
        <v>#REF!</v>
      </c>
      <c r="CD28" t="e">
        <f>AND(#REF!,"AAAAAF/b61E=")</f>
        <v>#REF!</v>
      </c>
      <c r="CE28" t="e">
        <f>AND(#REF!,"AAAAAF/b61I=")</f>
        <v>#REF!</v>
      </c>
      <c r="CF28" t="e">
        <f>AND(#REF!,"AAAAAF/b61M=")</f>
        <v>#REF!</v>
      </c>
      <c r="CG28" t="e">
        <f>AND(#REF!,"AAAAAF/b61Q=")</f>
        <v>#REF!</v>
      </c>
      <c r="CH28" t="e">
        <f>AND(#REF!,"AAAAAF/b61U=")</f>
        <v>#REF!</v>
      </c>
      <c r="CI28" t="e">
        <f>AND(#REF!,"AAAAAF/b61Y=")</f>
        <v>#REF!</v>
      </c>
      <c r="CJ28" t="e">
        <f>AND(#REF!,"AAAAAF/b61c=")</f>
        <v>#REF!</v>
      </c>
      <c r="CK28" t="e">
        <f>AND(#REF!,"AAAAAF/b61g=")</f>
        <v>#REF!</v>
      </c>
      <c r="CL28" t="e">
        <f>AND(#REF!,"AAAAAF/b61k=")</f>
        <v>#REF!</v>
      </c>
      <c r="CM28" t="e">
        <f>AND(#REF!,"AAAAAF/b61o=")</f>
        <v>#REF!</v>
      </c>
      <c r="CN28" t="e">
        <f>AND(#REF!,"AAAAAF/b61s=")</f>
        <v>#REF!</v>
      </c>
      <c r="CO28" t="e">
        <f>AND(#REF!,"AAAAAF/b61w=")</f>
        <v>#REF!</v>
      </c>
      <c r="CP28" t="e">
        <f>AND(#REF!,"AAAAAF/b610=")</f>
        <v>#REF!</v>
      </c>
      <c r="CQ28" t="e">
        <f>AND(#REF!,"AAAAAF/b614=")</f>
        <v>#REF!</v>
      </c>
      <c r="CR28" t="e">
        <f>AND(#REF!,"AAAAAF/b618=")</f>
        <v>#REF!</v>
      </c>
      <c r="CS28" t="e">
        <f>AND(#REF!,"AAAAAF/b62A=")</f>
        <v>#REF!</v>
      </c>
      <c r="CT28" t="e">
        <f>AND(#REF!,"AAAAAF/b62E=")</f>
        <v>#REF!</v>
      </c>
      <c r="CU28" t="e">
        <f>AND(#REF!,"AAAAAF/b62I=")</f>
        <v>#REF!</v>
      </c>
      <c r="CV28" t="e">
        <f>AND(#REF!,"AAAAAF/b62M=")</f>
        <v>#REF!</v>
      </c>
      <c r="CW28" t="e">
        <f>AND(#REF!,"AAAAAF/b62Q=")</f>
        <v>#REF!</v>
      </c>
      <c r="CX28" t="e">
        <f>AND(#REF!,"AAAAAF/b62U=")</f>
        <v>#REF!</v>
      </c>
      <c r="CY28" t="e">
        <f>AND(#REF!,"AAAAAF/b62Y=")</f>
        <v>#REF!</v>
      </c>
      <c r="CZ28" t="e">
        <f>AND(#REF!,"AAAAAF/b62c=")</f>
        <v>#REF!</v>
      </c>
      <c r="DA28" t="e">
        <f>AND(#REF!,"AAAAAF/b62g=")</f>
        <v>#REF!</v>
      </c>
      <c r="DB28" t="e">
        <f>AND(#REF!,"AAAAAF/b62k=")</f>
        <v>#REF!</v>
      </c>
      <c r="DC28" t="e">
        <f>AND(#REF!,"AAAAAF/b62o=")</f>
        <v>#REF!</v>
      </c>
      <c r="DD28" t="e">
        <f>AND(#REF!,"AAAAAF/b62s=")</f>
        <v>#REF!</v>
      </c>
      <c r="DE28" t="e">
        <f>AND(#REF!,"AAAAAF/b62w=")</f>
        <v>#REF!</v>
      </c>
      <c r="DF28" t="e">
        <f>AND(#REF!,"AAAAAF/b620=")</f>
        <v>#REF!</v>
      </c>
      <c r="DG28" t="e">
        <f>AND(#REF!,"AAAAAF/b624=")</f>
        <v>#REF!</v>
      </c>
      <c r="DH28" t="e">
        <f>AND(#REF!,"AAAAAF/b628=")</f>
        <v>#REF!</v>
      </c>
      <c r="DI28" t="e">
        <f>AND(#REF!,"AAAAAF/b63A=")</f>
        <v>#REF!</v>
      </c>
      <c r="DJ28" t="e">
        <f>AND(#REF!,"AAAAAF/b63E=")</f>
        <v>#REF!</v>
      </c>
      <c r="DK28" t="e">
        <f>AND(#REF!,"AAAAAF/b63I=")</f>
        <v>#REF!</v>
      </c>
      <c r="DL28" t="e">
        <f>AND(#REF!,"AAAAAF/b63M=")</f>
        <v>#REF!</v>
      </c>
      <c r="DM28" t="e">
        <f>AND(#REF!,"AAAAAF/b63Q=")</f>
        <v>#REF!</v>
      </c>
      <c r="DN28" t="e">
        <f>AND(#REF!,"AAAAAF/b63U=")</f>
        <v>#REF!</v>
      </c>
      <c r="DO28" t="e">
        <f>IF(#REF!,"AAAAAF/b63Y=",0)</f>
        <v>#REF!</v>
      </c>
      <c r="DP28" t="e">
        <f>AND(#REF!,"AAAAAF/b63c=")</f>
        <v>#REF!</v>
      </c>
      <c r="DQ28" t="e">
        <f>AND(#REF!,"AAAAAF/b63g=")</f>
        <v>#REF!</v>
      </c>
      <c r="DR28" t="e">
        <f>AND(#REF!,"AAAAAF/b63k=")</f>
        <v>#REF!</v>
      </c>
      <c r="DS28" t="e">
        <f>AND(#REF!,"AAAAAF/b63o=")</f>
        <v>#REF!</v>
      </c>
      <c r="DT28" t="e">
        <f>AND(#REF!,"AAAAAF/b63s=")</f>
        <v>#REF!</v>
      </c>
      <c r="DU28" t="e">
        <f>AND(#REF!,"AAAAAF/b63w=")</f>
        <v>#REF!</v>
      </c>
      <c r="DV28" t="e">
        <f>AND(#REF!,"AAAAAF/b630=")</f>
        <v>#REF!</v>
      </c>
      <c r="DW28" t="e">
        <f>AND(#REF!,"AAAAAF/b634=")</f>
        <v>#REF!</v>
      </c>
      <c r="DX28" t="e">
        <f>AND(#REF!,"AAAAAF/b638=")</f>
        <v>#REF!</v>
      </c>
      <c r="DY28" t="e">
        <f>AND(#REF!,"AAAAAF/b64A=")</f>
        <v>#REF!</v>
      </c>
      <c r="DZ28" t="e">
        <f>AND(#REF!,"AAAAAF/b64E=")</f>
        <v>#REF!</v>
      </c>
      <c r="EA28" t="e">
        <f>AND(#REF!,"AAAAAF/b64I=")</f>
        <v>#REF!</v>
      </c>
      <c r="EB28" t="e">
        <f>AND(#REF!,"AAAAAF/b64M=")</f>
        <v>#REF!</v>
      </c>
      <c r="EC28" t="e">
        <f>AND(#REF!,"AAAAAF/b64Q=")</f>
        <v>#REF!</v>
      </c>
      <c r="ED28" t="e">
        <f>AND(#REF!,"AAAAAF/b64U=")</f>
        <v>#REF!</v>
      </c>
      <c r="EE28" t="e">
        <f>AND(#REF!,"AAAAAF/b64Y=")</f>
        <v>#REF!</v>
      </c>
      <c r="EF28" t="e">
        <f>AND(#REF!,"AAAAAF/b64c=")</f>
        <v>#REF!</v>
      </c>
      <c r="EG28" t="e">
        <f>AND(#REF!,"AAAAAF/b64g=")</f>
        <v>#REF!</v>
      </c>
      <c r="EH28" t="e">
        <f>AND(#REF!,"AAAAAF/b64k=")</f>
        <v>#REF!</v>
      </c>
      <c r="EI28" t="e">
        <f>AND(#REF!,"AAAAAF/b64o=")</f>
        <v>#REF!</v>
      </c>
      <c r="EJ28" t="e">
        <f>AND(#REF!,"AAAAAF/b64s=")</f>
        <v>#REF!</v>
      </c>
      <c r="EK28" t="e">
        <f>AND(#REF!,"AAAAAF/b64w=")</f>
        <v>#REF!</v>
      </c>
      <c r="EL28" t="e">
        <f>AND(#REF!,"AAAAAF/b640=")</f>
        <v>#REF!</v>
      </c>
      <c r="EM28" t="e">
        <f>AND(#REF!,"AAAAAF/b644=")</f>
        <v>#REF!</v>
      </c>
      <c r="EN28" t="e">
        <f>AND(#REF!,"AAAAAF/b648=")</f>
        <v>#REF!</v>
      </c>
      <c r="EO28" t="e">
        <f>AND(#REF!,"AAAAAF/b65A=")</f>
        <v>#REF!</v>
      </c>
      <c r="EP28" t="e">
        <f>AND(#REF!,"AAAAAF/b65E=")</f>
        <v>#REF!</v>
      </c>
      <c r="EQ28" t="e">
        <f>AND(#REF!,"AAAAAF/b65I=")</f>
        <v>#REF!</v>
      </c>
      <c r="ER28" t="e">
        <f>AND(#REF!,"AAAAAF/b65M=")</f>
        <v>#REF!</v>
      </c>
      <c r="ES28" t="e">
        <f>AND(#REF!,"AAAAAF/b65Q=")</f>
        <v>#REF!</v>
      </c>
      <c r="ET28" t="e">
        <f>AND(#REF!,"AAAAAF/b65U=")</f>
        <v>#REF!</v>
      </c>
      <c r="EU28" t="e">
        <f>AND(#REF!,"AAAAAF/b65Y=")</f>
        <v>#REF!</v>
      </c>
      <c r="EV28" t="e">
        <f>AND(#REF!,"AAAAAF/b65c=")</f>
        <v>#REF!</v>
      </c>
      <c r="EW28" t="e">
        <f>AND(#REF!,"AAAAAF/b65g=")</f>
        <v>#REF!</v>
      </c>
      <c r="EX28" t="e">
        <f>AND(#REF!,"AAAAAF/b65k=")</f>
        <v>#REF!</v>
      </c>
      <c r="EY28" t="e">
        <f>AND(#REF!,"AAAAAF/b65o=")</f>
        <v>#REF!</v>
      </c>
      <c r="EZ28" t="e">
        <f>AND(#REF!,"AAAAAF/b65s=")</f>
        <v>#REF!</v>
      </c>
      <c r="FA28" t="e">
        <f>AND(#REF!,"AAAAAF/b65w=")</f>
        <v>#REF!</v>
      </c>
      <c r="FB28" t="e">
        <f>AND(#REF!,"AAAAAF/b650=")</f>
        <v>#REF!</v>
      </c>
      <c r="FC28" t="e">
        <f>AND(#REF!,"AAAAAF/b654=")</f>
        <v>#REF!</v>
      </c>
      <c r="FD28" t="e">
        <f>AND(#REF!,"AAAAAF/b658=")</f>
        <v>#REF!</v>
      </c>
      <c r="FE28" t="e">
        <f>AND(#REF!,"AAAAAF/b66A=")</f>
        <v>#REF!</v>
      </c>
      <c r="FF28" t="e">
        <f>AND(#REF!,"AAAAAF/b66E=")</f>
        <v>#REF!</v>
      </c>
      <c r="FG28" t="e">
        <f>AND(#REF!,"AAAAAF/b66I=")</f>
        <v>#REF!</v>
      </c>
      <c r="FH28" t="e">
        <f>AND(#REF!,"AAAAAF/b66M=")</f>
        <v>#REF!</v>
      </c>
      <c r="FI28" t="e">
        <f>AND(#REF!,"AAAAAF/b66Q=")</f>
        <v>#REF!</v>
      </c>
      <c r="FJ28" t="e">
        <f>AND(#REF!,"AAAAAF/b66U=")</f>
        <v>#REF!</v>
      </c>
      <c r="FK28" t="e">
        <f>AND(#REF!,"AAAAAF/b66Y=")</f>
        <v>#REF!</v>
      </c>
      <c r="FL28" t="e">
        <f>AND(#REF!,"AAAAAF/b66c=")</f>
        <v>#REF!</v>
      </c>
      <c r="FM28" t="e">
        <f>AND(#REF!,"AAAAAF/b66g=")</f>
        <v>#REF!</v>
      </c>
      <c r="FN28" t="e">
        <f>AND(#REF!,"AAAAAF/b66k=")</f>
        <v>#REF!</v>
      </c>
      <c r="FO28" t="e">
        <f>AND(#REF!,"AAAAAF/b66o=")</f>
        <v>#REF!</v>
      </c>
      <c r="FP28" t="e">
        <f>AND(#REF!,"AAAAAF/b66s=")</f>
        <v>#REF!</v>
      </c>
      <c r="FQ28" t="e">
        <f>AND(#REF!,"AAAAAF/b66w=")</f>
        <v>#REF!</v>
      </c>
      <c r="FR28" t="e">
        <f>AND(#REF!,"AAAAAF/b660=")</f>
        <v>#REF!</v>
      </c>
      <c r="FS28" t="e">
        <f>AND(#REF!,"AAAAAF/b664=")</f>
        <v>#REF!</v>
      </c>
      <c r="FT28" t="e">
        <f>AND(#REF!,"AAAAAF/b668=")</f>
        <v>#REF!</v>
      </c>
      <c r="FU28" t="e">
        <f>AND(#REF!,"AAAAAF/b67A=")</f>
        <v>#REF!</v>
      </c>
      <c r="FV28" t="e">
        <f>AND(#REF!,"AAAAAF/b67E=")</f>
        <v>#REF!</v>
      </c>
      <c r="FW28" t="e">
        <f>AND(#REF!,"AAAAAF/b67I=")</f>
        <v>#REF!</v>
      </c>
      <c r="FX28" t="e">
        <f>AND(#REF!,"AAAAAF/b67M=")</f>
        <v>#REF!</v>
      </c>
      <c r="FY28" t="e">
        <f>AND(#REF!,"AAAAAF/b67Q=")</f>
        <v>#REF!</v>
      </c>
      <c r="FZ28" t="e">
        <f>AND(#REF!,"AAAAAF/b67U=")</f>
        <v>#REF!</v>
      </c>
      <c r="GA28" t="e">
        <f>AND(#REF!,"AAAAAF/b67Y=")</f>
        <v>#REF!</v>
      </c>
      <c r="GB28" t="e">
        <f>AND(#REF!,"AAAAAF/b67c=")</f>
        <v>#REF!</v>
      </c>
      <c r="GC28" t="e">
        <f>AND(#REF!,"AAAAAF/b67g=")</f>
        <v>#REF!</v>
      </c>
      <c r="GD28" t="e">
        <f>AND(#REF!,"AAAAAF/b67k=")</f>
        <v>#REF!</v>
      </c>
      <c r="GE28" t="e">
        <f>AND(#REF!,"AAAAAF/b67o=")</f>
        <v>#REF!</v>
      </c>
      <c r="GF28" t="e">
        <f>AND(#REF!,"AAAAAF/b67s=")</f>
        <v>#REF!</v>
      </c>
      <c r="GG28" t="e">
        <f>AND(#REF!,"AAAAAF/b67w=")</f>
        <v>#REF!</v>
      </c>
      <c r="GH28" t="e">
        <f>AND(#REF!,"AAAAAF/b670=")</f>
        <v>#REF!</v>
      </c>
      <c r="GI28" t="e">
        <f>AND(#REF!,"AAAAAF/b674=")</f>
        <v>#REF!</v>
      </c>
      <c r="GJ28" t="e">
        <f>AND(#REF!,"AAAAAF/b678=")</f>
        <v>#REF!</v>
      </c>
      <c r="GK28" t="e">
        <f>AND(#REF!,"AAAAAF/b68A=")</f>
        <v>#REF!</v>
      </c>
      <c r="GL28" t="e">
        <f>AND(#REF!,"AAAAAF/b68E=")</f>
        <v>#REF!</v>
      </c>
      <c r="GM28" t="e">
        <f>AND(#REF!,"AAAAAF/b68I=")</f>
        <v>#REF!</v>
      </c>
      <c r="GN28" t="e">
        <f>AND(#REF!,"AAAAAF/b68M=")</f>
        <v>#REF!</v>
      </c>
      <c r="GO28" t="e">
        <f>AND(#REF!,"AAAAAF/b68Q=")</f>
        <v>#REF!</v>
      </c>
      <c r="GP28" t="e">
        <f>AND(#REF!,"AAAAAF/b68U=")</f>
        <v>#REF!</v>
      </c>
      <c r="GQ28" t="e">
        <f>AND(#REF!,"AAAAAF/b68Y=")</f>
        <v>#REF!</v>
      </c>
      <c r="GR28" t="e">
        <f>AND(#REF!,"AAAAAF/b68c=")</f>
        <v>#REF!</v>
      </c>
      <c r="GS28" t="e">
        <f>AND(#REF!,"AAAAAF/b68g=")</f>
        <v>#REF!</v>
      </c>
      <c r="GT28" t="e">
        <f>AND(#REF!,"AAAAAF/b68k=")</f>
        <v>#REF!</v>
      </c>
      <c r="GU28" t="e">
        <f>AND(#REF!,"AAAAAF/b68o=")</f>
        <v>#REF!</v>
      </c>
      <c r="GV28" t="e">
        <f>AND(#REF!,"AAAAAF/b68s=")</f>
        <v>#REF!</v>
      </c>
      <c r="GW28" t="e">
        <f>AND(#REF!,"AAAAAF/b68w=")</f>
        <v>#REF!</v>
      </c>
      <c r="GX28" t="e">
        <f>AND(#REF!,"AAAAAF/b680=")</f>
        <v>#REF!</v>
      </c>
      <c r="GY28" t="e">
        <f>AND(#REF!,"AAAAAF/b684=")</f>
        <v>#REF!</v>
      </c>
      <c r="GZ28" t="e">
        <f>AND(#REF!,"AAAAAF/b688=")</f>
        <v>#REF!</v>
      </c>
      <c r="HA28" t="e">
        <f>AND(#REF!,"AAAAAF/b69A=")</f>
        <v>#REF!</v>
      </c>
      <c r="HB28" t="e">
        <f>AND(#REF!,"AAAAAF/b69E=")</f>
        <v>#REF!</v>
      </c>
      <c r="HC28" t="e">
        <f>AND(#REF!,"AAAAAF/b69I=")</f>
        <v>#REF!</v>
      </c>
      <c r="HD28" t="e">
        <f>AND(#REF!,"AAAAAF/b69M=")</f>
        <v>#REF!</v>
      </c>
      <c r="HE28" t="e">
        <f>AND(#REF!,"AAAAAF/b69Q=")</f>
        <v>#REF!</v>
      </c>
      <c r="HF28" t="e">
        <f>AND(#REF!,"AAAAAF/b69U=")</f>
        <v>#REF!</v>
      </c>
      <c r="HG28" t="e">
        <f>AND(#REF!,"AAAAAF/b69Y=")</f>
        <v>#REF!</v>
      </c>
      <c r="HH28" t="e">
        <f>AND(#REF!,"AAAAAF/b69c=")</f>
        <v>#REF!</v>
      </c>
      <c r="HI28" t="e">
        <f>AND(#REF!,"AAAAAF/b69g=")</f>
        <v>#REF!</v>
      </c>
      <c r="HJ28" t="e">
        <f>AND(#REF!,"AAAAAF/b69k=")</f>
        <v>#REF!</v>
      </c>
      <c r="HK28" t="e">
        <f>AND(#REF!,"AAAAAF/b69o=")</f>
        <v>#REF!</v>
      </c>
      <c r="HL28" t="e">
        <f>AND(#REF!,"AAAAAF/b69s=")</f>
        <v>#REF!</v>
      </c>
      <c r="HM28" t="e">
        <f>AND(#REF!,"AAAAAF/b69w=")</f>
        <v>#REF!</v>
      </c>
      <c r="HN28" t="e">
        <f>AND(#REF!,"AAAAAF/b690=")</f>
        <v>#REF!</v>
      </c>
      <c r="HO28" t="e">
        <f>AND(#REF!,"AAAAAF/b694=")</f>
        <v>#REF!</v>
      </c>
      <c r="HP28" t="e">
        <f>AND(#REF!,"AAAAAF/b698=")</f>
        <v>#REF!</v>
      </c>
      <c r="HQ28" t="e">
        <f>AND(#REF!,"AAAAAF/b6+A=")</f>
        <v>#REF!</v>
      </c>
      <c r="HR28" t="e">
        <f>AND(#REF!,"AAAAAF/b6+E=")</f>
        <v>#REF!</v>
      </c>
      <c r="HS28" t="e">
        <f>AND(#REF!,"AAAAAF/b6+I=")</f>
        <v>#REF!</v>
      </c>
      <c r="HT28" t="e">
        <f>AND(#REF!,"AAAAAF/b6+M=")</f>
        <v>#REF!</v>
      </c>
      <c r="HU28" t="e">
        <f>AND(#REF!,"AAAAAF/b6+Q=")</f>
        <v>#REF!</v>
      </c>
      <c r="HV28" t="e">
        <f>AND(#REF!,"AAAAAF/b6+U=")</f>
        <v>#REF!</v>
      </c>
      <c r="HW28" t="e">
        <f>AND(#REF!,"AAAAAF/b6+Y=")</f>
        <v>#REF!</v>
      </c>
      <c r="HX28" t="e">
        <f>AND(#REF!,"AAAAAF/b6+c=")</f>
        <v>#REF!</v>
      </c>
      <c r="HY28" t="e">
        <f>AND(#REF!,"AAAAAF/b6+g=")</f>
        <v>#REF!</v>
      </c>
      <c r="HZ28" t="e">
        <f>AND(#REF!,"AAAAAF/b6+k=")</f>
        <v>#REF!</v>
      </c>
      <c r="IA28" t="e">
        <f>AND(#REF!,"AAAAAF/b6+o=")</f>
        <v>#REF!</v>
      </c>
      <c r="IB28" t="e">
        <f>AND(#REF!,"AAAAAF/b6+s=")</f>
        <v>#REF!</v>
      </c>
      <c r="IC28" t="e">
        <f>AND(#REF!,"AAAAAF/b6+w=")</f>
        <v>#REF!</v>
      </c>
      <c r="ID28" t="e">
        <f>AND(#REF!,"AAAAAF/b6+0=")</f>
        <v>#REF!</v>
      </c>
      <c r="IE28" t="e">
        <f>AND(#REF!,"AAAAAF/b6+4=")</f>
        <v>#REF!</v>
      </c>
      <c r="IF28" t="e">
        <f>AND(#REF!,"AAAAAF/b6+8=")</f>
        <v>#REF!</v>
      </c>
      <c r="IG28" t="e">
        <f>AND(#REF!,"AAAAAF/b6/A=")</f>
        <v>#REF!</v>
      </c>
      <c r="IH28" t="e">
        <f>AND(#REF!,"AAAAAF/b6/E=")</f>
        <v>#REF!</v>
      </c>
      <c r="II28" t="e">
        <f>AND(#REF!,"AAAAAF/b6/I=")</f>
        <v>#REF!</v>
      </c>
      <c r="IJ28" t="e">
        <f>AND(#REF!,"AAAAAF/b6/M=")</f>
        <v>#REF!</v>
      </c>
      <c r="IK28" t="e">
        <f>AND(#REF!,"AAAAAF/b6/Q=")</f>
        <v>#REF!</v>
      </c>
      <c r="IL28" t="e">
        <f>AND(#REF!,"AAAAAF/b6/U=")</f>
        <v>#REF!</v>
      </c>
      <c r="IM28" t="e">
        <f>AND(#REF!,"AAAAAF/b6/Y=")</f>
        <v>#REF!</v>
      </c>
      <c r="IN28" t="e">
        <f>AND(#REF!,"AAAAAF/b6/c=")</f>
        <v>#REF!</v>
      </c>
      <c r="IO28" t="e">
        <f>AND(#REF!,"AAAAAF/b6/g=")</f>
        <v>#REF!</v>
      </c>
      <c r="IP28" t="e">
        <f>AND(#REF!,"AAAAAF/b6/k=")</f>
        <v>#REF!</v>
      </c>
      <c r="IQ28" t="e">
        <f>AND(#REF!,"AAAAAF/b6/o=")</f>
        <v>#REF!</v>
      </c>
      <c r="IR28" t="e">
        <f>AND(#REF!,"AAAAAF/b6/s=")</f>
        <v>#REF!</v>
      </c>
      <c r="IS28" t="e">
        <f>AND(#REF!,"AAAAAF/b6/w=")</f>
        <v>#REF!</v>
      </c>
      <c r="IT28" t="e">
        <f>AND(#REF!,"AAAAAF/b6/0=")</f>
        <v>#REF!</v>
      </c>
      <c r="IU28" t="e">
        <f>AND(#REF!,"AAAAAF/b6/4=")</f>
        <v>#REF!</v>
      </c>
      <c r="IV28" t="e">
        <f>AND(#REF!,"AAAAAF/b6/8=")</f>
        <v>#REF!</v>
      </c>
    </row>
    <row r="29" spans="1:256" x14ac:dyDescent="0.25">
      <c r="A29" t="e">
        <f>AND(#REF!,"AAAAAHdf9AA=")</f>
        <v>#REF!</v>
      </c>
      <c r="B29" t="e">
        <f>AND(#REF!,"AAAAAHdf9AE=")</f>
        <v>#REF!</v>
      </c>
      <c r="C29" t="e">
        <f>AND(#REF!,"AAAAAHdf9AI=")</f>
        <v>#REF!</v>
      </c>
      <c r="D29" t="e">
        <f>AND(#REF!,"AAAAAHdf9AM=")</f>
        <v>#REF!</v>
      </c>
      <c r="E29" t="e">
        <f>AND(#REF!,"AAAAAHdf9AQ=")</f>
        <v>#REF!</v>
      </c>
      <c r="F29" t="e">
        <f>AND(#REF!,"AAAAAHdf9AU=")</f>
        <v>#REF!</v>
      </c>
      <c r="G29" t="e">
        <f>AND(#REF!,"AAAAAHdf9AY=")</f>
        <v>#REF!</v>
      </c>
      <c r="H29" t="e">
        <f>AND(#REF!,"AAAAAHdf9Ac=")</f>
        <v>#REF!</v>
      </c>
      <c r="I29" t="e">
        <f>AND(#REF!,"AAAAAHdf9Ag=")</f>
        <v>#REF!</v>
      </c>
      <c r="J29" t="e">
        <f>AND(#REF!,"AAAAAHdf9Ak=")</f>
        <v>#REF!</v>
      </c>
      <c r="K29" t="e">
        <f>AND(#REF!,"AAAAAHdf9Ao=")</f>
        <v>#REF!</v>
      </c>
      <c r="L29" t="e">
        <f>AND(#REF!,"AAAAAHdf9As=")</f>
        <v>#REF!</v>
      </c>
      <c r="M29" t="e">
        <f>AND(#REF!,"AAAAAHdf9Aw=")</f>
        <v>#REF!</v>
      </c>
      <c r="N29" t="e">
        <f>AND(#REF!,"AAAAAHdf9A0=")</f>
        <v>#REF!</v>
      </c>
      <c r="O29" t="e">
        <f>AND(#REF!,"AAAAAHdf9A4=")</f>
        <v>#REF!</v>
      </c>
      <c r="P29" t="e">
        <f>AND(#REF!,"AAAAAHdf9A8=")</f>
        <v>#REF!</v>
      </c>
      <c r="Q29" t="e">
        <f>AND(#REF!,"AAAAAHdf9BA=")</f>
        <v>#REF!</v>
      </c>
      <c r="R29" t="e">
        <f>AND(#REF!,"AAAAAHdf9BE=")</f>
        <v>#REF!</v>
      </c>
      <c r="S29" t="e">
        <f>AND(#REF!,"AAAAAHdf9BI=")</f>
        <v>#REF!</v>
      </c>
      <c r="T29" t="e">
        <f>AND(#REF!,"AAAAAHdf9BM=")</f>
        <v>#REF!</v>
      </c>
      <c r="U29" t="e">
        <f>AND(#REF!,"AAAAAHdf9BQ=")</f>
        <v>#REF!</v>
      </c>
      <c r="V29" t="e">
        <f>AND(#REF!,"AAAAAHdf9BU=")</f>
        <v>#REF!</v>
      </c>
      <c r="W29" t="e">
        <f>AND(#REF!,"AAAAAHdf9BY=")</f>
        <v>#REF!</v>
      </c>
      <c r="X29" t="e">
        <f>AND(#REF!,"AAAAAHdf9Bc=")</f>
        <v>#REF!</v>
      </c>
      <c r="Y29" t="e">
        <f>AND(#REF!,"AAAAAHdf9Bg=")</f>
        <v>#REF!</v>
      </c>
      <c r="Z29" t="e">
        <f>AND(#REF!,"AAAAAHdf9Bk=")</f>
        <v>#REF!</v>
      </c>
      <c r="AA29" t="e">
        <f>AND(#REF!,"AAAAAHdf9Bo=")</f>
        <v>#REF!</v>
      </c>
      <c r="AB29" t="e">
        <f>AND(#REF!,"AAAAAHdf9Bs=")</f>
        <v>#REF!</v>
      </c>
      <c r="AC29" t="e">
        <f>AND(#REF!,"AAAAAHdf9Bw=")</f>
        <v>#REF!</v>
      </c>
      <c r="AD29" t="e">
        <f>AND(#REF!,"AAAAAHdf9B0=")</f>
        <v>#REF!</v>
      </c>
      <c r="AE29" t="e">
        <f>AND(#REF!,"AAAAAHdf9B4=")</f>
        <v>#REF!</v>
      </c>
      <c r="AF29" t="e">
        <f>AND(#REF!,"AAAAAHdf9B8=")</f>
        <v>#REF!</v>
      </c>
      <c r="AG29" t="e">
        <f>AND(#REF!,"AAAAAHdf9CA=")</f>
        <v>#REF!</v>
      </c>
      <c r="AH29" t="e">
        <f>AND(#REF!,"AAAAAHdf9CE=")</f>
        <v>#REF!</v>
      </c>
      <c r="AI29" t="e">
        <f>AND(#REF!,"AAAAAHdf9CI=")</f>
        <v>#REF!</v>
      </c>
      <c r="AJ29" t="e">
        <f>AND(#REF!,"AAAAAHdf9CM=")</f>
        <v>#REF!</v>
      </c>
      <c r="AK29" t="e">
        <f>AND(#REF!,"AAAAAHdf9CQ=")</f>
        <v>#REF!</v>
      </c>
      <c r="AL29" t="e">
        <f>AND(#REF!,"AAAAAHdf9CU=")</f>
        <v>#REF!</v>
      </c>
      <c r="AM29" t="e">
        <f>AND(#REF!,"AAAAAHdf9CY=")</f>
        <v>#REF!</v>
      </c>
      <c r="AN29" t="e">
        <f>AND(#REF!,"AAAAAHdf9Cc=")</f>
        <v>#REF!</v>
      </c>
      <c r="AO29" t="e">
        <f>AND(#REF!,"AAAAAHdf9Cg=")</f>
        <v>#REF!</v>
      </c>
      <c r="AP29" t="e">
        <f>AND(#REF!,"AAAAAHdf9Ck=")</f>
        <v>#REF!</v>
      </c>
      <c r="AQ29" t="e">
        <f>AND(#REF!,"AAAAAHdf9Co=")</f>
        <v>#REF!</v>
      </c>
      <c r="AR29" t="e">
        <f>AND(#REF!,"AAAAAHdf9Cs=")</f>
        <v>#REF!</v>
      </c>
      <c r="AS29" t="e">
        <f>AND(#REF!,"AAAAAHdf9Cw=")</f>
        <v>#REF!</v>
      </c>
      <c r="AT29" t="e">
        <f>AND(#REF!,"AAAAAHdf9C0=")</f>
        <v>#REF!</v>
      </c>
      <c r="AU29" t="e">
        <f>AND(#REF!,"AAAAAHdf9C4=")</f>
        <v>#REF!</v>
      </c>
      <c r="AV29" t="e">
        <f>AND(#REF!,"AAAAAHdf9C8=")</f>
        <v>#REF!</v>
      </c>
      <c r="AW29" t="e">
        <f>AND(#REF!,"AAAAAHdf9DA=")</f>
        <v>#REF!</v>
      </c>
      <c r="AX29" t="e">
        <f>AND(#REF!,"AAAAAHdf9DE=")</f>
        <v>#REF!</v>
      </c>
      <c r="AY29" t="e">
        <f>AND(#REF!,"AAAAAHdf9DI=")</f>
        <v>#REF!</v>
      </c>
      <c r="AZ29" t="e">
        <f>IF(#REF!,"AAAAAHdf9DM=",0)</f>
        <v>#REF!</v>
      </c>
      <c r="BA29" t="e">
        <f>AND(#REF!,"AAAAAHdf9DQ=")</f>
        <v>#REF!</v>
      </c>
      <c r="BB29" t="e">
        <f>AND(#REF!,"AAAAAHdf9DU=")</f>
        <v>#REF!</v>
      </c>
      <c r="BC29" t="e">
        <f>AND(#REF!,"AAAAAHdf9DY=")</f>
        <v>#REF!</v>
      </c>
      <c r="BD29" t="e">
        <f>AND(#REF!,"AAAAAHdf9Dc=")</f>
        <v>#REF!</v>
      </c>
      <c r="BE29" t="e">
        <f>AND(#REF!,"AAAAAHdf9Dg=")</f>
        <v>#REF!</v>
      </c>
      <c r="BF29" t="e">
        <f>AND(#REF!,"AAAAAHdf9Dk=")</f>
        <v>#REF!</v>
      </c>
      <c r="BG29" t="e">
        <f>AND(#REF!,"AAAAAHdf9Do=")</f>
        <v>#REF!</v>
      </c>
      <c r="BH29" t="e">
        <f>AND(#REF!,"AAAAAHdf9Ds=")</f>
        <v>#REF!</v>
      </c>
      <c r="BI29" t="e">
        <f>AND(#REF!,"AAAAAHdf9Dw=")</f>
        <v>#REF!</v>
      </c>
      <c r="BJ29" t="e">
        <f>AND(#REF!,"AAAAAHdf9D0=")</f>
        <v>#REF!</v>
      </c>
      <c r="BK29" t="e">
        <f>AND(#REF!,"AAAAAHdf9D4=")</f>
        <v>#REF!</v>
      </c>
      <c r="BL29" t="e">
        <f>AND(#REF!,"AAAAAHdf9D8=")</f>
        <v>#REF!</v>
      </c>
      <c r="BM29" t="e">
        <f>AND(#REF!,"AAAAAHdf9EA=")</f>
        <v>#REF!</v>
      </c>
      <c r="BN29" t="e">
        <f>AND(#REF!,"AAAAAHdf9EE=")</f>
        <v>#REF!</v>
      </c>
      <c r="BO29" t="e">
        <f>AND(#REF!,"AAAAAHdf9EI=")</f>
        <v>#REF!</v>
      </c>
      <c r="BP29" t="e">
        <f>AND(#REF!,"AAAAAHdf9EM=")</f>
        <v>#REF!</v>
      </c>
      <c r="BQ29" t="e">
        <f>AND(#REF!,"AAAAAHdf9EQ=")</f>
        <v>#REF!</v>
      </c>
      <c r="BR29" t="e">
        <f>AND(#REF!,"AAAAAHdf9EU=")</f>
        <v>#REF!</v>
      </c>
      <c r="BS29" t="e">
        <f>AND(#REF!,"AAAAAHdf9EY=")</f>
        <v>#REF!</v>
      </c>
      <c r="BT29" t="e">
        <f>AND(#REF!,"AAAAAHdf9Ec=")</f>
        <v>#REF!</v>
      </c>
      <c r="BU29" t="e">
        <f>AND(#REF!,"AAAAAHdf9Eg=")</f>
        <v>#REF!</v>
      </c>
      <c r="BV29" t="e">
        <f>AND(#REF!,"AAAAAHdf9Ek=")</f>
        <v>#REF!</v>
      </c>
      <c r="BW29" t="e">
        <f>AND(#REF!,"AAAAAHdf9Eo=")</f>
        <v>#REF!</v>
      </c>
      <c r="BX29" t="e">
        <f>AND(#REF!,"AAAAAHdf9Es=")</f>
        <v>#REF!</v>
      </c>
      <c r="BY29" t="e">
        <f>AND(#REF!,"AAAAAHdf9Ew=")</f>
        <v>#REF!</v>
      </c>
      <c r="BZ29" t="e">
        <f>AND(#REF!,"AAAAAHdf9E0=")</f>
        <v>#REF!</v>
      </c>
      <c r="CA29" t="e">
        <f>AND(#REF!,"AAAAAHdf9E4=")</f>
        <v>#REF!</v>
      </c>
      <c r="CB29" t="e">
        <f>AND(#REF!,"AAAAAHdf9E8=")</f>
        <v>#REF!</v>
      </c>
      <c r="CC29" t="e">
        <f>AND(#REF!,"AAAAAHdf9FA=")</f>
        <v>#REF!</v>
      </c>
      <c r="CD29" t="e">
        <f>AND(#REF!,"AAAAAHdf9FE=")</f>
        <v>#REF!</v>
      </c>
      <c r="CE29" t="e">
        <f>AND(#REF!,"AAAAAHdf9FI=")</f>
        <v>#REF!</v>
      </c>
      <c r="CF29" t="e">
        <f>AND(#REF!,"AAAAAHdf9FM=")</f>
        <v>#REF!</v>
      </c>
      <c r="CG29" t="e">
        <f>AND(#REF!,"AAAAAHdf9FQ=")</f>
        <v>#REF!</v>
      </c>
      <c r="CH29" t="e">
        <f>AND(#REF!,"AAAAAHdf9FU=")</f>
        <v>#REF!</v>
      </c>
      <c r="CI29" t="e">
        <f>AND(#REF!,"AAAAAHdf9FY=")</f>
        <v>#REF!</v>
      </c>
      <c r="CJ29" t="e">
        <f>AND(#REF!,"AAAAAHdf9Fc=")</f>
        <v>#REF!</v>
      </c>
      <c r="CK29" t="e">
        <f>AND(#REF!,"AAAAAHdf9Fg=")</f>
        <v>#REF!</v>
      </c>
      <c r="CL29" t="e">
        <f>AND(#REF!,"AAAAAHdf9Fk=")</f>
        <v>#REF!</v>
      </c>
      <c r="CM29" t="e">
        <f>AND(#REF!,"AAAAAHdf9Fo=")</f>
        <v>#REF!</v>
      </c>
      <c r="CN29" t="e">
        <f>AND(#REF!,"AAAAAHdf9Fs=")</f>
        <v>#REF!</v>
      </c>
      <c r="CO29" t="e">
        <f>AND(#REF!,"AAAAAHdf9Fw=")</f>
        <v>#REF!</v>
      </c>
      <c r="CP29" t="e">
        <f>AND(#REF!,"AAAAAHdf9F0=")</f>
        <v>#REF!</v>
      </c>
      <c r="CQ29" t="e">
        <f>AND(#REF!,"AAAAAHdf9F4=")</f>
        <v>#REF!</v>
      </c>
      <c r="CR29" t="e">
        <f>AND(#REF!,"AAAAAHdf9F8=")</f>
        <v>#REF!</v>
      </c>
      <c r="CS29" t="e">
        <f>AND(#REF!,"AAAAAHdf9GA=")</f>
        <v>#REF!</v>
      </c>
      <c r="CT29" t="e">
        <f>AND(#REF!,"AAAAAHdf9GE=")</f>
        <v>#REF!</v>
      </c>
      <c r="CU29" t="e">
        <f>AND(#REF!,"AAAAAHdf9GI=")</f>
        <v>#REF!</v>
      </c>
      <c r="CV29" t="e">
        <f>AND(#REF!,"AAAAAHdf9GM=")</f>
        <v>#REF!</v>
      </c>
      <c r="CW29" t="e">
        <f>AND(#REF!,"AAAAAHdf9GQ=")</f>
        <v>#REF!</v>
      </c>
      <c r="CX29" t="e">
        <f>AND(#REF!,"AAAAAHdf9GU=")</f>
        <v>#REF!</v>
      </c>
      <c r="CY29" t="e">
        <f>AND(#REF!,"AAAAAHdf9GY=")</f>
        <v>#REF!</v>
      </c>
      <c r="CZ29" t="e">
        <f>AND(#REF!,"AAAAAHdf9Gc=")</f>
        <v>#REF!</v>
      </c>
      <c r="DA29" t="e">
        <f>AND(#REF!,"AAAAAHdf9Gg=")</f>
        <v>#REF!</v>
      </c>
      <c r="DB29" t="e">
        <f>AND(#REF!,"AAAAAHdf9Gk=")</f>
        <v>#REF!</v>
      </c>
      <c r="DC29" t="e">
        <f>AND(#REF!,"AAAAAHdf9Go=")</f>
        <v>#REF!</v>
      </c>
      <c r="DD29" t="e">
        <f>AND(#REF!,"AAAAAHdf9Gs=")</f>
        <v>#REF!</v>
      </c>
      <c r="DE29" t="e">
        <f>AND(#REF!,"AAAAAHdf9Gw=")</f>
        <v>#REF!</v>
      </c>
      <c r="DF29" t="e">
        <f>AND(#REF!,"AAAAAHdf9G0=")</f>
        <v>#REF!</v>
      </c>
      <c r="DG29" t="e">
        <f>AND(#REF!,"AAAAAHdf9G4=")</f>
        <v>#REF!</v>
      </c>
      <c r="DH29" t="e">
        <f>AND(#REF!,"AAAAAHdf9G8=")</f>
        <v>#REF!</v>
      </c>
      <c r="DI29" t="e">
        <f>AND(#REF!,"AAAAAHdf9HA=")</f>
        <v>#REF!</v>
      </c>
      <c r="DJ29" t="e">
        <f>AND(#REF!,"AAAAAHdf9HE=")</f>
        <v>#REF!</v>
      </c>
      <c r="DK29" t="e">
        <f>AND(#REF!,"AAAAAHdf9HI=")</f>
        <v>#REF!</v>
      </c>
      <c r="DL29" t="e">
        <f>AND(#REF!,"AAAAAHdf9HM=")</f>
        <v>#REF!</v>
      </c>
      <c r="DM29" t="e">
        <f>AND(#REF!,"AAAAAHdf9HQ=")</f>
        <v>#REF!</v>
      </c>
      <c r="DN29" t="e">
        <f>AND(#REF!,"AAAAAHdf9HU=")</f>
        <v>#REF!</v>
      </c>
      <c r="DO29" t="e">
        <f>AND(#REF!,"AAAAAHdf9HY=")</f>
        <v>#REF!</v>
      </c>
      <c r="DP29" t="e">
        <f>AND(#REF!,"AAAAAHdf9Hc=")</f>
        <v>#REF!</v>
      </c>
      <c r="DQ29" t="e">
        <f>AND(#REF!,"AAAAAHdf9Hg=")</f>
        <v>#REF!</v>
      </c>
      <c r="DR29" t="e">
        <f>AND(#REF!,"AAAAAHdf9Hk=")</f>
        <v>#REF!</v>
      </c>
      <c r="DS29" t="e">
        <f>AND(#REF!,"AAAAAHdf9Ho=")</f>
        <v>#REF!</v>
      </c>
      <c r="DT29" t="e">
        <f>AND(#REF!,"AAAAAHdf9Hs=")</f>
        <v>#REF!</v>
      </c>
      <c r="DU29" t="e">
        <f>AND(#REF!,"AAAAAHdf9Hw=")</f>
        <v>#REF!</v>
      </c>
      <c r="DV29" t="e">
        <f>AND(#REF!,"AAAAAHdf9H0=")</f>
        <v>#REF!</v>
      </c>
      <c r="DW29" t="e">
        <f>AND(#REF!,"AAAAAHdf9H4=")</f>
        <v>#REF!</v>
      </c>
      <c r="DX29" t="e">
        <f>AND(#REF!,"AAAAAHdf9H8=")</f>
        <v>#REF!</v>
      </c>
      <c r="DY29" t="e">
        <f>AND(#REF!,"AAAAAHdf9IA=")</f>
        <v>#REF!</v>
      </c>
      <c r="DZ29" t="e">
        <f>AND(#REF!,"AAAAAHdf9IE=")</f>
        <v>#REF!</v>
      </c>
      <c r="EA29" t="e">
        <f>AND(#REF!,"AAAAAHdf9II=")</f>
        <v>#REF!</v>
      </c>
      <c r="EB29" t="e">
        <f>AND(#REF!,"AAAAAHdf9IM=")</f>
        <v>#REF!</v>
      </c>
      <c r="EC29" t="e">
        <f>AND(#REF!,"AAAAAHdf9IQ=")</f>
        <v>#REF!</v>
      </c>
      <c r="ED29" t="e">
        <f>AND(#REF!,"AAAAAHdf9IU=")</f>
        <v>#REF!</v>
      </c>
      <c r="EE29" t="e">
        <f>AND(#REF!,"AAAAAHdf9IY=")</f>
        <v>#REF!</v>
      </c>
      <c r="EF29" t="e">
        <f>AND(#REF!,"AAAAAHdf9Ic=")</f>
        <v>#REF!</v>
      </c>
      <c r="EG29" t="e">
        <f>AND(#REF!,"AAAAAHdf9Ig=")</f>
        <v>#REF!</v>
      </c>
      <c r="EH29" t="e">
        <f>AND(#REF!,"AAAAAHdf9Ik=")</f>
        <v>#REF!</v>
      </c>
      <c r="EI29" t="e">
        <f>AND(#REF!,"AAAAAHdf9Io=")</f>
        <v>#REF!</v>
      </c>
      <c r="EJ29" t="e">
        <f>AND(#REF!,"AAAAAHdf9Is=")</f>
        <v>#REF!</v>
      </c>
      <c r="EK29" t="e">
        <f>AND(#REF!,"AAAAAHdf9Iw=")</f>
        <v>#REF!</v>
      </c>
      <c r="EL29" t="e">
        <f>AND(#REF!,"AAAAAHdf9I0=")</f>
        <v>#REF!</v>
      </c>
      <c r="EM29" t="e">
        <f>AND(#REF!,"AAAAAHdf9I4=")</f>
        <v>#REF!</v>
      </c>
      <c r="EN29" t="e">
        <f>AND(#REF!,"AAAAAHdf9I8=")</f>
        <v>#REF!</v>
      </c>
      <c r="EO29" t="e">
        <f>AND(#REF!,"AAAAAHdf9JA=")</f>
        <v>#REF!</v>
      </c>
      <c r="EP29" t="e">
        <f>AND(#REF!,"AAAAAHdf9JE=")</f>
        <v>#REF!</v>
      </c>
      <c r="EQ29" t="e">
        <f>AND(#REF!,"AAAAAHdf9JI=")</f>
        <v>#REF!</v>
      </c>
      <c r="ER29" t="e">
        <f>AND(#REF!,"AAAAAHdf9JM=")</f>
        <v>#REF!</v>
      </c>
      <c r="ES29" t="e">
        <f>AND(#REF!,"AAAAAHdf9JQ=")</f>
        <v>#REF!</v>
      </c>
      <c r="ET29" t="e">
        <f>AND(#REF!,"AAAAAHdf9JU=")</f>
        <v>#REF!</v>
      </c>
      <c r="EU29" t="e">
        <f>AND(#REF!,"AAAAAHdf9JY=")</f>
        <v>#REF!</v>
      </c>
      <c r="EV29" t="e">
        <f>AND(#REF!,"AAAAAHdf9Jc=")</f>
        <v>#REF!</v>
      </c>
      <c r="EW29" t="e">
        <f>AND(#REF!,"AAAAAHdf9Jg=")</f>
        <v>#REF!</v>
      </c>
      <c r="EX29" t="e">
        <f>AND(#REF!,"AAAAAHdf9Jk=")</f>
        <v>#REF!</v>
      </c>
      <c r="EY29" t="e">
        <f>AND(#REF!,"AAAAAHdf9Jo=")</f>
        <v>#REF!</v>
      </c>
      <c r="EZ29" t="e">
        <f>AND(#REF!,"AAAAAHdf9Js=")</f>
        <v>#REF!</v>
      </c>
      <c r="FA29" t="e">
        <f>AND(#REF!,"AAAAAHdf9Jw=")</f>
        <v>#REF!</v>
      </c>
      <c r="FB29" t="e">
        <f>AND(#REF!,"AAAAAHdf9J0=")</f>
        <v>#REF!</v>
      </c>
      <c r="FC29" t="e">
        <f>AND(#REF!,"AAAAAHdf9J4=")</f>
        <v>#REF!</v>
      </c>
      <c r="FD29" t="e">
        <f>AND(#REF!,"AAAAAHdf9J8=")</f>
        <v>#REF!</v>
      </c>
      <c r="FE29" t="e">
        <f>AND(#REF!,"AAAAAHdf9KA=")</f>
        <v>#REF!</v>
      </c>
      <c r="FF29" t="e">
        <f>AND(#REF!,"AAAAAHdf9KE=")</f>
        <v>#REF!</v>
      </c>
      <c r="FG29" t="e">
        <f>AND(#REF!,"AAAAAHdf9KI=")</f>
        <v>#REF!</v>
      </c>
      <c r="FH29" t="e">
        <f>AND(#REF!,"AAAAAHdf9KM=")</f>
        <v>#REF!</v>
      </c>
      <c r="FI29" t="e">
        <f>AND(#REF!,"AAAAAHdf9KQ=")</f>
        <v>#REF!</v>
      </c>
      <c r="FJ29" t="e">
        <f>AND(#REF!,"AAAAAHdf9KU=")</f>
        <v>#REF!</v>
      </c>
      <c r="FK29" t="e">
        <f>AND(#REF!,"AAAAAHdf9KY=")</f>
        <v>#REF!</v>
      </c>
      <c r="FL29" t="e">
        <f>AND(#REF!,"AAAAAHdf9Kc=")</f>
        <v>#REF!</v>
      </c>
      <c r="FM29" t="e">
        <f>AND(#REF!,"AAAAAHdf9Kg=")</f>
        <v>#REF!</v>
      </c>
      <c r="FN29" t="e">
        <f>AND(#REF!,"AAAAAHdf9Kk=")</f>
        <v>#REF!</v>
      </c>
      <c r="FO29" t="e">
        <f>AND(#REF!,"AAAAAHdf9Ko=")</f>
        <v>#REF!</v>
      </c>
      <c r="FP29" t="e">
        <f>AND(#REF!,"AAAAAHdf9Ks=")</f>
        <v>#REF!</v>
      </c>
      <c r="FQ29" t="e">
        <f>AND(#REF!,"AAAAAHdf9Kw=")</f>
        <v>#REF!</v>
      </c>
      <c r="FR29" t="e">
        <f>AND(#REF!,"AAAAAHdf9K0=")</f>
        <v>#REF!</v>
      </c>
      <c r="FS29" t="e">
        <f>AND(#REF!,"AAAAAHdf9K4=")</f>
        <v>#REF!</v>
      </c>
      <c r="FT29" t="e">
        <f>AND(#REF!,"AAAAAHdf9K8=")</f>
        <v>#REF!</v>
      </c>
      <c r="FU29" t="e">
        <f>AND(#REF!,"AAAAAHdf9LA=")</f>
        <v>#REF!</v>
      </c>
      <c r="FV29" t="e">
        <f>AND(#REF!,"AAAAAHdf9LE=")</f>
        <v>#REF!</v>
      </c>
      <c r="FW29" t="e">
        <f>AND(#REF!,"AAAAAHdf9LI=")</f>
        <v>#REF!</v>
      </c>
      <c r="FX29" t="e">
        <f>AND(#REF!,"AAAAAHdf9LM=")</f>
        <v>#REF!</v>
      </c>
      <c r="FY29" t="e">
        <f>AND(#REF!,"AAAAAHdf9LQ=")</f>
        <v>#REF!</v>
      </c>
      <c r="FZ29" t="e">
        <f>AND(#REF!,"AAAAAHdf9LU=")</f>
        <v>#REF!</v>
      </c>
      <c r="GA29" t="e">
        <f>AND(#REF!,"AAAAAHdf9LY=")</f>
        <v>#REF!</v>
      </c>
      <c r="GB29" t="e">
        <f>AND(#REF!,"AAAAAHdf9Lc=")</f>
        <v>#REF!</v>
      </c>
      <c r="GC29" t="e">
        <f>AND(#REF!,"AAAAAHdf9Lg=")</f>
        <v>#REF!</v>
      </c>
      <c r="GD29" t="e">
        <f>AND(#REF!,"AAAAAHdf9Lk=")</f>
        <v>#REF!</v>
      </c>
      <c r="GE29" t="e">
        <f>AND(#REF!,"AAAAAHdf9Lo=")</f>
        <v>#REF!</v>
      </c>
      <c r="GF29" t="e">
        <f>AND(#REF!,"AAAAAHdf9Ls=")</f>
        <v>#REF!</v>
      </c>
      <c r="GG29" t="e">
        <f>AND(#REF!,"AAAAAHdf9Lw=")</f>
        <v>#REF!</v>
      </c>
      <c r="GH29" t="e">
        <f>AND(#REF!,"AAAAAHdf9L0=")</f>
        <v>#REF!</v>
      </c>
      <c r="GI29" t="e">
        <f>AND(#REF!,"AAAAAHdf9L4=")</f>
        <v>#REF!</v>
      </c>
      <c r="GJ29" t="e">
        <f>AND(#REF!,"AAAAAHdf9L8=")</f>
        <v>#REF!</v>
      </c>
      <c r="GK29" t="e">
        <f>AND(#REF!,"AAAAAHdf9MA=")</f>
        <v>#REF!</v>
      </c>
      <c r="GL29" t="e">
        <f>AND(#REF!,"AAAAAHdf9ME=")</f>
        <v>#REF!</v>
      </c>
      <c r="GM29" t="e">
        <f>AND(#REF!,"AAAAAHdf9MI=")</f>
        <v>#REF!</v>
      </c>
      <c r="GN29" t="e">
        <f>AND(#REF!,"AAAAAHdf9MM=")</f>
        <v>#REF!</v>
      </c>
      <c r="GO29" t="e">
        <f>AND(#REF!,"AAAAAHdf9MQ=")</f>
        <v>#REF!</v>
      </c>
      <c r="GP29" t="e">
        <f>AND(#REF!,"AAAAAHdf9MU=")</f>
        <v>#REF!</v>
      </c>
      <c r="GQ29" t="e">
        <f>AND(#REF!,"AAAAAHdf9MY=")</f>
        <v>#REF!</v>
      </c>
      <c r="GR29" t="e">
        <f>AND(#REF!,"AAAAAHdf9Mc=")</f>
        <v>#REF!</v>
      </c>
      <c r="GS29" t="e">
        <f>AND(#REF!,"AAAAAHdf9Mg=")</f>
        <v>#REF!</v>
      </c>
      <c r="GT29" t="e">
        <f>AND(#REF!,"AAAAAHdf9Mk=")</f>
        <v>#REF!</v>
      </c>
      <c r="GU29" t="e">
        <f>AND(#REF!,"AAAAAHdf9Mo=")</f>
        <v>#REF!</v>
      </c>
      <c r="GV29" t="e">
        <f>AND(#REF!,"AAAAAHdf9Ms=")</f>
        <v>#REF!</v>
      </c>
      <c r="GW29" t="e">
        <f>AND(#REF!,"AAAAAHdf9Mw=")</f>
        <v>#REF!</v>
      </c>
      <c r="GX29" t="e">
        <f>AND(#REF!,"AAAAAHdf9M0=")</f>
        <v>#REF!</v>
      </c>
      <c r="GY29" t="e">
        <f>AND(#REF!,"AAAAAHdf9M4=")</f>
        <v>#REF!</v>
      </c>
      <c r="GZ29" t="e">
        <f>AND(#REF!,"AAAAAHdf9M8=")</f>
        <v>#REF!</v>
      </c>
      <c r="HA29" t="e">
        <f>AND(#REF!,"AAAAAHdf9NA=")</f>
        <v>#REF!</v>
      </c>
      <c r="HB29" t="e">
        <f>AND(#REF!,"AAAAAHdf9NE=")</f>
        <v>#REF!</v>
      </c>
      <c r="HC29" t="e">
        <f>AND(#REF!,"AAAAAHdf9NI=")</f>
        <v>#REF!</v>
      </c>
      <c r="HD29" t="e">
        <f>AND(#REF!,"AAAAAHdf9NM=")</f>
        <v>#REF!</v>
      </c>
      <c r="HE29" t="e">
        <f>AND(#REF!,"AAAAAHdf9NQ=")</f>
        <v>#REF!</v>
      </c>
      <c r="HF29" t="e">
        <f>AND(#REF!,"AAAAAHdf9NU=")</f>
        <v>#REF!</v>
      </c>
      <c r="HG29" t="e">
        <f>AND(#REF!,"AAAAAHdf9NY=")</f>
        <v>#REF!</v>
      </c>
      <c r="HH29" t="e">
        <f>AND(#REF!,"AAAAAHdf9Nc=")</f>
        <v>#REF!</v>
      </c>
      <c r="HI29" t="e">
        <f>AND(#REF!,"AAAAAHdf9Ng=")</f>
        <v>#REF!</v>
      </c>
      <c r="HJ29" t="e">
        <f>AND(#REF!,"AAAAAHdf9Nk=")</f>
        <v>#REF!</v>
      </c>
      <c r="HK29" t="e">
        <f>AND(#REF!,"AAAAAHdf9No=")</f>
        <v>#REF!</v>
      </c>
      <c r="HL29" t="e">
        <f>AND(#REF!,"AAAAAHdf9Ns=")</f>
        <v>#REF!</v>
      </c>
      <c r="HM29" t="e">
        <f>AND(#REF!,"AAAAAHdf9Nw=")</f>
        <v>#REF!</v>
      </c>
      <c r="HN29" t="e">
        <f>AND(#REF!,"AAAAAHdf9N0=")</f>
        <v>#REF!</v>
      </c>
      <c r="HO29" t="e">
        <f>AND(#REF!,"AAAAAHdf9N4=")</f>
        <v>#REF!</v>
      </c>
      <c r="HP29" t="e">
        <f>AND(#REF!,"AAAAAHdf9N8=")</f>
        <v>#REF!</v>
      </c>
      <c r="HQ29" t="e">
        <f>AND(#REF!,"AAAAAHdf9OA=")</f>
        <v>#REF!</v>
      </c>
      <c r="HR29" t="e">
        <f>AND(#REF!,"AAAAAHdf9OE=")</f>
        <v>#REF!</v>
      </c>
      <c r="HS29" t="e">
        <f>AND(#REF!,"AAAAAHdf9OI=")</f>
        <v>#REF!</v>
      </c>
      <c r="HT29" t="e">
        <f>AND(#REF!,"AAAAAHdf9OM=")</f>
        <v>#REF!</v>
      </c>
      <c r="HU29" t="e">
        <f>AND(#REF!,"AAAAAHdf9OQ=")</f>
        <v>#REF!</v>
      </c>
      <c r="HV29" t="e">
        <f>AND(#REF!,"AAAAAHdf9OU=")</f>
        <v>#REF!</v>
      </c>
      <c r="HW29" t="e">
        <f>AND(#REF!,"AAAAAHdf9OY=")</f>
        <v>#REF!</v>
      </c>
      <c r="HX29" t="e">
        <f>AND(#REF!,"AAAAAHdf9Oc=")</f>
        <v>#REF!</v>
      </c>
      <c r="HY29" t="e">
        <f>AND(#REF!,"AAAAAHdf9Og=")</f>
        <v>#REF!</v>
      </c>
      <c r="HZ29" t="e">
        <f>AND(#REF!,"AAAAAHdf9Ok=")</f>
        <v>#REF!</v>
      </c>
      <c r="IA29" t="e">
        <f>AND(#REF!,"AAAAAHdf9Oo=")</f>
        <v>#REF!</v>
      </c>
      <c r="IB29" t="e">
        <f>AND(#REF!,"AAAAAHdf9Os=")</f>
        <v>#REF!</v>
      </c>
      <c r="IC29" t="e">
        <f>AND(#REF!,"AAAAAHdf9Ow=")</f>
        <v>#REF!</v>
      </c>
      <c r="ID29" t="e">
        <f>AND(#REF!,"AAAAAHdf9O0=")</f>
        <v>#REF!</v>
      </c>
      <c r="IE29" t="e">
        <f>AND(#REF!,"AAAAAHdf9O4=")</f>
        <v>#REF!</v>
      </c>
      <c r="IF29" t="e">
        <f>AND(#REF!,"AAAAAHdf9O8=")</f>
        <v>#REF!</v>
      </c>
      <c r="IG29" t="e">
        <f>IF(#REF!,"AAAAAHdf9PA=",0)</f>
        <v>#REF!</v>
      </c>
      <c r="IH29" t="e">
        <f>AND(#REF!,"AAAAAHdf9PE=")</f>
        <v>#REF!</v>
      </c>
      <c r="II29" t="e">
        <f>AND(#REF!,"AAAAAHdf9PI=")</f>
        <v>#REF!</v>
      </c>
      <c r="IJ29" t="e">
        <f>AND(#REF!,"AAAAAHdf9PM=")</f>
        <v>#REF!</v>
      </c>
      <c r="IK29" t="e">
        <f>AND(#REF!,"AAAAAHdf9PQ=")</f>
        <v>#REF!</v>
      </c>
      <c r="IL29" t="e">
        <f>AND(#REF!,"AAAAAHdf9PU=")</f>
        <v>#REF!</v>
      </c>
      <c r="IM29" t="e">
        <f>AND(#REF!,"AAAAAHdf9PY=")</f>
        <v>#REF!</v>
      </c>
      <c r="IN29" t="e">
        <f>AND(#REF!,"AAAAAHdf9Pc=")</f>
        <v>#REF!</v>
      </c>
      <c r="IO29" t="e">
        <f>AND(#REF!,"AAAAAHdf9Pg=")</f>
        <v>#REF!</v>
      </c>
      <c r="IP29" t="e">
        <f>AND(#REF!,"AAAAAHdf9Pk=")</f>
        <v>#REF!</v>
      </c>
      <c r="IQ29" t="e">
        <f>AND(#REF!,"AAAAAHdf9Po=")</f>
        <v>#REF!</v>
      </c>
      <c r="IR29" t="e">
        <f>AND(#REF!,"AAAAAHdf9Ps=")</f>
        <v>#REF!</v>
      </c>
      <c r="IS29" t="e">
        <f>AND(#REF!,"AAAAAHdf9Pw=")</f>
        <v>#REF!</v>
      </c>
      <c r="IT29" t="e">
        <f>AND(#REF!,"AAAAAHdf9P0=")</f>
        <v>#REF!</v>
      </c>
      <c r="IU29" t="e">
        <f>AND(#REF!,"AAAAAHdf9P4=")</f>
        <v>#REF!</v>
      </c>
      <c r="IV29" t="e">
        <f>AND(#REF!,"AAAAAHdf9P8=")</f>
        <v>#REF!</v>
      </c>
    </row>
    <row r="30" spans="1:256" x14ac:dyDescent="0.25">
      <c r="A30" t="e">
        <f>AND(#REF!,"AAAAAHefZgA=")</f>
        <v>#REF!</v>
      </c>
      <c r="B30" t="e">
        <f>AND(#REF!,"AAAAAHefZgE=")</f>
        <v>#REF!</v>
      </c>
      <c r="C30" t="e">
        <f>AND(#REF!,"AAAAAHefZgI=")</f>
        <v>#REF!</v>
      </c>
      <c r="D30" t="e">
        <f>AND(#REF!,"AAAAAHefZgM=")</f>
        <v>#REF!</v>
      </c>
      <c r="E30" t="e">
        <f>AND(#REF!,"AAAAAHefZgQ=")</f>
        <v>#REF!</v>
      </c>
      <c r="F30" t="e">
        <f>AND(#REF!,"AAAAAHefZgU=")</f>
        <v>#REF!</v>
      </c>
      <c r="G30" t="e">
        <f>AND(#REF!,"AAAAAHefZgY=")</f>
        <v>#REF!</v>
      </c>
      <c r="H30" t="e">
        <f>AND(#REF!,"AAAAAHefZgc=")</f>
        <v>#REF!</v>
      </c>
      <c r="I30" t="e">
        <f>AND(#REF!,"AAAAAHefZgg=")</f>
        <v>#REF!</v>
      </c>
      <c r="J30" t="e">
        <f>AND(#REF!,"AAAAAHefZgk=")</f>
        <v>#REF!</v>
      </c>
      <c r="K30" t="e">
        <f>AND(#REF!,"AAAAAHefZgo=")</f>
        <v>#REF!</v>
      </c>
      <c r="L30" t="e">
        <f>AND(#REF!,"AAAAAHefZgs=")</f>
        <v>#REF!</v>
      </c>
      <c r="M30" t="e">
        <f>AND(#REF!,"AAAAAHefZgw=")</f>
        <v>#REF!</v>
      </c>
      <c r="N30" t="e">
        <f>AND(#REF!,"AAAAAHefZg0=")</f>
        <v>#REF!</v>
      </c>
      <c r="O30" t="e">
        <f>AND(#REF!,"AAAAAHefZg4=")</f>
        <v>#REF!</v>
      </c>
      <c r="P30" t="e">
        <f>AND(#REF!,"AAAAAHefZg8=")</f>
        <v>#REF!</v>
      </c>
      <c r="Q30" t="e">
        <f>AND(#REF!,"AAAAAHefZhA=")</f>
        <v>#REF!</v>
      </c>
      <c r="R30" t="e">
        <f>AND(#REF!,"AAAAAHefZhE=")</f>
        <v>#REF!</v>
      </c>
      <c r="S30" t="e">
        <f>AND(#REF!,"AAAAAHefZhI=")</f>
        <v>#REF!</v>
      </c>
      <c r="T30" t="e">
        <f>AND(#REF!,"AAAAAHefZhM=")</f>
        <v>#REF!</v>
      </c>
      <c r="U30" t="e">
        <f>AND(#REF!,"AAAAAHefZhQ=")</f>
        <v>#REF!</v>
      </c>
      <c r="V30" t="e">
        <f>AND(#REF!,"AAAAAHefZhU=")</f>
        <v>#REF!</v>
      </c>
      <c r="W30" t="e">
        <f>AND(#REF!,"AAAAAHefZhY=")</f>
        <v>#REF!</v>
      </c>
      <c r="X30" t="e">
        <f>AND(#REF!,"AAAAAHefZhc=")</f>
        <v>#REF!</v>
      </c>
      <c r="Y30" t="e">
        <f>AND(#REF!,"AAAAAHefZhg=")</f>
        <v>#REF!</v>
      </c>
      <c r="Z30" t="e">
        <f>AND(#REF!,"AAAAAHefZhk=")</f>
        <v>#REF!</v>
      </c>
      <c r="AA30" t="e">
        <f>AND(#REF!,"AAAAAHefZho=")</f>
        <v>#REF!</v>
      </c>
      <c r="AB30" t="e">
        <f>AND(#REF!,"AAAAAHefZhs=")</f>
        <v>#REF!</v>
      </c>
      <c r="AC30" t="e">
        <f>AND(#REF!,"AAAAAHefZhw=")</f>
        <v>#REF!</v>
      </c>
      <c r="AD30" t="e">
        <f>AND(#REF!,"AAAAAHefZh0=")</f>
        <v>#REF!</v>
      </c>
      <c r="AE30" t="e">
        <f>AND(#REF!,"AAAAAHefZh4=")</f>
        <v>#REF!</v>
      </c>
      <c r="AF30" t="e">
        <f>AND(#REF!,"AAAAAHefZh8=")</f>
        <v>#REF!</v>
      </c>
      <c r="AG30" t="e">
        <f>AND(#REF!,"AAAAAHefZiA=")</f>
        <v>#REF!</v>
      </c>
      <c r="AH30" t="e">
        <f>AND(#REF!,"AAAAAHefZiE=")</f>
        <v>#REF!</v>
      </c>
      <c r="AI30" t="e">
        <f>AND(#REF!,"AAAAAHefZiI=")</f>
        <v>#REF!</v>
      </c>
      <c r="AJ30" t="e">
        <f>AND(#REF!,"AAAAAHefZiM=")</f>
        <v>#REF!</v>
      </c>
      <c r="AK30" t="e">
        <f>AND(#REF!,"AAAAAHefZiQ=")</f>
        <v>#REF!</v>
      </c>
      <c r="AL30" t="e">
        <f>AND(#REF!,"AAAAAHefZiU=")</f>
        <v>#REF!</v>
      </c>
      <c r="AM30" t="e">
        <f>AND(#REF!,"AAAAAHefZiY=")</f>
        <v>#REF!</v>
      </c>
      <c r="AN30" t="e">
        <f>AND(#REF!,"AAAAAHefZic=")</f>
        <v>#REF!</v>
      </c>
      <c r="AO30" t="e">
        <f>AND(#REF!,"AAAAAHefZig=")</f>
        <v>#REF!</v>
      </c>
      <c r="AP30" t="e">
        <f>AND(#REF!,"AAAAAHefZik=")</f>
        <v>#REF!</v>
      </c>
      <c r="AQ30" t="e">
        <f>AND(#REF!,"AAAAAHefZio=")</f>
        <v>#REF!</v>
      </c>
      <c r="AR30" t="e">
        <f>AND(#REF!,"AAAAAHefZis=")</f>
        <v>#REF!</v>
      </c>
      <c r="AS30" t="e">
        <f>AND(#REF!,"AAAAAHefZiw=")</f>
        <v>#REF!</v>
      </c>
      <c r="AT30" t="e">
        <f>AND(#REF!,"AAAAAHefZi0=")</f>
        <v>#REF!</v>
      </c>
      <c r="AU30" t="e">
        <f>AND(#REF!,"AAAAAHefZi4=")</f>
        <v>#REF!</v>
      </c>
      <c r="AV30" t="e">
        <f>AND(#REF!,"AAAAAHefZi8=")</f>
        <v>#REF!</v>
      </c>
      <c r="AW30" t="e">
        <f>AND(#REF!,"AAAAAHefZjA=")</f>
        <v>#REF!</v>
      </c>
      <c r="AX30" t="e">
        <f>AND(#REF!,"AAAAAHefZjE=")</f>
        <v>#REF!</v>
      </c>
      <c r="AY30" t="e">
        <f>AND(#REF!,"AAAAAHefZjI=")</f>
        <v>#REF!</v>
      </c>
      <c r="AZ30" t="e">
        <f>AND(#REF!,"AAAAAHefZjM=")</f>
        <v>#REF!</v>
      </c>
      <c r="BA30" t="e">
        <f>AND(#REF!,"AAAAAHefZjQ=")</f>
        <v>#REF!</v>
      </c>
      <c r="BB30" t="e">
        <f>AND(#REF!,"AAAAAHefZjU=")</f>
        <v>#REF!</v>
      </c>
      <c r="BC30" t="e">
        <f>AND(#REF!,"AAAAAHefZjY=")</f>
        <v>#REF!</v>
      </c>
      <c r="BD30" t="e">
        <f>AND(#REF!,"AAAAAHefZjc=")</f>
        <v>#REF!</v>
      </c>
      <c r="BE30" t="e">
        <f>AND(#REF!,"AAAAAHefZjg=")</f>
        <v>#REF!</v>
      </c>
      <c r="BF30" t="e">
        <f>AND(#REF!,"AAAAAHefZjk=")</f>
        <v>#REF!</v>
      </c>
      <c r="BG30" t="e">
        <f>AND(#REF!,"AAAAAHefZjo=")</f>
        <v>#REF!</v>
      </c>
      <c r="BH30" t="e">
        <f>AND(#REF!,"AAAAAHefZjs=")</f>
        <v>#REF!</v>
      </c>
      <c r="BI30" t="e">
        <f>AND(#REF!,"AAAAAHefZjw=")</f>
        <v>#REF!</v>
      </c>
      <c r="BJ30" t="e">
        <f>AND(#REF!,"AAAAAHefZj0=")</f>
        <v>#REF!</v>
      </c>
      <c r="BK30" t="e">
        <f>AND(#REF!,"AAAAAHefZj4=")</f>
        <v>#REF!</v>
      </c>
      <c r="BL30" t="e">
        <f>AND(#REF!,"AAAAAHefZj8=")</f>
        <v>#REF!</v>
      </c>
      <c r="BM30" t="e">
        <f>AND(#REF!,"AAAAAHefZkA=")</f>
        <v>#REF!</v>
      </c>
      <c r="BN30" t="e">
        <f>AND(#REF!,"AAAAAHefZkE=")</f>
        <v>#REF!</v>
      </c>
      <c r="BO30" t="e">
        <f>AND(#REF!,"AAAAAHefZkI=")</f>
        <v>#REF!</v>
      </c>
      <c r="BP30" t="e">
        <f>AND(#REF!,"AAAAAHefZkM=")</f>
        <v>#REF!</v>
      </c>
      <c r="BQ30" t="e">
        <f>AND(#REF!,"AAAAAHefZkQ=")</f>
        <v>#REF!</v>
      </c>
      <c r="BR30" t="e">
        <f>AND(#REF!,"AAAAAHefZkU=")</f>
        <v>#REF!</v>
      </c>
      <c r="BS30" t="e">
        <f>AND(#REF!,"AAAAAHefZkY=")</f>
        <v>#REF!</v>
      </c>
      <c r="BT30" t="e">
        <f>AND(#REF!,"AAAAAHefZkc=")</f>
        <v>#REF!</v>
      </c>
      <c r="BU30" t="e">
        <f>AND(#REF!,"AAAAAHefZkg=")</f>
        <v>#REF!</v>
      </c>
      <c r="BV30" t="e">
        <f>AND(#REF!,"AAAAAHefZkk=")</f>
        <v>#REF!</v>
      </c>
      <c r="BW30" t="e">
        <f>AND(#REF!,"AAAAAHefZko=")</f>
        <v>#REF!</v>
      </c>
      <c r="BX30" t="e">
        <f>AND(#REF!,"AAAAAHefZks=")</f>
        <v>#REF!</v>
      </c>
      <c r="BY30" t="e">
        <f>AND(#REF!,"AAAAAHefZkw=")</f>
        <v>#REF!</v>
      </c>
      <c r="BZ30" t="e">
        <f>AND(#REF!,"AAAAAHefZk0=")</f>
        <v>#REF!</v>
      </c>
      <c r="CA30" t="e">
        <f>AND(#REF!,"AAAAAHefZk4=")</f>
        <v>#REF!</v>
      </c>
      <c r="CB30" t="e">
        <f>AND(#REF!,"AAAAAHefZk8=")</f>
        <v>#REF!</v>
      </c>
      <c r="CC30" t="e">
        <f>AND(#REF!,"AAAAAHefZlA=")</f>
        <v>#REF!</v>
      </c>
      <c r="CD30" t="e">
        <f>AND(#REF!,"AAAAAHefZlE=")</f>
        <v>#REF!</v>
      </c>
      <c r="CE30" t="e">
        <f>AND(#REF!,"AAAAAHefZlI=")</f>
        <v>#REF!</v>
      </c>
      <c r="CF30" t="e">
        <f>AND(#REF!,"AAAAAHefZlM=")</f>
        <v>#REF!</v>
      </c>
      <c r="CG30" t="e">
        <f>AND(#REF!,"AAAAAHefZlQ=")</f>
        <v>#REF!</v>
      </c>
      <c r="CH30" t="e">
        <f>AND(#REF!,"AAAAAHefZlU=")</f>
        <v>#REF!</v>
      </c>
      <c r="CI30" t="e">
        <f>AND(#REF!,"AAAAAHefZlY=")</f>
        <v>#REF!</v>
      </c>
      <c r="CJ30" t="e">
        <f>AND(#REF!,"AAAAAHefZlc=")</f>
        <v>#REF!</v>
      </c>
      <c r="CK30" t="e">
        <f>AND(#REF!,"AAAAAHefZlg=")</f>
        <v>#REF!</v>
      </c>
      <c r="CL30" t="e">
        <f>AND(#REF!,"AAAAAHefZlk=")</f>
        <v>#REF!</v>
      </c>
      <c r="CM30" t="e">
        <f>AND(#REF!,"AAAAAHefZlo=")</f>
        <v>#REF!</v>
      </c>
      <c r="CN30" t="e">
        <f>AND(#REF!,"AAAAAHefZls=")</f>
        <v>#REF!</v>
      </c>
      <c r="CO30" t="e">
        <f>AND(#REF!,"AAAAAHefZlw=")</f>
        <v>#REF!</v>
      </c>
      <c r="CP30" t="e">
        <f>AND(#REF!,"AAAAAHefZl0=")</f>
        <v>#REF!</v>
      </c>
      <c r="CQ30" t="e">
        <f>AND(#REF!,"AAAAAHefZl4=")</f>
        <v>#REF!</v>
      </c>
      <c r="CR30" t="e">
        <f>AND(#REF!,"AAAAAHefZl8=")</f>
        <v>#REF!</v>
      </c>
      <c r="CS30" t="e">
        <f>AND(#REF!,"AAAAAHefZmA=")</f>
        <v>#REF!</v>
      </c>
      <c r="CT30" t="e">
        <f>AND(#REF!,"AAAAAHefZmE=")</f>
        <v>#REF!</v>
      </c>
      <c r="CU30" t="e">
        <f>AND(#REF!,"AAAAAHefZmI=")</f>
        <v>#REF!</v>
      </c>
      <c r="CV30" t="e">
        <f>AND(#REF!,"AAAAAHefZmM=")</f>
        <v>#REF!</v>
      </c>
      <c r="CW30" t="e">
        <f>AND(#REF!,"AAAAAHefZmQ=")</f>
        <v>#REF!</v>
      </c>
      <c r="CX30" t="e">
        <f>AND(#REF!,"AAAAAHefZmU=")</f>
        <v>#REF!</v>
      </c>
      <c r="CY30" t="e">
        <f>AND(#REF!,"AAAAAHefZmY=")</f>
        <v>#REF!</v>
      </c>
      <c r="CZ30" t="e">
        <f>AND(#REF!,"AAAAAHefZmc=")</f>
        <v>#REF!</v>
      </c>
      <c r="DA30" t="e">
        <f>AND(#REF!,"AAAAAHefZmg=")</f>
        <v>#REF!</v>
      </c>
      <c r="DB30" t="e">
        <f>AND(#REF!,"AAAAAHefZmk=")</f>
        <v>#REF!</v>
      </c>
      <c r="DC30" t="e">
        <f>AND(#REF!,"AAAAAHefZmo=")</f>
        <v>#REF!</v>
      </c>
      <c r="DD30" t="e">
        <f>AND(#REF!,"AAAAAHefZms=")</f>
        <v>#REF!</v>
      </c>
      <c r="DE30" t="e">
        <f>AND(#REF!,"AAAAAHefZmw=")</f>
        <v>#REF!</v>
      </c>
      <c r="DF30" t="e">
        <f>AND(#REF!,"AAAAAHefZm0=")</f>
        <v>#REF!</v>
      </c>
      <c r="DG30" t="e">
        <f>AND(#REF!,"AAAAAHefZm4=")</f>
        <v>#REF!</v>
      </c>
      <c r="DH30" t="e">
        <f>AND(#REF!,"AAAAAHefZm8=")</f>
        <v>#REF!</v>
      </c>
      <c r="DI30" t="e">
        <f>AND(#REF!,"AAAAAHefZnA=")</f>
        <v>#REF!</v>
      </c>
      <c r="DJ30" t="e">
        <f>AND(#REF!,"AAAAAHefZnE=")</f>
        <v>#REF!</v>
      </c>
      <c r="DK30" t="e">
        <f>AND(#REF!,"AAAAAHefZnI=")</f>
        <v>#REF!</v>
      </c>
      <c r="DL30" t="e">
        <f>AND(#REF!,"AAAAAHefZnM=")</f>
        <v>#REF!</v>
      </c>
      <c r="DM30" t="e">
        <f>AND(#REF!,"AAAAAHefZnQ=")</f>
        <v>#REF!</v>
      </c>
      <c r="DN30" t="e">
        <f>AND(#REF!,"AAAAAHefZnU=")</f>
        <v>#REF!</v>
      </c>
      <c r="DO30" t="e">
        <f>AND(#REF!,"AAAAAHefZnY=")</f>
        <v>#REF!</v>
      </c>
      <c r="DP30" t="e">
        <f>AND(#REF!,"AAAAAHefZnc=")</f>
        <v>#REF!</v>
      </c>
      <c r="DQ30" t="e">
        <f>AND(#REF!,"AAAAAHefZng=")</f>
        <v>#REF!</v>
      </c>
      <c r="DR30" t="e">
        <f>AND(#REF!,"AAAAAHefZnk=")</f>
        <v>#REF!</v>
      </c>
      <c r="DS30" t="e">
        <f>AND(#REF!,"AAAAAHefZno=")</f>
        <v>#REF!</v>
      </c>
      <c r="DT30" t="e">
        <f>AND(#REF!,"AAAAAHefZns=")</f>
        <v>#REF!</v>
      </c>
      <c r="DU30" t="e">
        <f>AND(#REF!,"AAAAAHefZnw=")</f>
        <v>#REF!</v>
      </c>
      <c r="DV30" t="e">
        <f>AND(#REF!,"AAAAAHefZn0=")</f>
        <v>#REF!</v>
      </c>
      <c r="DW30" t="e">
        <f>AND(#REF!,"AAAAAHefZn4=")</f>
        <v>#REF!</v>
      </c>
      <c r="DX30" t="e">
        <f>AND(#REF!,"AAAAAHefZn8=")</f>
        <v>#REF!</v>
      </c>
      <c r="DY30" t="e">
        <f>AND(#REF!,"AAAAAHefZoA=")</f>
        <v>#REF!</v>
      </c>
      <c r="DZ30" t="e">
        <f>AND(#REF!,"AAAAAHefZoE=")</f>
        <v>#REF!</v>
      </c>
      <c r="EA30" t="e">
        <f>AND(#REF!,"AAAAAHefZoI=")</f>
        <v>#REF!</v>
      </c>
      <c r="EB30" t="e">
        <f>AND(#REF!,"AAAAAHefZoM=")</f>
        <v>#REF!</v>
      </c>
      <c r="EC30" t="e">
        <f>AND(#REF!,"AAAAAHefZoQ=")</f>
        <v>#REF!</v>
      </c>
      <c r="ED30" t="e">
        <f>AND(#REF!,"AAAAAHefZoU=")</f>
        <v>#REF!</v>
      </c>
      <c r="EE30" t="e">
        <f>AND(#REF!,"AAAAAHefZoY=")</f>
        <v>#REF!</v>
      </c>
      <c r="EF30" t="e">
        <f>AND(#REF!,"AAAAAHefZoc=")</f>
        <v>#REF!</v>
      </c>
      <c r="EG30" t="e">
        <f>AND(#REF!,"AAAAAHefZog=")</f>
        <v>#REF!</v>
      </c>
      <c r="EH30" t="e">
        <f>AND(#REF!,"AAAAAHefZok=")</f>
        <v>#REF!</v>
      </c>
      <c r="EI30" t="e">
        <f>AND(#REF!,"AAAAAHefZoo=")</f>
        <v>#REF!</v>
      </c>
      <c r="EJ30" t="e">
        <f>AND(#REF!,"AAAAAHefZos=")</f>
        <v>#REF!</v>
      </c>
      <c r="EK30" t="e">
        <f>AND(#REF!,"AAAAAHefZow=")</f>
        <v>#REF!</v>
      </c>
      <c r="EL30" t="e">
        <f>AND(#REF!,"AAAAAHefZo0=")</f>
        <v>#REF!</v>
      </c>
      <c r="EM30" t="e">
        <f>AND(#REF!,"AAAAAHefZo4=")</f>
        <v>#REF!</v>
      </c>
      <c r="EN30" t="e">
        <f>AND(#REF!,"AAAAAHefZo8=")</f>
        <v>#REF!</v>
      </c>
      <c r="EO30" t="e">
        <f>AND(#REF!,"AAAAAHefZpA=")</f>
        <v>#REF!</v>
      </c>
      <c r="EP30" t="e">
        <f>AND(#REF!,"AAAAAHefZpE=")</f>
        <v>#REF!</v>
      </c>
      <c r="EQ30" t="e">
        <f>AND(#REF!,"AAAAAHefZpI=")</f>
        <v>#REF!</v>
      </c>
      <c r="ER30" t="e">
        <f>AND(#REF!,"AAAAAHefZpM=")</f>
        <v>#REF!</v>
      </c>
      <c r="ES30" t="e">
        <f>AND(#REF!,"AAAAAHefZpQ=")</f>
        <v>#REF!</v>
      </c>
      <c r="ET30" t="e">
        <f>AND(#REF!,"AAAAAHefZpU=")</f>
        <v>#REF!</v>
      </c>
      <c r="EU30" t="e">
        <f>AND(#REF!,"AAAAAHefZpY=")</f>
        <v>#REF!</v>
      </c>
      <c r="EV30" t="e">
        <f>AND(#REF!,"AAAAAHefZpc=")</f>
        <v>#REF!</v>
      </c>
      <c r="EW30" t="e">
        <f>AND(#REF!,"AAAAAHefZpg=")</f>
        <v>#REF!</v>
      </c>
      <c r="EX30" t="e">
        <f>AND(#REF!,"AAAAAHefZpk=")</f>
        <v>#REF!</v>
      </c>
      <c r="EY30" t="e">
        <f>AND(#REF!,"AAAAAHefZpo=")</f>
        <v>#REF!</v>
      </c>
      <c r="EZ30" t="e">
        <f>AND(#REF!,"AAAAAHefZps=")</f>
        <v>#REF!</v>
      </c>
      <c r="FA30" t="e">
        <f>AND(#REF!,"AAAAAHefZpw=")</f>
        <v>#REF!</v>
      </c>
      <c r="FB30" t="e">
        <f>AND(#REF!,"AAAAAHefZp0=")</f>
        <v>#REF!</v>
      </c>
      <c r="FC30" t="e">
        <f>AND(#REF!,"AAAAAHefZp4=")</f>
        <v>#REF!</v>
      </c>
      <c r="FD30" t="e">
        <f>AND(#REF!,"AAAAAHefZp8=")</f>
        <v>#REF!</v>
      </c>
      <c r="FE30" t="e">
        <f>AND(#REF!,"AAAAAHefZqA=")</f>
        <v>#REF!</v>
      </c>
      <c r="FF30" t="e">
        <f>AND(#REF!,"AAAAAHefZqE=")</f>
        <v>#REF!</v>
      </c>
      <c r="FG30" t="e">
        <f>AND(#REF!,"AAAAAHefZqI=")</f>
        <v>#REF!</v>
      </c>
      <c r="FH30" t="e">
        <f>AND(#REF!,"AAAAAHefZqM=")</f>
        <v>#REF!</v>
      </c>
      <c r="FI30" t="e">
        <f>AND(#REF!,"AAAAAHefZqQ=")</f>
        <v>#REF!</v>
      </c>
      <c r="FJ30" t="e">
        <f>AND(#REF!,"AAAAAHefZqU=")</f>
        <v>#REF!</v>
      </c>
      <c r="FK30" t="e">
        <f>AND(#REF!,"AAAAAHefZqY=")</f>
        <v>#REF!</v>
      </c>
      <c r="FL30" t="e">
        <f>AND(#REF!,"AAAAAHefZqc=")</f>
        <v>#REF!</v>
      </c>
      <c r="FM30" t="e">
        <f>AND(#REF!,"AAAAAHefZqg=")</f>
        <v>#REF!</v>
      </c>
      <c r="FN30" t="e">
        <f>AND(#REF!,"AAAAAHefZqk=")</f>
        <v>#REF!</v>
      </c>
      <c r="FO30" t="e">
        <f>AND(#REF!,"AAAAAHefZqo=")</f>
        <v>#REF!</v>
      </c>
      <c r="FP30" t="e">
        <f>AND(#REF!,"AAAAAHefZqs=")</f>
        <v>#REF!</v>
      </c>
      <c r="FQ30" t="e">
        <f>AND(#REF!,"AAAAAHefZqw=")</f>
        <v>#REF!</v>
      </c>
      <c r="FR30" t="e">
        <f>IF(#REF!,"AAAAAHefZq0=",0)</f>
        <v>#REF!</v>
      </c>
      <c r="FS30" t="e">
        <f>AND(#REF!,"AAAAAHefZq4=")</f>
        <v>#REF!</v>
      </c>
      <c r="FT30" t="e">
        <f>AND(#REF!,"AAAAAHefZq8=")</f>
        <v>#REF!</v>
      </c>
      <c r="FU30" t="e">
        <f>AND(#REF!,"AAAAAHefZrA=")</f>
        <v>#REF!</v>
      </c>
      <c r="FV30" t="e">
        <f>AND(#REF!,"AAAAAHefZrE=")</f>
        <v>#REF!</v>
      </c>
      <c r="FW30" t="e">
        <f>AND(#REF!,"AAAAAHefZrI=")</f>
        <v>#REF!</v>
      </c>
      <c r="FX30" t="e">
        <f>AND(#REF!,"AAAAAHefZrM=")</f>
        <v>#REF!</v>
      </c>
      <c r="FY30" t="e">
        <f>AND(#REF!,"AAAAAHefZrQ=")</f>
        <v>#REF!</v>
      </c>
      <c r="FZ30" t="e">
        <f>AND(#REF!,"AAAAAHefZrU=")</f>
        <v>#REF!</v>
      </c>
      <c r="GA30" t="e">
        <f>AND(#REF!,"AAAAAHefZrY=")</f>
        <v>#REF!</v>
      </c>
      <c r="GB30" t="e">
        <f>AND(#REF!,"AAAAAHefZrc=")</f>
        <v>#REF!</v>
      </c>
      <c r="GC30" t="e">
        <f>AND(#REF!,"AAAAAHefZrg=")</f>
        <v>#REF!</v>
      </c>
      <c r="GD30" t="e">
        <f>AND(#REF!,"AAAAAHefZrk=")</f>
        <v>#REF!</v>
      </c>
      <c r="GE30" t="e">
        <f>AND(#REF!,"AAAAAHefZro=")</f>
        <v>#REF!</v>
      </c>
      <c r="GF30" t="e">
        <f>AND(#REF!,"AAAAAHefZrs=")</f>
        <v>#REF!</v>
      </c>
      <c r="GG30" t="e">
        <f>AND(#REF!,"AAAAAHefZrw=")</f>
        <v>#REF!</v>
      </c>
      <c r="GH30" t="e">
        <f>AND(#REF!,"AAAAAHefZr0=")</f>
        <v>#REF!</v>
      </c>
      <c r="GI30" t="e">
        <f>AND(#REF!,"AAAAAHefZr4=")</f>
        <v>#REF!</v>
      </c>
      <c r="GJ30" t="e">
        <f>AND(#REF!,"AAAAAHefZr8=")</f>
        <v>#REF!</v>
      </c>
      <c r="GK30" t="e">
        <f>AND(#REF!,"AAAAAHefZsA=")</f>
        <v>#REF!</v>
      </c>
      <c r="GL30" t="e">
        <f>AND(#REF!,"AAAAAHefZsE=")</f>
        <v>#REF!</v>
      </c>
      <c r="GM30" t="e">
        <f>AND(#REF!,"AAAAAHefZsI=")</f>
        <v>#REF!</v>
      </c>
      <c r="GN30" t="e">
        <f>AND(#REF!,"AAAAAHefZsM=")</f>
        <v>#REF!</v>
      </c>
      <c r="GO30" t="e">
        <f>AND(#REF!,"AAAAAHefZsQ=")</f>
        <v>#REF!</v>
      </c>
      <c r="GP30" t="e">
        <f>AND(#REF!,"AAAAAHefZsU=")</f>
        <v>#REF!</v>
      </c>
      <c r="GQ30" t="e">
        <f>AND(#REF!,"AAAAAHefZsY=")</f>
        <v>#REF!</v>
      </c>
      <c r="GR30" t="e">
        <f>AND(#REF!,"AAAAAHefZsc=")</f>
        <v>#REF!</v>
      </c>
      <c r="GS30" t="e">
        <f>AND(#REF!,"AAAAAHefZsg=")</f>
        <v>#REF!</v>
      </c>
      <c r="GT30" t="e">
        <f>AND(#REF!,"AAAAAHefZsk=")</f>
        <v>#REF!</v>
      </c>
      <c r="GU30" t="e">
        <f>AND(#REF!,"AAAAAHefZso=")</f>
        <v>#REF!</v>
      </c>
      <c r="GV30" t="e">
        <f>AND(#REF!,"AAAAAHefZss=")</f>
        <v>#REF!</v>
      </c>
      <c r="GW30" t="e">
        <f>AND(#REF!,"AAAAAHefZsw=")</f>
        <v>#REF!</v>
      </c>
      <c r="GX30" t="e">
        <f>AND(#REF!,"AAAAAHefZs0=")</f>
        <v>#REF!</v>
      </c>
      <c r="GY30" t="e">
        <f>AND(#REF!,"AAAAAHefZs4=")</f>
        <v>#REF!</v>
      </c>
      <c r="GZ30" t="e">
        <f>AND(#REF!,"AAAAAHefZs8=")</f>
        <v>#REF!</v>
      </c>
      <c r="HA30" t="e">
        <f>AND(#REF!,"AAAAAHefZtA=")</f>
        <v>#REF!</v>
      </c>
      <c r="HB30" t="e">
        <f>AND(#REF!,"AAAAAHefZtE=")</f>
        <v>#REF!</v>
      </c>
      <c r="HC30" t="e">
        <f>AND(#REF!,"AAAAAHefZtI=")</f>
        <v>#REF!</v>
      </c>
      <c r="HD30" t="e">
        <f>AND(#REF!,"AAAAAHefZtM=")</f>
        <v>#REF!</v>
      </c>
      <c r="HE30" t="e">
        <f>AND(#REF!,"AAAAAHefZtQ=")</f>
        <v>#REF!</v>
      </c>
      <c r="HF30" t="e">
        <f>AND(#REF!,"AAAAAHefZtU=")</f>
        <v>#REF!</v>
      </c>
      <c r="HG30" t="e">
        <f>AND(#REF!,"AAAAAHefZtY=")</f>
        <v>#REF!</v>
      </c>
      <c r="HH30" t="e">
        <f>AND(#REF!,"AAAAAHefZtc=")</f>
        <v>#REF!</v>
      </c>
      <c r="HI30" t="e">
        <f>AND(#REF!,"AAAAAHefZtg=")</f>
        <v>#REF!</v>
      </c>
      <c r="HJ30" t="e">
        <f>AND(#REF!,"AAAAAHefZtk=")</f>
        <v>#REF!</v>
      </c>
      <c r="HK30" t="e">
        <f>AND(#REF!,"AAAAAHefZto=")</f>
        <v>#REF!</v>
      </c>
      <c r="HL30" t="e">
        <f>AND(#REF!,"AAAAAHefZts=")</f>
        <v>#REF!</v>
      </c>
      <c r="HM30" t="e">
        <f>AND(#REF!,"AAAAAHefZtw=")</f>
        <v>#REF!</v>
      </c>
      <c r="HN30" t="e">
        <f>AND(#REF!,"AAAAAHefZt0=")</f>
        <v>#REF!</v>
      </c>
      <c r="HO30" t="e">
        <f>AND(#REF!,"AAAAAHefZt4=")</f>
        <v>#REF!</v>
      </c>
      <c r="HP30" t="e">
        <f>AND(#REF!,"AAAAAHefZt8=")</f>
        <v>#REF!</v>
      </c>
      <c r="HQ30" t="e">
        <f>AND(#REF!,"AAAAAHefZuA=")</f>
        <v>#REF!</v>
      </c>
      <c r="HR30" t="e">
        <f>AND(#REF!,"AAAAAHefZuE=")</f>
        <v>#REF!</v>
      </c>
      <c r="HS30" t="e">
        <f>AND(#REF!,"AAAAAHefZuI=")</f>
        <v>#REF!</v>
      </c>
      <c r="HT30" t="e">
        <f>AND(#REF!,"AAAAAHefZuM=")</f>
        <v>#REF!</v>
      </c>
      <c r="HU30" t="e">
        <f>AND(#REF!,"AAAAAHefZuQ=")</f>
        <v>#REF!</v>
      </c>
      <c r="HV30" t="e">
        <f>AND(#REF!,"AAAAAHefZuU=")</f>
        <v>#REF!</v>
      </c>
      <c r="HW30" t="e">
        <f>AND(#REF!,"AAAAAHefZuY=")</f>
        <v>#REF!</v>
      </c>
      <c r="HX30" t="e">
        <f>AND(#REF!,"AAAAAHefZuc=")</f>
        <v>#REF!</v>
      </c>
      <c r="HY30" t="e">
        <f>AND(#REF!,"AAAAAHefZug=")</f>
        <v>#REF!</v>
      </c>
      <c r="HZ30" t="e">
        <f>AND(#REF!,"AAAAAHefZuk=")</f>
        <v>#REF!</v>
      </c>
      <c r="IA30" t="e">
        <f>AND(#REF!,"AAAAAHefZuo=")</f>
        <v>#REF!</v>
      </c>
      <c r="IB30" t="e">
        <f>AND(#REF!,"AAAAAHefZus=")</f>
        <v>#REF!</v>
      </c>
      <c r="IC30" t="e">
        <f>AND(#REF!,"AAAAAHefZuw=")</f>
        <v>#REF!</v>
      </c>
      <c r="ID30" t="e">
        <f>AND(#REF!,"AAAAAHefZu0=")</f>
        <v>#REF!</v>
      </c>
      <c r="IE30" t="e">
        <f>AND(#REF!,"AAAAAHefZu4=")</f>
        <v>#REF!</v>
      </c>
      <c r="IF30" t="e">
        <f>AND(#REF!,"AAAAAHefZu8=")</f>
        <v>#REF!</v>
      </c>
      <c r="IG30" t="e">
        <f>AND(#REF!,"AAAAAHefZvA=")</f>
        <v>#REF!</v>
      </c>
      <c r="IH30" t="e">
        <f>AND(#REF!,"AAAAAHefZvE=")</f>
        <v>#REF!</v>
      </c>
      <c r="II30" t="e">
        <f>AND(#REF!,"AAAAAHefZvI=")</f>
        <v>#REF!</v>
      </c>
      <c r="IJ30" t="e">
        <f>AND(#REF!,"AAAAAHefZvM=")</f>
        <v>#REF!</v>
      </c>
      <c r="IK30" t="e">
        <f>AND(#REF!,"AAAAAHefZvQ=")</f>
        <v>#REF!</v>
      </c>
      <c r="IL30" t="e">
        <f>AND(#REF!,"AAAAAHefZvU=")</f>
        <v>#REF!</v>
      </c>
      <c r="IM30" t="e">
        <f>AND(#REF!,"AAAAAHefZvY=")</f>
        <v>#REF!</v>
      </c>
      <c r="IN30" t="e">
        <f>AND(#REF!,"AAAAAHefZvc=")</f>
        <v>#REF!</v>
      </c>
      <c r="IO30" t="e">
        <f>AND(#REF!,"AAAAAHefZvg=")</f>
        <v>#REF!</v>
      </c>
      <c r="IP30" t="e">
        <f>AND(#REF!,"AAAAAHefZvk=")</f>
        <v>#REF!</v>
      </c>
      <c r="IQ30" t="e">
        <f>AND(#REF!,"AAAAAHefZvo=")</f>
        <v>#REF!</v>
      </c>
      <c r="IR30" t="e">
        <f>AND(#REF!,"AAAAAHefZvs=")</f>
        <v>#REF!</v>
      </c>
      <c r="IS30" t="e">
        <f>AND(#REF!,"AAAAAHefZvw=")</f>
        <v>#REF!</v>
      </c>
      <c r="IT30" t="e">
        <f>AND(#REF!,"AAAAAHefZv0=")</f>
        <v>#REF!</v>
      </c>
      <c r="IU30" t="e">
        <f>AND(#REF!,"AAAAAHefZv4=")</f>
        <v>#REF!</v>
      </c>
      <c r="IV30" t="e">
        <f>AND(#REF!,"AAAAAHefZv8=")</f>
        <v>#REF!</v>
      </c>
    </row>
    <row r="31" spans="1:256" x14ac:dyDescent="0.25">
      <c r="A31" t="e">
        <f>AND(#REF!,"AAAAAHa0mAA=")</f>
        <v>#REF!</v>
      </c>
      <c r="B31" t="e">
        <f>AND(#REF!,"AAAAAHa0mAE=")</f>
        <v>#REF!</v>
      </c>
      <c r="C31" t="e">
        <f>AND(#REF!,"AAAAAHa0mAI=")</f>
        <v>#REF!</v>
      </c>
      <c r="D31" t="e">
        <f>AND(#REF!,"AAAAAHa0mAM=")</f>
        <v>#REF!</v>
      </c>
      <c r="E31" t="e">
        <f>AND(#REF!,"AAAAAHa0mAQ=")</f>
        <v>#REF!</v>
      </c>
      <c r="F31" t="e">
        <f>AND(#REF!,"AAAAAHa0mAU=")</f>
        <v>#REF!</v>
      </c>
      <c r="G31" t="e">
        <f>AND(#REF!,"AAAAAHa0mAY=")</f>
        <v>#REF!</v>
      </c>
      <c r="H31" t="e">
        <f>AND(#REF!,"AAAAAHa0mAc=")</f>
        <v>#REF!</v>
      </c>
      <c r="I31" t="e">
        <f>AND(#REF!,"AAAAAHa0mAg=")</f>
        <v>#REF!</v>
      </c>
      <c r="J31" t="e">
        <f>AND(#REF!,"AAAAAHa0mAk=")</f>
        <v>#REF!</v>
      </c>
      <c r="K31" t="e">
        <f>AND(#REF!,"AAAAAHa0mAo=")</f>
        <v>#REF!</v>
      </c>
      <c r="L31" t="e">
        <f>AND(#REF!,"AAAAAHa0mAs=")</f>
        <v>#REF!</v>
      </c>
      <c r="M31" t="e">
        <f>AND(#REF!,"AAAAAHa0mAw=")</f>
        <v>#REF!</v>
      </c>
      <c r="N31" t="e">
        <f>AND(#REF!,"AAAAAHa0mA0=")</f>
        <v>#REF!</v>
      </c>
      <c r="O31" t="e">
        <f>AND(#REF!,"AAAAAHa0mA4=")</f>
        <v>#REF!</v>
      </c>
      <c r="P31" t="e">
        <f>AND(#REF!,"AAAAAHa0mA8=")</f>
        <v>#REF!</v>
      </c>
      <c r="Q31" t="e">
        <f>AND(#REF!,"AAAAAHa0mBA=")</f>
        <v>#REF!</v>
      </c>
      <c r="R31" t="e">
        <f>AND(#REF!,"AAAAAHa0mBE=")</f>
        <v>#REF!</v>
      </c>
      <c r="S31" t="e">
        <f>AND(#REF!,"AAAAAHa0mBI=")</f>
        <v>#REF!</v>
      </c>
      <c r="T31" t="e">
        <f>AND(#REF!,"AAAAAHa0mBM=")</f>
        <v>#REF!</v>
      </c>
      <c r="U31" t="e">
        <f>AND(#REF!,"AAAAAHa0mBQ=")</f>
        <v>#REF!</v>
      </c>
      <c r="V31" t="e">
        <f>AND(#REF!,"AAAAAHa0mBU=")</f>
        <v>#REF!</v>
      </c>
      <c r="W31" t="e">
        <f>AND(#REF!,"AAAAAHa0mBY=")</f>
        <v>#REF!</v>
      </c>
      <c r="X31" t="e">
        <f>AND(#REF!,"AAAAAHa0mBc=")</f>
        <v>#REF!</v>
      </c>
      <c r="Y31" t="e">
        <f>AND(#REF!,"AAAAAHa0mBg=")</f>
        <v>#REF!</v>
      </c>
      <c r="Z31" t="e">
        <f>AND(#REF!,"AAAAAHa0mBk=")</f>
        <v>#REF!</v>
      </c>
      <c r="AA31" t="e">
        <f>AND(#REF!,"AAAAAHa0mBo=")</f>
        <v>#REF!</v>
      </c>
      <c r="AB31" t="e">
        <f>AND(#REF!,"AAAAAHa0mBs=")</f>
        <v>#REF!</v>
      </c>
      <c r="AC31" t="e">
        <f>AND(#REF!,"AAAAAHa0mBw=")</f>
        <v>#REF!</v>
      </c>
      <c r="AD31" t="e">
        <f>AND(#REF!,"AAAAAHa0mB0=")</f>
        <v>#REF!</v>
      </c>
      <c r="AE31" t="e">
        <f>AND(#REF!,"AAAAAHa0mB4=")</f>
        <v>#REF!</v>
      </c>
      <c r="AF31" t="e">
        <f>AND(#REF!,"AAAAAHa0mB8=")</f>
        <v>#REF!</v>
      </c>
      <c r="AG31" t="e">
        <f>AND(#REF!,"AAAAAHa0mCA=")</f>
        <v>#REF!</v>
      </c>
      <c r="AH31" t="e">
        <f>AND(#REF!,"AAAAAHa0mCE=")</f>
        <v>#REF!</v>
      </c>
      <c r="AI31" t="e">
        <f>AND(#REF!,"AAAAAHa0mCI=")</f>
        <v>#REF!</v>
      </c>
      <c r="AJ31" t="e">
        <f>AND(#REF!,"AAAAAHa0mCM=")</f>
        <v>#REF!</v>
      </c>
      <c r="AK31" t="e">
        <f>AND(#REF!,"AAAAAHa0mCQ=")</f>
        <v>#REF!</v>
      </c>
      <c r="AL31" t="e">
        <f>AND(#REF!,"AAAAAHa0mCU=")</f>
        <v>#REF!</v>
      </c>
      <c r="AM31" t="e">
        <f>AND(#REF!,"AAAAAHa0mCY=")</f>
        <v>#REF!</v>
      </c>
      <c r="AN31" t="e">
        <f>AND(#REF!,"AAAAAHa0mCc=")</f>
        <v>#REF!</v>
      </c>
      <c r="AO31" t="e">
        <f>AND(#REF!,"AAAAAHa0mCg=")</f>
        <v>#REF!</v>
      </c>
      <c r="AP31" t="e">
        <f>AND(#REF!,"AAAAAHa0mCk=")</f>
        <v>#REF!</v>
      </c>
      <c r="AQ31" t="e">
        <f>AND(#REF!,"AAAAAHa0mCo=")</f>
        <v>#REF!</v>
      </c>
      <c r="AR31" t="e">
        <f>AND(#REF!,"AAAAAHa0mCs=")</f>
        <v>#REF!</v>
      </c>
      <c r="AS31" t="e">
        <f>AND(#REF!,"AAAAAHa0mCw=")</f>
        <v>#REF!</v>
      </c>
      <c r="AT31" t="e">
        <f>AND(#REF!,"AAAAAHa0mC0=")</f>
        <v>#REF!</v>
      </c>
      <c r="AU31" t="e">
        <f>AND(#REF!,"AAAAAHa0mC4=")</f>
        <v>#REF!</v>
      </c>
      <c r="AV31" t="e">
        <f>AND(#REF!,"AAAAAHa0mC8=")</f>
        <v>#REF!</v>
      </c>
      <c r="AW31" t="e">
        <f>AND(#REF!,"AAAAAHa0mDA=")</f>
        <v>#REF!</v>
      </c>
      <c r="AX31" t="e">
        <f>AND(#REF!,"AAAAAHa0mDE=")</f>
        <v>#REF!</v>
      </c>
      <c r="AY31" t="e">
        <f>AND(#REF!,"AAAAAHa0mDI=")</f>
        <v>#REF!</v>
      </c>
      <c r="AZ31" t="e">
        <f>AND(#REF!,"AAAAAHa0mDM=")</f>
        <v>#REF!</v>
      </c>
      <c r="BA31" t="e">
        <f>AND(#REF!,"AAAAAHa0mDQ=")</f>
        <v>#REF!</v>
      </c>
      <c r="BB31" t="e">
        <f>AND(#REF!,"AAAAAHa0mDU=")</f>
        <v>#REF!</v>
      </c>
      <c r="BC31" t="e">
        <f>AND(#REF!,"AAAAAHa0mDY=")</f>
        <v>#REF!</v>
      </c>
      <c r="BD31" t="e">
        <f>AND(#REF!,"AAAAAHa0mDc=")</f>
        <v>#REF!</v>
      </c>
      <c r="BE31" t="e">
        <f>AND(#REF!,"AAAAAHa0mDg=")</f>
        <v>#REF!</v>
      </c>
      <c r="BF31" t="e">
        <f>AND(#REF!,"AAAAAHa0mDk=")</f>
        <v>#REF!</v>
      </c>
      <c r="BG31" t="e">
        <f>AND(#REF!,"AAAAAHa0mDo=")</f>
        <v>#REF!</v>
      </c>
      <c r="BH31" t="e">
        <f>AND(#REF!,"AAAAAHa0mDs=")</f>
        <v>#REF!</v>
      </c>
      <c r="BI31" t="e">
        <f>AND(#REF!,"AAAAAHa0mDw=")</f>
        <v>#REF!</v>
      </c>
      <c r="BJ31" t="e">
        <f>AND(#REF!,"AAAAAHa0mD0=")</f>
        <v>#REF!</v>
      </c>
      <c r="BK31" t="e">
        <f>AND(#REF!,"AAAAAHa0mD4=")</f>
        <v>#REF!</v>
      </c>
      <c r="BL31" t="e">
        <f>AND(#REF!,"AAAAAHa0mD8=")</f>
        <v>#REF!</v>
      </c>
      <c r="BM31" t="e">
        <f>AND(#REF!,"AAAAAHa0mEA=")</f>
        <v>#REF!</v>
      </c>
      <c r="BN31" t="e">
        <f>AND(#REF!,"AAAAAHa0mEE=")</f>
        <v>#REF!</v>
      </c>
      <c r="BO31" t="e">
        <f>AND(#REF!,"AAAAAHa0mEI=")</f>
        <v>#REF!</v>
      </c>
      <c r="BP31" t="e">
        <f>AND(#REF!,"AAAAAHa0mEM=")</f>
        <v>#REF!</v>
      </c>
      <c r="BQ31" t="e">
        <f>AND(#REF!,"AAAAAHa0mEQ=")</f>
        <v>#REF!</v>
      </c>
      <c r="BR31" t="e">
        <f>AND(#REF!,"AAAAAHa0mEU=")</f>
        <v>#REF!</v>
      </c>
      <c r="BS31" t="e">
        <f>AND(#REF!,"AAAAAHa0mEY=")</f>
        <v>#REF!</v>
      </c>
      <c r="BT31" t="e">
        <f>AND(#REF!,"AAAAAHa0mEc=")</f>
        <v>#REF!</v>
      </c>
      <c r="BU31" t="e">
        <f>AND(#REF!,"AAAAAHa0mEg=")</f>
        <v>#REF!</v>
      </c>
      <c r="BV31" t="e">
        <f>AND(#REF!,"AAAAAHa0mEk=")</f>
        <v>#REF!</v>
      </c>
      <c r="BW31" t="e">
        <f>AND(#REF!,"AAAAAHa0mEo=")</f>
        <v>#REF!</v>
      </c>
      <c r="BX31" t="e">
        <f>AND(#REF!,"AAAAAHa0mEs=")</f>
        <v>#REF!</v>
      </c>
      <c r="BY31" t="e">
        <f>AND(#REF!,"AAAAAHa0mEw=")</f>
        <v>#REF!</v>
      </c>
      <c r="BZ31" t="e">
        <f>AND(#REF!,"AAAAAHa0mE0=")</f>
        <v>#REF!</v>
      </c>
      <c r="CA31" t="e">
        <f>AND(#REF!,"AAAAAHa0mE4=")</f>
        <v>#REF!</v>
      </c>
      <c r="CB31" t="e">
        <f>AND(#REF!,"AAAAAHa0mE8=")</f>
        <v>#REF!</v>
      </c>
      <c r="CC31" t="e">
        <f>AND(#REF!,"AAAAAHa0mFA=")</f>
        <v>#REF!</v>
      </c>
      <c r="CD31" t="e">
        <f>AND(#REF!,"AAAAAHa0mFE=")</f>
        <v>#REF!</v>
      </c>
      <c r="CE31" t="e">
        <f>AND(#REF!,"AAAAAHa0mFI=")</f>
        <v>#REF!</v>
      </c>
      <c r="CF31" t="e">
        <f>AND(#REF!,"AAAAAHa0mFM=")</f>
        <v>#REF!</v>
      </c>
      <c r="CG31" t="e">
        <f>AND(#REF!,"AAAAAHa0mFQ=")</f>
        <v>#REF!</v>
      </c>
      <c r="CH31" t="e">
        <f>AND(#REF!,"AAAAAHa0mFU=")</f>
        <v>#REF!</v>
      </c>
      <c r="CI31" t="e">
        <f>AND(#REF!,"AAAAAHa0mFY=")</f>
        <v>#REF!</v>
      </c>
      <c r="CJ31" t="e">
        <f>AND(#REF!,"AAAAAHa0mFc=")</f>
        <v>#REF!</v>
      </c>
      <c r="CK31" t="e">
        <f>AND(#REF!,"AAAAAHa0mFg=")</f>
        <v>#REF!</v>
      </c>
      <c r="CL31" t="e">
        <f>AND(#REF!,"AAAAAHa0mFk=")</f>
        <v>#REF!</v>
      </c>
      <c r="CM31" t="e">
        <f>AND(#REF!,"AAAAAHa0mFo=")</f>
        <v>#REF!</v>
      </c>
      <c r="CN31" t="e">
        <f>AND(#REF!,"AAAAAHa0mFs=")</f>
        <v>#REF!</v>
      </c>
      <c r="CO31" t="e">
        <f>AND(#REF!,"AAAAAHa0mFw=")</f>
        <v>#REF!</v>
      </c>
      <c r="CP31" t="e">
        <f>AND(#REF!,"AAAAAHa0mF0=")</f>
        <v>#REF!</v>
      </c>
      <c r="CQ31" t="e">
        <f>AND(#REF!,"AAAAAHa0mF4=")</f>
        <v>#REF!</v>
      </c>
      <c r="CR31" t="e">
        <f>AND(#REF!,"AAAAAHa0mF8=")</f>
        <v>#REF!</v>
      </c>
      <c r="CS31" t="e">
        <f>AND(#REF!,"AAAAAHa0mGA=")</f>
        <v>#REF!</v>
      </c>
      <c r="CT31" t="e">
        <f>AND(#REF!,"AAAAAHa0mGE=")</f>
        <v>#REF!</v>
      </c>
      <c r="CU31" t="e">
        <f>AND(#REF!,"AAAAAHa0mGI=")</f>
        <v>#REF!</v>
      </c>
      <c r="CV31" t="e">
        <f>AND(#REF!,"AAAAAHa0mGM=")</f>
        <v>#REF!</v>
      </c>
      <c r="CW31" t="e">
        <f>AND(#REF!,"AAAAAHa0mGQ=")</f>
        <v>#REF!</v>
      </c>
      <c r="CX31" t="e">
        <f>AND(#REF!,"AAAAAHa0mGU=")</f>
        <v>#REF!</v>
      </c>
      <c r="CY31" t="e">
        <f>AND(#REF!,"AAAAAHa0mGY=")</f>
        <v>#REF!</v>
      </c>
      <c r="CZ31" t="e">
        <f>AND(#REF!,"AAAAAHa0mGc=")</f>
        <v>#REF!</v>
      </c>
      <c r="DA31" t="e">
        <f>AND(#REF!,"AAAAAHa0mGg=")</f>
        <v>#REF!</v>
      </c>
      <c r="DB31" t="e">
        <f>AND(#REF!,"AAAAAHa0mGk=")</f>
        <v>#REF!</v>
      </c>
      <c r="DC31" t="e">
        <f>IF(#REF!,"AAAAAHa0mGo=",0)</f>
        <v>#REF!</v>
      </c>
      <c r="DD31" t="e">
        <f>AND(#REF!,"AAAAAHa0mGs=")</f>
        <v>#REF!</v>
      </c>
      <c r="DE31" t="e">
        <f>AND(#REF!,"AAAAAHa0mGw=")</f>
        <v>#REF!</v>
      </c>
      <c r="DF31" t="e">
        <f>AND(#REF!,"AAAAAHa0mG0=")</f>
        <v>#REF!</v>
      </c>
      <c r="DG31" t="e">
        <f>AND(#REF!,"AAAAAHa0mG4=")</f>
        <v>#REF!</v>
      </c>
      <c r="DH31" t="e">
        <f>AND(#REF!,"AAAAAHa0mG8=")</f>
        <v>#REF!</v>
      </c>
      <c r="DI31" t="e">
        <f>AND(#REF!,"AAAAAHa0mHA=")</f>
        <v>#REF!</v>
      </c>
      <c r="DJ31" t="e">
        <f>AND(#REF!,"AAAAAHa0mHE=")</f>
        <v>#REF!</v>
      </c>
      <c r="DK31" t="e">
        <f>AND(#REF!,"AAAAAHa0mHI=")</f>
        <v>#REF!</v>
      </c>
      <c r="DL31" t="e">
        <f>AND(#REF!,"AAAAAHa0mHM=")</f>
        <v>#REF!</v>
      </c>
      <c r="DM31" t="e">
        <f>AND(#REF!,"AAAAAHa0mHQ=")</f>
        <v>#REF!</v>
      </c>
      <c r="DN31" t="e">
        <f>AND(#REF!,"AAAAAHa0mHU=")</f>
        <v>#REF!</v>
      </c>
      <c r="DO31" t="e">
        <f>AND(#REF!,"AAAAAHa0mHY=")</f>
        <v>#REF!</v>
      </c>
      <c r="DP31" t="e">
        <f>AND(#REF!,"AAAAAHa0mHc=")</f>
        <v>#REF!</v>
      </c>
      <c r="DQ31" t="e">
        <f>AND(#REF!,"AAAAAHa0mHg=")</f>
        <v>#REF!</v>
      </c>
      <c r="DR31" t="e">
        <f>AND(#REF!,"AAAAAHa0mHk=")</f>
        <v>#REF!</v>
      </c>
      <c r="DS31" t="e">
        <f>AND(#REF!,"AAAAAHa0mHo=")</f>
        <v>#REF!</v>
      </c>
      <c r="DT31" t="e">
        <f>AND(#REF!,"AAAAAHa0mHs=")</f>
        <v>#REF!</v>
      </c>
      <c r="DU31" t="e">
        <f>AND(#REF!,"AAAAAHa0mHw=")</f>
        <v>#REF!</v>
      </c>
      <c r="DV31" t="e">
        <f>AND(#REF!,"AAAAAHa0mH0=")</f>
        <v>#REF!</v>
      </c>
      <c r="DW31" t="e">
        <f>AND(#REF!,"AAAAAHa0mH4=")</f>
        <v>#REF!</v>
      </c>
      <c r="DX31" t="e">
        <f>AND(#REF!,"AAAAAHa0mH8=")</f>
        <v>#REF!</v>
      </c>
      <c r="DY31" t="e">
        <f>AND(#REF!,"AAAAAHa0mIA=")</f>
        <v>#REF!</v>
      </c>
      <c r="DZ31" t="e">
        <f>AND(#REF!,"AAAAAHa0mIE=")</f>
        <v>#REF!</v>
      </c>
      <c r="EA31" t="e">
        <f>AND(#REF!,"AAAAAHa0mII=")</f>
        <v>#REF!</v>
      </c>
      <c r="EB31" t="e">
        <f>AND(#REF!,"AAAAAHa0mIM=")</f>
        <v>#REF!</v>
      </c>
      <c r="EC31" t="e">
        <f>AND(#REF!,"AAAAAHa0mIQ=")</f>
        <v>#REF!</v>
      </c>
      <c r="ED31" t="e">
        <f>AND(#REF!,"AAAAAHa0mIU=")</f>
        <v>#REF!</v>
      </c>
      <c r="EE31" t="e">
        <f>AND(#REF!,"AAAAAHa0mIY=")</f>
        <v>#REF!</v>
      </c>
      <c r="EF31" t="e">
        <f>AND(#REF!,"AAAAAHa0mIc=")</f>
        <v>#REF!</v>
      </c>
      <c r="EG31" t="e">
        <f>AND(#REF!,"AAAAAHa0mIg=")</f>
        <v>#REF!</v>
      </c>
      <c r="EH31" t="e">
        <f>AND(#REF!,"AAAAAHa0mIk=")</f>
        <v>#REF!</v>
      </c>
      <c r="EI31" t="e">
        <f>AND(#REF!,"AAAAAHa0mIo=")</f>
        <v>#REF!</v>
      </c>
      <c r="EJ31" t="e">
        <f>AND(#REF!,"AAAAAHa0mIs=")</f>
        <v>#REF!</v>
      </c>
      <c r="EK31" t="e">
        <f>AND(#REF!,"AAAAAHa0mIw=")</f>
        <v>#REF!</v>
      </c>
      <c r="EL31" t="e">
        <f>AND(#REF!,"AAAAAHa0mI0=")</f>
        <v>#REF!</v>
      </c>
      <c r="EM31" t="e">
        <f>AND(#REF!,"AAAAAHa0mI4=")</f>
        <v>#REF!</v>
      </c>
      <c r="EN31" t="e">
        <f>AND(#REF!,"AAAAAHa0mI8=")</f>
        <v>#REF!</v>
      </c>
      <c r="EO31" t="e">
        <f>AND(#REF!,"AAAAAHa0mJA=")</f>
        <v>#REF!</v>
      </c>
      <c r="EP31" t="e">
        <f>AND(#REF!,"AAAAAHa0mJE=")</f>
        <v>#REF!</v>
      </c>
      <c r="EQ31" t="e">
        <f>AND(#REF!,"AAAAAHa0mJI=")</f>
        <v>#REF!</v>
      </c>
      <c r="ER31" t="e">
        <f>AND(#REF!,"AAAAAHa0mJM=")</f>
        <v>#REF!</v>
      </c>
      <c r="ES31" t="e">
        <f>AND(#REF!,"AAAAAHa0mJQ=")</f>
        <v>#REF!</v>
      </c>
      <c r="ET31" t="e">
        <f>AND(#REF!,"AAAAAHa0mJU=")</f>
        <v>#REF!</v>
      </c>
      <c r="EU31" t="e">
        <f>AND(#REF!,"AAAAAHa0mJY=")</f>
        <v>#REF!</v>
      </c>
      <c r="EV31" t="e">
        <f>AND(#REF!,"AAAAAHa0mJc=")</f>
        <v>#REF!</v>
      </c>
      <c r="EW31" t="e">
        <f>AND(#REF!,"AAAAAHa0mJg=")</f>
        <v>#REF!</v>
      </c>
      <c r="EX31" t="e">
        <f>AND(#REF!,"AAAAAHa0mJk=")</f>
        <v>#REF!</v>
      </c>
      <c r="EY31" t="e">
        <f>AND(#REF!,"AAAAAHa0mJo=")</f>
        <v>#REF!</v>
      </c>
      <c r="EZ31" t="e">
        <f>AND(#REF!,"AAAAAHa0mJs=")</f>
        <v>#REF!</v>
      </c>
      <c r="FA31" t="e">
        <f>AND(#REF!,"AAAAAHa0mJw=")</f>
        <v>#REF!</v>
      </c>
      <c r="FB31" t="e">
        <f>AND(#REF!,"AAAAAHa0mJ0=")</f>
        <v>#REF!</v>
      </c>
      <c r="FC31" t="e">
        <f>AND(#REF!,"AAAAAHa0mJ4=")</f>
        <v>#REF!</v>
      </c>
      <c r="FD31" t="e">
        <f>AND(#REF!,"AAAAAHa0mJ8=")</f>
        <v>#REF!</v>
      </c>
      <c r="FE31" t="e">
        <f>AND(#REF!,"AAAAAHa0mKA=")</f>
        <v>#REF!</v>
      </c>
      <c r="FF31" t="e">
        <f>AND(#REF!,"AAAAAHa0mKE=")</f>
        <v>#REF!</v>
      </c>
      <c r="FG31" t="e">
        <f>AND(#REF!,"AAAAAHa0mKI=")</f>
        <v>#REF!</v>
      </c>
      <c r="FH31" t="e">
        <f>AND(#REF!,"AAAAAHa0mKM=")</f>
        <v>#REF!</v>
      </c>
      <c r="FI31" t="e">
        <f>AND(#REF!,"AAAAAHa0mKQ=")</f>
        <v>#REF!</v>
      </c>
      <c r="FJ31" t="e">
        <f>AND(#REF!,"AAAAAHa0mKU=")</f>
        <v>#REF!</v>
      </c>
      <c r="FK31" t="e">
        <f>AND(#REF!,"AAAAAHa0mKY=")</f>
        <v>#REF!</v>
      </c>
      <c r="FL31" t="e">
        <f>AND(#REF!,"AAAAAHa0mKc=")</f>
        <v>#REF!</v>
      </c>
      <c r="FM31" t="e">
        <f>AND(#REF!,"AAAAAHa0mKg=")</f>
        <v>#REF!</v>
      </c>
      <c r="FN31" t="e">
        <f>AND(#REF!,"AAAAAHa0mKk=")</f>
        <v>#REF!</v>
      </c>
      <c r="FO31" t="e">
        <f>AND(#REF!,"AAAAAHa0mKo=")</f>
        <v>#REF!</v>
      </c>
      <c r="FP31" t="e">
        <f>AND(#REF!,"AAAAAHa0mKs=")</f>
        <v>#REF!</v>
      </c>
      <c r="FQ31" t="e">
        <f>AND(#REF!,"AAAAAHa0mKw=")</f>
        <v>#REF!</v>
      </c>
      <c r="FR31" t="e">
        <f>AND(#REF!,"AAAAAHa0mK0=")</f>
        <v>#REF!</v>
      </c>
      <c r="FS31" t="e">
        <f>AND(#REF!,"AAAAAHa0mK4=")</f>
        <v>#REF!</v>
      </c>
      <c r="FT31" t="e">
        <f>AND(#REF!,"AAAAAHa0mK8=")</f>
        <v>#REF!</v>
      </c>
      <c r="FU31" t="e">
        <f>AND(#REF!,"AAAAAHa0mLA=")</f>
        <v>#REF!</v>
      </c>
      <c r="FV31" t="e">
        <f>AND(#REF!,"AAAAAHa0mLE=")</f>
        <v>#REF!</v>
      </c>
      <c r="FW31" t="e">
        <f>AND(#REF!,"AAAAAHa0mLI=")</f>
        <v>#REF!</v>
      </c>
      <c r="FX31" t="e">
        <f>AND(#REF!,"AAAAAHa0mLM=")</f>
        <v>#REF!</v>
      </c>
      <c r="FY31" t="e">
        <f>AND(#REF!,"AAAAAHa0mLQ=")</f>
        <v>#REF!</v>
      </c>
      <c r="FZ31" t="e">
        <f>AND(#REF!,"AAAAAHa0mLU=")</f>
        <v>#REF!</v>
      </c>
      <c r="GA31" t="e">
        <f>AND(#REF!,"AAAAAHa0mLY=")</f>
        <v>#REF!</v>
      </c>
      <c r="GB31" t="e">
        <f>AND(#REF!,"AAAAAHa0mLc=")</f>
        <v>#REF!</v>
      </c>
      <c r="GC31" t="e">
        <f>AND(#REF!,"AAAAAHa0mLg=")</f>
        <v>#REF!</v>
      </c>
      <c r="GD31" t="e">
        <f>AND(#REF!,"AAAAAHa0mLk=")</f>
        <v>#REF!</v>
      </c>
      <c r="GE31" t="e">
        <f>AND(#REF!,"AAAAAHa0mLo=")</f>
        <v>#REF!</v>
      </c>
      <c r="GF31" t="e">
        <f>AND(#REF!,"AAAAAHa0mLs=")</f>
        <v>#REF!</v>
      </c>
      <c r="GG31" t="e">
        <f>AND(#REF!,"AAAAAHa0mLw=")</f>
        <v>#REF!</v>
      </c>
      <c r="GH31" t="e">
        <f>AND(#REF!,"AAAAAHa0mL0=")</f>
        <v>#REF!</v>
      </c>
      <c r="GI31" t="e">
        <f>AND(#REF!,"AAAAAHa0mL4=")</f>
        <v>#REF!</v>
      </c>
      <c r="GJ31" t="e">
        <f>AND(#REF!,"AAAAAHa0mL8=")</f>
        <v>#REF!</v>
      </c>
      <c r="GK31" t="e">
        <f>AND(#REF!,"AAAAAHa0mMA=")</f>
        <v>#REF!</v>
      </c>
      <c r="GL31" t="e">
        <f>AND(#REF!,"AAAAAHa0mME=")</f>
        <v>#REF!</v>
      </c>
      <c r="GM31" t="e">
        <f>AND(#REF!,"AAAAAHa0mMI=")</f>
        <v>#REF!</v>
      </c>
      <c r="GN31" t="e">
        <f>AND(#REF!,"AAAAAHa0mMM=")</f>
        <v>#REF!</v>
      </c>
      <c r="GO31" t="e">
        <f>AND(#REF!,"AAAAAHa0mMQ=")</f>
        <v>#REF!</v>
      </c>
      <c r="GP31" t="e">
        <f>AND(#REF!,"AAAAAHa0mMU=")</f>
        <v>#REF!</v>
      </c>
      <c r="GQ31" t="e">
        <f>AND(#REF!,"AAAAAHa0mMY=")</f>
        <v>#REF!</v>
      </c>
      <c r="GR31" t="e">
        <f>AND(#REF!,"AAAAAHa0mMc=")</f>
        <v>#REF!</v>
      </c>
      <c r="GS31" t="e">
        <f>AND(#REF!,"AAAAAHa0mMg=")</f>
        <v>#REF!</v>
      </c>
      <c r="GT31" t="e">
        <f>AND(#REF!,"AAAAAHa0mMk=")</f>
        <v>#REF!</v>
      </c>
      <c r="GU31" t="e">
        <f>AND(#REF!,"AAAAAHa0mMo=")</f>
        <v>#REF!</v>
      </c>
      <c r="GV31" t="e">
        <f>AND(#REF!,"AAAAAHa0mMs=")</f>
        <v>#REF!</v>
      </c>
      <c r="GW31" t="e">
        <f>AND(#REF!,"AAAAAHa0mMw=")</f>
        <v>#REF!</v>
      </c>
      <c r="GX31" t="e">
        <f>AND(#REF!,"AAAAAHa0mM0=")</f>
        <v>#REF!</v>
      </c>
      <c r="GY31" t="e">
        <f>AND(#REF!,"AAAAAHa0mM4=")</f>
        <v>#REF!</v>
      </c>
      <c r="GZ31" t="e">
        <f>AND(#REF!,"AAAAAHa0mM8=")</f>
        <v>#REF!</v>
      </c>
      <c r="HA31" t="e">
        <f>AND(#REF!,"AAAAAHa0mNA=")</f>
        <v>#REF!</v>
      </c>
      <c r="HB31" t="e">
        <f>AND(#REF!,"AAAAAHa0mNE=")</f>
        <v>#REF!</v>
      </c>
      <c r="HC31" t="e">
        <f>AND(#REF!,"AAAAAHa0mNI=")</f>
        <v>#REF!</v>
      </c>
      <c r="HD31" t="e">
        <f>AND(#REF!,"AAAAAHa0mNM=")</f>
        <v>#REF!</v>
      </c>
      <c r="HE31" t="e">
        <f>AND(#REF!,"AAAAAHa0mNQ=")</f>
        <v>#REF!</v>
      </c>
      <c r="HF31" t="e">
        <f>AND(#REF!,"AAAAAHa0mNU=")</f>
        <v>#REF!</v>
      </c>
      <c r="HG31" t="e">
        <f>AND(#REF!,"AAAAAHa0mNY=")</f>
        <v>#REF!</v>
      </c>
      <c r="HH31" t="e">
        <f>AND(#REF!,"AAAAAHa0mNc=")</f>
        <v>#REF!</v>
      </c>
      <c r="HI31" t="e">
        <f>AND(#REF!,"AAAAAHa0mNg=")</f>
        <v>#REF!</v>
      </c>
      <c r="HJ31" t="e">
        <f>AND(#REF!,"AAAAAHa0mNk=")</f>
        <v>#REF!</v>
      </c>
      <c r="HK31" t="e">
        <f>AND(#REF!,"AAAAAHa0mNo=")</f>
        <v>#REF!</v>
      </c>
      <c r="HL31" t="e">
        <f>AND(#REF!,"AAAAAHa0mNs=")</f>
        <v>#REF!</v>
      </c>
      <c r="HM31" t="e">
        <f>AND(#REF!,"AAAAAHa0mNw=")</f>
        <v>#REF!</v>
      </c>
      <c r="HN31" t="e">
        <f>AND(#REF!,"AAAAAHa0mN0=")</f>
        <v>#REF!</v>
      </c>
      <c r="HO31" t="e">
        <f>AND(#REF!,"AAAAAHa0mN4=")</f>
        <v>#REF!</v>
      </c>
      <c r="HP31" t="e">
        <f>AND(#REF!,"AAAAAHa0mN8=")</f>
        <v>#REF!</v>
      </c>
      <c r="HQ31" t="e">
        <f>AND(#REF!,"AAAAAHa0mOA=")</f>
        <v>#REF!</v>
      </c>
      <c r="HR31" t="e">
        <f>AND(#REF!,"AAAAAHa0mOE=")</f>
        <v>#REF!</v>
      </c>
      <c r="HS31" t="e">
        <f>AND(#REF!,"AAAAAHa0mOI=")</f>
        <v>#REF!</v>
      </c>
      <c r="HT31" t="e">
        <f>AND(#REF!,"AAAAAHa0mOM=")</f>
        <v>#REF!</v>
      </c>
      <c r="HU31" t="e">
        <f>AND(#REF!,"AAAAAHa0mOQ=")</f>
        <v>#REF!</v>
      </c>
      <c r="HV31" t="e">
        <f>AND(#REF!,"AAAAAHa0mOU=")</f>
        <v>#REF!</v>
      </c>
      <c r="HW31" t="e">
        <f>AND(#REF!,"AAAAAHa0mOY=")</f>
        <v>#REF!</v>
      </c>
      <c r="HX31" t="e">
        <f>AND(#REF!,"AAAAAHa0mOc=")</f>
        <v>#REF!</v>
      </c>
      <c r="HY31" t="e">
        <f>AND(#REF!,"AAAAAHa0mOg=")</f>
        <v>#REF!</v>
      </c>
      <c r="HZ31" t="e">
        <f>AND(#REF!,"AAAAAHa0mOk=")</f>
        <v>#REF!</v>
      </c>
      <c r="IA31" t="e">
        <f>AND(#REF!,"AAAAAHa0mOo=")</f>
        <v>#REF!</v>
      </c>
      <c r="IB31" t="e">
        <f>AND(#REF!,"AAAAAHa0mOs=")</f>
        <v>#REF!</v>
      </c>
      <c r="IC31" t="e">
        <f>AND(#REF!,"AAAAAHa0mOw=")</f>
        <v>#REF!</v>
      </c>
      <c r="ID31" t="e">
        <f>AND(#REF!,"AAAAAHa0mO0=")</f>
        <v>#REF!</v>
      </c>
      <c r="IE31" t="e">
        <f>AND(#REF!,"AAAAAHa0mO4=")</f>
        <v>#REF!</v>
      </c>
      <c r="IF31" t="e">
        <f>AND(#REF!,"AAAAAHa0mO8=")</f>
        <v>#REF!</v>
      </c>
      <c r="IG31" t="e">
        <f>AND(#REF!,"AAAAAHa0mPA=")</f>
        <v>#REF!</v>
      </c>
      <c r="IH31" t="e">
        <f>AND(#REF!,"AAAAAHa0mPE=")</f>
        <v>#REF!</v>
      </c>
      <c r="II31" t="e">
        <f>AND(#REF!,"AAAAAHa0mPI=")</f>
        <v>#REF!</v>
      </c>
      <c r="IJ31" t="e">
        <f>AND(#REF!,"AAAAAHa0mPM=")</f>
        <v>#REF!</v>
      </c>
      <c r="IK31" t="e">
        <f>AND(#REF!,"AAAAAHa0mPQ=")</f>
        <v>#REF!</v>
      </c>
      <c r="IL31" t="e">
        <f>AND(#REF!,"AAAAAHa0mPU=")</f>
        <v>#REF!</v>
      </c>
      <c r="IM31" t="e">
        <f>AND(#REF!,"AAAAAHa0mPY=")</f>
        <v>#REF!</v>
      </c>
      <c r="IN31" t="e">
        <f>AND(#REF!,"AAAAAHa0mPc=")</f>
        <v>#REF!</v>
      </c>
      <c r="IO31" t="e">
        <f>AND(#REF!,"AAAAAHa0mPg=")</f>
        <v>#REF!</v>
      </c>
      <c r="IP31" t="e">
        <f>AND(#REF!,"AAAAAHa0mPk=")</f>
        <v>#REF!</v>
      </c>
      <c r="IQ31" t="e">
        <f>AND(#REF!,"AAAAAHa0mPo=")</f>
        <v>#REF!</v>
      </c>
      <c r="IR31" t="e">
        <f>AND(#REF!,"AAAAAHa0mPs=")</f>
        <v>#REF!</v>
      </c>
      <c r="IS31" t="e">
        <f>AND(#REF!,"AAAAAHa0mPw=")</f>
        <v>#REF!</v>
      </c>
      <c r="IT31" t="e">
        <f>AND(#REF!,"AAAAAHa0mP0=")</f>
        <v>#REF!</v>
      </c>
      <c r="IU31" t="e">
        <f>AND(#REF!,"AAAAAHa0mP4=")</f>
        <v>#REF!</v>
      </c>
      <c r="IV31" t="e">
        <f>AND(#REF!,"AAAAAHa0mP8=")</f>
        <v>#REF!</v>
      </c>
    </row>
    <row r="32" spans="1:256" x14ac:dyDescent="0.25">
      <c r="A32" t="e">
        <f>AND(#REF!,"AAAAAHYtfwA=")</f>
        <v>#REF!</v>
      </c>
      <c r="B32" t="e">
        <f>AND(#REF!,"AAAAAHYtfwE=")</f>
        <v>#REF!</v>
      </c>
      <c r="C32" t="e">
        <f>AND(#REF!,"AAAAAHYtfwI=")</f>
        <v>#REF!</v>
      </c>
      <c r="D32" t="e">
        <f>AND(#REF!,"AAAAAHYtfwM=")</f>
        <v>#REF!</v>
      </c>
      <c r="E32" t="e">
        <f>AND(#REF!,"AAAAAHYtfwQ=")</f>
        <v>#REF!</v>
      </c>
      <c r="F32" t="e">
        <f>AND(#REF!,"AAAAAHYtfwU=")</f>
        <v>#REF!</v>
      </c>
      <c r="G32" t="e">
        <f>AND(#REF!,"AAAAAHYtfwY=")</f>
        <v>#REF!</v>
      </c>
      <c r="H32" t="e">
        <f>AND(#REF!,"AAAAAHYtfwc=")</f>
        <v>#REF!</v>
      </c>
      <c r="I32" t="e">
        <f>AND(#REF!,"AAAAAHYtfwg=")</f>
        <v>#REF!</v>
      </c>
      <c r="J32" t="e">
        <f>AND(#REF!,"AAAAAHYtfwk=")</f>
        <v>#REF!</v>
      </c>
      <c r="K32" t="e">
        <f>AND(#REF!,"AAAAAHYtfwo=")</f>
        <v>#REF!</v>
      </c>
      <c r="L32" t="e">
        <f>AND(#REF!,"AAAAAHYtfws=")</f>
        <v>#REF!</v>
      </c>
      <c r="M32" t="e">
        <f>AND(#REF!,"AAAAAHYtfww=")</f>
        <v>#REF!</v>
      </c>
      <c r="N32" t="e">
        <f>AND(#REF!,"AAAAAHYtfw0=")</f>
        <v>#REF!</v>
      </c>
      <c r="O32" t="e">
        <f>AND(#REF!,"AAAAAHYtfw4=")</f>
        <v>#REF!</v>
      </c>
      <c r="P32" t="e">
        <f>AND(#REF!,"AAAAAHYtfw8=")</f>
        <v>#REF!</v>
      </c>
      <c r="Q32" t="e">
        <f>AND(#REF!,"AAAAAHYtfxA=")</f>
        <v>#REF!</v>
      </c>
      <c r="R32" t="e">
        <f>AND(#REF!,"AAAAAHYtfxE=")</f>
        <v>#REF!</v>
      </c>
      <c r="S32" t="e">
        <f>AND(#REF!,"AAAAAHYtfxI=")</f>
        <v>#REF!</v>
      </c>
      <c r="T32" t="e">
        <f>AND(#REF!,"AAAAAHYtfxM=")</f>
        <v>#REF!</v>
      </c>
      <c r="U32" t="e">
        <f>AND(#REF!,"AAAAAHYtfxQ=")</f>
        <v>#REF!</v>
      </c>
      <c r="V32" t="e">
        <f>AND(#REF!,"AAAAAHYtfxU=")</f>
        <v>#REF!</v>
      </c>
      <c r="W32" t="e">
        <f>AND(#REF!,"AAAAAHYtfxY=")</f>
        <v>#REF!</v>
      </c>
      <c r="X32" t="e">
        <f>AND(#REF!,"AAAAAHYtfxc=")</f>
        <v>#REF!</v>
      </c>
      <c r="Y32" t="e">
        <f>AND(#REF!,"AAAAAHYtfxg=")</f>
        <v>#REF!</v>
      </c>
      <c r="Z32" t="e">
        <f>AND(#REF!,"AAAAAHYtfxk=")</f>
        <v>#REF!</v>
      </c>
      <c r="AA32" t="e">
        <f>AND(#REF!,"AAAAAHYtfxo=")</f>
        <v>#REF!</v>
      </c>
      <c r="AB32" t="e">
        <f>AND(#REF!,"AAAAAHYtfxs=")</f>
        <v>#REF!</v>
      </c>
      <c r="AC32" t="e">
        <f>AND(#REF!,"AAAAAHYtfxw=")</f>
        <v>#REF!</v>
      </c>
      <c r="AD32" t="e">
        <f>AND(#REF!,"AAAAAHYtfx0=")</f>
        <v>#REF!</v>
      </c>
      <c r="AE32" t="e">
        <f>AND(#REF!,"AAAAAHYtfx4=")</f>
        <v>#REF!</v>
      </c>
      <c r="AF32" t="e">
        <f>AND(#REF!,"AAAAAHYtfx8=")</f>
        <v>#REF!</v>
      </c>
      <c r="AG32" t="e">
        <f>AND(#REF!,"AAAAAHYtfyA=")</f>
        <v>#REF!</v>
      </c>
      <c r="AH32" t="e">
        <f>AND(#REF!,"AAAAAHYtfyE=")</f>
        <v>#REF!</v>
      </c>
      <c r="AI32" t="e">
        <f>AND(#REF!,"AAAAAHYtfyI=")</f>
        <v>#REF!</v>
      </c>
      <c r="AJ32" t="e">
        <f>AND(#REF!,"AAAAAHYtfyM=")</f>
        <v>#REF!</v>
      </c>
      <c r="AK32" t="e">
        <f>AND(#REF!,"AAAAAHYtfyQ=")</f>
        <v>#REF!</v>
      </c>
      <c r="AL32" t="e">
        <f>AND(#REF!,"AAAAAHYtfyU=")</f>
        <v>#REF!</v>
      </c>
      <c r="AM32" t="e">
        <f>AND(#REF!,"AAAAAHYtfyY=")</f>
        <v>#REF!</v>
      </c>
      <c r="AN32" t="e">
        <f>IF(#REF!,"AAAAAHYtfyc=",0)</f>
        <v>#REF!</v>
      </c>
      <c r="AO32" t="e">
        <f>AND(#REF!,"AAAAAHYtfyg=")</f>
        <v>#REF!</v>
      </c>
      <c r="AP32" t="e">
        <f>AND(#REF!,"AAAAAHYtfyk=")</f>
        <v>#REF!</v>
      </c>
      <c r="AQ32" t="e">
        <f>AND(#REF!,"AAAAAHYtfyo=")</f>
        <v>#REF!</v>
      </c>
      <c r="AR32" t="e">
        <f>AND(#REF!,"AAAAAHYtfys=")</f>
        <v>#REF!</v>
      </c>
      <c r="AS32" t="e">
        <f>AND(#REF!,"AAAAAHYtfyw=")</f>
        <v>#REF!</v>
      </c>
      <c r="AT32" t="e">
        <f>AND(#REF!,"AAAAAHYtfy0=")</f>
        <v>#REF!</v>
      </c>
      <c r="AU32" t="e">
        <f>AND(#REF!,"AAAAAHYtfy4=")</f>
        <v>#REF!</v>
      </c>
      <c r="AV32" t="e">
        <f>AND(#REF!,"AAAAAHYtfy8=")</f>
        <v>#REF!</v>
      </c>
      <c r="AW32" t="e">
        <f>AND(#REF!,"AAAAAHYtfzA=")</f>
        <v>#REF!</v>
      </c>
      <c r="AX32" t="e">
        <f>AND(#REF!,"AAAAAHYtfzE=")</f>
        <v>#REF!</v>
      </c>
      <c r="AY32" t="e">
        <f>AND(#REF!,"AAAAAHYtfzI=")</f>
        <v>#REF!</v>
      </c>
      <c r="AZ32" t="e">
        <f>AND(#REF!,"AAAAAHYtfzM=")</f>
        <v>#REF!</v>
      </c>
      <c r="BA32" t="e">
        <f>AND(#REF!,"AAAAAHYtfzQ=")</f>
        <v>#REF!</v>
      </c>
      <c r="BB32" t="e">
        <f>AND(#REF!,"AAAAAHYtfzU=")</f>
        <v>#REF!</v>
      </c>
      <c r="BC32" t="e">
        <f>AND(#REF!,"AAAAAHYtfzY=")</f>
        <v>#REF!</v>
      </c>
      <c r="BD32" t="e">
        <f>AND(#REF!,"AAAAAHYtfzc=")</f>
        <v>#REF!</v>
      </c>
      <c r="BE32" t="e">
        <f>AND(#REF!,"AAAAAHYtfzg=")</f>
        <v>#REF!</v>
      </c>
      <c r="BF32" t="e">
        <f>AND(#REF!,"AAAAAHYtfzk=")</f>
        <v>#REF!</v>
      </c>
      <c r="BG32" t="e">
        <f>AND(#REF!,"AAAAAHYtfzo=")</f>
        <v>#REF!</v>
      </c>
      <c r="BH32" t="e">
        <f>AND(#REF!,"AAAAAHYtfzs=")</f>
        <v>#REF!</v>
      </c>
      <c r="BI32" t="e">
        <f>AND(#REF!,"AAAAAHYtfzw=")</f>
        <v>#REF!</v>
      </c>
      <c r="BJ32" t="e">
        <f>AND(#REF!,"AAAAAHYtfz0=")</f>
        <v>#REF!</v>
      </c>
      <c r="BK32" t="e">
        <f>AND(#REF!,"AAAAAHYtfz4=")</f>
        <v>#REF!</v>
      </c>
      <c r="BL32" t="e">
        <f>AND(#REF!,"AAAAAHYtfz8=")</f>
        <v>#REF!</v>
      </c>
      <c r="BM32" t="e">
        <f>AND(#REF!,"AAAAAHYtf0A=")</f>
        <v>#REF!</v>
      </c>
      <c r="BN32" t="e">
        <f>AND(#REF!,"AAAAAHYtf0E=")</f>
        <v>#REF!</v>
      </c>
      <c r="BO32" t="e">
        <f>AND(#REF!,"AAAAAHYtf0I=")</f>
        <v>#REF!</v>
      </c>
      <c r="BP32" t="e">
        <f>AND(#REF!,"AAAAAHYtf0M=")</f>
        <v>#REF!</v>
      </c>
      <c r="BQ32" t="e">
        <f>AND(#REF!,"AAAAAHYtf0Q=")</f>
        <v>#REF!</v>
      </c>
      <c r="BR32" t="e">
        <f>AND(#REF!,"AAAAAHYtf0U=")</f>
        <v>#REF!</v>
      </c>
      <c r="BS32" t="e">
        <f>AND(#REF!,"AAAAAHYtf0Y=")</f>
        <v>#REF!</v>
      </c>
      <c r="BT32" t="e">
        <f>AND(#REF!,"AAAAAHYtf0c=")</f>
        <v>#REF!</v>
      </c>
      <c r="BU32" t="e">
        <f>AND(#REF!,"AAAAAHYtf0g=")</f>
        <v>#REF!</v>
      </c>
      <c r="BV32" t="e">
        <f>AND(#REF!,"AAAAAHYtf0k=")</f>
        <v>#REF!</v>
      </c>
      <c r="BW32" t="e">
        <f>AND(#REF!,"AAAAAHYtf0o=")</f>
        <v>#REF!</v>
      </c>
      <c r="BX32" t="e">
        <f>AND(#REF!,"AAAAAHYtf0s=")</f>
        <v>#REF!</v>
      </c>
      <c r="BY32" t="e">
        <f>AND(#REF!,"AAAAAHYtf0w=")</f>
        <v>#REF!</v>
      </c>
      <c r="BZ32" t="e">
        <f>AND(#REF!,"AAAAAHYtf00=")</f>
        <v>#REF!</v>
      </c>
      <c r="CA32" t="e">
        <f>AND(#REF!,"AAAAAHYtf04=")</f>
        <v>#REF!</v>
      </c>
      <c r="CB32" t="e">
        <f>AND(#REF!,"AAAAAHYtf08=")</f>
        <v>#REF!</v>
      </c>
      <c r="CC32" t="e">
        <f>AND(#REF!,"AAAAAHYtf1A=")</f>
        <v>#REF!</v>
      </c>
      <c r="CD32" t="e">
        <f>AND(#REF!,"AAAAAHYtf1E=")</f>
        <v>#REF!</v>
      </c>
      <c r="CE32" t="e">
        <f>AND(#REF!,"AAAAAHYtf1I=")</f>
        <v>#REF!</v>
      </c>
      <c r="CF32" t="e">
        <f>AND(#REF!,"AAAAAHYtf1M=")</f>
        <v>#REF!</v>
      </c>
      <c r="CG32" t="e">
        <f>AND(#REF!,"AAAAAHYtf1Q=")</f>
        <v>#REF!</v>
      </c>
      <c r="CH32" t="e">
        <f>AND(#REF!,"AAAAAHYtf1U=")</f>
        <v>#REF!</v>
      </c>
      <c r="CI32" t="e">
        <f>AND(#REF!,"AAAAAHYtf1Y=")</f>
        <v>#REF!</v>
      </c>
      <c r="CJ32" t="e">
        <f>AND(#REF!,"AAAAAHYtf1c=")</f>
        <v>#REF!</v>
      </c>
      <c r="CK32" t="e">
        <f>AND(#REF!,"AAAAAHYtf1g=")</f>
        <v>#REF!</v>
      </c>
      <c r="CL32" t="e">
        <f>AND(#REF!,"AAAAAHYtf1k=")</f>
        <v>#REF!</v>
      </c>
      <c r="CM32" t="e">
        <f>AND(#REF!,"AAAAAHYtf1o=")</f>
        <v>#REF!</v>
      </c>
      <c r="CN32" t="e">
        <f>AND(#REF!,"AAAAAHYtf1s=")</f>
        <v>#REF!</v>
      </c>
      <c r="CO32" t="e">
        <f>AND(#REF!,"AAAAAHYtf1w=")</f>
        <v>#REF!</v>
      </c>
      <c r="CP32" t="e">
        <f>AND(#REF!,"AAAAAHYtf10=")</f>
        <v>#REF!</v>
      </c>
      <c r="CQ32" t="e">
        <f>AND(#REF!,"AAAAAHYtf14=")</f>
        <v>#REF!</v>
      </c>
      <c r="CR32" t="e">
        <f>AND(#REF!,"AAAAAHYtf18=")</f>
        <v>#REF!</v>
      </c>
      <c r="CS32" t="e">
        <f>AND(#REF!,"AAAAAHYtf2A=")</f>
        <v>#REF!</v>
      </c>
      <c r="CT32" t="e">
        <f>AND(#REF!,"AAAAAHYtf2E=")</f>
        <v>#REF!</v>
      </c>
      <c r="CU32" t="e">
        <f>AND(#REF!,"AAAAAHYtf2I=")</f>
        <v>#REF!</v>
      </c>
      <c r="CV32" t="e">
        <f>AND(#REF!,"AAAAAHYtf2M=")</f>
        <v>#REF!</v>
      </c>
      <c r="CW32" t="e">
        <f>AND(#REF!,"AAAAAHYtf2Q=")</f>
        <v>#REF!</v>
      </c>
      <c r="CX32" t="e">
        <f>AND(#REF!,"AAAAAHYtf2U=")</f>
        <v>#REF!</v>
      </c>
      <c r="CY32" t="e">
        <f>AND(#REF!,"AAAAAHYtf2Y=")</f>
        <v>#REF!</v>
      </c>
      <c r="CZ32" t="e">
        <f>AND(#REF!,"AAAAAHYtf2c=")</f>
        <v>#REF!</v>
      </c>
      <c r="DA32" t="e">
        <f>AND(#REF!,"AAAAAHYtf2g=")</f>
        <v>#REF!</v>
      </c>
      <c r="DB32" t="e">
        <f>AND(#REF!,"AAAAAHYtf2k=")</f>
        <v>#REF!</v>
      </c>
      <c r="DC32" t="e">
        <f>AND(#REF!,"AAAAAHYtf2o=")</f>
        <v>#REF!</v>
      </c>
      <c r="DD32" t="e">
        <f>AND(#REF!,"AAAAAHYtf2s=")</f>
        <v>#REF!</v>
      </c>
      <c r="DE32" t="e">
        <f>AND(#REF!,"AAAAAHYtf2w=")</f>
        <v>#REF!</v>
      </c>
      <c r="DF32" t="e">
        <f>AND(#REF!,"AAAAAHYtf20=")</f>
        <v>#REF!</v>
      </c>
      <c r="DG32" t="e">
        <f>AND(#REF!,"AAAAAHYtf24=")</f>
        <v>#REF!</v>
      </c>
      <c r="DH32" t="e">
        <f>AND(#REF!,"AAAAAHYtf28=")</f>
        <v>#REF!</v>
      </c>
      <c r="DI32" t="e">
        <f>AND(#REF!,"AAAAAHYtf3A=")</f>
        <v>#REF!</v>
      </c>
      <c r="DJ32" t="e">
        <f>AND(#REF!,"AAAAAHYtf3E=")</f>
        <v>#REF!</v>
      </c>
      <c r="DK32" t="e">
        <f>AND(#REF!,"AAAAAHYtf3I=")</f>
        <v>#REF!</v>
      </c>
      <c r="DL32" t="e">
        <f>AND(#REF!,"AAAAAHYtf3M=")</f>
        <v>#REF!</v>
      </c>
      <c r="DM32" t="e">
        <f>AND(#REF!,"AAAAAHYtf3Q=")</f>
        <v>#REF!</v>
      </c>
      <c r="DN32" t="e">
        <f>AND(#REF!,"AAAAAHYtf3U=")</f>
        <v>#REF!</v>
      </c>
      <c r="DO32" t="e">
        <f>AND(#REF!,"AAAAAHYtf3Y=")</f>
        <v>#REF!</v>
      </c>
      <c r="DP32" t="e">
        <f>AND(#REF!,"AAAAAHYtf3c=")</f>
        <v>#REF!</v>
      </c>
      <c r="DQ32" t="e">
        <f>AND(#REF!,"AAAAAHYtf3g=")</f>
        <v>#REF!</v>
      </c>
      <c r="DR32" t="e">
        <f>AND(#REF!,"AAAAAHYtf3k=")</f>
        <v>#REF!</v>
      </c>
      <c r="DS32" t="e">
        <f>AND(#REF!,"AAAAAHYtf3o=")</f>
        <v>#REF!</v>
      </c>
      <c r="DT32" t="e">
        <f>AND(#REF!,"AAAAAHYtf3s=")</f>
        <v>#REF!</v>
      </c>
      <c r="DU32" t="e">
        <f>AND(#REF!,"AAAAAHYtf3w=")</f>
        <v>#REF!</v>
      </c>
      <c r="DV32" t="e">
        <f>AND(#REF!,"AAAAAHYtf30=")</f>
        <v>#REF!</v>
      </c>
      <c r="DW32" t="e">
        <f>AND(#REF!,"AAAAAHYtf34=")</f>
        <v>#REF!</v>
      </c>
      <c r="DX32" t="e">
        <f>AND(#REF!,"AAAAAHYtf38=")</f>
        <v>#REF!</v>
      </c>
      <c r="DY32" t="e">
        <f>AND(#REF!,"AAAAAHYtf4A=")</f>
        <v>#REF!</v>
      </c>
      <c r="DZ32" t="e">
        <f>AND(#REF!,"AAAAAHYtf4E=")</f>
        <v>#REF!</v>
      </c>
      <c r="EA32" t="e">
        <f>AND(#REF!,"AAAAAHYtf4I=")</f>
        <v>#REF!</v>
      </c>
      <c r="EB32" t="e">
        <f>AND(#REF!,"AAAAAHYtf4M=")</f>
        <v>#REF!</v>
      </c>
      <c r="EC32" t="e">
        <f>AND(#REF!,"AAAAAHYtf4Q=")</f>
        <v>#REF!</v>
      </c>
      <c r="ED32" t="e">
        <f>AND(#REF!,"AAAAAHYtf4U=")</f>
        <v>#REF!</v>
      </c>
      <c r="EE32" t="e">
        <f>AND(#REF!,"AAAAAHYtf4Y=")</f>
        <v>#REF!</v>
      </c>
      <c r="EF32" t="e">
        <f>AND(#REF!,"AAAAAHYtf4c=")</f>
        <v>#REF!</v>
      </c>
      <c r="EG32" t="e">
        <f>AND(#REF!,"AAAAAHYtf4g=")</f>
        <v>#REF!</v>
      </c>
      <c r="EH32" t="e">
        <f>AND(#REF!,"AAAAAHYtf4k=")</f>
        <v>#REF!</v>
      </c>
      <c r="EI32" t="e">
        <f>AND(#REF!,"AAAAAHYtf4o=")</f>
        <v>#REF!</v>
      </c>
      <c r="EJ32" t="e">
        <f>AND(#REF!,"AAAAAHYtf4s=")</f>
        <v>#REF!</v>
      </c>
      <c r="EK32" t="e">
        <f>AND(#REF!,"AAAAAHYtf4w=")</f>
        <v>#REF!</v>
      </c>
      <c r="EL32" t="e">
        <f>AND(#REF!,"AAAAAHYtf40=")</f>
        <v>#REF!</v>
      </c>
      <c r="EM32" t="e">
        <f>AND(#REF!,"AAAAAHYtf44=")</f>
        <v>#REF!</v>
      </c>
      <c r="EN32" t="e">
        <f>AND(#REF!,"AAAAAHYtf48=")</f>
        <v>#REF!</v>
      </c>
      <c r="EO32" t="e">
        <f>AND(#REF!,"AAAAAHYtf5A=")</f>
        <v>#REF!</v>
      </c>
      <c r="EP32" t="e">
        <f>AND(#REF!,"AAAAAHYtf5E=")</f>
        <v>#REF!</v>
      </c>
      <c r="EQ32" t="e">
        <f>AND(#REF!,"AAAAAHYtf5I=")</f>
        <v>#REF!</v>
      </c>
      <c r="ER32" t="e">
        <f>AND(#REF!,"AAAAAHYtf5M=")</f>
        <v>#REF!</v>
      </c>
      <c r="ES32" t="e">
        <f>AND(#REF!,"AAAAAHYtf5Q=")</f>
        <v>#REF!</v>
      </c>
      <c r="ET32" t="e">
        <f>AND(#REF!,"AAAAAHYtf5U=")</f>
        <v>#REF!</v>
      </c>
      <c r="EU32" t="e">
        <f>AND(#REF!,"AAAAAHYtf5Y=")</f>
        <v>#REF!</v>
      </c>
      <c r="EV32" t="e">
        <f>AND(#REF!,"AAAAAHYtf5c=")</f>
        <v>#REF!</v>
      </c>
      <c r="EW32" t="e">
        <f>AND(#REF!,"AAAAAHYtf5g=")</f>
        <v>#REF!</v>
      </c>
      <c r="EX32" t="e">
        <f>AND(#REF!,"AAAAAHYtf5k=")</f>
        <v>#REF!</v>
      </c>
      <c r="EY32" t="e">
        <f>AND(#REF!,"AAAAAHYtf5o=")</f>
        <v>#REF!</v>
      </c>
      <c r="EZ32" t="e">
        <f>AND(#REF!,"AAAAAHYtf5s=")</f>
        <v>#REF!</v>
      </c>
      <c r="FA32" t="e">
        <f>AND(#REF!,"AAAAAHYtf5w=")</f>
        <v>#REF!</v>
      </c>
      <c r="FB32" t="e">
        <f>AND(#REF!,"AAAAAHYtf50=")</f>
        <v>#REF!</v>
      </c>
      <c r="FC32" t="e">
        <f>AND(#REF!,"AAAAAHYtf54=")</f>
        <v>#REF!</v>
      </c>
      <c r="FD32" t="e">
        <f>AND(#REF!,"AAAAAHYtf58=")</f>
        <v>#REF!</v>
      </c>
      <c r="FE32" t="e">
        <f>AND(#REF!,"AAAAAHYtf6A=")</f>
        <v>#REF!</v>
      </c>
      <c r="FF32" t="e">
        <f>AND(#REF!,"AAAAAHYtf6E=")</f>
        <v>#REF!</v>
      </c>
      <c r="FG32" t="e">
        <f>AND(#REF!,"AAAAAHYtf6I=")</f>
        <v>#REF!</v>
      </c>
      <c r="FH32" t="e">
        <f>AND(#REF!,"AAAAAHYtf6M=")</f>
        <v>#REF!</v>
      </c>
      <c r="FI32" t="e">
        <f>AND(#REF!,"AAAAAHYtf6Q=")</f>
        <v>#REF!</v>
      </c>
      <c r="FJ32" t="e">
        <f>AND(#REF!,"AAAAAHYtf6U=")</f>
        <v>#REF!</v>
      </c>
      <c r="FK32" t="e">
        <f>AND(#REF!,"AAAAAHYtf6Y=")</f>
        <v>#REF!</v>
      </c>
      <c r="FL32" t="e">
        <f>AND(#REF!,"AAAAAHYtf6c=")</f>
        <v>#REF!</v>
      </c>
      <c r="FM32" t="e">
        <f>AND(#REF!,"AAAAAHYtf6g=")</f>
        <v>#REF!</v>
      </c>
      <c r="FN32" t="e">
        <f>AND(#REF!,"AAAAAHYtf6k=")</f>
        <v>#REF!</v>
      </c>
      <c r="FO32" t="e">
        <f>AND(#REF!,"AAAAAHYtf6o=")</f>
        <v>#REF!</v>
      </c>
      <c r="FP32" t="e">
        <f>AND(#REF!,"AAAAAHYtf6s=")</f>
        <v>#REF!</v>
      </c>
      <c r="FQ32" t="e">
        <f>AND(#REF!,"AAAAAHYtf6w=")</f>
        <v>#REF!</v>
      </c>
      <c r="FR32" t="e">
        <f>AND(#REF!,"AAAAAHYtf60=")</f>
        <v>#REF!</v>
      </c>
      <c r="FS32" t="e">
        <f>AND(#REF!,"AAAAAHYtf64=")</f>
        <v>#REF!</v>
      </c>
      <c r="FT32" t="e">
        <f>AND(#REF!,"AAAAAHYtf68=")</f>
        <v>#REF!</v>
      </c>
      <c r="FU32" t="e">
        <f>AND(#REF!,"AAAAAHYtf7A=")</f>
        <v>#REF!</v>
      </c>
      <c r="FV32" t="e">
        <f>AND(#REF!,"AAAAAHYtf7E=")</f>
        <v>#REF!</v>
      </c>
      <c r="FW32" t="e">
        <f>AND(#REF!,"AAAAAHYtf7I=")</f>
        <v>#REF!</v>
      </c>
      <c r="FX32" t="e">
        <f>AND(#REF!,"AAAAAHYtf7M=")</f>
        <v>#REF!</v>
      </c>
      <c r="FY32" t="e">
        <f>AND(#REF!,"AAAAAHYtf7Q=")</f>
        <v>#REF!</v>
      </c>
      <c r="FZ32" t="e">
        <f>AND(#REF!,"AAAAAHYtf7U=")</f>
        <v>#REF!</v>
      </c>
      <c r="GA32" t="e">
        <f>AND(#REF!,"AAAAAHYtf7Y=")</f>
        <v>#REF!</v>
      </c>
      <c r="GB32" t="e">
        <f>AND(#REF!,"AAAAAHYtf7c=")</f>
        <v>#REF!</v>
      </c>
      <c r="GC32" t="e">
        <f>AND(#REF!,"AAAAAHYtf7g=")</f>
        <v>#REF!</v>
      </c>
      <c r="GD32" t="e">
        <f>AND(#REF!,"AAAAAHYtf7k=")</f>
        <v>#REF!</v>
      </c>
      <c r="GE32" t="e">
        <f>AND(#REF!,"AAAAAHYtf7o=")</f>
        <v>#REF!</v>
      </c>
      <c r="GF32" t="e">
        <f>AND(#REF!,"AAAAAHYtf7s=")</f>
        <v>#REF!</v>
      </c>
      <c r="GG32" t="e">
        <f>AND(#REF!,"AAAAAHYtf7w=")</f>
        <v>#REF!</v>
      </c>
      <c r="GH32" t="e">
        <f>AND(#REF!,"AAAAAHYtf70=")</f>
        <v>#REF!</v>
      </c>
      <c r="GI32" t="e">
        <f>AND(#REF!,"AAAAAHYtf74=")</f>
        <v>#REF!</v>
      </c>
      <c r="GJ32" t="e">
        <f>AND(#REF!,"AAAAAHYtf78=")</f>
        <v>#REF!</v>
      </c>
      <c r="GK32" t="e">
        <f>AND(#REF!,"AAAAAHYtf8A=")</f>
        <v>#REF!</v>
      </c>
      <c r="GL32" t="e">
        <f>AND(#REF!,"AAAAAHYtf8E=")</f>
        <v>#REF!</v>
      </c>
      <c r="GM32" t="e">
        <f>AND(#REF!,"AAAAAHYtf8I=")</f>
        <v>#REF!</v>
      </c>
      <c r="GN32" t="e">
        <f>AND(#REF!,"AAAAAHYtf8M=")</f>
        <v>#REF!</v>
      </c>
      <c r="GO32" t="e">
        <f>AND(#REF!,"AAAAAHYtf8Q=")</f>
        <v>#REF!</v>
      </c>
      <c r="GP32" t="e">
        <f>AND(#REF!,"AAAAAHYtf8U=")</f>
        <v>#REF!</v>
      </c>
      <c r="GQ32" t="e">
        <f>AND(#REF!,"AAAAAHYtf8Y=")</f>
        <v>#REF!</v>
      </c>
      <c r="GR32" t="e">
        <f>AND(#REF!,"AAAAAHYtf8c=")</f>
        <v>#REF!</v>
      </c>
      <c r="GS32" t="e">
        <f>AND(#REF!,"AAAAAHYtf8g=")</f>
        <v>#REF!</v>
      </c>
      <c r="GT32" t="e">
        <f>AND(#REF!,"AAAAAHYtf8k=")</f>
        <v>#REF!</v>
      </c>
      <c r="GU32" t="e">
        <f>AND(#REF!,"AAAAAHYtf8o=")</f>
        <v>#REF!</v>
      </c>
      <c r="GV32" t="e">
        <f>AND(#REF!,"AAAAAHYtf8s=")</f>
        <v>#REF!</v>
      </c>
      <c r="GW32" t="e">
        <f>AND(#REF!,"AAAAAHYtf8w=")</f>
        <v>#REF!</v>
      </c>
      <c r="GX32" t="e">
        <f>AND(#REF!,"AAAAAHYtf80=")</f>
        <v>#REF!</v>
      </c>
      <c r="GY32" t="e">
        <f>AND(#REF!,"AAAAAHYtf84=")</f>
        <v>#REF!</v>
      </c>
      <c r="GZ32" t="e">
        <f>AND(#REF!,"AAAAAHYtf88=")</f>
        <v>#REF!</v>
      </c>
      <c r="HA32" t="e">
        <f>AND(#REF!,"AAAAAHYtf9A=")</f>
        <v>#REF!</v>
      </c>
      <c r="HB32" t="e">
        <f>AND(#REF!,"AAAAAHYtf9E=")</f>
        <v>#REF!</v>
      </c>
      <c r="HC32" t="e">
        <f>AND(#REF!,"AAAAAHYtf9I=")</f>
        <v>#REF!</v>
      </c>
      <c r="HD32" t="e">
        <f>AND(#REF!,"AAAAAHYtf9M=")</f>
        <v>#REF!</v>
      </c>
      <c r="HE32" t="e">
        <f>AND(#REF!,"AAAAAHYtf9Q=")</f>
        <v>#REF!</v>
      </c>
      <c r="HF32" t="e">
        <f>AND(#REF!,"AAAAAHYtf9U=")</f>
        <v>#REF!</v>
      </c>
      <c r="HG32" t="e">
        <f>AND(#REF!,"AAAAAHYtf9Y=")</f>
        <v>#REF!</v>
      </c>
      <c r="HH32" t="e">
        <f>AND(#REF!,"AAAAAHYtf9c=")</f>
        <v>#REF!</v>
      </c>
      <c r="HI32" t="e">
        <f>AND(#REF!,"AAAAAHYtf9g=")</f>
        <v>#REF!</v>
      </c>
      <c r="HJ32" t="e">
        <f>AND(#REF!,"AAAAAHYtf9k=")</f>
        <v>#REF!</v>
      </c>
      <c r="HK32" t="e">
        <f>AND(#REF!,"AAAAAHYtf9o=")</f>
        <v>#REF!</v>
      </c>
      <c r="HL32" t="e">
        <f>AND(#REF!,"AAAAAHYtf9s=")</f>
        <v>#REF!</v>
      </c>
      <c r="HM32" t="e">
        <f>AND(#REF!,"AAAAAHYtf9w=")</f>
        <v>#REF!</v>
      </c>
      <c r="HN32" t="e">
        <f>AND(#REF!,"AAAAAHYtf90=")</f>
        <v>#REF!</v>
      </c>
      <c r="HO32" t="e">
        <f>AND(#REF!,"AAAAAHYtf94=")</f>
        <v>#REF!</v>
      </c>
      <c r="HP32" t="e">
        <f>AND(#REF!,"AAAAAHYtf98=")</f>
        <v>#REF!</v>
      </c>
      <c r="HQ32" t="e">
        <f>AND(#REF!,"AAAAAHYtf+A=")</f>
        <v>#REF!</v>
      </c>
      <c r="HR32" t="e">
        <f>AND(#REF!,"AAAAAHYtf+E=")</f>
        <v>#REF!</v>
      </c>
      <c r="HS32" t="e">
        <f>AND(#REF!,"AAAAAHYtf+I=")</f>
        <v>#REF!</v>
      </c>
      <c r="HT32" t="e">
        <f>AND(#REF!,"AAAAAHYtf+M=")</f>
        <v>#REF!</v>
      </c>
      <c r="HU32" t="e">
        <f>IF(#REF!,"AAAAAHYtf+Q=",0)</f>
        <v>#REF!</v>
      </c>
      <c r="HV32" t="e">
        <f>AND(#REF!,"AAAAAHYtf+U=")</f>
        <v>#REF!</v>
      </c>
      <c r="HW32" t="e">
        <f>AND(#REF!,"AAAAAHYtf+Y=")</f>
        <v>#REF!</v>
      </c>
      <c r="HX32" t="e">
        <f>AND(#REF!,"AAAAAHYtf+c=")</f>
        <v>#REF!</v>
      </c>
      <c r="HY32" t="e">
        <f>AND(#REF!,"AAAAAHYtf+g=")</f>
        <v>#REF!</v>
      </c>
      <c r="HZ32" t="e">
        <f>AND(#REF!,"AAAAAHYtf+k=")</f>
        <v>#REF!</v>
      </c>
      <c r="IA32" t="e">
        <f>AND(#REF!,"AAAAAHYtf+o=")</f>
        <v>#REF!</v>
      </c>
      <c r="IB32" t="e">
        <f>AND(#REF!,"AAAAAHYtf+s=")</f>
        <v>#REF!</v>
      </c>
      <c r="IC32" t="e">
        <f>AND(#REF!,"AAAAAHYtf+w=")</f>
        <v>#REF!</v>
      </c>
      <c r="ID32" t="e">
        <f>AND(#REF!,"AAAAAHYtf+0=")</f>
        <v>#REF!</v>
      </c>
      <c r="IE32" t="e">
        <f>AND(#REF!,"AAAAAHYtf+4=")</f>
        <v>#REF!</v>
      </c>
      <c r="IF32" t="e">
        <f>AND(#REF!,"AAAAAHYtf+8=")</f>
        <v>#REF!</v>
      </c>
      <c r="IG32" t="e">
        <f>AND(#REF!,"AAAAAHYtf/A=")</f>
        <v>#REF!</v>
      </c>
      <c r="IH32" t="e">
        <f>AND(#REF!,"AAAAAHYtf/E=")</f>
        <v>#REF!</v>
      </c>
      <c r="II32" t="e">
        <f>AND(#REF!,"AAAAAHYtf/I=")</f>
        <v>#REF!</v>
      </c>
      <c r="IJ32" t="e">
        <f>AND(#REF!,"AAAAAHYtf/M=")</f>
        <v>#REF!</v>
      </c>
      <c r="IK32" t="e">
        <f>AND(#REF!,"AAAAAHYtf/Q=")</f>
        <v>#REF!</v>
      </c>
      <c r="IL32" t="e">
        <f>AND(#REF!,"AAAAAHYtf/U=")</f>
        <v>#REF!</v>
      </c>
      <c r="IM32" t="e">
        <f>AND(#REF!,"AAAAAHYtf/Y=")</f>
        <v>#REF!</v>
      </c>
      <c r="IN32" t="e">
        <f>AND(#REF!,"AAAAAHYtf/c=")</f>
        <v>#REF!</v>
      </c>
      <c r="IO32" t="e">
        <f>AND(#REF!,"AAAAAHYtf/g=")</f>
        <v>#REF!</v>
      </c>
      <c r="IP32" t="e">
        <f>AND(#REF!,"AAAAAHYtf/k=")</f>
        <v>#REF!</v>
      </c>
      <c r="IQ32" t="e">
        <f>AND(#REF!,"AAAAAHYtf/o=")</f>
        <v>#REF!</v>
      </c>
      <c r="IR32" t="e">
        <f>AND(#REF!,"AAAAAHYtf/s=")</f>
        <v>#REF!</v>
      </c>
      <c r="IS32" t="e">
        <f>AND(#REF!,"AAAAAHYtf/w=")</f>
        <v>#REF!</v>
      </c>
      <c r="IT32" t="e">
        <f>AND(#REF!,"AAAAAHYtf/0=")</f>
        <v>#REF!</v>
      </c>
      <c r="IU32" t="e">
        <f>AND(#REF!,"AAAAAHYtf/4=")</f>
        <v>#REF!</v>
      </c>
      <c r="IV32" t="e">
        <f>AND(#REF!,"AAAAAHYtf/8=")</f>
        <v>#REF!</v>
      </c>
    </row>
    <row r="33" spans="1:256" x14ac:dyDescent="0.25">
      <c r="A33" t="e">
        <f>AND(#REF!,"AAAAAD/+/QA=")</f>
        <v>#REF!</v>
      </c>
      <c r="B33" t="e">
        <f>AND(#REF!,"AAAAAD/+/QE=")</f>
        <v>#REF!</v>
      </c>
      <c r="C33" t="e">
        <f>AND(#REF!,"AAAAAD/+/QI=")</f>
        <v>#REF!</v>
      </c>
      <c r="D33" t="e">
        <f>AND(#REF!,"AAAAAD/+/QM=")</f>
        <v>#REF!</v>
      </c>
      <c r="E33" t="e">
        <f>AND(#REF!,"AAAAAD/+/QQ=")</f>
        <v>#REF!</v>
      </c>
      <c r="F33" t="e">
        <f>AND(#REF!,"AAAAAD/+/QU=")</f>
        <v>#REF!</v>
      </c>
      <c r="G33" t="e">
        <f>AND(#REF!,"AAAAAD/+/QY=")</f>
        <v>#REF!</v>
      </c>
      <c r="H33" t="e">
        <f>AND(#REF!,"AAAAAD/+/Qc=")</f>
        <v>#REF!</v>
      </c>
      <c r="I33" t="e">
        <f>AND(#REF!,"AAAAAD/+/Qg=")</f>
        <v>#REF!</v>
      </c>
      <c r="J33" t="e">
        <f>AND(#REF!,"AAAAAD/+/Qk=")</f>
        <v>#REF!</v>
      </c>
      <c r="K33" t="e">
        <f>AND(#REF!,"AAAAAD/+/Qo=")</f>
        <v>#REF!</v>
      </c>
      <c r="L33" t="e">
        <f>AND(#REF!,"AAAAAD/+/Qs=")</f>
        <v>#REF!</v>
      </c>
      <c r="M33" t="e">
        <f>AND(#REF!,"AAAAAD/+/Qw=")</f>
        <v>#REF!</v>
      </c>
      <c r="N33" t="e">
        <f>AND(#REF!,"AAAAAD/+/Q0=")</f>
        <v>#REF!</v>
      </c>
      <c r="O33" t="e">
        <f>AND(#REF!,"AAAAAD/+/Q4=")</f>
        <v>#REF!</v>
      </c>
      <c r="P33" t="e">
        <f>AND(#REF!,"AAAAAD/+/Q8=")</f>
        <v>#REF!</v>
      </c>
      <c r="Q33" t="e">
        <f>AND(#REF!,"AAAAAD/+/RA=")</f>
        <v>#REF!</v>
      </c>
      <c r="R33" t="e">
        <f>AND(#REF!,"AAAAAD/+/RE=")</f>
        <v>#REF!</v>
      </c>
      <c r="S33" t="e">
        <f>AND(#REF!,"AAAAAD/+/RI=")</f>
        <v>#REF!</v>
      </c>
      <c r="T33" t="e">
        <f>AND(#REF!,"AAAAAD/+/RM=")</f>
        <v>#REF!</v>
      </c>
      <c r="U33" t="e">
        <f>AND(#REF!,"AAAAAD/+/RQ=")</f>
        <v>#REF!</v>
      </c>
      <c r="V33" t="e">
        <f>AND(#REF!,"AAAAAD/+/RU=")</f>
        <v>#REF!</v>
      </c>
      <c r="W33" t="e">
        <f>AND(#REF!,"AAAAAD/+/RY=")</f>
        <v>#REF!</v>
      </c>
      <c r="X33" t="e">
        <f>AND(#REF!,"AAAAAD/+/Rc=")</f>
        <v>#REF!</v>
      </c>
      <c r="Y33" t="e">
        <f>AND(#REF!,"AAAAAD/+/Rg=")</f>
        <v>#REF!</v>
      </c>
      <c r="Z33" t="e">
        <f>AND(#REF!,"AAAAAD/+/Rk=")</f>
        <v>#REF!</v>
      </c>
      <c r="AA33" t="e">
        <f>AND(#REF!,"AAAAAD/+/Ro=")</f>
        <v>#REF!</v>
      </c>
      <c r="AB33" t="e">
        <f>AND(#REF!,"AAAAAD/+/Rs=")</f>
        <v>#REF!</v>
      </c>
      <c r="AC33" t="e">
        <f>AND(#REF!,"AAAAAD/+/Rw=")</f>
        <v>#REF!</v>
      </c>
      <c r="AD33" t="e">
        <f>AND(#REF!,"AAAAAD/+/R0=")</f>
        <v>#REF!</v>
      </c>
      <c r="AE33" t="e">
        <f>AND(#REF!,"AAAAAD/+/R4=")</f>
        <v>#REF!</v>
      </c>
      <c r="AF33" t="e">
        <f>AND(#REF!,"AAAAAD/+/R8=")</f>
        <v>#REF!</v>
      </c>
      <c r="AG33" t="e">
        <f>AND(#REF!,"AAAAAD/+/SA=")</f>
        <v>#REF!</v>
      </c>
      <c r="AH33" t="e">
        <f>AND(#REF!,"AAAAAD/+/SE=")</f>
        <v>#REF!</v>
      </c>
      <c r="AI33" t="e">
        <f>AND(#REF!,"AAAAAD/+/SI=")</f>
        <v>#REF!</v>
      </c>
      <c r="AJ33" t="e">
        <f>AND(#REF!,"AAAAAD/+/SM=")</f>
        <v>#REF!</v>
      </c>
      <c r="AK33" t="e">
        <f>AND(#REF!,"AAAAAD/+/SQ=")</f>
        <v>#REF!</v>
      </c>
      <c r="AL33" t="e">
        <f>AND(#REF!,"AAAAAD/+/SU=")</f>
        <v>#REF!</v>
      </c>
      <c r="AM33" t="e">
        <f>AND(#REF!,"AAAAAD/+/SY=")</f>
        <v>#REF!</v>
      </c>
      <c r="AN33" t="e">
        <f>AND(#REF!,"AAAAAD/+/Sc=")</f>
        <v>#REF!</v>
      </c>
      <c r="AO33" t="e">
        <f>AND(#REF!,"AAAAAD/+/Sg=")</f>
        <v>#REF!</v>
      </c>
      <c r="AP33" t="e">
        <f>AND(#REF!,"AAAAAD/+/Sk=")</f>
        <v>#REF!</v>
      </c>
      <c r="AQ33" t="e">
        <f>AND(#REF!,"AAAAAD/+/So=")</f>
        <v>#REF!</v>
      </c>
      <c r="AR33" t="e">
        <f>AND(#REF!,"AAAAAD/+/Ss=")</f>
        <v>#REF!</v>
      </c>
      <c r="AS33" t="e">
        <f>AND(#REF!,"AAAAAD/+/Sw=")</f>
        <v>#REF!</v>
      </c>
      <c r="AT33" t="e">
        <f>AND(#REF!,"AAAAAD/+/S0=")</f>
        <v>#REF!</v>
      </c>
      <c r="AU33" t="e">
        <f>AND(#REF!,"AAAAAD/+/S4=")</f>
        <v>#REF!</v>
      </c>
      <c r="AV33" t="e">
        <f>AND(#REF!,"AAAAAD/+/S8=")</f>
        <v>#REF!</v>
      </c>
      <c r="AW33" t="e">
        <f>AND(#REF!,"AAAAAD/+/TA=")</f>
        <v>#REF!</v>
      </c>
      <c r="AX33" t="e">
        <f>AND(#REF!,"AAAAAD/+/TE=")</f>
        <v>#REF!</v>
      </c>
      <c r="AY33" t="e">
        <f>AND(#REF!,"AAAAAD/+/TI=")</f>
        <v>#REF!</v>
      </c>
      <c r="AZ33" t="e">
        <f>AND(#REF!,"AAAAAD/+/TM=")</f>
        <v>#REF!</v>
      </c>
      <c r="BA33" t="e">
        <f>AND(#REF!,"AAAAAD/+/TQ=")</f>
        <v>#REF!</v>
      </c>
      <c r="BB33" t="e">
        <f>AND(#REF!,"AAAAAD/+/TU=")</f>
        <v>#REF!</v>
      </c>
      <c r="BC33" t="e">
        <f>AND(#REF!,"AAAAAD/+/TY=")</f>
        <v>#REF!</v>
      </c>
      <c r="BD33" t="e">
        <f>AND(#REF!,"AAAAAD/+/Tc=")</f>
        <v>#REF!</v>
      </c>
      <c r="BE33" t="e">
        <f>AND(#REF!,"AAAAAD/+/Tg=")</f>
        <v>#REF!</v>
      </c>
      <c r="BF33" t="e">
        <f>AND(#REF!,"AAAAAD/+/Tk=")</f>
        <v>#REF!</v>
      </c>
      <c r="BG33" t="e">
        <f>AND(#REF!,"AAAAAD/+/To=")</f>
        <v>#REF!</v>
      </c>
      <c r="BH33" t="e">
        <f>AND(#REF!,"AAAAAD/+/Ts=")</f>
        <v>#REF!</v>
      </c>
      <c r="BI33" t="e">
        <f>AND(#REF!,"AAAAAD/+/Tw=")</f>
        <v>#REF!</v>
      </c>
      <c r="BJ33" t="e">
        <f>AND(#REF!,"AAAAAD/+/T0=")</f>
        <v>#REF!</v>
      </c>
      <c r="BK33" t="e">
        <f>AND(#REF!,"AAAAAD/+/T4=")</f>
        <v>#REF!</v>
      </c>
      <c r="BL33" t="e">
        <f>AND(#REF!,"AAAAAD/+/T8=")</f>
        <v>#REF!</v>
      </c>
      <c r="BM33" t="e">
        <f>AND(#REF!,"AAAAAD/+/UA=")</f>
        <v>#REF!</v>
      </c>
      <c r="BN33" t="e">
        <f>AND(#REF!,"AAAAAD/+/UE=")</f>
        <v>#REF!</v>
      </c>
      <c r="BO33" t="e">
        <f>AND(#REF!,"AAAAAD/+/UI=")</f>
        <v>#REF!</v>
      </c>
      <c r="BP33" t="e">
        <f>AND(#REF!,"AAAAAD/+/UM=")</f>
        <v>#REF!</v>
      </c>
      <c r="BQ33" t="e">
        <f>AND(#REF!,"AAAAAD/+/UQ=")</f>
        <v>#REF!</v>
      </c>
      <c r="BR33" t="e">
        <f>AND(#REF!,"AAAAAD/+/UU=")</f>
        <v>#REF!</v>
      </c>
      <c r="BS33" t="e">
        <f>AND(#REF!,"AAAAAD/+/UY=")</f>
        <v>#REF!</v>
      </c>
      <c r="BT33" t="e">
        <f>AND(#REF!,"AAAAAD/+/Uc=")</f>
        <v>#REF!</v>
      </c>
      <c r="BU33" t="e">
        <f>AND(#REF!,"AAAAAD/+/Ug=")</f>
        <v>#REF!</v>
      </c>
      <c r="BV33" t="e">
        <f>AND(#REF!,"AAAAAD/+/Uk=")</f>
        <v>#REF!</v>
      </c>
      <c r="BW33" t="e">
        <f>AND(#REF!,"AAAAAD/+/Uo=")</f>
        <v>#REF!</v>
      </c>
      <c r="BX33" t="e">
        <f>AND(#REF!,"AAAAAD/+/Us=")</f>
        <v>#REF!</v>
      </c>
      <c r="BY33" t="e">
        <f>AND(#REF!,"AAAAAD/+/Uw=")</f>
        <v>#REF!</v>
      </c>
      <c r="BZ33" t="e">
        <f>AND(#REF!,"AAAAAD/+/U0=")</f>
        <v>#REF!</v>
      </c>
      <c r="CA33" t="e">
        <f>AND(#REF!,"AAAAAD/+/U4=")</f>
        <v>#REF!</v>
      </c>
      <c r="CB33" t="e">
        <f>AND(#REF!,"AAAAAD/+/U8=")</f>
        <v>#REF!</v>
      </c>
      <c r="CC33" t="e">
        <f>AND(#REF!,"AAAAAD/+/VA=")</f>
        <v>#REF!</v>
      </c>
      <c r="CD33" t="e">
        <f>AND(#REF!,"AAAAAD/+/VE=")</f>
        <v>#REF!</v>
      </c>
      <c r="CE33" t="e">
        <f>AND(#REF!,"AAAAAD/+/VI=")</f>
        <v>#REF!</v>
      </c>
      <c r="CF33" t="e">
        <f>AND(#REF!,"AAAAAD/+/VM=")</f>
        <v>#REF!</v>
      </c>
      <c r="CG33" t="e">
        <f>AND(#REF!,"AAAAAD/+/VQ=")</f>
        <v>#REF!</v>
      </c>
      <c r="CH33" t="e">
        <f>AND(#REF!,"AAAAAD/+/VU=")</f>
        <v>#REF!</v>
      </c>
      <c r="CI33" t="e">
        <f>AND(#REF!,"AAAAAD/+/VY=")</f>
        <v>#REF!</v>
      </c>
      <c r="CJ33" t="e">
        <f>AND(#REF!,"AAAAAD/+/Vc=")</f>
        <v>#REF!</v>
      </c>
      <c r="CK33" t="e">
        <f>AND(#REF!,"AAAAAD/+/Vg=")</f>
        <v>#REF!</v>
      </c>
      <c r="CL33" t="e">
        <f>AND(#REF!,"AAAAAD/+/Vk=")</f>
        <v>#REF!</v>
      </c>
      <c r="CM33" t="e">
        <f>AND(#REF!,"AAAAAD/+/Vo=")</f>
        <v>#REF!</v>
      </c>
      <c r="CN33" t="e">
        <f>AND(#REF!,"AAAAAD/+/Vs=")</f>
        <v>#REF!</v>
      </c>
      <c r="CO33" t="e">
        <f>AND(#REF!,"AAAAAD/+/Vw=")</f>
        <v>#REF!</v>
      </c>
      <c r="CP33" t="e">
        <f>AND(#REF!,"AAAAAD/+/V0=")</f>
        <v>#REF!</v>
      </c>
      <c r="CQ33" t="e">
        <f>AND(#REF!,"AAAAAD/+/V4=")</f>
        <v>#REF!</v>
      </c>
      <c r="CR33" t="e">
        <f>AND(#REF!,"AAAAAD/+/V8=")</f>
        <v>#REF!</v>
      </c>
      <c r="CS33" t="e">
        <f>AND(#REF!,"AAAAAD/+/WA=")</f>
        <v>#REF!</v>
      </c>
      <c r="CT33" t="e">
        <f>AND(#REF!,"AAAAAD/+/WE=")</f>
        <v>#REF!</v>
      </c>
      <c r="CU33" t="e">
        <f>AND(#REF!,"AAAAAD/+/WI=")</f>
        <v>#REF!</v>
      </c>
      <c r="CV33" t="e">
        <f>AND(#REF!,"AAAAAD/+/WM=")</f>
        <v>#REF!</v>
      </c>
      <c r="CW33" t="e">
        <f>AND(#REF!,"AAAAAD/+/WQ=")</f>
        <v>#REF!</v>
      </c>
      <c r="CX33" t="e">
        <f>AND(#REF!,"AAAAAD/+/WU=")</f>
        <v>#REF!</v>
      </c>
      <c r="CY33" t="e">
        <f>AND(#REF!,"AAAAAD/+/WY=")</f>
        <v>#REF!</v>
      </c>
      <c r="CZ33" t="e">
        <f>AND(#REF!,"AAAAAD/+/Wc=")</f>
        <v>#REF!</v>
      </c>
      <c r="DA33" t="e">
        <f>AND(#REF!,"AAAAAD/+/Wg=")</f>
        <v>#REF!</v>
      </c>
      <c r="DB33" t="e">
        <f>AND(#REF!,"AAAAAD/+/Wk=")</f>
        <v>#REF!</v>
      </c>
      <c r="DC33" t="e">
        <f>AND(#REF!,"AAAAAD/+/Wo=")</f>
        <v>#REF!</v>
      </c>
      <c r="DD33" t="e">
        <f>AND(#REF!,"AAAAAD/+/Ws=")</f>
        <v>#REF!</v>
      </c>
      <c r="DE33" t="e">
        <f>AND(#REF!,"AAAAAD/+/Ww=")</f>
        <v>#REF!</v>
      </c>
      <c r="DF33" t="e">
        <f>AND(#REF!,"AAAAAD/+/W0=")</f>
        <v>#REF!</v>
      </c>
      <c r="DG33" t="e">
        <f>AND(#REF!,"AAAAAD/+/W4=")</f>
        <v>#REF!</v>
      </c>
      <c r="DH33" t="e">
        <f>AND(#REF!,"AAAAAD/+/W8=")</f>
        <v>#REF!</v>
      </c>
      <c r="DI33" t="e">
        <f>AND(#REF!,"AAAAAD/+/XA=")</f>
        <v>#REF!</v>
      </c>
      <c r="DJ33" t="e">
        <f>AND(#REF!,"AAAAAD/+/XE=")</f>
        <v>#REF!</v>
      </c>
      <c r="DK33" t="e">
        <f>AND(#REF!,"AAAAAD/+/XI=")</f>
        <v>#REF!</v>
      </c>
      <c r="DL33" t="e">
        <f>AND(#REF!,"AAAAAD/+/XM=")</f>
        <v>#REF!</v>
      </c>
      <c r="DM33" t="e">
        <f>AND(#REF!,"AAAAAD/+/XQ=")</f>
        <v>#REF!</v>
      </c>
      <c r="DN33" t="e">
        <f>AND(#REF!,"AAAAAD/+/XU=")</f>
        <v>#REF!</v>
      </c>
      <c r="DO33" t="e">
        <f>AND(#REF!,"AAAAAD/+/XY=")</f>
        <v>#REF!</v>
      </c>
      <c r="DP33" t="e">
        <f>AND(#REF!,"AAAAAD/+/Xc=")</f>
        <v>#REF!</v>
      </c>
      <c r="DQ33" t="e">
        <f>AND(#REF!,"AAAAAD/+/Xg=")</f>
        <v>#REF!</v>
      </c>
      <c r="DR33" t="e">
        <f>AND(#REF!,"AAAAAD/+/Xk=")</f>
        <v>#REF!</v>
      </c>
      <c r="DS33" t="e">
        <f>AND(#REF!,"AAAAAD/+/Xo=")</f>
        <v>#REF!</v>
      </c>
      <c r="DT33" t="e">
        <f>AND(#REF!,"AAAAAD/+/Xs=")</f>
        <v>#REF!</v>
      </c>
      <c r="DU33" t="e">
        <f>AND(#REF!,"AAAAAD/+/Xw=")</f>
        <v>#REF!</v>
      </c>
      <c r="DV33" t="e">
        <f>AND(#REF!,"AAAAAD/+/X0=")</f>
        <v>#REF!</v>
      </c>
      <c r="DW33" t="e">
        <f>AND(#REF!,"AAAAAD/+/X4=")</f>
        <v>#REF!</v>
      </c>
      <c r="DX33" t="e">
        <f>AND(#REF!,"AAAAAD/+/X8=")</f>
        <v>#REF!</v>
      </c>
      <c r="DY33" t="e">
        <f>AND(#REF!,"AAAAAD/+/YA=")</f>
        <v>#REF!</v>
      </c>
      <c r="DZ33" t="e">
        <f>AND(#REF!,"AAAAAD/+/YE=")</f>
        <v>#REF!</v>
      </c>
      <c r="EA33" t="e">
        <f>AND(#REF!,"AAAAAD/+/YI=")</f>
        <v>#REF!</v>
      </c>
      <c r="EB33" t="e">
        <f>AND(#REF!,"AAAAAD/+/YM=")</f>
        <v>#REF!</v>
      </c>
      <c r="EC33" t="e">
        <f>AND(#REF!,"AAAAAD/+/YQ=")</f>
        <v>#REF!</v>
      </c>
      <c r="ED33" t="e">
        <f>AND(#REF!,"AAAAAD/+/YU=")</f>
        <v>#REF!</v>
      </c>
      <c r="EE33" t="e">
        <f>AND(#REF!,"AAAAAD/+/YY=")</f>
        <v>#REF!</v>
      </c>
      <c r="EF33" t="e">
        <f>AND(#REF!,"AAAAAD/+/Yc=")</f>
        <v>#REF!</v>
      </c>
      <c r="EG33" t="e">
        <f>AND(#REF!,"AAAAAD/+/Yg=")</f>
        <v>#REF!</v>
      </c>
      <c r="EH33" t="e">
        <f>AND(#REF!,"AAAAAD/+/Yk=")</f>
        <v>#REF!</v>
      </c>
      <c r="EI33" t="e">
        <f>AND(#REF!,"AAAAAD/+/Yo=")</f>
        <v>#REF!</v>
      </c>
      <c r="EJ33" t="e">
        <f>AND(#REF!,"AAAAAD/+/Ys=")</f>
        <v>#REF!</v>
      </c>
      <c r="EK33" t="e">
        <f>AND(#REF!,"AAAAAD/+/Yw=")</f>
        <v>#REF!</v>
      </c>
      <c r="EL33" t="e">
        <f>AND(#REF!,"AAAAAD/+/Y0=")</f>
        <v>#REF!</v>
      </c>
      <c r="EM33" t="e">
        <f>AND(#REF!,"AAAAAD/+/Y4=")</f>
        <v>#REF!</v>
      </c>
      <c r="EN33" t="e">
        <f>AND(#REF!,"AAAAAD/+/Y8=")</f>
        <v>#REF!</v>
      </c>
      <c r="EO33" t="e">
        <f>AND(#REF!,"AAAAAD/+/ZA=")</f>
        <v>#REF!</v>
      </c>
      <c r="EP33" t="e">
        <f>AND(#REF!,"AAAAAD/+/ZE=")</f>
        <v>#REF!</v>
      </c>
      <c r="EQ33" t="e">
        <f>AND(#REF!,"AAAAAD/+/ZI=")</f>
        <v>#REF!</v>
      </c>
      <c r="ER33" t="e">
        <f>AND(#REF!,"AAAAAD/+/ZM=")</f>
        <v>#REF!</v>
      </c>
      <c r="ES33" t="e">
        <f>AND(#REF!,"AAAAAD/+/ZQ=")</f>
        <v>#REF!</v>
      </c>
      <c r="ET33" t="e">
        <f>AND(#REF!,"AAAAAD/+/ZU=")</f>
        <v>#REF!</v>
      </c>
      <c r="EU33" t="e">
        <f>AND(#REF!,"AAAAAD/+/ZY=")</f>
        <v>#REF!</v>
      </c>
      <c r="EV33" t="e">
        <f>AND(#REF!,"AAAAAD/+/Zc=")</f>
        <v>#REF!</v>
      </c>
      <c r="EW33" t="e">
        <f>AND(#REF!,"AAAAAD/+/Zg=")</f>
        <v>#REF!</v>
      </c>
      <c r="EX33" t="e">
        <f>AND(#REF!,"AAAAAD/+/Zk=")</f>
        <v>#REF!</v>
      </c>
      <c r="EY33" t="e">
        <f>AND(#REF!,"AAAAAD/+/Zo=")</f>
        <v>#REF!</v>
      </c>
      <c r="EZ33" t="e">
        <f>AND(#REF!,"AAAAAD/+/Zs=")</f>
        <v>#REF!</v>
      </c>
      <c r="FA33" t="e">
        <f>AND(#REF!,"AAAAAD/+/Zw=")</f>
        <v>#REF!</v>
      </c>
      <c r="FB33" t="e">
        <f>AND(#REF!,"AAAAAD/+/Z0=")</f>
        <v>#REF!</v>
      </c>
      <c r="FC33" t="e">
        <f>AND(#REF!,"AAAAAD/+/Z4=")</f>
        <v>#REF!</v>
      </c>
      <c r="FD33" t="e">
        <f>AND(#REF!,"AAAAAD/+/Z8=")</f>
        <v>#REF!</v>
      </c>
      <c r="FE33" t="e">
        <f>AND(#REF!,"AAAAAD/+/aA=")</f>
        <v>#REF!</v>
      </c>
      <c r="FF33" t="e">
        <f>IF(#REF!,"AAAAAD/+/aE=",0)</f>
        <v>#REF!</v>
      </c>
      <c r="FG33" t="e">
        <f>AND(#REF!,"AAAAAD/+/aI=")</f>
        <v>#REF!</v>
      </c>
      <c r="FH33" t="e">
        <f>AND(#REF!,"AAAAAD/+/aM=")</f>
        <v>#REF!</v>
      </c>
      <c r="FI33" t="e">
        <f>AND(#REF!,"AAAAAD/+/aQ=")</f>
        <v>#REF!</v>
      </c>
      <c r="FJ33" t="e">
        <f>AND(#REF!,"AAAAAD/+/aU=")</f>
        <v>#REF!</v>
      </c>
      <c r="FK33" t="e">
        <f>AND(#REF!,"AAAAAD/+/aY=")</f>
        <v>#REF!</v>
      </c>
      <c r="FL33" t="e">
        <f>AND(#REF!,"AAAAAD/+/ac=")</f>
        <v>#REF!</v>
      </c>
      <c r="FM33" t="e">
        <f>AND(#REF!,"AAAAAD/+/ag=")</f>
        <v>#REF!</v>
      </c>
      <c r="FN33" t="e">
        <f>AND(#REF!,"AAAAAD/+/ak=")</f>
        <v>#REF!</v>
      </c>
      <c r="FO33" t="e">
        <f>AND(#REF!,"AAAAAD/+/ao=")</f>
        <v>#REF!</v>
      </c>
      <c r="FP33" t="e">
        <f>AND(#REF!,"AAAAAD/+/as=")</f>
        <v>#REF!</v>
      </c>
      <c r="FQ33" t="e">
        <f>AND(#REF!,"AAAAAD/+/aw=")</f>
        <v>#REF!</v>
      </c>
      <c r="FR33" t="e">
        <f>AND(#REF!,"AAAAAD/+/a0=")</f>
        <v>#REF!</v>
      </c>
      <c r="FS33" t="e">
        <f>AND(#REF!,"AAAAAD/+/a4=")</f>
        <v>#REF!</v>
      </c>
      <c r="FT33" t="e">
        <f>AND(#REF!,"AAAAAD/+/a8=")</f>
        <v>#REF!</v>
      </c>
      <c r="FU33" t="e">
        <f>AND(#REF!,"AAAAAD/+/bA=")</f>
        <v>#REF!</v>
      </c>
      <c r="FV33" t="e">
        <f>AND(#REF!,"AAAAAD/+/bE=")</f>
        <v>#REF!</v>
      </c>
      <c r="FW33" t="e">
        <f>AND(#REF!,"AAAAAD/+/bI=")</f>
        <v>#REF!</v>
      </c>
      <c r="FX33" t="e">
        <f>AND(#REF!,"AAAAAD/+/bM=")</f>
        <v>#REF!</v>
      </c>
      <c r="FY33" t="e">
        <f>AND(#REF!,"AAAAAD/+/bQ=")</f>
        <v>#REF!</v>
      </c>
      <c r="FZ33" t="e">
        <f>AND(#REF!,"AAAAAD/+/bU=")</f>
        <v>#REF!</v>
      </c>
      <c r="GA33" t="e">
        <f>AND(#REF!,"AAAAAD/+/bY=")</f>
        <v>#REF!</v>
      </c>
      <c r="GB33" t="e">
        <f>AND(#REF!,"AAAAAD/+/bc=")</f>
        <v>#REF!</v>
      </c>
      <c r="GC33" t="e">
        <f>AND(#REF!,"AAAAAD/+/bg=")</f>
        <v>#REF!</v>
      </c>
      <c r="GD33" t="e">
        <f>AND(#REF!,"AAAAAD/+/bk=")</f>
        <v>#REF!</v>
      </c>
      <c r="GE33" t="e">
        <f>AND(#REF!,"AAAAAD/+/bo=")</f>
        <v>#REF!</v>
      </c>
      <c r="GF33" t="e">
        <f>AND(#REF!,"AAAAAD/+/bs=")</f>
        <v>#REF!</v>
      </c>
      <c r="GG33" t="e">
        <f>AND(#REF!,"AAAAAD/+/bw=")</f>
        <v>#REF!</v>
      </c>
      <c r="GH33" t="e">
        <f>AND(#REF!,"AAAAAD/+/b0=")</f>
        <v>#REF!</v>
      </c>
      <c r="GI33" t="e">
        <f>AND(#REF!,"AAAAAD/+/b4=")</f>
        <v>#REF!</v>
      </c>
      <c r="GJ33" t="e">
        <f>AND(#REF!,"AAAAAD/+/b8=")</f>
        <v>#REF!</v>
      </c>
      <c r="GK33" t="e">
        <f>AND(#REF!,"AAAAAD/+/cA=")</f>
        <v>#REF!</v>
      </c>
      <c r="GL33" t="e">
        <f>AND(#REF!,"AAAAAD/+/cE=")</f>
        <v>#REF!</v>
      </c>
      <c r="GM33" t="e">
        <f>AND(#REF!,"AAAAAD/+/cI=")</f>
        <v>#REF!</v>
      </c>
      <c r="GN33" t="e">
        <f>AND(#REF!,"AAAAAD/+/cM=")</f>
        <v>#REF!</v>
      </c>
      <c r="GO33" t="e">
        <f>AND(#REF!,"AAAAAD/+/cQ=")</f>
        <v>#REF!</v>
      </c>
      <c r="GP33" t="e">
        <f>AND(#REF!,"AAAAAD/+/cU=")</f>
        <v>#REF!</v>
      </c>
      <c r="GQ33" t="e">
        <f>AND(#REF!,"AAAAAD/+/cY=")</f>
        <v>#REF!</v>
      </c>
      <c r="GR33" t="e">
        <f>AND(#REF!,"AAAAAD/+/cc=")</f>
        <v>#REF!</v>
      </c>
      <c r="GS33" t="e">
        <f>AND(#REF!,"AAAAAD/+/cg=")</f>
        <v>#REF!</v>
      </c>
      <c r="GT33" t="e">
        <f>AND(#REF!,"AAAAAD/+/ck=")</f>
        <v>#REF!</v>
      </c>
      <c r="GU33" t="e">
        <f>AND(#REF!,"AAAAAD/+/co=")</f>
        <v>#REF!</v>
      </c>
      <c r="GV33" t="e">
        <f>AND(#REF!,"AAAAAD/+/cs=")</f>
        <v>#REF!</v>
      </c>
      <c r="GW33" t="e">
        <f>AND(#REF!,"AAAAAD/+/cw=")</f>
        <v>#REF!</v>
      </c>
      <c r="GX33" t="e">
        <f>AND(#REF!,"AAAAAD/+/c0=")</f>
        <v>#REF!</v>
      </c>
      <c r="GY33" t="e">
        <f>AND(#REF!,"AAAAAD/+/c4=")</f>
        <v>#REF!</v>
      </c>
      <c r="GZ33" t="e">
        <f>AND(#REF!,"AAAAAD/+/c8=")</f>
        <v>#REF!</v>
      </c>
      <c r="HA33" t="e">
        <f>AND(#REF!,"AAAAAD/+/dA=")</f>
        <v>#REF!</v>
      </c>
      <c r="HB33" t="e">
        <f>AND(#REF!,"AAAAAD/+/dE=")</f>
        <v>#REF!</v>
      </c>
      <c r="HC33" t="e">
        <f>AND(#REF!,"AAAAAD/+/dI=")</f>
        <v>#REF!</v>
      </c>
      <c r="HD33" t="e">
        <f>AND(#REF!,"AAAAAD/+/dM=")</f>
        <v>#REF!</v>
      </c>
      <c r="HE33" t="e">
        <f>AND(#REF!,"AAAAAD/+/dQ=")</f>
        <v>#REF!</v>
      </c>
      <c r="HF33" t="e">
        <f>AND(#REF!,"AAAAAD/+/dU=")</f>
        <v>#REF!</v>
      </c>
      <c r="HG33" t="e">
        <f>AND(#REF!,"AAAAAD/+/dY=")</f>
        <v>#REF!</v>
      </c>
      <c r="HH33" t="e">
        <f>AND(#REF!,"AAAAAD/+/dc=")</f>
        <v>#REF!</v>
      </c>
      <c r="HI33" t="e">
        <f>AND(#REF!,"AAAAAD/+/dg=")</f>
        <v>#REF!</v>
      </c>
      <c r="HJ33" t="e">
        <f>AND(#REF!,"AAAAAD/+/dk=")</f>
        <v>#REF!</v>
      </c>
      <c r="HK33" t="e">
        <f>AND(#REF!,"AAAAAD/+/do=")</f>
        <v>#REF!</v>
      </c>
      <c r="HL33" t="e">
        <f>AND(#REF!,"AAAAAD/+/ds=")</f>
        <v>#REF!</v>
      </c>
      <c r="HM33" t="e">
        <f>AND(#REF!,"AAAAAD/+/dw=")</f>
        <v>#REF!</v>
      </c>
      <c r="HN33" t="e">
        <f>AND(#REF!,"AAAAAD/+/d0=")</f>
        <v>#REF!</v>
      </c>
      <c r="HO33" t="e">
        <f>AND(#REF!,"AAAAAD/+/d4=")</f>
        <v>#REF!</v>
      </c>
      <c r="HP33" t="e">
        <f>AND(#REF!,"AAAAAD/+/d8=")</f>
        <v>#REF!</v>
      </c>
      <c r="HQ33" t="e">
        <f>AND(#REF!,"AAAAAD/+/eA=")</f>
        <v>#REF!</v>
      </c>
      <c r="HR33" t="e">
        <f>AND(#REF!,"AAAAAD/+/eE=")</f>
        <v>#REF!</v>
      </c>
      <c r="HS33" t="e">
        <f>AND(#REF!,"AAAAAD/+/eI=")</f>
        <v>#REF!</v>
      </c>
      <c r="HT33" t="e">
        <f>AND(#REF!,"AAAAAD/+/eM=")</f>
        <v>#REF!</v>
      </c>
      <c r="HU33" t="e">
        <f>AND(#REF!,"AAAAAD/+/eQ=")</f>
        <v>#REF!</v>
      </c>
      <c r="HV33" t="e">
        <f>AND(#REF!,"AAAAAD/+/eU=")</f>
        <v>#REF!</v>
      </c>
      <c r="HW33" t="e">
        <f>AND(#REF!,"AAAAAD/+/eY=")</f>
        <v>#REF!</v>
      </c>
      <c r="HX33" t="e">
        <f>AND(#REF!,"AAAAAD/+/ec=")</f>
        <v>#REF!</v>
      </c>
      <c r="HY33" t="e">
        <f>AND(#REF!,"AAAAAD/+/eg=")</f>
        <v>#REF!</v>
      </c>
      <c r="HZ33" t="e">
        <f>AND(#REF!,"AAAAAD/+/ek=")</f>
        <v>#REF!</v>
      </c>
      <c r="IA33" t="e">
        <f>AND(#REF!,"AAAAAD/+/eo=")</f>
        <v>#REF!</v>
      </c>
      <c r="IB33" t="e">
        <f>AND(#REF!,"AAAAAD/+/es=")</f>
        <v>#REF!</v>
      </c>
      <c r="IC33" t="e">
        <f>AND(#REF!,"AAAAAD/+/ew=")</f>
        <v>#REF!</v>
      </c>
      <c r="ID33" t="e">
        <f>AND(#REF!,"AAAAAD/+/e0=")</f>
        <v>#REF!</v>
      </c>
      <c r="IE33" t="e">
        <f>AND(#REF!,"AAAAAD/+/e4=")</f>
        <v>#REF!</v>
      </c>
      <c r="IF33" t="e">
        <f>AND(#REF!,"AAAAAD/+/e8=")</f>
        <v>#REF!</v>
      </c>
      <c r="IG33" t="e">
        <f>AND(#REF!,"AAAAAD/+/fA=")</f>
        <v>#REF!</v>
      </c>
      <c r="IH33" t="e">
        <f>AND(#REF!,"AAAAAD/+/fE=")</f>
        <v>#REF!</v>
      </c>
      <c r="II33" t="e">
        <f>AND(#REF!,"AAAAAD/+/fI=")</f>
        <v>#REF!</v>
      </c>
      <c r="IJ33" t="e">
        <f>AND(#REF!,"AAAAAD/+/fM=")</f>
        <v>#REF!</v>
      </c>
      <c r="IK33" t="e">
        <f>AND(#REF!,"AAAAAD/+/fQ=")</f>
        <v>#REF!</v>
      </c>
      <c r="IL33" t="e">
        <f>AND(#REF!,"AAAAAD/+/fU=")</f>
        <v>#REF!</v>
      </c>
      <c r="IM33" t="e">
        <f>AND(#REF!,"AAAAAD/+/fY=")</f>
        <v>#REF!</v>
      </c>
      <c r="IN33" t="e">
        <f>AND(#REF!,"AAAAAD/+/fc=")</f>
        <v>#REF!</v>
      </c>
      <c r="IO33" t="e">
        <f>AND(#REF!,"AAAAAD/+/fg=")</f>
        <v>#REF!</v>
      </c>
      <c r="IP33" t="e">
        <f>AND(#REF!,"AAAAAD/+/fk=")</f>
        <v>#REF!</v>
      </c>
      <c r="IQ33" t="e">
        <f>AND(#REF!,"AAAAAD/+/fo=")</f>
        <v>#REF!</v>
      </c>
      <c r="IR33" t="e">
        <f>AND(#REF!,"AAAAAD/+/fs=")</f>
        <v>#REF!</v>
      </c>
      <c r="IS33" t="e">
        <f>AND(#REF!,"AAAAAD/+/fw=")</f>
        <v>#REF!</v>
      </c>
      <c r="IT33" t="e">
        <f>AND(#REF!,"AAAAAD/+/f0=")</f>
        <v>#REF!</v>
      </c>
      <c r="IU33" t="e">
        <f>AND(#REF!,"AAAAAD/+/f4=")</f>
        <v>#REF!</v>
      </c>
      <c r="IV33" t="e">
        <f>AND(#REF!,"AAAAAD/+/f8=")</f>
        <v>#REF!</v>
      </c>
    </row>
    <row r="34" spans="1:256" x14ac:dyDescent="0.25">
      <c r="A34" t="e">
        <f>AND(#REF!,"AAAAAB1T7wA=")</f>
        <v>#REF!</v>
      </c>
      <c r="B34" t="e">
        <f>AND(#REF!,"AAAAAB1T7wE=")</f>
        <v>#REF!</v>
      </c>
      <c r="C34" t="e">
        <f>AND(#REF!,"AAAAAB1T7wI=")</f>
        <v>#REF!</v>
      </c>
      <c r="D34" t="e">
        <f>AND(#REF!,"AAAAAB1T7wM=")</f>
        <v>#REF!</v>
      </c>
      <c r="E34" t="e">
        <f>AND(#REF!,"AAAAAB1T7wQ=")</f>
        <v>#REF!</v>
      </c>
      <c r="F34" t="e">
        <f>AND(#REF!,"AAAAAB1T7wU=")</f>
        <v>#REF!</v>
      </c>
      <c r="G34" t="e">
        <f>AND(#REF!,"AAAAAB1T7wY=")</f>
        <v>#REF!</v>
      </c>
      <c r="H34" t="e">
        <f>AND(#REF!,"AAAAAB1T7wc=")</f>
        <v>#REF!</v>
      </c>
      <c r="I34" t="e">
        <f>AND(#REF!,"AAAAAB1T7wg=")</f>
        <v>#REF!</v>
      </c>
      <c r="J34" t="e">
        <f>AND(#REF!,"AAAAAB1T7wk=")</f>
        <v>#REF!</v>
      </c>
      <c r="K34" t="e">
        <f>AND(#REF!,"AAAAAB1T7wo=")</f>
        <v>#REF!</v>
      </c>
      <c r="L34" t="e">
        <f>AND(#REF!,"AAAAAB1T7ws=")</f>
        <v>#REF!</v>
      </c>
      <c r="M34" t="e">
        <f>AND(#REF!,"AAAAAB1T7ww=")</f>
        <v>#REF!</v>
      </c>
      <c r="N34" t="e">
        <f>AND(#REF!,"AAAAAB1T7w0=")</f>
        <v>#REF!</v>
      </c>
      <c r="O34" t="e">
        <f>AND(#REF!,"AAAAAB1T7w4=")</f>
        <v>#REF!</v>
      </c>
      <c r="P34" t="e">
        <f>AND(#REF!,"AAAAAB1T7w8=")</f>
        <v>#REF!</v>
      </c>
      <c r="Q34" t="e">
        <f>AND(#REF!,"AAAAAB1T7xA=")</f>
        <v>#REF!</v>
      </c>
      <c r="R34" t="e">
        <f>AND(#REF!,"AAAAAB1T7xE=")</f>
        <v>#REF!</v>
      </c>
      <c r="S34" t="e">
        <f>AND(#REF!,"AAAAAB1T7xI=")</f>
        <v>#REF!</v>
      </c>
      <c r="T34" t="e">
        <f>AND(#REF!,"AAAAAB1T7xM=")</f>
        <v>#REF!</v>
      </c>
      <c r="U34" t="e">
        <f>AND(#REF!,"AAAAAB1T7xQ=")</f>
        <v>#REF!</v>
      </c>
      <c r="V34" t="e">
        <f>AND(#REF!,"AAAAAB1T7xU=")</f>
        <v>#REF!</v>
      </c>
      <c r="W34" t="e">
        <f>AND(#REF!,"AAAAAB1T7xY=")</f>
        <v>#REF!</v>
      </c>
      <c r="X34" t="e">
        <f>AND(#REF!,"AAAAAB1T7xc=")</f>
        <v>#REF!</v>
      </c>
      <c r="Y34" t="e">
        <f>AND(#REF!,"AAAAAB1T7xg=")</f>
        <v>#REF!</v>
      </c>
      <c r="Z34" t="e">
        <f>AND(#REF!,"AAAAAB1T7xk=")</f>
        <v>#REF!</v>
      </c>
      <c r="AA34" t="e">
        <f>AND(#REF!,"AAAAAB1T7xo=")</f>
        <v>#REF!</v>
      </c>
      <c r="AB34" t="e">
        <f>AND(#REF!,"AAAAAB1T7xs=")</f>
        <v>#REF!</v>
      </c>
      <c r="AC34" t="e">
        <f>AND(#REF!,"AAAAAB1T7xw=")</f>
        <v>#REF!</v>
      </c>
      <c r="AD34" t="e">
        <f>AND(#REF!,"AAAAAB1T7x0=")</f>
        <v>#REF!</v>
      </c>
      <c r="AE34" t="e">
        <f>AND(#REF!,"AAAAAB1T7x4=")</f>
        <v>#REF!</v>
      </c>
      <c r="AF34" t="e">
        <f>AND(#REF!,"AAAAAB1T7x8=")</f>
        <v>#REF!</v>
      </c>
      <c r="AG34" t="e">
        <f>AND(#REF!,"AAAAAB1T7yA=")</f>
        <v>#REF!</v>
      </c>
      <c r="AH34" t="e">
        <f>AND(#REF!,"AAAAAB1T7yE=")</f>
        <v>#REF!</v>
      </c>
      <c r="AI34" t="e">
        <f>AND(#REF!,"AAAAAB1T7yI=")</f>
        <v>#REF!</v>
      </c>
      <c r="AJ34" t="e">
        <f>AND(#REF!,"AAAAAB1T7yM=")</f>
        <v>#REF!</v>
      </c>
      <c r="AK34" t="e">
        <f>AND(#REF!,"AAAAAB1T7yQ=")</f>
        <v>#REF!</v>
      </c>
      <c r="AL34" t="e">
        <f>AND(#REF!,"AAAAAB1T7yU=")</f>
        <v>#REF!</v>
      </c>
      <c r="AM34" t="e">
        <f>AND(#REF!,"AAAAAB1T7yY=")</f>
        <v>#REF!</v>
      </c>
      <c r="AN34" t="e">
        <f>AND(#REF!,"AAAAAB1T7yc=")</f>
        <v>#REF!</v>
      </c>
      <c r="AO34" t="e">
        <f>AND(#REF!,"AAAAAB1T7yg=")</f>
        <v>#REF!</v>
      </c>
      <c r="AP34" t="e">
        <f>AND(#REF!,"AAAAAB1T7yk=")</f>
        <v>#REF!</v>
      </c>
      <c r="AQ34" t="e">
        <f>AND(#REF!,"AAAAAB1T7yo=")</f>
        <v>#REF!</v>
      </c>
      <c r="AR34" t="e">
        <f>AND(#REF!,"AAAAAB1T7ys=")</f>
        <v>#REF!</v>
      </c>
      <c r="AS34" t="e">
        <f>AND(#REF!,"AAAAAB1T7yw=")</f>
        <v>#REF!</v>
      </c>
      <c r="AT34" t="e">
        <f>AND(#REF!,"AAAAAB1T7y0=")</f>
        <v>#REF!</v>
      </c>
      <c r="AU34" t="e">
        <f>AND(#REF!,"AAAAAB1T7y4=")</f>
        <v>#REF!</v>
      </c>
      <c r="AV34" t="e">
        <f>AND(#REF!,"AAAAAB1T7y8=")</f>
        <v>#REF!</v>
      </c>
      <c r="AW34" t="e">
        <f>AND(#REF!,"AAAAAB1T7zA=")</f>
        <v>#REF!</v>
      </c>
      <c r="AX34" t="e">
        <f>AND(#REF!,"AAAAAB1T7zE=")</f>
        <v>#REF!</v>
      </c>
      <c r="AY34" t="e">
        <f>AND(#REF!,"AAAAAB1T7zI=")</f>
        <v>#REF!</v>
      </c>
      <c r="AZ34" t="e">
        <f>AND(#REF!,"AAAAAB1T7zM=")</f>
        <v>#REF!</v>
      </c>
      <c r="BA34" t="e">
        <f>AND(#REF!,"AAAAAB1T7zQ=")</f>
        <v>#REF!</v>
      </c>
      <c r="BB34" t="e">
        <f>AND(#REF!,"AAAAAB1T7zU=")</f>
        <v>#REF!</v>
      </c>
      <c r="BC34" t="e">
        <f>AND(#REF!,"AAAAAB1T7zY=")</f>
        <v>#REF!</v>
      </c>
      <c r="BD34" t="e">
        <f>AND(#REF!,"AAAAAB1T7zc=")</f>
        <v>#REF!</v>
      </c>
      <c r="BE34" t="e">
        <f>AND(#REF!,"AAAAAB1T7zg=")</f>
        <v>#REF!</v>
      </c>
      <c r="BF34" t="e">
        <f>AND(#REF!,"AAAAAB1T7zk=")</f>
        <v>#REF!</v>
      </c>
      <c r="BG34" t="e">
        <f>AND(#REF!,"AAAAAB1T7zo=")</f>
        <v>#REF!</v>
      </c>
      <c r="BH34" t="e">
        <f>AND(#REF!,"AAAAAB1T7zs=")</f>
        <v>#REF!</v>
      </c>
      <c r="BI34" t="e">
        <f>AND(#REF!,"AAAAAB1T7zw=")</f>
        <v>#REF!</v>
      </c>
      <c r="BJ34" t="e">
        <f>AND(#REF!,"AAAAAB1T7z0=")</f>
        <v>#REF!</v>
      </c>
      <c r="BK34" t="e">
        <f>AND(#REF!,"AAAAAB1T7z4=")</f>
        <v>#REF!</v>
      </c>
      <c r="BL34" t="e">
        <f>AND(#REF!,"AAAAAB1T7z8=")</f>
        <v>#REF!</v>
      </c>
      <c r="BM34" t="e">
        <f>AND(#REF!,"AAAAAB1T70A=")</f>
        <v>#REF!</v>
      </c>
      <c r="BN34" t="e">
        <f>AND(#REF!,"AAAAAB1T70E=")</f>
        <v>#REF!</v>
      </c>
      <c r="BO34" t="e">
        <f>AND(#REF!,"AAAAAB1T70I=")</f>
        <v>#REF!</v>
      </c>
      <c r="BP34" t="e">
        <f>AND(#REF!,"AAAAAB1T70M=")</f>
        <v>#REF!</v>
      </c>
      <c r="BQ34" t="e">
        <f>AND(#REF!,"AAAAAB1T70Q=")</f>
        <v>#REF!</v>
      </c>
      <c r="BR34" t="e">
        <f>AND(#REF!,"AAAAAB1T70U=")</f>
        <v>#REF!</v>
      </c>
      <c r="BS34" t="e">
        <f>AND(#REF!,"AAAAAB1T70Y=")</f>
        <v>#REF!</v>
      </c>
      <c r="BT34" t="e">
        <f>AND(#REF!,"AAAAAB1T70c=")</f>
        <v>#REF!</v>
      </c>
      <c r="BU34" t="e">
        <f>AND(#REF!,"AAAAAB1T70g=")</f>
        <v>#REF!</v>
      </c>
      <c r="BV34" t="e">
        <f>AND(#REF!,"AAAAAB1T70k=")</f>
        <v>#REF!</v>
      </c>
      <c r="BW34" t="e">
        <f>AND(#REF!,"AAAAAB1T70o=")</f>
        <v>#REF!</v>
      </c>
      <c r="BX34" t="e">
        <f>AND(#REF!,"AAAAAB1T70s=")</f>
        <v>#REF!</v>
      </c>
      <c r="BY34" t="e">
        <f>AND(#REF!,"AAAAAB1T70w=")</f>
        <v>#REF!</v>
      </c>
      <c r="BZ34" t="e">
        <f>AND(#REF!,"AAAAAB1T700=")</f>
        <v>#REF!</v>
      </c>
      <c r="CA34" t="e">
        <f>AND(#REF!,"AAAAAB1T704=")</f>
        <v>#REF!</v>
      </c>
      <c r="CB34" t="e">
        <f>AND(#REF!,"AAAAAB1T708=")</f>
        <v>#REF!</v>
      </c>
      <c r="CC34" t="e">
        <f>AND(#REF!,"AAAAAB1T71A=")</f>
        <v>#REF!</v>
      </c>
      <c r="CD34" t="e">
        <f>AND(#REF!,"AAAAAB1T71E=")</f>
        <v>#REF!</v>
      </c>
      <c r="CE34" t="e">
        <f>AND(#REF!,"AAAAAB1T71I=")</f>
        <v>#REF!</v>
      </c>
      <c r="CF34" t="e">
        <f>AND(#REF!,"AAAAAB1T71M=")</f>
        <v>#REF!</v>
      </c>
      <c r="CG34" t="e">
        <f>AND(#REF!,"AAAAAB1T71Q=")</f>
        <v>#REF!</v>
      </c>
      <c r="CH34" t="e">
        <f>AND(#REF!,"AAAAAB1T71U=")</f>
        <v>#REF!</v>
      </c>
      <c r="CI34" t="e">
        <f>AND(#REF!,"AAAAAB1T71Y=")</f>
        <v>#REF!</v>
      </c>
      <c r="CJ34" t="e">
        <f>AND(#REF!,"AAAAAB1T71c=")</f>
        <v>#REF!</v>
      </c>
      <c r="CK34" t="e">
        <f>AND(#REF!,"AAAAAB1T71g=")</f>
        <v>#REF!</v>
      </c>
      <c r="CL34" t="e">
        <f>AND(#REF!,"AAAAAB1T71k=")</f>
        <v>#REF!</v>
      </c>
      <c r="CM34" t="e">
        <f>AND(#REF!,"AAAAAB1T71o=")</f>
        <v>#REF!</v>
      </c>
      <c r="CN34" t="e">
        <f>AND(#REF!,"AAAAAB1T71s=")</f>
        <v>#REF!</v>
      </c>
      <c r="CO34" t="e">
        <f>AND(#REF!,"AAAAAB1T71w=")</f>
        <v>#REF!</v>
      </c>
      <c r="CP34" t="e">
        <f>AND(#REF!,"AAAAAB1T710=")</f>
        <v>#REF!</v>
      </c>
      <c r="CQ34" t="e">
        <f>IF(#REF!,"AAAAAB1T714=",0)</f>
        <v>#REF!</v>
      </c>
      <c r="CR34" t="e">
        <f>AND(#REF!,"AAAAAB1T718=")</f>
        <v>#REF!</v>
      </c>
      <c r="CS34" t="e">
        <f>AND(#REF!,"AAAAAB1T72A=")</f>
        <v>#REF!</v>
      </c>
      <c r="CT34" t="e">
        <f>AND(#REF!,"AAAAAB1T72E=")</f>
        <v>#REF!</v>
      </c>
      <c r="CU34" t="e">
        <f>AND(#REF!,"AAAAAB1T72I=")</f>
        <v>#REF!</v>
      </c>
      <c r="CV34" t="e">
        <f>AND(#REF!,"AAAAAB1T72M=")</f>
        <v>#REF!</v>
      </c>
      <c r="CW34" t="e">
        <f>AND(#REF!,"AAAAAB1T72Q=")</f>
        <v>#REF!</v>
      </c>
      <c r="CX34" t="e">
        <f>AND(#REF!,"AAAAAB1T72U=")</f>
        <v>#REF!</v>
      </c>
      <c r="CY34" t="e">
        <f>AND(#REF!,"AAAAAB1T72Y=")</f>
        <v>#REF!</v>
      </c>
      <c r="CZ34" t="e">
        <f>AND(#REF!,"AAAAAB1T72c=")</f>
        <v>#REF!</v>
      </c>
      <c r="DA34" t="e">
        <f>AND(#REF!,"AAAAAB1T72g=")</f>
        <v>#REF!</v>
      </c>
      <c r="DB34" t="e">
        <f>AND(#REF!,"AAAAAB1T72k=")</f>
        <v>#REF!</v>
      </c>
      <c r="DC34" t="e">
        <f>AND(#REF!,"AAAAAB1T72o=")</f>
        <v>#REF!</v>
      </c>
      <c r="DD34" t="e">
        <f>AND(#REF!,"AAAAAB1T72s=")</f>
        <v>#REF!</v>
      </c>
      <c r="DE34" t="e">
        <f>AND(#REF!,"AAAAAB1T72w=")</f>
        <v>#REF!</v>
      </c>
      <c r="DF34" t="e">
        <f>AND(#REF!,"AAAAAB1T720=")</f>
        <v>#REF!</v>
      </c>
      <c r="DG34" t="e">
        <f>AND(#REF!,"AAAAAB1T724=")</f>
        <v>#REF!</v>
      </c>
      <c r="DH34" t="e">
        <f>AND(#REF!,"AAAAAB1T728=")</f>
        <v>#REF!</v>
      </c>
      <c r="DI34" t="e">
        <f>AND(#REF!,"AAAAAB1T73A=")</f>
        <v>#REF!</v>
      </c>
      <c r="DJ34" t="e">
        <f>AND(#REF!,"AAAAAB1T73E=")</f>
        <v>#REF!</v>
      </c>
      <c r="DK34" t="e">
        <f>AND(#REF!,"AAAAAB1T73I=")</f>
        <v>#REF!</v>
      </c>
      <c r="DL34" t="e">
        <f>AND(#REF!,"AAAAAB1T73M=")</f>
        <v>#REF!</v>
      </c>
      <c r="DM34" t="e">
        <f>AND(#REF!,"AAAAAB1T73Q=")</f>
        <v>#REF!</v>
      </c>
      <c r="DN34" t="e">
        <f>AND(#REF!,"AAAAAB1T73U=")</f>
        <v>#REF!</v>
      </c>
      <c r="DO34" t="e">
        <f>AND(#REF!,"AAAAAB1T73Y=")</f>
        <v>#REF!</v>
      </c>
      <c r="DP34" t="e">
        <f>AND(#REF!,"AAAAAB1T73c=")</f>
        <v>#REF!</v>
      </c>
      <c r="DQ34" t="e">
        <f>AND(#REF!,"AAAAAB1T73g=")</f>
        <v>#REF!</v>
      </c>
      <c r="DR34" t="e">
        <f>AND(#REF!,"AAAAAB1T73k=")</f>
        <v>#REF!</v>
      </c>
      <c r="DS34" t="e">
        <f>AND(#REF!,"AAAAAB1T73o=")</f>
        <v>#REF!</v>
      </c>
      <c r="DT34" t="e">
        <f>AND(#REF!,"AAAAAB1T73s=")</f>
        <v>#REF!</v>
      </c>
      <c r="DU34" t="e">
        <f>AND(#REF!,"AAAAAB1T73w=")</f>
        <v>#REF!</v>
      </c>
      <c r="DV34" t="e">
        <f>AND(#REF!,"AAAAAB1T730=")</f>
        <v>#REF!</v>
      </c>
      <c r="DW34" t="e">
        <f>AND(#REF!,"AAAAAB1T734=")</f>
        <v>#REF!</v>
      </c>
      <c r="DX34" t="e">
        <f>AND(#REF!,"AAAAAB1T738=")</f>
        <v>#REF!</v>
      </c>
      <c r="DY34" t="e">
        <f>AND(#REF!,"AAAAAB1T74A=")</f>
        <v>#REF!</v>
      </c>
      <c r="DZ34" t="e">
        <f>AND(#REF!,"AAAAAB1T74E=")</f>
        <v>#REF!</v>
      </c>
      <c r="EA34" t="e">
        <f>AND(#REF!,"AAAAAB1T74I=")</f>
        <v>#REF!</v>
      </c>
      <c r="EB34" t="e">
        <f>AND(#REF!,"AAAAAB1T74M=")</f>
        <v>#REF!</v>
      </c>
      <c r="EC34" t="e">
        <f>AND(#REF!,"AAAAAB1T74Q=")</f>
        <v>#REF!</v>
      </c>
      <c r="ED34" t="e">
        <f>AND(#REF!,"AAAAAB1T74U=")</f>
        <v>#REF!</v>
      </c>
      <c r="EE34" t="e">
        <f>AND(#REF!,"AAAAAB1T74Y=")</f>
        <v>#REF!</v>
      </c>
      <c r="EF34" t="e">
        <f>AND(#REF!,"AAAAAB1T74c=")</f>
        <v>#REF!</v>
      </c>
      <c r="EG34" t="e">
        <f>AND(#REF!,"AAAAAB1T74g=")</f>
        <v>#REF!</v>
      </c>
      <c r="EH34" t="e">
        <f>AND(#REF!,"AAAAAB1T74k=")</f>
        <v>#REF!</v>
      </c>
      <c r="EI34" t="e">
        <f>AND(#REF!,"AAAAAB1T74o=")</f>
        <v>#REF!</v>
      </c>
      <c r="EJ34" t="e">
        <f>AND(#REF!,"AAAAAB1T74s=")</f>
        <v>#REF!</v>
      </c>
      <c r="EK34" t="e">
        <f>AND(#REF!,"AAAAAB1T74w=")</f>
        <v>#REF!</v>
      </c>
      <c r="EL34" t="e">
        <f>AND(#REF!,"AAAAAB1T740=")</f>
        <v>#REF!</v>
      </c>
      <c r="EM34" t="e">
        <f>AND(#REF!,"AAAAAB1T744=")</f>
        <v>#REF!</v>
      </c>
      <c r="EN34" t="e">
        <f>AND(#REF!,"AAAAAB1T748=")</f>
        <v>#REF!</v>
      </c>
      <c r="EO34" t="e">
        <f>AND(#REF!,"AAAAAB1T75A=")</f>
        <v>#REF!</v>
      </c>
      <c r="EP34" t="e">
        <f>AND(#REF!,"AAAAAB1T75E=")</f>
        <v>#REF!</v>
      </c>
      <c r="EQ34" t="e">
        <f>AND(#REF!,"AAAAAB1T75I=")</f>
        <v>#REF!</v>
      </c>
      <c r="ER34" t="e">
        <f>AND(#REF!,"AAAAAB1T75M=")</f>
        <v>#REF!</v>
      </c>
      <c r="ES34" t="e">
        <f>AND(#REF!,"AAAAAB1T75Q=")</f>
        <v>#REF!</v>
      </c>
      <c r="ET34" t="e">
        <f>AND(#REF!,"AAAAAB1T75U=")</f>
        <v>#REF!</v>
      </c>
      <c r="EU34" t="e">
        <f>AND(#REF!,"AAAAAB1T75Y=")</f>
        <v>#REF!</v>
      </c>
      <c r="EV34" t="e">
        <f>AND(#REF!,"AAAAAB1T75c=")</f>
        <v>#REF!</v>
      </c>
      <c r="EW34" t="e">
        <f>AND(#REF!,"AAAAAB1T75g=")</f>
        <v>#REF!</v>
      </c>
      <c r="EX34" t="e">
        <f>AND(#REF!,"AAAAAB1T75k=")</f>
        <v>#REF!</v>
      </c>
      <c r="EY34" t="e">
        <f>AND(#REF!,"AAAAAB1T75o=")</f>
        <v>#REF!</v>
      </c>
      <c r="EZ34" t="e">
        <f>AND(#REF!,"AAAAAB1T75s=")</f>
        <v>#REF!</v>
      </c>
      <c r="FA34" t="e">
        <f>AND(#REF!,"AAAAAB1T75w=")</f>
        <v>#REF!</v>
      </c>
      <c r="FB34" t="e">
        <f>AND(#REF!,"AAAAAB1T750=")</f>
        <v>#REF!</v>
      </c>
      <c r="FC34" t="e">
        <f>AND(#REF!,"AAAAAB1T754=")</f>
        <v>#REF!</v>
      </c>
      <c r="FD34" t="e">
        <f>AND(#REF!,"AAAAAB1T758=")</f>
        <v>#REF!</v>
      </c>
      <c r="FE34" t="e">
        <f>AND(#REF!,"AAAAAB1T76A=")</f>
        <v>#REF!</v>
      </c>
      <c r="FF34" t="e">
        <f>AND(#REF!,"AAAAAB1T76E=")</f>
        <v>#REF!</v>
      </c>
      <c r="FG34" t="e">
        <f>AND(#REF!,"AAAAAB1T76I=")</f>
        <v>#REF!</v>
      </c>
      <c r="FH34" t="e">
        <f>AND(#REF!,"AAAAAB1T76M=")</f>
        <v>#REF!</v>
      </c>
      <c r="FI34" t="e">
        <f>AND(#REF!,"AAAAAB1T76Q=")</f>
        <v>#REF!</v>
      </c>
      <c r="FJ34" t="e">
        <f>AND(#REF!,"AAAAAB1T76U=")</f>
        <v>#REF!</v>
      </c>
      <c r="FK34" t="e">
        <f>AND(#REF!,"AAAAAB1T76Y=")</f>
        <v>#REF!</v>
      </c>
      <c r="FL34" t="e">
        <f>AND(#REF!,"AAAAAB1T76c=")</f>
        <v>#REF!</v>
      </c>
      <c r="FM34" t="e">
        <f>AND(#REF!,"AAAAAB1T76g=")</f>
        <v>#REF!</v>
      </c>
      <c r="FN34" t="e">
        <f>AND(#REF!,"AAAAAB1T76k=")</f>
        <v>#REF!</v>
      </c>
      <c r="FO34" t="e">
        <f>AND(#REF!,"AAAAAB1T76o=")</f>
        <v>#REF!</v>
      </c>
      <c r="FP34" t="e">
        <f>AND(#REF!,"AAAAAB1T76s=")</f>
        <v>#REF!</v>
      </c>
      <c r="FQ34" t="e">
        <f>AND(#REF!,"AAAAAB1T76w=")</f>
        <v>#REF!</v>
      </c>
      <c r="FR34" t="e">
        <f>AND(#REF!,"AAAAAB1T760=")</f>
        <v>#REF!</v>
      </c>
      <c r="FS34" t="e">
        <f>AND(#REF!,"AAAAAB1T764=")</f>
        <v>#REF!</v>
      </c>
      <c r="FT34" t="e">
        <f>AND(#REF!,"AAAAAB1T768=")</f>
        <v>#REF!</v>
      </c>
      <c r="FU34" t="e">
        <f>AND(#REF!,"AAAAAB1T77A=")</f>
        <v>#REF!</v>
      </c>
      <c r="FV34" t="e">
        <f>AND(#REF!,"AAAAAB1T77E=")</f>
        <v>#REF!</v>
      </c>
      <c r="FW34" t="e">
        <f>AND(#REF!,"AAAAAB1T77I=")</f>
        <v>#REF!</v>
      </c>
      <c r="FX34" t="e">
        <f>AND(#REF!,"AAAAAB1T77M=")</f>
        <v>#REF!</v>
      </c>
      <c r="FY34" t="e">
        <f>AND(#REF!,"AAAAAB1T77Q=")</f>
        <v>#REF!</v>
      </c>
      <c r="FZ34" t="e">
        <f>AND(#REF!,"AAAAAB1T77U=")</f>
        <v>#REF!</v>
      </c>
      <c r="GA34" t="e">
        <f>AND(#REF!,"AAAAAB1T77Y=")</f>
        <v>#REF!</v>
      </c>
      <c r="GB34" t="e">
        <f>AND(#REF!,"AAAAAB1T77c=")</f>
        <v>#REF!</v>
      </c>
      <c r="GC34" t="e">
        <f>AND(#REF!,"AAAAAB1T77g=")</f>
        <v>#REF!</v>
      </c>
      <c r="GD34" t="e">
        <f>AND(#REF!,"AAAAAB1T77k=")</f>
        <v>#REF!</v>
      </c>
      <c r="GE34" t="e">
        <f>AND(#REF!,"AAAAAB1T77o=")</f>
        <v>#REF!</v>
      </c>
      <c r="GF34" t="e">
        <f>AND(#REF!,"AAAAAB1T77s=")</f>
        <v>#REF!</v>
      </c>
      <c r="GG34" t="e">
        <f>AND(#REF!,"AAAAAB1T77w=")</f>
        <v>#REF!</v>
      </c>
      <c r="GH34" t="e">
        <f>AND(#REF!,"AAAAAB1T770=")</f>
        <v>#REF!</v>
      </c>
      <c r="GI34" t="e">
        <f>AND(#REF!,"AAAAAB1T774=")</f>
        <v>#REF!</v>
      </c>
      <c r="GJ34" t="e">
        <f>AND(#REF!,"AAAAAB1T778=")</f>
        <v>#REF!</v>
      </c>
      <c r="GK34" t="e">
        <f>AND(#REF!,"AAAAAB1T78A=")</f>
        <v>#REF!</v>
      </c>
      <c r="GL34" t="e">
        <f>AND(#REF!,"AAAAAB1T78E=")</f>
        <v>#REF!</v>
      </c>
      <c r="GM34" t="e">
        <f>AND(#REF!,"AAAAAB1T78I=")</f>
        <v>#REF!</v>
      </c>
      <c r="GN34" t="e">
        <f>AND(#REF!,"AAAAAB1T78M=")</f>
        <v>#REF!</v>
      </c>
      <c r="GO34" t="e">
        <f>AND(#REF!,"AAAAAB1T78Q=")</f>
        <v>#REF!</v>
      </c>
      <c r="GP34" t="e">
        <f>AND(#REF!,"AAAAAB1T78U=")</f>
        <v>#REF!</v>
      </c>
      <c r="GQ34" t="e">
        <f>AND(#REF!,"AAAAAB1T78Y=")</f>
        <v>#REF!</v>
      </c>
      <c r="GR34" t="e">
        <f>AND(#REF!,"AAAAAB1T78c=")</f>
        <v>#REF!</v>
      </c>
      <c r="GS34" t="e">
        <f>AND(#REF!,"AAAAAB1T78g=")</f>
        <v>#REF!</v>
      </c>
      <c r="GT34" t="e">
        <f>AND(#REF!,"AAAAAB1T78k=")</f>
        <v>#REF!</v>
      </c>
      <c r="GU34" t="e">
        <f>AND(#REF!,"AAAAAB1T78o=")</f>
        <v>#REF!</v>
      </c>
      <c r="GV34" t="e">
        <f>AND(#REF!,"AAAAAB1T78s=")</f>
        <v>#REF!</v>
      </c>
      <c r="GW34" t="e">
        <f>AND(#REF!,"AAAAAB1T78w=")</f>
        <v>#REF!</v>
      </c>
      <c r="GX34" t="e">
        <f>AND(#REF!,"AAAAAB1T780=")</f>
        <v>#REF!</v>
      </c>
      <c r="GY34" t="e">
        <f>AND(#REF!,"AAAAAB1T784=")</f>
        <v>#REF!</v>
      </c>
      <c r="GZ34" t="e">
        <f>AND(#REF!,"AAAAAB1T788=")</f>
        <v>#REF!</v>
      </c>
      <c r="HA34" t="e">
        <f>AND(#REF!,"AAAAAB1T79A=")</f>
        <v>#REF!</v>
      </c>
      <c r="HB34" t="e">
        <f>AND(#REF!,"AAAAAB1T79E=")</f>
        <v>#REF!</v>
      </c>
      <c r="HC34" t="e">
        <f>AND(#REF!,"AAAAAB1T79I=")</f>
        <v>#REF!</v>
      </c>
      <c r="HD34" t="e">
        <f>AND(#REF!,"AAAAAB1T79M=")</f>
        <v>#REF!</v>
      </c>
      <c r="HE34" t="e">
        <f>AND(#REF!,"AAAAAB1T79Q=")</f>
        <v>#REF!</v>
      </c>
      <c r="HF34" t="e">
        <f>AND(#REF!,"AAAAAB1T79U=")</f>
        <v>#REF!</v>
      </c>
      <c r="HG34" t="e">
        <f>AND(#REF!,"AAAAAB1T79Y=")</f>
        <v>#REF!</v>
      </c>
      <c r="HH34" t="e">
        <f>AND(#REF!,"AAAAAB1T79c=")</f>
        <v>#REF!</v>
      </c>
      <c r="HI34" t="e">
        <f>AND(#REF!,"AAAAAB1T79g=")</f>
        <v>#REF!</v>
      </c>
      <c r="HJ34" t="e">
        <f>AND(#REF!,"AAAAAB1T79k=")</f>
        <v>#REF!</v>
      </c>
      <c r="HK34" t="e">
        <f>AND(#REF!,"AAAAAB1T79o=")</f>
        <v>#REF!</v>
      </c>
      <c r="HL34" t="e">
        <f>AND(#REF!,"AAAAAB1T79s=")</f>
        <v>#REF!</v>
      </c>
      <c r="HM34" t="e">
        <f>AND(#REF!,"AAAAAB1T79w=")</f>
        <v>#REF!</v>
      </c>
      <c r="HN34" t="e">
        <f>AND(#REF!,"AAAAAB1T790=")</f>
        <v>#REF!</v>
      </c>
      <c r="HO34" t="e">
        <f>AND(#REF!,"AAAAAB1T794=")</f>
        <v>#REF!</v>
      </c>
      <c r="HP34" t="e">
        <f>AND(#REF!,"AAAAAB1T798=")</f>
        <v>#REF!</v>
      </c>
      <c r="HQ34" t="e">
        <f>AND(#REF!,"AAAAAB1T7+A=")</f>
        <v>#REF!</v>
      </c>
      <c r="HR34" t="e">
        <f>AND(#REF!,"AAAAAB1T7+E=")</f>
        <v>#REF!</v>
      </c>
      <c r="HS34" t="e">
        <f>AND(#REF!,"AAAAAB1T7+I=")</f>
        <v>#REF!</v>
      </c>
      <c r="HT34" t="e">
        <f>AND(#REF!,"AAAAAB1T7+M=")</f>
        <v>#REF!</v>
      </c>
      <c r="HU34" t="e">
        <f>AND(#REF!,"AAAAAB1T7+Q=")</f>
        <v>#REF!</v>
      </c>
      <c r="HV34" t="e">
        <f>AND(#REF!,"AAAAAB1T7+U=")</f>
        <v>#REF!</v>
      </c>
      <c r="HW34" t="e">
        <f>AND(#REF!,"AAAAAB1T7+Y=")</f>
        <v>#REF!</v>
      </c>
      <c r="HX34" t="e">
        <f>AND(#REF!,"AAAAAB1T7+c=")</f>
        <v>#REF!</v>
      </c>
      <c r="HY34" t="e">
        <f>AND(#REF!,"AAAAAB1T7+g=")</f>
        <v>#REF!</v>
      </c>
      <c r="HZ34" t="e">
        <f>AND(#REF!,"AAAAAB1T7+k=")</f>
        <v>#REF!</v>
      </c>
      <c r="IA34" t="e">
        <f>AND(#REF!,"AAAAAB1T7+o=")</f>
        <v>#REF!</v>
      </c>
      <c r="IB34" t="e">
        <f>AND(#REF!,"AAAAAB1T7+s=")</f>
        <v>#REF!</v>
      </c>
      <c r="IC34" t="e">
        <f>AND(#REF!,"AAAAAB1T7+w=")</f>
        <v>#REF!</v>
      </c>
      <c r="ID34" t="e">
        <f>AND(#REF!,"AAAAAB1T7+0=")</f>
        <v>#REF!</v>
      </c>
      <c r="IE34" t="e">
        <f>AND(#REF!,"AAAAAB1T7+4=")</f>
        <v>#REF!</v>
      </c>
      <c r="IF34" t="e">
        <f>AND(#REF!,"AAAAAB1T7+8=")</f>
        <v>#REF!</v>
      </c>
      <c r="IG34" t="e">
        <f>AND(#REF!,"AAAAAB1T7/A=")</f>
        <v>#REF!</v>
      </c>
      <c r="IH34" t="e">
        <f>AND(#REF!,"AAAAAB1T7/E=")</f>
        <v>#REF!</v>
      </c>
      <c r="II34" t="e">
        <f>AND(#REF!,"AAAAAB1T7/I=")</f>
        <v>#REF!</v>
      </c>
      <c r="IJ34" t="e">
        <f>AND(#REF!,"AAAAAB1T7/M=")</f>
        <v>#REF!</v>
      </c>
      <c r="IK34" t="e">
        <f>AND(#REF!,"AAAAAB1T7/Q=")</f>
        <v>#REF!</v>
      </c>
      <c r="IL34" t="e">
        <f>AND(#REF!,"AAAAAB1T7/U=")</f>
        <v>#REF!</v>
      </c>
      <c r="IM34" t="e">
        <f>AND(#REF!,"AAAAAB1T7/Y=")</f>
        <v>#REF!</v>
      </c>
      <c r="IN34" t="e">
        <f>AND(#REF!,"AAAAAB1T7/c=")</f>
        <v>#REF!</v>
      </c>
      <c r="IO34" t="e">
        <f>AND(#REF!,"AAAAAB1T7/g=")</f>
        <v>#REF!</v>
      </c>
      <c r="IP34" t="e">
        <f>AND(#REF!,"AAAAAB1T7/k=")</f>
        <v>#REF!</v>
      </c>
      <c r="IQ34" t="e">
        <f>AND(#REF!,"AAAAAB1T7/o=")</f>
        <v>#REF!</v>
      </c>
      <c r="IR34" t="e">
        <f>AND(#REF!,"AAAAAB1T7/s=")</f>
        <v>#REF!</v>
      </c>
      <c r="IS34" t="e">
        <f>AND(#REF!,"AAAAAB1T7/w=")</f>
        <v>#REF!</v>
      </c>
      <c r="IT34" t="e">
        <f>AND(#REF!,"AAAAAB1T7/0=")</f>
        <v>#REF!</v>
      </c>
      <c r="IU34" t="e">
        <f>AND(#REF!,"AAAAAB1T7/4=")</f>
        <v>#REF!</v>
      </c>
      <c r="IV34" t="e">
        <f>AND(#REF!,"AAAAAB1T7/8=")</f>
        <v>#REF!</v>
      </c>
    </row>
    <row r="35" spans="1:256" x14ac:dyDescent="0.25">
      <c r="A35" t="e">
        <f>AND(#REF!,"AAAAAGjtfgA=")</f>
        <v>#REF!</v>
      </c>
      <c r="B35" t="e">
        <f>AND(#REF!,"AAAAAGjtfgE=")</f>
        <v>#REF!</v>
      </c>
      <c r="C35" t="e">
        <f>AND(#REF!,"AAAAAGjtfgI=")</f>
        <v>#REF!</v>
      </c>
      <c r="D35" t="e">
        <f>AND(#REF!,"AAAAAGjtfgM=")</f>
        <v>#REF!</v>
      </c>
      <c r="E35" t="e">
        <f>AND(#REF!,"AAAAAGjtfgQ=")</f>
        <v>#REF!</v>
      </c>
      <c r="F35" t="e">
        <f>AND(#REF!,"AAAAAGjtfgU=")</f>
        <v>#REF!</v>
      </c>
      <c r="G35" t="e">
        <f>AND(#REF!,"AAAAAGjtfgY=")</f>
        <v>#REF!</v>
      </c>
      <c r="H35" t="e">
        <f>AND(#REF!,"AAAAAGjtfgc=")</f>
        <v>#REF!</v>
      </c>
      <c r="I35" t="e">
        <f>AND(#REF!,"AAAAAGjtfgg=")</f>
        <v>#REF!</v>
      </c>
      <c r="J35" t="e">
        <f>AND(#REF!,"AAAAAGjtfgk=")</f>
        <v>#REF!</v>
      </c>
      <c r="K35" t="e">
        <f>AND(#REF!,"AAAAAGjtfgo=")</f>
        <v>#REF!</v>
      </c>
      <c r="L35" t="e">
        <f>AND(#REF!,"AAAAAGjtfgs=")</f>
        <v>#REF!</v>
      </c>
      <c r="M35" t="e">
        <f>AND(#REF!,"AAAAAGjtfgw=")</f>
        <v>#REF!</v>
      </c>
      <c r="N35" t="e">
        <f>AND(#REF!,"AAAAAGjtfg0=")</f>
        <v>#REF!</v>
      </c>
      <c r="O35" t="e">
        <f>AND(#REF!,"AAAAAGjtfg4=")</f>
        <v>#REF!</v>
      </c>
      <c r="P35" t="e">
        <f>AND(#REF!,"AAAAAGjtfg8=")</f>
        <v>#REF!</v>
      </c>
      <c r="Q35" t="e">
        <f>AND(#REF!,"AAAAAGjtfhA=")</f>
        <v>#REF!</v>
      </c>
      <c r="R35" t="e">
        <f>AND(#REF!,"AAAAAGjtfhE=")</f>
        <v>#REF!</v>
      </c>
      <c r="S35" t="e">
        <f>AND(#REF!,"AAAAAGjtfhI=")</f>
        <v>#REF!</v>
      </c>
      <c r="T35" t="e">
        <f>AND(#REF!,"AAAAAGjtfhM=")</f>
        <v>#REF!</v>
      </c>
      <c r="U35" t="e">
        <f>AND(#REF!,"AAAAAGjtfhQ=")</f>
        <v>#REF!</v>
      </c>
      <c r="V35" t="e">
        <f>AND(#REF!,"AAAAAGjtfhU=")</f>
        <v>#REF!</v>
      </c>
      <c r="W35" t="e">
        <f>AND(#REF!,"AAAAAGjtfhY=")</f>
        <v>#REF!</v>
      </c>
      <c r="X35" t="e">
        <f>AND(#REF!,"AAAAAGjtfhc=")</f>
        <v>#REF!</v>
      </c>
      <c r="Y35" t="e">
        <f>AND(#REF!,"AAAAAGjtfhg=")</f>
        <v>#REF!</v>
      </c>
      <c r="Z35" t="e">
        <f>AND(#REF!,"AAAAAGjtfhk=")</f>
        <v>#REF!</v>
      </c>
      <c r="AA35" t="e">
        <f>AND(#REF!,"AAAAAGjtfho=")</f>
        <v>#REF!</v>
      </c>
      <c r="AB35" t="e">
        <f>IF(#REF!,"AAAAAGjtfhs=",0)</f>
        <v>#REF!</v>
      </c>
      <c r="AC35" t="e">
        <f>AND(#REF!,"AAAAAGjtfhw=")</f>
        <v>#REF!</v>
      </c>
      <c r="AD35" t="e">
        <f>AND(#REF!,"AAAAAGjtfh0=")</f>
        <v>#REF!</v>
      </c>
      <c r="AE35" t="e">
        <f>AND(#REF!,"AAAAAGjtfh4=")</f>
        <v>#REF!</v>
      </c>
      <c r="AF35" t="e">
        <f>AND(#REF!,"AAAAAGjtfh8=")</f>
        <v>#REF!</v>
      </c>
      <c r="AG35" t="e">
        <f>AND(#REF!,"AAAAAGjtfiA=")</f>
        <v>#REF!</v>
      </c>
      <c r="AH35" t="e">
        <f>AND(#REF!,"AAAAAGjtfiE=")</f>
        <v>#REF!</v>
      </c>
      <c r="AI35" t="e">
        <f>AND(#REF!,"AAAAAGjtfiI=")</f>
        <v>#REF!</v>
      </c>
      <c r="AJ35" t="e">
        <f>AND(#REF!,"AAAAAGjtfiM=")</f>
        <v>#REF!</v>
      </c>
      <c r="AK35" t="e">
        <f>AND(#REF!,"AAAAAGjtfiQ=")</f>
        <v>#REF!</v>
      </c>
      <c r="AL35" t="e">
        <f>AND(#REF!,"AAAAAGjtfiU=")</f>
        <v>#REF!</v>
      </c>
      <c r="AM35" t="e">
        <f>AND(#REF!,"AAAAAGjtfiY=")</f>
        <v>#REF!</v>
      </c>
      <c r="AN35" t="e">
        <f>AND(#REF!,"AAAAAGjtfic=")</f>
        <v>#REF!</v>
      </c>
      <c r="AO35" t="e">
        <f>AND(#REF!,"AAAAAGjtfig=")</f>
        <v>#REF!</v>
      </c>
      <c r="AP35" t="e">
        <f>AND(#REF!,"AAAAAGjtfik=")</f>
        <v>#REF!</v>
      </c>
      <c r="AQ35" t="e">
        <f>AND(#REF!,"AAAAAGjtfio=")</f>
        <v>#REF!</v>
      </c>
      <c r="AR35" t="e">
        <f>AND(#REF!,"AAAAAGjtfis=")</f>
        <v>#REF!</v>
      </c>
      <c r="AS35" t="e">
        <f>AND(#REF!,"AAAAAGjtfiw=")</f>
        <v>#REF!</v>
      </c>
      <c r="AT35" t="e">
        <f>AND(#REF!,"AAAAAGjtfi0=")</f>
        <v>#REF!</v>
      </c>
      <c r="AU35" t="e">
        <f>AND(#REF!,"AAAAAGjtfi4=")</f>
        <v>#REF!</v>
      </c>
      <c r="AV35" t="e">
        <f>AND(#REF!,"AAAAAGjtfi8=")</f>
        <v>#REF!</v>
      </c>
      <c r="AW35" t="e">
        <f>AND(#REF!,"AAAAAGjtfjA=")</f>
        <v>#REF!</v>
      </c>
      <c r="AX35" t="e">
        <f>AND(#REF!,"AAAAAGjtfjE=")</f>
        <v>#REF!</v>
      </c>
      <c r="AY35" t="e">
        <f>AND(#REF!,"AAAAAGjtfjI=")</f>
        <v>#REF!</v>
      </c>
      <c r="AZ35" t="e">
        <f>AND(#REF!,"AAAAAGjtfjM=")</f>
        <v>#REF!</v>
      </c>
      <c r="BA35" t="e">
        <f>AND(#REF!,"AAAAAGjtfjQ=")</f>
        <v>#REF!</v>
      </c>
      <c r="BB35" t="e">
        <f>AND(#REF!,"AAAAAGjtfjU=")</f>
        <v>#REF!</v>
      </c>
      <c r="BC35" t="e">
        <f>AND(#REF!,"AAAAAGjtfjY=")</f>
        <v>#REF!</v>
      </c>
      <c r="BD35" t="e">
        <f>AND(#REF!,"AAAAAGjtfjc=")</f>
        <v>#REF!</v>
      </c>
      <c r="BE35" t="e">
        <f>AND(#REF!,"AAAAAGjtfjg=")</f>
        <v>#REF!</v>
      </c>
      <c r="BF35" t="e">
        <f>AND(#REF!,"AAAAAGjtfjk=")</f>
        <v>#REF!</v>
      </c>
      <c r="BG35" t="e">
        <f>AND(#REF!,"AAAAAGjtfjo=")</f>
        <v>#REF!</v>
      </c>
      <c r="BH35" t="e">
        <f>AND(#REF!,"AAAAAGjtfjs=")</f>
        <v>#REF!</v>
      </c>
      <c r="BI35" t="e">
        <f>AND(#REF!,"AAAAAGjtfjw=")</f>
        <v>#REF!</v>
      </c>
      <c r="BJ35" t="e">
        <f>AND(#REF!,"AAAAAGjtfj0=")</f>
        <v>#REF!</v>
      </c>
      <c r="BK35" t="e">
        <f>AND(#REF!,"AAAAAGjtfj4=")</f>
        <v>#REF!</v>
      </c>
      <c r="BL35" t="e">
        <f>AND(#REF!,"AAAAAGjtfj8=")</f>
        <v>#REF!</v>
      </c>
      <c r="BM35" t="e">
        <f>AND(#REF!,"AAAAAGjtfkA=")</f>
        <v>#REF!</v>
      </c>
      <c r="BN35" t="e">
        <f>AND(#REF!,"AAAAAGjtfkE=")</f>
        <v>#REF!</v>
      </c>
      <c r="BO35" t="e">
        <f>AND(#REF!,"AAAAAGjtfkI=")</f>
        <v>#REF!</v>
      </c>
      <c r="BP35" t="e">
        <f>AND(#REF!,"AAAAAGjtfkM=")</f>
        <v>#REF!</v>
      </c>
      <c r="BQ35" t="e">
        <f>AND(#REF!,"AAAAAGjtfkQ=")</f>
        <v>#REF!</v>
      </c>
      <c r="BR35" t="e">
        <f>AND(#REF!,"AAAAAGjtfkU=")</f>
        <v>#REF!</v>
      </c>
      <c r="BS35" t="e">
        <f>AND(#REF!,"AAAAAGjtfkY=")</f>
        <v>#REF!</v>
      </c>
      <c r="BT35" t="e">
        <f>AND(#REF!,"AAAAAGjtfkc=")</f>
        <v>#REF!</v>
      </c>
      <c r="BU35" t="e">
        <f>AND(#REF!,"AAAAAGjtfkg=")</f>
        <v>#REF!</v>
      </c>
      <c r="BV35" t="e">
        <f>AND(#REF!,"AAAAAGjtfkk=")</f>
        <v>#REF!</v>
      </c>
      <c r="BW35" t="e">
        <f>AND(#REF!,"AAAAAGjtfko=")</f>
        <v>#REF!</v>
      </c>
      <c r="BX35" t="e">
        <f>AND(#REF!,"AAAAAGjtfks=")</f>
        <v>#REF!</v>
      </c>
      <c r="BY35" t="e">
        <f>AND(#REF!,"AAAAAGjtfkw=")</f>
        <v>#REF!</v>
      </c>
      <c r="BZ35" t="e">
        <f>AND(#REF!,"AAAAAGjtfk0=")</f>
        <v>#REF!</v>
      </c>
      <c r="CA35" t="e">
        <f>AND(#REF!,"AAAAAGjtfk4=")</f>
        <v>#REF!</v>
      </c>
      <c r="CB35" t="e">
        <f>AND(#REF!,"AAAAAGjtfk8=")</f>
        <v>#REF!</v>
      </c>
      <c r="CC35" t="e">
        <f>AND(#REF!,"AAAAAGjtflA=")</f>
        <v>#REF!</v>
      </c>
      <c r="CD35" t="e">
        <f>AND(#REF!,"AAAAAGjtflE=")</f>
        <v>#REF!</v>
      </c>
      <c r="CE35" t="e">
        <f>AND(#REF!,"AAAAAGjtflI=")</f>
        <v>#REF!</v>
      </c>
      <c r="CF35" t="e">
        <f>AND(#REF!,"AAAAAGjtflM=")</f>
        <v>#REF!</v>
      </c>
      <c r="CG35" t="e">
        <f>AND(#REF!,"AAAAAGjtflQ=")</f>
        <v>#REF!</v>
      </c>
      <c r="CH35" t="e">
        <f>AND(#REF!,"AAAAAGjtflU=")</f>
        <v>#REF!</v>
      </c>
      <c r="CI35" t="e">
        <f>AND(#REF!,"AAAAAGjtflY=")</f>
        <v>#REF!</v>
      </c>
      <c r="CJ35" t="e">
        <f>AND(#REF!,"AAAAAGjtflc=")</f>
        <v>#REF!</v>
      </c>
      <c r="CK35" t="e">
        <f>AND(#REF!,"AAAAAGjtflg=")</f>
        <v>#REF!</v>
      </c>
      <c r="CL35" t="e">
        <f>AND(#REF!,"AAAAAGjtflk=")</f>
        <v>#REF!</v>
      </c>
      <c r="CM35" t="e">
        <f>AND(#REF!,"AAAAAGjtflo=")</f>
        <v>#REF!</v>
      </c>
      <c r="CN35" t="e">
        <f>AND(#REF!,"AAAAAGjtfls=")</f>
        <v>#REF!</v>
      </c>
      <c r="CO35" t="e">
        <f>AND(#REF!,"AAAAAGjtflw=")</f>
        <v>#REF!</v>
      </c>
      <c r="CP35" t="e">
        <f>AND(#REF!,"AAAAAGjtfl0=")</f>
        <v>#REF!</v>
      </c>
      <c r="CQ35" t="e">
        <f>AND(#REF!,"AAAAAGjtfl4=")</f>
        <v>#REF!</v>
      </c>
      <c r="CR35" t="e">
        <f>AND(#REF!,"AAAAAGjtfl8=")</f>
        <v>#REF!</v>
      </c>
      <c r="CS35" t="e">
        <f>AND(#REF!,"AAAAAGjtfmA=")</f>
        <v>#REF!</v>
      </c>
      <c r="CT35" t="e">
        <f>AND(#REF!,"AAAAAGjtfmE=")</f>
        <v>#REF!</v>
      </c>
      <c r="CU35" t="e">
        <f>AND(#REF!,"AAAAAGjtfmI=")</f>
        <v>#REF!</v>
      </c>
      <c r="CV35" t="e">
        <f>AND(#REF!,"AAAAAGjtfmM=")</f>
        <v>#REF!</v>
      </c>
      <c r="CW35" t="e">
        <f>AND(#REF!,"AAAAAGjtfmQ=")</f>
        <v>#REF!</v>
      </c>
      <c r="CX35" t="e">
        <f>AND(#REF!,"AAAAAGjtfmU=")</f>
        <v>#REF!</v>
      </c>
      <c r="CY35" t="e">
        <f>AND(#REF!,"AAAAAGjtfmY=")</f>
        <v>#REF!</v>
      </c>
      <c r="CZ35" t="e">
        <f>AND(#REF!,"AAAAAGjtfmc=")</f>
        <v>#REF!</v>
      </c>
      <c r="DA35" t="e">
        <f>AND(#REF!,"AAAAAGjtfmg=")</f>
        <v>#REF!</v>
      </c>
      <c r="DB35" t="e">
        <f>AND(#REF!,"AAAAAGjtfmk=")</f>
        <v>#REF!</v>
      </c>
      <c r="DC35" t="e">
        <f>AND(#REF!,"AAAAAGjtfmo=")</f>
        <v>#REF!</v>
      </c>
      <c r="DD35" t="e">
        <f>AND(#REF!,"AAAAAGjtfms=")</f>
        <v>#REF!</v>
      </c>
      <c r="DE35" t="e">
        <f>AND(#REF!,"AAAAAGjtfmw=")</f>
        <v>#REF!</v>
      </c>
      <c r="DF35" t="e">
        <f>AND(#REF!,"AAAAAGjtfm0=")</f>
        <v>#REF!</v>
      </c>
      <c r="DG35" t="e">
        <f>AND(#REF!,"AAAAAGjtfm4=")</f>
        <v>#REF!</v>
      </c>
      <c r="DH35" t="e">
        <f>AND(#REF!,"AAAAAGjtfm8=")</f>
        <v>#REF!</v>
      </c>
      <c r="DI35" t="e">
        <f>AND(#REF!,"AAAAAGjtfnA=")</f>
        <v>#REF!</v>
      </c>
      <c r="DJ35" t="e">
        <f>AND(#REF!,"AAAAAGjtfnE=")</f>
        <v>#REF!</v>
      </c>
      <c r="DK35" t="e">
        <f>AND(#REF!,"AAAAAGjtfnI=")</f>
        <v>#REF!</v>
      </c>
      <c r="DL35" t="e">
        <f>AND(#REF!,"AAAAAGjtfnM=")</f>
        <v>#REF!</v>
      </c>
      <c r="DM35" t="e">
        <f>AND(#REF!,"AAAAAGjtfnQ=")</f>
        <v>#REF!</v>
      </c>
      <c r="DN35" t="e">
        <f>AND(#REF!,"AAAAAGjtfnU=")</f>
        <v>#REF!</v>
      </c>
      <c r="DO35" t="e">
        <f>AND(#REF!,"AAAAAGjtfnY=")</f>
        <v>#REF!</v>
      </c>
      <c r="DP35" t="e">
        <f>AND(#REF!,"AAAAAGjtfnc=")</f>
        <v>#REF!</v>
      </c>
      <c r="DQ35" t="e">
        <f>AND(#REF!,"AAAAAGjtfng=")</f>
        <v>#REF!</v>
      </c>
      <c r="DR35" t="e">
        <f>AND(#REF!,"AAAAAGjtfnk=")</f>
        <v>#REF!</v>
      </c>
      <c r="DS35" t="e">
        <f>AND(#REF!,"AAAAAGjtfno=")</f>
        <v>#REF!</v>
      </c>
      <c r="DT35" t="e">
        <f>AND(#REF!,"AAAAAGjtfns=")</f>
        <v>#REF!</v>
      </c>
      <c r="DU35" t="e">
        <f>AND(#REF!,"AAAAAGjtfnw=")</f>
        <v>#REF!</v>
      </c>
      <c r="DV35" t="e">
        <f>AND(#REF!,"AAAAAGjtfn0=")</f>
        <v>#REF!</v>
      </c>
      <c r="DW35" t="e">
        <f>AND(#REF!,"AAAAAGjtfn4=")</f>
        <v>#REF!</v>
      </c>
      <c r="DX35" t="e">
        <f>AND(#REF!,"AAAAAGjtfn8=")</f>
        <v>#REF!</v>
      </c>
      <c r="DY35" t="e">
        <f>AND(#REF!,"AAAAAGjtfoA=")</f>
        <v>#REF!</v>
      </c>
      <c r="DZ35" t="e">
        <f>AND(#REF!,"AAAAAGjtfoE=")</f>
        <v>#REF!</v>
      </c>
      <c r="EA35" t="e">
        <f>AND(#REF!,"AAAAAGjtfoI=")</f>
        <v>#REF!</v>
      </c>
      <c r="EB35" t="e">
        <f>AND(#REF!,"AAAAAGjtfoM=")</f>
        <v>#REF!</v>
      </c>
      <c r="EC35" t="e">
        <f>AND(#REF!,"AAAAAGjtfoQ=")</f>
        <v>#REF!</v>
      </c>
      <c r="ED35" t="e">
        <f>AND(#REF!,"AAAAAGjtfoU=")</f>
        <v>#REF!</v>
      </c>
      <c r="EE35" t="e">
        <f>AND(#REF!,"AAAAAGjtfoY=")</f>
        <v>#REF!</v>
      </c>
      <c r="EF35" t="e">
        <f>AND(#REF!,"AAAAAGjtfoc=")</f>
        <v>#REF!</v>
      </c>
      <c r="EG35" t="e">
        <f>AND(#REF!,"AAAAAGjtfog=")</f>
        <v>#REF!</v>
      </c>
      <c r="EH35" t="e">
        <f>AND(#REF!,"AAAAAGjtfok=")</f>
        <v>#REF!</v>
      </c>
      <c r="EI35" t="e">
        <f>AND(#REF!,"AAAAAGjtfoo=")</f>
        <v>#REF!</v>
      </c>
      <c r="EJ35" t="e">
        <f>AND(#REF!,"AAAAAGjtfos=")</f>
        <v>#REF!</v>
      </c>
      <c r="EK35" t="e">
        <f>AND(#REF!,"AAAAAGjtfow=")</f>
        <v>#REF!</v>
      </c>
      <c r="EL35" t="e">
        <f>AND(#REF!,"AAAAAGjtfo0=")</f>
        <v>#REF!</v>
      </c>
      <c r="EM35" t="e">
        <f>AND(#REF!,"AAAAAGjtfo4=")</f>
        <v>#REF!</v>
      </c>
      <c r="EN35" t="e">
        <f>AND(#REF!,"AAAAAGjtfo8=")</f>
        <v>#REF!</v>
      </c>
      <c r="EO35" t="e">
        <f>AND(#REF!,"AAAAAGjtfpA=")</f>
        <v>#REF!</v>
      </c>
      <c r="EP35" t="e">
        <f>AND(#REF!,"AAAAAGjtfpE=")</f>
        <v>#REF!</v>
      </c>
      <c r="EQ35" t="e">
        <f>AND(#REF!,"AAAAAGjtfpI=")</f>
        <v>#REF!</v>
      </c>
      <c r="ER35" t="e">
        <f>AND(#REF!,"AAAAAGjtfpM=")</f>
        <v>#REF!</v>
      </c>
      <c r="ES35" t="e">
        <f>AND(#REF!,"AAAAAGjtfpQ=")</f>
        <v>#REF!</v>
      </c>
      <c r="ET35" t="e">
        <f>AND(#REF!,"AAAAAGjtfpU=")</f>
        <v>#REF!</v>
      </c>
      <c r="EU35" t="e">
        <f>AND(#REF!,"AAAAAGjtfpY=")</f>
        <v>#REF!</v>
      </c>
      <c r="EV35" t="e">
        <f>AND(#REF!,"AAAAAGjtfpc=")</f>
        <v>#REF!</v>
      </c>
      <c r="EW35" t="e">
        <f>AND(#REF!,"AAAAAGjtfpg=")</f>
        <v>#REF!</v>
      </c>
      <c r="EX35" t="e">
        <f>AND(#REF!,"AAAAAGjtfpk=")</f>
        <v>#REF!</v>
      </c>
      <c r="EY35" t="e">
        <f>AND(#REF!,"AAAAAGjtfpo=")</f>
        <v>#REF!</v>
      </c>
      <c r="EZ35" t="e">
        <f>AND(#REF!,"AAAAAGjtfps=")</f>
        <v>#REF!</v>
      </c>
      <c r="FA35" t="e">
        <f>AND(#REF!,"AAAAAGjtfpw=")</f>
        <v>#REF!</v>
      </c>
      <c r="FB35" t="e">
        <f>AND(#REF!,"AAAAAGjtfp0=")</f>
        <v>#REF!</v>
      </c>
      <c r="FC35" t="e">
        <f>AND(#REF!,"AAAAAGjtfp4=")</f>
        <v>#REF!</v>
      </c>
      <c r="FD35" t="e">
        <f>AND(#REF!,"AAAAAGjtfp8=")</f>
        <v>#REF!</v>
      </c>
      <c r="FE35" t="e">
        <f>AND(#REF!,"AAAAAGjtfqA=")</f>
        <v>#REF!</v>
      </c>
      <c r="FF35" t="e">
        <f>AND(#REF!,"AAAAAGjtfqE=")</f>
        <v>#REF!</v>
      </c>
      <c r="FG35" t="e">
        <f>AND(#REF!,"AAAAAGjtfqI=")</f>
        <v>#REF!</v>
      </c>
      <c r="FH35" t="e">
        <f>AND(#REF!,"AAAAAGjtfqM=")</f>
        <v>#REF!</v>
      </c>
      <c r="FI35" t="e">
        <f>AND(#REF!,"AAAAAGjtfqQ=")</f>
        <v>#REF!</v>
      </c>
      <c r="FJ35" t="e">
        <f>AND(#REF!,"AAAAAGjtfqU=")</f>
        <v>#REF!</v>
      </c>
      <c r="FK35" t="e">
        <f>AND(#REF!,"AAAAAGjtfqY=")</f>
        <v>#REF!</v>
      </c>
      <c r="FL35" t="e">
        <f>AND(#REF!,"AAAAAGjtfqc=")</f>
        <v>#REF!</v>
      </c>
      <c r="FM35" t="e">
        <f>AND(#REF!,"AAAAAGjtfqg=")</f>
        <v>#REF!</v>
      </c>
      <c r="FN35" t="e">
        <f>AND(#REF!,"AAAAAGjtfqk=")</f>
        <v>#REF!</v>
      </c>
      <c r="FO35" t="e">
        <f>AND(#REF!,"AAAAAGjtfqo=")</f>
        <v>#REF!</v>
      </c>
      <c r="FP35" t="e">
        <f>AND(#REF!,"AAAAAGjtfqs=")</f>
        <v>#REF!</v>
      </c>
      <c r="FQ35" t="e">
        <f>AND(#REF!,"AAAAAGjtfqw=")</f>
        <v>#REF!</v>
      </c>
      <c r="FR35" t="e">
        <f>AND(#REF!,"AAAAAGjtfq0=")</f>
        <v>#REF!</v>
      </c>
      <c r="FS35" t="e">
        <f>AND(#REF!,"AAAAAGjtfq4=")</f>
        <v>#REF!</v>
      </c>
      <c r="FT35" t="e">
        <f>AND(#REF!,"AAAAAGjtfq8=")</f>
        <v>#REF!</v>
      </c>
      <c r="FU35" t="e">
        <f>AND(#REF!,"AAAAAGjtfrA=")</f>
        <v>#REF!</v>
      </c>
      <c r="FV35" t="e">
        <f>AND(#REF!,"AAAAAGjtfrE=")</f>
        <v>#REF!</v>
      </c>
      <c r="FW35" t="e">
        <f>AND(#REF!,"AAAAAGjtfrI=")</f>
        <v>#REF!</v>
      </c>
      <c r="FX35" t="e">
        <f>AND(#REF!,"AAAAAGjtfrM=")</f>
        <v>#REF!</v>
      </c>
      <c r="FY35" t="e">
        <f>AND(#REF!,"AAAAAGjtfrQ=")</f>
        <v>#REF!</v>
      </c>
      <c r="FZ35" t="e">
        <f>AND(#REF!,"AAAAAGjtfrU=")</f>
        <v>#REF!</v>
      </c>
      <c r="GA35" t="e">
        <f>AND(#REF!,"AAAAAGjtfrY=")</f>
        <v>#REF!</v>
      </c>
      <c r="GB35" t="e">
        <f>AND(#REF!,"AAAAAGjtfrc=")</f>
        <v>#REF!</v>
      </c>
      <c r="GC35" t="e">
        <f>AND(#REF!,"AAAAAGjtfrg=")</f>
        <v>#REF!</v>
      </c>
      <c r="GD35" t="e">
        <f>AND(#REF!,"AAAAAGjtfrk=")</f>
        <v>#REF!</v>
      </c>
      <c r="GE35" t="e">
        <f>AND(#REF!,"AAAAAGjtfro=")</f>
        <v>#REF!</v>
      </c>
      <c r="GF35" t="e">
        <f>AND(#REF!,"AAAAAGjtfrs=")</f>
        <v>#REF!</v>
      </c>
      <c r="GG35" t="e">
        <f>AND(#REF!,"AAAAAGjtfrw=")</f>
        <v>#REF!</v>
      </c>
      <c r="GH35" t="e">
        <f>AND(#REF!,"AAAAAGjtfr0=")</f>
        <v>#REF!</v>
      </c>
      <c r="GI35" t="e">
        <f>AND(#REF!,"AAAAAGjtfr4=")</f>
        <v>#REF!</v>
      </c>
      <c r="GJ35" t="e">
        <f>AND(#REF!,"AAAAAGjtfr8=")</f>
        <v>#REF!</v>
      </c>
      <c r="GK35" t="e">
        <f>AND(#REF!,"AAAAAGjtfsA=")</f>
        <v>#REF!</v>
      </c>
      <c r="GL35" t="e">
        <f>AND(#REF!,"AAAAAGjtfsE=")</f>
        <v>#REF!</v>
      </c>
      <c r="GM35" t="e">
        <f>AND(#REF!,"AAAAAGjtfsI=")</f>
        <v>#REF!</v>
      </c>
      <c r="GN35" t="e">
        <f>AND(#REF!,"AAAAAGjtfsM=")</f>
        <v>#REF!</v>
      </c>
      <c r="GO35" t="e">
        <f>AND(#REF!,"AAAAAGjtfsQ=")</f>
        <v>#REF!</v>
      </c>
      <c r="GP35" t="e">
        <f>AND(#REF!,"AAAAAGjtfsU=")</f>
        <v>#REF!</v>
      </c>
      <c r="GQ35" t="e">
        <f>AND(#REF!,"AAAAAGjtfsY=")</f>
        <v>#REF!</v>
      </c>
      <c r="GR35" t="e">
        <f>AND(#REF!,"AAAAAGjtfsc=")</f>
        <v>#REF!</v>
      </c>
      <c r="GS35" t="e">
        <f>AND(#REF!,"AAAAAGjtfsg=")</f>
        <v>#REF!</v>
      </c>
      <c r="GT35" t="e">
        <f>AND(#REF!,"AAAAAGjtfsk=")</f>
        <v>#REF!</v>
      </c>
      <c r="GU35" t="e">
        <f>AND(#REF!,"AAAAAGjtfso=")</f>
        <v>#REF!</v>
      </c>
      <c r="GV35" t="e">
        <f>AND(#REF!,"AAAAAGjtfss=")</f>
        <v>#REF!</v>
      </c>
      <c r="GW35" t="e">
        <f>AND(#REF!,"AAAAAGjtfsw=")</f>
        <v>#REF!</v>
      </c>
      <c r="GX35" t="e">
        <f>AND(#REF!,"AAAAAGjtfs0=")</f>
        <v>#REF!</v>
      </c>
      <c r="GY35" t="e">
        <f>AND(#REF!,"AAAAAGjtfs4=")</f>
        <v>#REF!</v>
      </c>
      <c r="GZ35" t="e">
        <f>AND(#REF!,"AAAAAGjtfs8=")</f>
        <v>#REF!</v>
      </c>
      <c r="HA35" t="e">
        <f>AND(#REF!,"AAAAAGjtftA=")</f>
        <v>#REF!</v>
      </c>
      <c r="HB35" t="e">
        <f>AND(#REF!,"AAAAAGjtftE=")</f>
        <v>#REF!</v>
      </c>
      <c r="HC35" t="e">
        <f>AND(#REF!,"AAAAAGjtftI=")</f>
        <v>#REF!</v>
      </c>
      <c r="HD35" t="e">
        <f>AND(#REF!,"AAAAAGjtftM=")</f>
        <v>#REF!</v>
      </c>
      <c r="HE35" t="e">
        <f>AND(#REF!,"AAAAAGjtftQ=")</f>
        <v>#REF!</v>
      </c>
      <c r="HF35" t="e">
        <f>AND(#REF!,"AAAAAGjtftU=")</f>
        <v>#REF!</v>
      </c>
      <c r="HG35" t="e">
        <f>AND(#REF!,"AAAAAGjtftY=")</f>
        <v>#REF!</v>
      </c>
      <c r="HH35" t="e">
        <f>AND(#REF!,"AAAAAGjtftc=")</f>
        <v>#REF!</v>
      </c>
      <c r="HI35" t="e">
        <f>IF(#REF!,"AAAAAGjtftg=",0)</f>
        <v>#REF!</v>
      </c>
      <c r="HJ35" t="e">
        <f>AND(#REF!,"AAAAAGjtftk=")</f>
        <v>#REF!</v>
      </c>
      <c r="HK35" t="e">
        <f>AND(#REF!,"AAAAAGjtfto=")</f>
        <v>#REF!</v>
      </c>
      <c r="HL35" t="e">
        <f>AND(#REF!,"AAAAAGjtfts=")</f>
        <v>#REF!</v>
      </c>
      <c r="HM35" t="e">
        <f>AND(#REF!,"AAAAAGjtftw=")</f>
        <v>#REF!</v>
      </c>
      <c r="HN35" t="e">
        <f>AND(#REF!,"AAAAAGjtft0=")</f>
        <v>#REF!</v>
      </c>
      <c r="HO35" t="e">
        <f>AND(#REF!,"AAAAAGjtft4=")</f>
        <v>#REF!</v>
      </c>
      <c r="HP35" t="e">
        <f>AND(#REF!,"AAAAAGjtft8=")</f>
        <v>#REF!</v>
      </c>
      <c r="HQ35" t="e">
        <f>AND(#REF!,"AAAAAGjtfuA=")</f>
        <v>#REF!</v>
      </c>
      <c r="HR35" t="e">
        <f>AND(#REF!,"AAAAAGjtfuE=")</f>
        <v>#REF!</v>
      </c>
      <c r="HS35" t="e">
        <f>AND(#REF!,"AAAAAGjtfuI=")</f>
        <v>#REF!</v>
      </c>
      <c r="HT35" t="e">
        <f>AND(#REF!,"AAAAAGjtfuM=")</f>
        <v>#REF!</v>
      </c>
      <c r="HU35" t="e">
        <f>AND(#REF!,"AAAAAGjtfuQ=")</f>
        <v>#REF!</v>
      </c>
      <c r="HV35" t="e">
        <f>AND(#REF!,"AAAAAGjtfuU=")</f>
        <v>#REF!</v>
      </c>
      <c r="HW35" t="e">
        <f>AND(#REF!,"AAAAAGjtfuY=")</f>
        <v>#REF!</v>
      </c>
      <c r="HX35" t="e">
        <f>AND(#REF!,"AAAAAGjtfuc=")</f>
        <v>#REF!</v>
      </c>
      <c r="HY35" t="e">
        <f>AND(#REF!,"AAAAAGjtfug=")</f>
        <v>#REF!</v>
      </c>
      <c r="HZ35" t="e">
        <f>AND(#REF!,"AAAAAGjtfuk=")</f>
        <v>#REF!</v>
      </c>
      <c r="IA35" t="e">
        <f>AND(#REF!,"AAAAAGjtfuo=")</f>
        <v>#REF!</v>
      </c>
      <c r="IB35" t="e">
        <f>AND(#REF!,"AAAAAGjtfus=")</f>
        <v>#REF!</v>
      </c>
      <c r="IC35" t="e">
        <f>AND(#REF!,"AAAAAGjtfuw=")</f>
        <v>#REF!</v>
      </c>
      <c r="ID35" t="e">
        <f>AND(#REF!,"AAAAAGjtfu0=")</f>
        <v>#REF!</v>
      </c>
      <c r="IE35" t="e">
        <f>AND(#REF!,"AAAAAGjtfu4=")</f>
        <v>#REF!</v>
      </c>
      <c r="IF35" t="e">
        <f>AND(#REF!,"AAAAAGjtfu8=")</f>
        <v>#REF!</v>
      </c>
      <c r="IG35" t="e">
        <f>AND(#REF!,"AAAAAGjtfvA=")</f>
        <v>#REF!</v>
      </c>
      <c r="IH35" t="e">
        <f>AND(#REF!,"AAAAAGjtfvE=")</f>
        <v>#REF!</v>
      </c>
      <c r="II35" t="e">
        <f>AND(#REF!,"AAAAAGjtfvI=")</f>
        <v>#REF!</v>
      </c>
      <c r="IJ35" t="e">
        <f>AND(#REF!,"AAAAAGjtfvM=")</f>
        <v>#REF!</v>
      </c>
      <c r="IK35" t="e">
        <f>AND(#REF!,"AAAAAGjtfvQ=")</f>
        <v>#REF!</v>
      </c>
      <c r="IL35" t="e">
        <f>AND(#REF!,"AAAAAGjtfvU=")</f>
        <v>#REF!</v>
      </c>
      <c r="IM35" t="e">
        <f>AND(#REF!,"AAAAAGjtfvY=")</f>
        <v>#REF!</v>
      </c>
      <c r="IN35" t="e">
        <f>AND(#REF!,"AAAAAGjtfvc=")</f>
        <v>#REF!</v>
      </c>
      <c r="IO35" t="e">
        <f>AND(#REF!,"AAAAAGjtfvg=")</f>
        <v>#REF!</v>
      </c>
      <c r="IP35" t="e">
        <f>AND(#REF!,"AAAAAGjtfvk=")</f>
        <v>#REF!</v>
      </c>
      <c r="IQ35" t="e">
        <f>AND(#REF!,"AAAAAGjtfvo=")</f>
        <v>#REF!</v>
      </c>
      <c r="IR35" t="e">
        <f>AND(#REF!,"AAAAAGjtfvs=")</f>
        <v>#REF!</v>
      </c>
      <c r="IS35" t="e">
        <f>AND(#REF!,"AAAAAGjtfvw=")</f>
        <v>#REF!</v>
      </c>
      <c r="IT35" t="e">
        <f>AND(#REF!,"AAAAAGjtfv0=")</f>
        <v>#REF!</v>
      </c>
      <c r="IU35" t="e">
        <f>AND(#REF!,"AAAAAGjtfv4=")</f>
        <v>#REF!</v>
      </c>
      <c r="IV35" t="e">
        <f>AND(#REF!,"AAAAAGjtfv8=")</f>
        <v>#REF!</v>
      </c>
    </row>
    <row r="36" spans="1:256" x14ac:dyDescent="0.25">
      <c r="A36" t="e">
        <f>AND(#REF!,"AAAAAD84/gA=")</f>
        <v>#REF!</v>
      </c>
      <c r="B36" t="e">
        <f>AND(#REF!,"AAAAAD84/gE=")</f>
        <v>#REF!</v>
      </c>
      <c r="C36" t="e">
        <f>AND(#REF!,"AAAAAD84/gI=")</f>
        <v>#REF!</v>
      </c>
      <c r="D36" t="e">
        <f>AND(#REF!,"AAAAAD84/gM=")</f>
        <v>#REF!</v>
      </c>
      <c r="E36" t="e">
        <f>AND(#REF!,"AAAAAD84/gQ=")</f>
        <v>#REF!</v>
      </c>
      <c r="F36" t="e">
        <f>AND(#REF!,"AAAAAD84/gU=")</f>
        <v>#REF!</v>
      </c>
      <c r="G36" t="e">
        <f>AND(#REF!,"AAAAAD84/gY=")</f>
        <v>#REF!</v>
      </c>
      <c r="H36" t="e">
        <f>AND(#REF!,"AAAAAD84/gc=")</f>
        <v>#REF!</v>
      </c>
      <c r="I36" t="e">
        <f>AND(#REF!,"AAAAAD84/gg=")</f>
        <v>#REF!</v>
      </c>
      <c r="J36" t="e">
        <f>AND(#REF!,"AAAAAD84/gk=")</f>
        <v>#REF!</v>
      </c>
      <c r="K36" t="e">
        <f>AND(#REF!,"AAAAAD84/go=")</f>
        <v>#REF!</v>
      </c>
      <c r="L36" t="e">
        <f>AND(#REF!,"AAAAAD84/gs=")</f>
        <v>#REF!</v>
      </c>
      <c r="M36" t="e">
        <f>AND(#REF!,"AAAAAD84/gw=")</f>
        <v>#REF!</v>
      </c>
      <c r="N36" t="e">
        <f>AND(#REF!,"AAAAAD84/g0=")</f>
        <v>#REF!</v>
      </c>
      <c r="O36" t="e">
        <f>AND(#REF!,"AAAAAD84/g4=")</f>
        <v>#REF!</v>
      </c>
      <c r="P36" t="e">
        <f>AND(#REF!,"AAAAAD84/g8=")</f>
        <v>#REF!</v>
      </c>
      <c r="Q36" t="e">
        <f>AND(#REF!,"AAAAAD84/hA=")</f>
        <v>#REF!</v>
      </c>
      <c r="R36" t="e">
        <f>AND(#REF!,"AAAAAD84/hE=")</f>
        <v>#REF!</v>
      </c>
      <c r="S36" t="e">
        <f>AND(#REF!,"AAAAAD84/hI=")</f>
        <v>#REF!</v>
      </c>
      <c r="T36" t="e">
        <f>AND(#REF!,"AAAAAD84/hM=")</f>
        <v>#REF!</v>
      </c>
      <c r="U36" t="e">
        <f>AND(#REF!,"AAAAAD84/hQ=")</f>
        <v>#REF!</v>
      </c>
      <c r="V36" t="e">
        <f>AND(#REF!,"AAAAAD84/hU=")</f>
        <v>#REF!</v>
      </c>
      <c r="W36" t="e">
        <f>AND(#REF!,"AAAAAD84/hY=")</f>
        <v>#REF!</v>
      </c>
      <c r="X36" t="e">
        <f>AND(#REF!,"AAAAAD84/hc=")</f>
        <v>#REF!</v>
      </c>
      <c r="Y36" t="e">
        <f>AND(#REF!,"AAAAAD84/hg=")</f>
        <v>#REF!</v>
      </c>
      <c r="Z36" t="e">
        <f>AND(#REF!,"AAAAAD84/hk=")</f>
        <v>#REF!</v>
      </c>
      <c r="AA36" t="e">
        <f>AND(#REF!,"AAAAAD84/ho=")</f>
        <v>#REF!</v>
      </c>
      <c r="AB36" t="e">
        <f>AND(#REF!,"AAAAAD84/hs=")</f>
        <v>#REF!</v>
      </c>
      <c r="AC36" t="e">
        <f>AND(#REF!,"AAAAAD84/hw=")</f>
        <v>#REF!</v>
      </c>
      <c r="AD36" t="e">
        <f>AND(#REF!,"AAAAAD84/h0=")</f>
        <v>#REF!</v>
      </c>
      <c r="AE36" t="e">
        <f>AND(#REF!,"AAAAAD84/h4=")</f>
        <v>#REF!</v>
      </c>
      <c r="AF36" t="e">
        <f>AND(#REF!,"AAAAAD84/h8=")</f>
        <v>#REF!</v>
      </c>
      <c r="AG36" t="e">
        <f>AND(#REF!,"AAAAAD84/iA=")</f>
        <v>#REF!</v>
      </c>
      <c r="AH36" t="e">
        <f>AND(#REF!,"AAAAAD84/iE=")</f>
        <v>#REF!</v>
      </c>
      <c r="AI36" t="e">
        <f>AND(#REF!,"AAAAAD84/iI=")</f>
        <v>#REF!</v>
      </c>
      <c r="AJ36" t="e">
        <f>AND(#REF!,"AAAAAD84/iM=")</f>
        <v>#REF!</v>
      </c>
      <c r="AK36" t="e">
        <f>AND(#REF!,"AAAAAD84/iQ=")</f>
        <v>#REF!</v>
      </c>
      <c r="AL36" t="e">
        <f>AND(#REF!,"AAAAAD84/iU=")</f>
        <v>#REF!</v>
      </c>
      <c r="AM36" t="e">
        <f>AND(#REF!,"AAAAAD84/iY=")</f>
        <v>#REF!</v>
      </c>
      <c r="AN36" t="e">
        <f>AND(#REF!,"AAAAAD84/ic=")</f>
        <v>#REF!</v>
      </c>
      <c r="AO36" t="e">
        <f>AND(#REF!,"AAAAAD84/ig=")</f>
        <v>#REF!</v>
      </c>
      <c r="AP36" t="e">
        <f>AND(#REF!,"AAAAAD84/ik=")</f>
        <v>#REF!</v>
      </c>
      <c r="AQ36" t="e">
        <f>AND(#REF!,"AAAAAD84/io=")</f>
        <v>#REF!</v>
      </c>
      <c r="AR36" t="e">
        <f>AND(#REF!,"AAAAAD84/is=")</f>
        <v>#REF!</v>
      </c>
      <c r="AS36" t="e">
        <f>AND(#REF!,"AAAAAD84/iw=")</f>
        <v>#REF!</v>
      </c>
      <c r="AT36" t="e">
        <f>AND(#REF!,"AAAAAD84/i0=")</f>
        <v>#REF!</v>
      </c>
      <c r="AU36" t="e">
        <f>AND(#REF!,"AAAAAD84/i4=")</f>
        <v>#REF!</v>
      </c>
      <c r="AV36" t="e">
        <f>AND(#REF!,"AAAAAD84/i8=")</f>
        <v>#REF!</v>
      </c>
      <c r="AW36" t="e">
        <f>AND(#REF!,"AAAAAD84/jA=")</f>
        <v>#REF!</v>
      </c>
      <c r="AX36" t="e">
        <f>AND(#REF!,"AAAAAD84/jE=")</f>
        <v>#REF!</v>
      </c>
      <c r="AY36" t="e">
        <f>AND(#REF!,"AAAAAD84/jI=")</f>
        <v>#REF!</v>
      </c>
      <c r="AZ36" t="e">
        <f>AND(#REF!,"AAAAAD84/jM=")</f>
        <v>#REF!</v>
      </c>
      <c r="BA36" t="e">
        <f>AND(#REF!,"AAAAAD84/jQ=")</f>
        <v>#REF!</v>
      </c>
      <c r="BB36" t="e">
        <f>AND(#REF!,"AAAAAD84/jU=")</f>
        <v>#REF!</v>
      </c>
      <c r="BC36" t="e">
        <f>AND(#REF!,"AAAAAD84/jY=")</f>
        <v>#REF!</v>
      </c>
      <c r="BD36" t="e">
        <f>AND(#REF!,"AAAAAD84/jc=")</f>
        <v>#REF!</v>
      </c>
      <c r="BE36" t="e">
        <f>AND(#REF!,"AAAAAD84/jg=")</f>
        <v>#REF!</v>
      </c>
      <c r="BF36" t="e">
        <f>AND(#REF!,"AAAAAD84/jk=")</f>
        <v>#REF!</v>
      </c>
      <c r="BG36" t="e">
        <f>AND(#REF!,"AAAAAD84/jo=")</f>
        <v>#REF!</v>
      </c>
      <c r="BH36" t="e">
        <f>AND(#REF!,"AAAAAD84/js=")</f>
        <v>#REF!</v>
      </c>
      <c r="BI36" t="e">
        <f>AND(#REF!,"AAAAAD84/jw=")</f>
        <v>#REF!</v>
      </c>
      <c r="BJ36" t="e">
        <f>AND(#REF!,"AAAAAD84/j0=")</f>
        <v>#REF!</v>
      </c>
      <c r="BK36" t="e">
        <f>AND(#REF!,"AAAAAD84/j4=")</f>
        <v>#REF!</v>
      </c>
      <c r="BL36" t="e">
        <f>AND(#REF!,"AAAAAD84/j8=")</f>
        <v>#REF!</v>
      </c>
      <c r="BM36" t="e">
        <f>AND(#REF!,"AAAAAD84/kA=")</f>
        <v>#REF!</v>
      </c>
      <c r="BN36" t="e">
        <f>AND(#REF!,"AAAAAD84/kE=")</f>
        <v>#REF!</v>
      </c>
      <c r="BO36" t="e">
        <f>AND(#REF!,"AAAAAD84/kI=")</f>
        <v>#REF!</v>
      </c>
      <c r="BP36" t="e">
        <f>AND(#REF!,"AAAAAD84/kM=")</f>
        <v>#REF!</v>
      </c>
      <c r="BQ36" t="e">
        <f>AND(#REF!,"AAAAAD84/kQ=")</f>
        <v>#REF!</v>
      </c>
      <c r="BR36" t="e">
        <f>AND(#REF!,"AAAAAD84/kU=")</f>
        <v>#REF!</v>
      </c>
      <c r="BS36" t="e">
        <f>AND(#REF!,"AAAAAD84/kY=")</f>
        <v>#REF!</v>
      </c>
      <c r="BT36" t="e">
        <f>AND(#REF!,"AAAAAD84/kc=")</f>
        <v>#REF!</v>
      </c>
      <c r="BU36" t="e">
        <f>AND(#REF!,"AAAAAD84/kg=")</f>
        <v>#REF!</v>
      </c>
      <c r="BV36" t="e">
        <f>AND(#REF!,"AAAAAD84/kk=")</f>
        <v>#REF!</v>
      </c>
      <c r="BW36" t="e">
        <f>AND(#REF!,"AAAAAD84/ko=")</f>
        <v>#REF!</v>
      </c>
      <c r="BX36" t="e">
        <f>AND(#REF!,"AAAAAD84/ks=")</f>
        <v>#REF!</v>
      </c>
      <c r="BY36" t="e">
        <f>AND(#REF!,"AAAAAD84/kw=")</f>
        <v>#REF!</v>
      </c>
      <c r="BZ36" t="e">
        <f>AND(#REF!,"AAAAAD84/k0=")</f>
        <v>#REF!</v>
      </c>
      <c r="CA36" t="e">
        <f>AND(#REF!,"AAAAAD84/k4=")</f>
        <v>#REF!</v>
      </c>
      <c r="CB36" t="e">
        <f>AND(#REF!,"AAAAAD84/k8=")</f>
        <v>#REF!</v>
      </c>
      <c r="CC36" t="e">
        <f>AND(#REF!,"AAAAAD84/lA=")</f>
        <v>#REF!</v>
      </c>
      <c r="CD36" t="e">
        <f>AND(#REF!,"AAAAAD84/lE=")</f>
        <v>#REF!</v>
      </c>
      <c r="CE36" t="e">
        <f>AND(#REF!,"AAAAAD84/lI=")</f>
        <v>#REF!</v>
      </c>
      <c r="CF36" t="e">
        <f>AND(#REF!,"AAAAAD84/lM=")</f>
        <v>#REF!</v>
      </c>
      <c r="CG36" t="e">
        <f>AND(#REF!,"AAAAAD84/lQ=")</f>
        <v>#REF!</v>
      </c>
      <c r="CH36" t="e">
        <f>AND(#REF!,"AAAAAD84/lU=")</f>
        <v>#REF!</v>
      </c>
      <c r="CI36" t="e">
        <f>AND(#REF!,"AAAAAD84/lY=")</f>
        <v>#REF!</v>
      </c>
      <c r="CJ36" t="e">
        <f>AND(#REF!,"AAAAAD84/lc=")</f>
        <v>#REF!</v>
      </c>
      <c r="CK36" t="e">
        <f>AND(#REF!,"AAAAAD84/lg=")</f>
        <v>#REF!</v>
      </c>
      <c r="CL36" t="e">
        <f>AND(#REF!,"AAAAAD84/lk=")</f>
        <v>#REF!</v>
      </c>
      <c r="CM36" t="e">
        <f>AND(#REF!,"AAAAAD84/lo=")</f>
        <v>#REF!</v>
      </c>
      <c r="CN36" t="e">
        <f>AND(#REF!,"AAAAAD84/ls=")</f>
        <v>#REF!</v>
      </c>
      <c r="CO36" t="e">
        <f>AND(#REF!,"AAAAAD84/lw=")</f>
        <v>#REF!</v>
      </c>
      <c r="CP36" t="e">
        <f>AND(#REF!,"AAAAAD84/l0=")</f>
        <v>#REF!</v>
      </c>
      <c r="CQ36" t="e">
        <f>AND(#REF!,"AAAAAD84/l4=")</f>
        <v>#REF!</v>
      </c>
      <c r="CR36" t="e">
        <f>AND(#REF!,"AAAAAD84/l8=")</f>
        <v>#REF!</v>
      </c>
      <c r="CS36" t="e">
        <f>AND(#REF!,"AAAAAD84/mA=")</f>
        <v>#REF!</v>
      </c>
      <c r="CT36" t="e">
        <f>AND(#REF!,"AAAAAD84/mE=")</f>
        <v>#REF!</v>
      </c>
      <c r="CU36" t="e">
        <f>AND(#REF!,"AAAAAD84/mI=")</f>
        <v>#REF!</v>
      </c>
      <c r="CV36" t="e">
        <f>AND(#REF!,"AAAAAD84/mM=")</f>
        <v>#REF!</v>
      </c>
      <c r="CW36" t="e">
        <f>AND(#REF!,"AAAAAD84/mQ=")</f>
        <v>#REF!</v>
      </c>
      <c r="CX36" t="e">
        <f>AND(#REF!,"AAAAAD84/mU=")</f>
        <v>#REF!</v>
      </c>
      <c r="CY36" t="e">
        <f>AND(#REF!,"AAAAAD84/mY=")</f>
        <v>#REF!</v>
      </c>
      <c r="CZ36" t="e">
        <f>AND(#REF!,"AAAAAD84/mc=")</f>
        <v>#REF!</v>
      </c>
      <c r="DA36" t="e">
        <f>AND(#REF!,"AAAAAD84/mg=")</f>
        <v>#REF!</v>
      </c>
      <c r="DB36" t="e">
        <f>AND(#REF!,"AAAAAD84/mk=")</f>
        <v>#REF!</v>
      </c>
      <c r="DC36" t="e">
        <f>AND(#REF!,"AAAAAD84/mo=")</f>
        <v>#REF!</v>
      </c>
      <c r="DD36" t="e">
        <f>AND(#REF!,"AAAAAD84/ms=")</f>
        <v>#REF!</v>
      </c>
      <c r="DE36" t="e">
        <f>AND(#REF!,"AAAAAD84/mw=")</f>
        <v>#REF!</v>
      </c>
      <c r="DF36" t="e">
        <f>AND(#REF!,"AAAAAD84/m0=")</f>
        <v>#REF!</v>
      </c>
      <c r="DG36" t="e">
        <f>AND(#REF!,"AAAAAD84/m4=")</f>
        <v>#REF!</v>
      </c>
      <c r="DH36" t="e">
        <f>AND(#REF!,"AAAAAD84/m8=")</f>
        <v>#REF!</v>
      </c>
      <c r="DI36" t="e">
        <f>AND(#REF!,"AAAAAD84/nA=")</f>
        <v>#REF!</v>
      </c>
      <c r="DJ36" t="e">
        <f>AND(#REF!,"AAAAAD84/nE=")</f>
        <v>#REF!</v>
      </c>
      <c r="DK36" t="e">
        <f>AND(#REF!,"AAAAAD84/nI=")</f>
        <v>#REF!</v>
      </c>
      <c r="DL36" t="e">
        <f>AND(#REF!,"AAAAAD84/nM=")</f>
        <v>#REF!</v>
      </c>
      <c r="DM36" t="e">
        <f>AND(#REF!,"AAAAAD84/nQ=")</f>
        <v>#REF!</v>
      </c>
      <c r="DN36" t="e">
        <f>AND(#REF!,"AAAAAD84/nU=")</f>
        <v>#REF!</v>
      </c>
      <c r="DO36" t="e">
        <f>AND(#REF!,"AAAAAD84/nY=")</f>
        <v>#REF!</v>
      </c>
      <c r="DP36" t="e">
        <f>AND(#REF!,"AAAAAD84/nc=")</f>
        <v>#REF!</v>
      </c>
      <c r="DQ36" t="e">
        <f>AND(#REF!,"AAAAAD84/ng=")</f>
        <v>#REF!</v>
      </c>
      <c r="DR36" t="e">
        <f>AND(#REF!,"AAAAAD84/nk=")</f>
        <v>#REF!</v>
      </c>
      <c r="DS36" t="e">
        <f>AND(#REF!,"AAAAAD84/no=")</f>
        <v>#REF!</v>
      </c>
      <c r="DT36" t="e">
        <f>AND(#REF!,"AAAAAD84/ns=")</f>
        <v>#REF!</v>
      </c>
      <c r="DU36" t="e">
        <f>AND(#REF!,"AAAAAD84/nw=")</f>
        <v>#REF!</v>
      </c>
      <c r="DV36" t="e">
        <f>AND(#REF!,"AAAAAD84/n0=")</f>
        <v>#REF!</v>
      </c>
      <c r="DW36" t="e">
        <f>AND(#REF!,"AAAAAD84/n4=")</f>
        <v>#REF!</v>
      </c>
      <c r="DX36" t="e">
        <f>AND(#REF!,"AAAAAD84/n8=")</f>
        <v>#REF!</v>
      </c>
      <c r="DY36" t="e">
        <f>AND(#REF!,"AAAAAD84/oA=")</f>
        <v>#REF!</v>
      </c>
      <c r="DZ36" t="e">
        <f>AND(#REF!,"AAAAAD84/oE=")</f>
        <v>#REF!</v>
      </c>
      <c r="EA36" t="e">
        <f>AND(#REF!,"AAAAAD84/oI=")</f>
        <v>#REF!</v>
      </c>
      <c r="EB36" t="e">
        <f>AND(#REF!,"AAAAAD84/oM=")</f>
        <v>#REF!</v>
      </c>
      <c r="EC36" t="e">
        <f>AND(#REF!,"AAAAAD84/oQ=")</f>
        <v>#REF!</v>
      </c>
      <c r="ED36" t="e">
        <f>AND(#REF!,"AAAAAD84/oU=")</f>
        <v>#REF!</v>
      </c>
      <c r="EE36" t="e">
        <f>AND(#REF!,"AAAAAD84/oY=")</f>
        <v>#REF!</v>
      </c>
      <c r="EF36" t="e">
        <f>AND(#REF!,"AAAAAD84/oc=")</f>
        <v>#REF!</v>
      </c>
      <c r="EG36" t="e">
        <f>AND(#REF!,"AAAAAD84/og=")</f>
        <v>#REF!</v>
      </c>
      <c r="EH36" t="e">
        <f>AND(#REF!,"AAAAAD84/ok=")</f>
        <v>#REF!</v>
      </c>
      <c r="EI36" t="e">
        <f>AND(#REF!,"AAAAAD84/oo=")</f>
        <v>#REF!</v>
      </c>
      <c r="EJ36" t="e">
        <f>AND(#REF!,"AAAAAD84/os=")</f>
        <v>#REF!</v>
      </c>
      <c r="EK36" t="e">
        <f>AND(#REF!,"AAAAAD84/ow=")</f>
        <v>#REF!</v>
      </c>
      <c r="EL36" t="e">
        <f>AND(#REF!,"AAAAAD84/o0=")</f>
        <v>#REF!</v>
      </c>
      <c r="EM36" t="e">
        <f>AND(#REF!,"AAAAAD84/o4=")</f>
        <v>#REF!</v>
      </c>
      <c r="EN36" t="e">
        <f>AND(#REF!,"AAAAAD84/o8=")</f>
        <v>#REF!</v>
      </c>
      <c r="EO36" t="e">
        <f>AND(#REF!,"AAAAAD84/pA=")</f>
        <v>#REF!</v>
      </c>
      <c r="EP36" t="e">
        <f>AND(#REF!,"AAAAAD84/pE=")</f>
        <v>#REF!</v>
      </c>
      <c r="EQ36" t="e">
        <f>AND(#REF!,"AAAAAD84/pI=")</f>
        <v>#REF!</v>
      </c>
      <c r="ER36" t="e">
        <f>AND(#REF!,"AAAAAD84/pM=")</f>
        <v>#REF!</v>
      </c>
      <c r="ES36" t="e">
        <f>AND(#REF!,"AAAAAD84/pQ=")</f>
        <v>#REF!</v>
      </c>
      <c r="ET36" t="e">
        <f>IF(#REF!,"AAAAAD84/pU=",0)</f>
        <v>#REF!</v>
      </c>
      <c r="EU36" t="e">
        <f>AND(#REF!,"AAAAAD84/pY=")</f>
        <v>#REF!</v>
      </c>
      <c r="EV36" t="e">
        <f>AND(#REF!,"AAAAAD84/pc=")</f>
        <v>#REF!</v>
      </c>
      <c r="EW36" t="e">
        <f>AND(#REF!,"AAAAAD84/pg=")</f>
        <v>#REF!</v>
      </c>
      <c r="EX36" t="e">
        <f>AND(#REF!,"AAAAAD84/pk=")</f>
        <v>#REF!</v>
      </c>
      <c r="EY36" t="e">
        <f>AND(#REF!,"AAAAAD84/po=")</f>
        <v>#REF!</v>
      </c>
      <c r="EZ36" t="e">
        <f>AND(#REF!,"AAAAAD84/ps=")</f>
        <v>#REF!</v>
      </c>
      <c r="FA36" t="e">
        <f>AND(#REF!,"AAAAAD84/pw=")</f>
        <v>#REF!</v>
      </c>
      <c r="FB36" t="e">
        <f>AND(#REF!,"AAAAAD84/p0=")</f>
        <v>#REF!</v>
      </c>
      <c r="FC36" t="e">
        <f>AND(#REF!,"AAAAAD84/p4=")</f>
        <v>#REF!</v>
      </c>
      <c r="FD36" t="e">
        <f>AND(#REF!,"AAAAAD84/p8=")</f>
        <v>#REF!</v>
      </c>
      <c r="FE36" t="e">
        <f>AND(#REF!,"AAAAAD84/qA=")</f>
        <v>#REF!</v>
      </c>
      <c r="FF36" t="e">
        <f>AND(#REF!,"AAAAAD84/qE=")</f>
        <v>#REF!</v>
      </c>
      <c r="FG36" t="e">
        <f>AND(#REF!,"AAAAAD84/qI=")</f>
        <v>#REF!</v>
      </c>
      <c r="FH36" t="e">
        <f>AND(#REF!,"AAAAAD84/qM=")</f>
        <v>#REF!</v>
      </c>
      <c r="FI36" t="e">
        <f>AND(#REF!,"AAAAAD84/qQ=")</f>
        <v>#REF!</v>
      </c>
      <c r="FJ36" t="e">
        <f>AND(#REF!,"AAAAAD84/qU=")</f>
        <v>#REF!</v>
      </c>
      <c r="FK36" t="e">
        <f>AND(#REF!,"AAAAAD84/qY=")</f>
        <v>#REF!</v>
      </c>
      <c r="FL36" t="e">
        <f>AND(#REF!,"AAAAAD84/qc=")</f>
        <v>#REF!</v>
      </c>
      <c r="FM36" t="e">
        <f>AND(#REF!,"AAAAAD84/qg=")</f>
        <v>#REF!</v>
      </c>
      <c r="FN36" t="e">
        <f>AND(#REF!,"AAAAAD84/qk=")</f>
        <v>#REF!</v>
      </c>
      <c r="FO36" t="e">
        <f>AND(#REF!,"AAAAAD84/qo=")</f>
        <v>#REF!</v>
      </c>
      <c r="FP36" t="e">
        <f>AND(#REF!,"AAAAAD84/qs=")</f>
        <v>#REF!</v>
      </c>
      <c r="FQ36" t="e">
        <f>AND(#REF!,"AAAAAD84/qw=")</f>
        <v>#REF!</v>
      </c>
      <c r="FR36" t="e">
        <f>AND(#REF!,"AAAAAD84/q0=")</f>
        <v>#REF!</v>
      </c>
      <c r="FS36" t="e">
        <f>AND(#REF!,"AAAAAD84/q4=")</f>
        <v>#REF!</v>
      </c>
      <c r="FT36" t="e">
        <f>AND(#REF!,"AAAAAD84/q8=")</f>
        <v>#REF!</v>
      </c>
      <c r="FU36" t="e">
        <f>AND(#REF!,"AAAAAD84/rA=")</f>
        <v>#REF!</v>
      </c>
      <c r="FV36" t="e">
        <f>AND(#REF!,"AAAAAD84/rE=")</f>
        <v>#REF!</v>
      </c>
      <c r="FW36" t="e">
        <f>AND(#REF!,"AAAAAD84/rI=")</f>
        <v>#REF!</v>
      </c>
      <c r="FX36" t="e">
        <f>AND(#REF!,"AAAAAD84/rM=")</f>
        <v>#REF!</v>
      </c>
      <c r="FY36" t="e">
        <f>AND(#REF!,"AAAAAD84/rQ=")</f>
        <v>#REF!</v>
      </c>
      <c r="FZ36" t="e">
        <f>AND(#REF!,"AAAAAD84/rU=")</f>
        <v>#REF!</v>
      </c>
      <c r="GA36" t="e">
        <f>AND(#REF!,"AAAAAD84/rY=")</f>
        <v>#REF!</v>
      </c>
      <c r="GB36" t="e">
        <f>AND(#REF!,"AAAAAD84/rc=")</f>
        <v>#REF!</v>
      </c>
      <c r="GC36" t="e">
        <f>AND(#REF!,"AAAAAD84/rg=")</f>
        <v>#REF!</v>
      </c>
      <c r="GD36" t="e">
        <f>AND(#REF!,"AAAAAD84/rk=")</f>
        <v>#REF!</v>
      </c>
      <c r="GE36" t="e">
        <f>AND(#REF!,"AAAAAD84/ro=")</f>
        <v>#REF!</v>
      </c>
      <c r="GF36" t="e">
        <f>AND(#REF!,"AAAAAD84/rs=")</f>
        <v>#REF!</v>
      </c>
      <c r="GG36" t="e">
        <f>AND(#REF!,"AAAAAD84/rw=")</f>
        <v>#REF!</v>
      </c>
      <c r="GH36" t="e">
        <f>AND(#REF!,"AAAAAD84/r0=")</f>
        <v>#REF!</v>
      </c>
      <c r="GI36" t="e">
        <f>AND(#REF!,"AAAAAD84/r4=")</f>
        <v>#REF!</v>
      </c>
      <c r="GJ36" t="e">
        <f>AND(#REF!,"AAAAAD84/r8=")</f>
        <v>#REF!</v>
      </c>
      <c r="GK36" t="e">
        <f>AND(#REF!,"AAAAAD84/sA=")</f>
        <v>#REF!</v>
      </c>
      <c r="GL36" t="e">
        <f>AND(#REF!,"AAAAAD84/sE=")</f>
        <v>#REF!</v>
      </c>
      <c r="GM36" t="e">
        <f>AND(#REF!,"AAAAAD84/sI=")</f>
        <v>#REF!</v>
      </c>
      <c r="GN36" t="e">
        <f>AND(#REF!,"AAAAAD84/sM=")</f>
        <v>#REF!</v>
      </c>
      <c r="GO36" t="e">
        <f>AND(#REF!,"AAAAAD84/sQ=")</f>
        <v>#REF!</v>
      </c>
      <c r="GP36" t="e">
        <f>AND(#REF!,"AAAAAD84/sU=")</f>
        <v>#REF!</v>
      </c>
      <c r="GQ36" t="e">
        <f>AND(#REF!,"AAAAAD84/sY=")</f>
        <v>#REF!</v>
      </c>
      <c r="GR36" t="e">
        <f>AND(#REF!,"AAAAAD84/sc=")</f>
        <v>#REF!</v>
      </c>
      <c r="GS36" t="e">
        <f>AND(#REF!,"AAAAAD84/sg=")</f>
        <v>#REF!</v>
      </c>
      <c r="GT36" t="e">
        <f>AND(#REF!,"AAAAAD84/sk=")</f>
        <v>#REF!</v>
      </c>
      <c r="GU36" t="e">
        <f>AND(#REF!,"AAAAAD84/so=")</f>
        <v>#REF!</v>
      </c>
      <c r="GV36" t="e">
        <f>AND(#REF!,"AAAAAD84/ss=")</f>
        <v>#REF!</v>
      </c>
      <c r="GW36" t="e">
        <f>AND(#REF!,"AAAAAD84/sw=")</f>
        <v>#REF!</v>
      </c>
      <c r="GX36" t="e">
        <f>AND(#REF!,"AAAAAD84/s0=")</f>
        <v>#REF!</v>
      </c>
      <c r="GY36" t="e">
        <f>AND(#REF!,"AAAAAD84/s4=")</f>
        <v>#REF!</v>
      </c>
      <c r="GZ36" t="e">
        <f>AND(#REF!,"AAAAAD84/s8=")</f>
        <v>#REF!</v>
      </c>
      <c r="HA36" t="e">
        <f>AND(#REF!,"AAAAAD84/tA=")</f>
        <v>#REF!</v>
      </c>
      <c r="HB36" t="e">
        <f>AND(#REF!,"AAAAAD84/tE=")</f>
        <v>#REF!</v>
      </c>
      <c r="HC36" t="e">
        <f>AND(#REF!,"AAAAAD84/tI=")</f>
        <v>#REF!</v>
      </c>
      <c r="HD36" t="e">
        <f>AND(#REF!,"AAAAAD84/tM=")</f>
        <v>#REF!</v>
      </c>
      <c r="HE36" t="e">
        <f>AND(#REF!,"AAAAAD84/tQ=")</f>
        <v>#REF!</v>
      </c>
      <c r="HF36" t="e">
        <f>AND(#REF!,"AAAAAD84/tU=")</f>
        <v>#REF!</v>
      </c>
      <c r="HG36" t="e">
        <f>AND(#REF!,"AAAAAD84/tY=")</f>
        <v>#REF!</v>
      </c>
      <c r="HH36" t="e">
        <f>AND(#REF!,"AAAAAD84/tc=")</f>
        <v>#REF!</v>
      </c>
      <c r="HI36" t="e">
        <f>AND(#REF!,"AAAAAD84/tg=")</f>
        <v>#REF!</v>
      </c>
      <c r="HJ36" t="e">
        <f>AND(#REF!,"AAAAAD84/tk=")</f>
        <v>#REF!</v>
      </c>
      <c r="HK36" t="e">
        <f>AND(#REF!,"AAAAAD84/to=")</f>
        <v>#REF!</v>
      </c>
      <c r="HL36" t="e">
        <f>AND(#REF!,"AAAAAD84/ts=")</f>
        <v>#REF!</v>
      </c>
      <c r="HM36" t="e">
        <f>AND(#REF!,"AAAAAD84/tw=")</f>
        <v>#REF!</v>
      </c>
      <c r="HN36" t="e">
        <f>AND(#REF!,"AAAAAD84/t0=")</f>
        <v>#REF!</v>
      </c>
      <c r="HO36" t="e">
        <f>AND(#REF!,"AAAAAD84/t4=")</f>
        <v>#REF!</v>
      </c>
      <c r="HP36" t="e">
        <f>AND(#REF!,"AAAAAD84/t8=")</f>
        <v>#REF!</v>
      </c>
      <c r="HQ36" t="e">
        <f>AND(#REF!,"AAAAAD84/uA=")</f>
        <v>#REF!</v>
      </c>
      <c r="HR36" t="e">
        <f>AND(#REF!,"AAAAAD84/uE=")</f>
        <v>#REF!</v>
      </c>
      <c r="HS36" t="e">
        <f>AND(#REF!,"AAAAAD84/uI=")</f>
        <v>#REF!</v>
      </c>
      <c r="HT36" t="e">
        <f>AND(#REF!,"AAAAAD84/uM=")</f>
        <v>#REF!</v>
      </c>
      <c r="HU36" t="e">
        <f>AND(#REF!,"AAAAAD84/uQ=")</f>
        <v>#REF!</v>
      </c>
      <c r="HV36" t="e">
        <f>AND(#REF!,"AAAAAD84/uU=")</f>
        <v>#REF!</v>
      </c>
      <c r="HW36" t="e">
        <f>AND(#REF!,"AAAAAD84/uY=")</f>
        <v>#REF!</v>
      </c>
      <c r="HX36" t="e">
        <f>AND(#REF!,"AAAAAD84/uc=")</f>
        <v>#REF!</v>
      </c>
      <c r="HY36" t="e">
        <f>AND(#REF!,"AAAAAD84/ug=")</f>
        <v>#REF!</v>
      </c>
      <c r="HZ36" t="e">
        <f>AND(#REF!,"AAAAAD84/uk=")</f>
        <v>#REF!</v>
      </c>
      <c r="IA36" t="e">
        <f>AND(#REF!,"AAAAAD84/uo=")</f>
        <v>#REF!</v>
      </c>
      <c r="IB36" t="e">
        <f>AND(#REF!,"AAAAAD84/us=")</f>
        <v>#REF!</v>
      </c>
      <c r="IC36" t="e">
        <f>AND(#REF!,"AAAAAD84/uw=")</f>
        <v>#REF!</v>
      </c>
      <c r="ID36" t="e">
        <f>AND(#REF!,"AAAAAD84/u0=")</f>
        <v>#REF!</v>
      </c>
      <c r="IE36" t="e">
        <f>AND(#REF!,"AAAAAD84/u4=")</f>
        <v>#REF!</v>
      </c>
      <c r="IF36" t="e">
        <f>AND(#REF!,"AAAAAD84/u8=")</f>
        <v>#REF!</v>
      </c>
      <c r="IG36" t="e">
        <f>AND(#REF!,"AAAAAD84/vA=")</f>
        <v>#REF!</v>
      </c>
      <c r="IH36" t="e">
        <f>AND(#REF!,"AAAAAD84/vE=")</f>
        <v>#REF!</v>
      </c>
      <c r="II36" t="e">
        <f>AND(#REF!,"AAAAAD84/vI=")</f>
        <v>#REF!</v>
      </c>
      <c r="IJ36" t="e">
        <f>AND(#REF!,"AAAAAD84/vM=")</f>
        <v>#REF!</v>
      </c>
      <c r="IK36" t="e">
        <f>AND(#REF!,"AAAAAD84/vQ=")</f>
        <v>#REF!</v>
      </c>
      <c r="IL36" t="e">
        <f>AND(#REF!,"AAAAAD84/vU=")</f>
        <v>#REF!</v>
      </c>
      <c r="IM36" t="e">
        <f>AND(#REF!,"AAAAAD84/vY=")</f>
        <v>#REF!</v>
      </c>
      <c r="IN36" t="e">
        <f>AND(#REF!,"AAAAAD84/vc=")</f>
        <v>#REF!</v>
      </c>
      <c r="IO36" t="e">
        <f>AND(#REF!,"AAAAAD84/vg=")</f>
        <v>#REF!</v>
      </c>
      <c r="IP36" t="e">
        <f>AND(#REF!,"AAAAAD84/vk=")</f>
        <v>#REF!</v>
      </c>
      <c r="IQ36" t="e">
        <f>AND(#REF!,"AAAAAD84/vo=")</f>
        <v>#REF!</v>
      </c>
      <c r="IR36" t="e">
        <f>AND(#REF!,"AAAAAD84/vs=")</f>
        <v>#REF!</v>
      </c>
      <c r="IS36" t="e">
        <f>AND(#REF!,"AAAAAD84/vw=")</f>
        <v>#REF!</v>
      </c>
      <c r="IT36" t="e">
        <f>AND(#REF!,"AAAAAD84/v0=")</f>
        <v>#REF!</v>
      </c>
      <c r="IU36" t="e">
        <f>AND(#REF!,"AAAAAD84/v4=")</f>
        <v>#REF!</v>
      </c>
      <c r="IV36" t="e">
        <f>AND(#REF!,"AAAAAD84/v8=")</f>
        <v>#REF!</v>
      </c>
    </row>
    <row r="37" spans="1:256" x14ac:dyDescent="0.25">
      <c r="A37" t="e">
        <f>AND(#REF!,"AAAAAD969wA=")</f>
        <v>#REF!</v>
      </c>
      <c r="B37" t="e">
        <f>AND(#REF!,"AAAAAD969wE=")</f>
        <v>#REF!</v>
      </c>
      <c r="C37" t="e">
        <f>AND(#REF!,"AAAAAD969wI=")</f>
        <v>#REF!</v>
      </c>
      <c r="D37" t="e">
        <f>AND(#REF!,"AAAAAD969wM=")</f>
        <v>#REF!</v>
      </c>
      <c r="E37" t="e">
        <f>AND(#REF!,"AAAAAD969wQ=")</f>
        <v>#REF!</v>
      </c>
      <c r="F37" t="e">
        <f>AND(#REF!,"AAAAAD969wU=")</f>
        <v>#REF!</v>
      </c>
      <c r="G37" t="e">
        <f>AND(#REF!,"AAAAAD969wY=")</f>
        <v>#REF!</v>
      </c>
      <c r="H37" t="e">
        <f>AND(#REF!,"AAAAAD969wc=")</f>
        <v>#REF!</v>
      </c>
      <c r="I37" t="e">
        <f>AND(#REF!,"AAAAAD969wg=")</f>
        <v>#REF!</v>
      </c>
      <c r="J37" t="e">
        <f>AND(#REF!,"AAAAAD969wk=")</f>
        <v>#REF!</v>
      </c>
      <c r="K37" t="e">
        <f>AND(#REF!,"AAAAAD969wo=")</f>
        <v>#REF!</v>
      </c>
      <c r="L37" t="e">
        <f>AND(#REF!,"AAAAAD969ws=")</f>
        <v>#REF!</v>
      </c>
      <c r="M37" t="e">
        <f>AND(#REF!,"AAAAAD969ww=")</f>
        <v>#REF!</v>
      </c>
      <c r="N37" t="e">
        <f>AND(#REF!,"AAAAAD969w0=")</f>
        <v>#REF!</v>
      </c>
      <c r="O37" t="e">
        <f>AND(#REF!,"AAAAAD969w4=")</f>
        <v>#REF!</v>
      </c>
      <c r="P37" t="e">
        <f>AND(#REF!,"AAAAAD969w8=")</f>
        <v>#REF!</v>
      </c>
      <c r="Q37" t="e">
        <f>AND(#REF!,"AAAAAD969xA=")</f>
        <v>#REF!</v>
      </c>
      <c r="R37" t="e">
        <f>AND(#REF!,"AAAAAD969xE=")</f>
        <v>#REF!</v>
      </c>
      <c r="S37" t="e">
        <f>AND(#REF!,"AAAAAD969xI=")</f>
        <v>#REF!</v>
      </c>
      <c r="T37" t="e">
        <f>AND(#REF!,"AAAAAD969xM=")</f>
        <v>#REF!</v>
      </c>
      <c r="U37" t="e">
        <f>AND(#REF!,"AAAAAD969xQ=")</f>
        <v>#REF!</v>
      </c>
      <c r="V37" t="e">
        <f>AND(#REF!,"AAAAAD969xU=")</f>
        <v>#REF!</v>
      </c>
      <c r="W37" t="e">
        <f>AND(#REF!,"AAAAAD969xY=")</f>
        <v>#REF!</v>
      </c>
      <c r="X37" t="e">
        <f>AND(#REF!,"AAAAAD969xc=")</f>
        <v>#REF!</v>
      </c>
      <c r="Y37" t="e">
        <f>AND(#REF!,"AAAAAD969xg=")</f>
        <v>#REF!</v>
      </c>
      <c r="Z37" t="e">
        <f>AND(#REF!,"AAAAAD969xk=")</f>
        <v>#REF!</v>
      </c>
      <c r="AA37" t="e">
        <f>AND(#REF!,"AAAAAD969xo=")</f>
        <v>#REF!</v>
      </c>
      <c r="AB37" t="e">
        <f>AND(#REF!,"AAAAAD969xs=")</f>
        <v>#REF!</v>
      </c>
      <c r="AC37" t="e">
        <f>AND(#REF!,"AAAAAD969xw=")</f>
        <v>#REF!</v>
      </c>
      <c r="AD37" t="e">
        <f>AND(#REF!,"AAAAAD969x0=")</f>
        <v>#REF!</v>
      </c>
      <c r="AE37" t="e">
        <f>AND(#REF!,"AAAAAD969x4=")</f>
        <v>#REF!</v>
      </c>
      <c r="AF37" t="e">
        <f>AND(#REF!,"AAAAAD969x8=")</f>
        <v>#REF!</v>
      </c>
      <c r="AG37" t="e">
        <f>AND(#REF!,"AAAAAD969yA=")</f>
        <v>#REF!</v>
      </c>
      <c r="AH37" t="e">
        <f>AND(#REF!,"AAAAAD969yE=")</f>
        <v>#REF!</v>
      </c>
      <c r="AI37" t="e">
        <f>AND(#REF!,"AAAAAD969yI=")</f>
        <v>#REF!</v>
      </c>
      <c r="AJ37" t="e">
        <f>AND(#REF!,"AAAAAD969yM=")</f>
        <v>#REF!</v>
      </c>
      <c r="AK37" t="e">
        <f>AND(#REF!,"AAAAAD969yQ=")</f>
        <v>#REF!</v>
      </c>
      <c r="AL37" t="e">
        <f>AND(#REF!,"AAAAAD969yU=")</f>
        <v>#REF!</v>
      </c>
      <c r="AM37" t="e">
        <f>AND(#REF!,"AAAAAD969yY=")</f>
        <v>#REF!</v>
      </c>
      <c r="AN37" t="e">
        <f>AND(#REF!,"AAAAAD969yc=")</f>
        <v>#REF!</v>
      </c>
      <c r="AO37" t="e">
        <f>AND(#REF!,"AAAAAD969yg=")</f>
        <v>#REF!</v>
      </c>
      <c r="AP37" t="e">
        <f>AND(#REF!,"AAAAAD969yk=")</f>
        <v>#REF!</v>
      </c>
      <c r="AQ37" t="e">
        <f>AND(#REF!,"AAAAAD969yo=")</f>
        <v>#REF!</v>
      </c>
      <c r="AR37" t="e">
        <f>AND(#REF!,"AAAAAD969ys=")</f>
        <v>#REF!</v>
      </c>
      <c r="AS37" t="e">
        <f>AND(#REF!,"AAAAAD969yw=")</f>
        <v>#REF!</v>
      </c>
      <c r="AT37" t="e">
        <f>AND(#REF!,"AAAAAD969y0=")</f>
        <v>#REF!</v>
      </c>
      <c r="AU37" t="e">
        <f>AND(#REF!,"AAAAAD969y4=")</f>
        <v>#REF!</v>
      </c>
      <c r="AV37" t="e">
        <f>AND(#REF!,"AAAAAD969y8=")</f>
        <v>#REF!</v>
      </c>
      <c r="AW37" t="e">
        <f>AND(#REF!,"AAAAAD969zA=")</f>
        <v>#REF!</v>
      </c>
      <c r="AX37" t="e">
        <f>AND(#REF!,"AAAAAD969zE=")</f>
        <v>#REF!</v>
      </c>
      <c r="AY37" t="e">
        <f>AND(#REF!,"AAAAAD969zI=")</f>
        <v>#REF!</v>
      </c>
      <c r="AZ37" t="e">
        <f>AND(#REF!,"AAAAAD969zM=")</f>
        <v>#REF!</v>
      </c>
      <c r="BA37" t="e">
        <f>AND(#REF!,"AAAAAD969zQ=")</f>
        <v>#REF!</v>
      </c>
      <c r="BB37" t="e">
        <f>AND(#REF!,"AAAAAD969zU=")</f>
        <v>#REF!</v>
      </c>
      <c r="BC37" t="e">
        <f>AND(#REF!,"AAAAAD969zY=")</f>
        <v>#REF!</v>
      </c>
      <c r="BD37" t="e">
        <f>AND(#REF!,"AAAAAD969zc=")</f>
        <v>#REF!</v>
      </c>
      <c r="BE37" t="e">
        <f>AND(#REF!,"AAAAAD969zg=")</f>
        <v>#REF!</v>
      </c>
      <c r="BF37" t="e">
        <f>AND(#REF!,"AAAAAD969zk=")</f>
        <v>#REF!</v>
      </c>
      <c r="BG37" t="e">
        <f>AND(#REF!,"AAAAAD969zo=")</f>
        <v>#REF!</v>
      </c>
      <c r="BH37" t="e">
        <f>AND(#REF!,"AAAAAD969zs=")</f>
        <v>#REF!</v>
      </c>
      <c r="BI37" t="e">
        <f>AND(#REF!,"AAAAAD969zw=")</f>
        <v>#REF!</v>
      </c>
      <c r="BJ37" t="e">
        <f>AND(#REF!,"AAAAAD969z0=")</f>
        <v>#REF!</v>
      </c>
      <c r="BK37" t="e">
        <f>AND(#REF!,"AAAAAD969z4=")</f>
        <v>#REF!</v>
      </c>
      <c r="BL37" t="e">
        <f>AND(#REF!,"AAAAAD969z8=")</f>
        <v>#REF!</v>
      </c>
      <c r="BM37" t="e">
        <f>AND(#REF!,"AAAAAD9690A=")</f>
        <v>#REF!</v>
      </c>
      <c r="BN37" t="e">
        <f>AND(#REF!,"AAAAAD9690E=")</f>
        <v>#REF!</v>
      </c>
      <c r="BO37" t="e">
        <f>AND(#REF!,"AAAAAD9690I=")</f>
        <v>#REF!</v>
      </c>
      <c r="BP37" t="e">
        <f>AND(#REF!,"AAAAAD9690M=")</f>
        <v>#REF!</v>
      </c>
      <c r="BQ37" t="e">
        <f>AND(#REF!,"AAAAAD9690Q=")</f>
        <v>#REF!</v>
      </c>
      <c r="BR37" t="e">
        <f>AND(#REF!,"AAAAAD9690U=")</f>
        <v>#REF!</v>
      </c>
      <c r="BS37" t="e">
        <f>AND(#REF!,"AAAAAD9690Y=")</f>
        <v>#REF!</v>
      </c>
      <c r="BT37" t="e">
        <f>AND(#REF!,"AAAAAD9690c=")</f>
        <v>#REF!</v>
      </c>
      <c r="BU37" t="e">
        <f>AND(#REF!,"AAAAAD9690g=")</f>
        <v>#REF!</v>
      </c>
      <c r="BV37" t="e">
        <f>AND(#REF!,"AAAAAD9690k=")</f>
        <v>#REF!</v>
      </c>
      <c r="BW37" t="e">
        <f>AND(#REF!,"AAAAAD9690o=")</f>
        <v>#REF!</v>
      </c>
      <c r="BX37" t="e">
        <f>AND(#REF!,"AAAAAD9690s=")</f>
        <v>#REF!</v>
      </c>
      <c r="BY37" t="e">
        <f>AND(#REF!,"AAAAAD9690w=")</f>
        <v>#REF!</v>
      </c>
      <c r="BZ37" t="e">
        <f>AND(#REF!,"AAAAAD96900=")</f>
        <v>#REF!</v>
      </c>
      <c r="CA37" t="e">
        <f>AND(#REF!,"AAAAAD96904=")</f>
        <v>#REF!</v>
      </c>
      <c r="CB37" t="e">
        <f>AND(#REF!,"AAAAAD96908=")</f>
        <v>#REF!</v>
      </c>
      <c r="CC37" t="e">
        <f>AND(#REF!,"AAAAAD9691A=")</f>
        <v>#REF!</v>
      </c>
      <c r="CD37" t="e">
        <f>AND(#REF!,"AAAAAD9691E=")</f>
        <v>#REF!</v>
      </c>
      <c r="CE37" t="e">
        <f>IF(#REF!,"AAAAAD9691I=",0)</f>
        <v>#REF!</v>
      </c>
      <c r="CF37" t="e">
        <f>AND(#REF!,"AAAAAD9691M=")</f>
        <v>#REF!</v>
      </c>
      <c r="CG37" t="e">
        <f>AND(#REF!,"AAAAAD9691Q=")</f>
        <v>#REF!</v>
      </c>
      <c r="CH37" t="e">
        <f>AND(#REF!,"AAAAAD9691U=")</f>
        <v>#REF!</v>
      </c>
      <c r="CI37" t="e">
        <f>AND(#REF!,"AAAAAD9691Y=")</f>
        <v>#REF!</v>
      </c>
      <c r="CJ37" t="e">
        <f>AND(#REF!,"AAAAAD9691c=")</f>
        <v>#REF!</v>
      </c>
      <c r="CK37" t="e">
        <f>AND(#REF!,"AAAAAD9691g=")</f>
        <v>#REF!</v>
      </c>
      <c r="CL37" t="e">
        <f>AND(#REF!,"AAAAAD9691k=")</f>
        <v>#REF!</v>
      </c>
      <c r="CM37" t="e">
        <f>AND(#REF!,"AAAAAD9691o=")</f>
        <v>#REF!</v>
      </c>
      <c r="CN37" t="e">
        <f>AND(#REF!,"AAAAAD9691s=")</f>
        <v>#REF!</v>
      </c>
      <c r="CO37" t="e">
        <f>AND(#REF!,"AAAAAD9691w=")</f>
        <v>#REF!</v>
      </c>
      <c r="CP37" t="e">
        <f>AND(#REF!,"AAAAAD96910=")</f>
        <v>#REF!</v>
      </c>
      <c r="CQ37" t="e">
        <f>AND(#REF!,"AAAAAD96914=")</f>
        <v>#REF!</v>
      </c>
      <c r="CR37" t="e">
        <f>AND(#REF!,"AAAAAD96918=")</f>
        <v>#REF!</v>
      </c>
      <c r="CS37" t="e">
        <f>AND(#REF!,"AAAAAD9692A=")</f>
        <v>#REF!</v>
      </c>
      <c r="CT37" t="e">
        <f>AND(#REF!,"AAAAAD9692E=")</f>
        <v>#REF!</v>
      </c>
      <c r="CU37" t="e">
        <f>AND(#REF!,"AAAAAD9692I=")</f>
        <v>#REF!</v>
      </c>
      <c r="CV37" t="e">
        <f>AND(#REF!,"AAAAAD9692M=")</f>
        <v>#REF!</v>
      </c>
      <c r="CW37" t="e">
        <f>AND(#REF!,"AAAAAD9692Q=")</f>
        <v>#REF!</v>
      </c>
      <c r="CX37" t="e">
        <f>AND(#REF!,"AAAAAD9692U=")</f>
        <v>#REF!</v>
      </c>
      <c r="CY37" t="e">
        <f>AND(#REF!,"AAAAAD9692Y=")</f>
        <v>#REF!</v>
      </c>
      <c r="CZ37" t="e">
        <f>AND(#REF!,"AAAAAD9692c=")</f>
        <v>#REF!</v>
      </c>
      <c r="DA37" t="e">
        <f>AND(#REF!,"AAAAAD9692g=")</f>
        <v>#REF!</v>
      </c>
      <c r="DB37" t="e">
        <f>AND(#REF!,"AAAAAD9692k=")</f>
        <v>#REF!</v>
      </c>
      <c r="DC37" t="e">
        <f>AND(#REF!,"AAAAAD9692o=")</f>
        <v>#REF!</v>
      </c>
      <c r="DD37" t="e">
        <f>AND(#REF!,"AAAAAD9692s=")</f>
        <v>#REF!</v>
      </c>
      <c r="DE37" t="e">
        <f>AND(#REF!,"AAAAAD9692w=")</f>
        <v>#REF!</v>
      </c>
      <c r="DF37" t="e">
        <f>AND(#REF!,"AAAAAD96920=")</f>
        <v>#REF!</v>
      </c>
      <c r="DG37" t="e">
        <f>AND(#REF!,"AAAAAD96924=")</f>
        <v>#REF!</v>
      </c>
      <c r="DH37" t="e">
        <f>AND(#REF!,"AAAAAD96928=")</f>
        <v>#REF!</v>
      </c>
      <c r="DI37" t="e">
        <f>AND(#REF!,"AAAAAD9693A=")</f>
        <v>#REF!</v>
      </c>
      <c r="DJ37" t="e">
        <f>AND(#REF!,"AAAAAD9693E=")</f>
        <v>#REF!</v>
      </c>
      <c r="DK37" t="e">
        <f>AND(#REF!,"AAAAAD9693I=")</f>
        <v>#REF!</v>
      </c>
      <c r="DL37" t="e">
        <f>AND(#REF!,"AAAAAD9693M=")</f>
        <v>#REF!</v>
      </c>
      <c r="DM37" t="e">
        <f>AND(#REF!,"AAAAAD9693Q=")</f>
        <v>#REF!</v>
      </c>
      <c r="DN37" t="e">
        <f>AND(#REF!,"AAAAAD9693U=")</f>
        <v>#REF!</v>
      </c>
      <c r="DO37" t="e">
        <f>AND(#REF!,"AAAAAD9693Y=")</f>
        <v>#REF!</v>
      </c>
      <c r="DP37" t="e">
        <f>AND(#REF!,"AAAAAD9693c=")</f>
        <v>#REF!</v>
      </c>
      <c r="DQ37" t="e">
        <f>AND(#REF!,"AAAAAD9693g=")</f>
        <v>#REF!</v>
      </c>
      <c r="DR37" t="e">
        <f>AND(#REF!,"AAAAAD9693k=")</f>
        <v>#REF!</v>
      </c>
      <c r="DS37" t="e">
        <f>AND(#REF!,"AAAAAD9693o=")</f>
        <v>#REF!</v>
      </c>
      <c r="DT37" t="e">
        <f>AND(#REF!,"AAAAAD9693s=")</f>
        <v>#REF!</v>
      </c>
      <c r="DU37" t="e">
        <f>AND(#REF!,"AAAAAD9693w=")</f>
        <v>#REF!</v>
      </c>
      <c r="DV37" t="e">
        <f>AND(#REF!,"AAAAAD96930=")</f>
        <v>#REF!</v>
      </c>
      <c r="DW37" t="e">
        <f>AND(#REF!,"AAAAAD96934=")</f>
        <v>#REF!</v>
      </c>
      <c r="DX37" t="e">
        <f>AND(#REF!,"AAAAAD96938=")</f>
        <v>#REF!</v>
      </c>
      <c r="DY37" t="e">
        <f>AND(#REF!,"AAAAAD9694A=")</f>
        <v>#REF!</v>
      </c>
      <c r="DZ37" t="e">
        <f>AND(#REF!,"AAAAAD9694E=")</f>
        <v>#REF!</v>
      </c>
      <c r="EA37" t="e">
        <f>AND(#REF!,"AAAAAD9694I=")</f>
        <v>#REF!</v>
      </c>
      <c r="EB37" t="e">
        <f>AND(#REF!,"AAAAAD9694M=")</f>
        <v>#REF!</v>
      </c>
      <c r="EC37" t="e">
        <f>AND(#REF!,"AAAAAD9694Q=")</f>
        <v>#REF!</v>
      </c>
      <c r="ED37" t="e">
        <f>AND(#REF!,"AAAAAD9694U=")</f>
        <v>#REF!</v>
      </c>
      <c r="EE37" t="e">
        <f>AND(#REF!,"AAAAAD9694Y=")</f>
        <v>#REF!</v>
      </c>
      <c r="EF37" t="e">
        <f>AND(#REF!,"AAAAAD9694c=")</f>
        <v>#REF!</v>
      </c>
      <c r="EG37" t="e">
        <f>AND(#REF!,"AAAAAD9694g=")</f>
        <v>#REF!</v>
      </c>
      <c r="EH37" t="e">
        <f>AND(#REF!,"AAAAAD9694k=")</f>
        <v>#REF!</v>
      </c>
      <c r="EI37" t="e">
        <f>AND(#REF!,"AAAAAD9694o=")</f>
        <v>#REF!</v>
      </c>
      <c r="EJ37" t="e">
        <f>AND(#REF!,"AAAAAD9694s=")</f>
        <v>#REF!</v>
      </c>
      <c r="EK37" t="e">
        <f>AND(#REF!,"AAAAAD9694w=")</f>
        <v>#REF!</v>
      </c>
      <c r="EL37" t="e">
        <f>AND(#REF!,"AAAAAD96940=")</f>
        <v>#REF!</v>
      </c>
      <c r="EM37" t="e">
        <f>AND(#REF!,"AAAAAD96944=")</f>
        <v>#REF!</v>
      </c>
      <c r="EN37" t="e">
        <f>AND(#REF!,"AAAAAD96948=")</f>
        <v>#REF!</v>
      </c>
      <c r="EO37" t="e">
        <f>AND(#REF!,"AAAAAD9695A=")</f>
        <v>#REF!</v>
      </c>
      <c r="EP37" t="e">
        <f>AND(#REF!,"AAAAAD9695E=")</f>
        <v>#REF!</v>
      </c>
      <c r="EQ37" t="e">
        <f>AND(#REF!,"AAAAAD9695I=")</f>
        <v>#REF!</v>
      </c>
      <c r="ER37" t="e">
        <f>AND(#REF!,"AAAAAD9695M=")</f>
        <v>#REF!</v>
      </c>
      <c r="ES37" t="e">
        <f>AND(#REF!,"AAAAAD9695Q=")</f>
        <v>#REF!</v>
      </c>
      <c r="ET37" t="e">
        <f>AND(#REF!,"AAAAAD9695U=")</f>
        <v>#REF!</v>
      </c>
      <c r="EU37" t="e">
        <f>AND(#REF!,"AAAAAD9695Y=")</f>
        <v>#REF!</v>
      </c>
      <c r="EV37" t="e">
        <f>AND(#REF!,"AAAAAD9695c=")</f>
        <v>#REF!</v>
      </c>
      <c r="EW37" t="e">
        <f>AND(#REF!,"AAAAAD9695g=")</f>
        <v>#REF!</v>
      </c>
      <c r="EX37" t="e">
        <f>AND(#REF!,"AAAAAD9695k=")</f>
        <v>#REF!</v>
      </c>
      <c r="EY37" t="e">
        <f>AND(#REF!,"AAAAAD9695o=")</f>
        <v>#REF!</v>
      </c>
      <c r="EZ37" t="e">
        <f>AND(#REF!,"AAAAAD9695s=")</f>
        <v>#REF!</v>
      </c>
      <c r="FA37" t="e">
        <f>AND(#REF!,"AAAAAD9695w=")</f>
        <v>#REF!</v>
      </c>
      <c r="FB37" t="e">
        <f>AND(#REF!,"AAAAAD96950=")</f>
        <v>#REF!</v>
      </c>
      <c r="FC37" t="e">
        <f>AND(#REF!,"AAAAAD96954=")</f>
        <v>#REF!</v>
      </c>
      <c r="FD37" t="e">
        <f>AND(#REF!,"AAAAAD96958=")</f>
        <v>#REF!</v>
      </c>
      <c r="FE37" t="e">
        <f>AND(#REF!,"AAAAAD9696A=")</f>
        <v>#REF!</v>
      </c>
      <c r="FF37" t="e">
        <f>AND(#REF!,"AAAAAD9696E=")</f>
        <v>#REF!</v>
      </c>
      <c r="FG37" t="e">
        <f>AND(#REF!,"AAAAAD9696I=")</f>
        <v>#REF!</v>
      </c>
      <c r="FH37" t="e">
        <f>AND(#REF!,"AAAAAD9696M=")</f>
        <v>#REF!</v>
      </c>
      <c r="FI37" t="e">
        <f>AND(#REF!,"AAAAAD9696Q=")</f>
        <v>#REF!</v>
      </c>
      <c r="FJ37" t="e">
        <f>AND(#REF!,"AAAAAD9696U=")</f>
        <v>#REF!</v>
      </c>
      <c r="FK37" t="e">
        <f>AND(#REF!,"AAAAAD9696Y=")</f>
        <v>#REF!</v>
      </c>
      <c r="FL37" t="e">
        <f>AND(#REF!,"AAAAAD9696c=")</f>
        <v>#REF!</v>
      </c>
      <c r="FM37" t="e">
        <f>AND(#REF!,"AAAAAD9696g=")</f>
        <v>#REF!</v>
      </c>
      <c r="FN37" t="e">
        <f>AND(#REF!,"AAAAAD9696k=")</f>
        <v>#REF!</v>
      </c>
      <c r="FO37" t="e">
        <f>AND(#REF!,"AAAAAD9696o=")</f>
        <v>#REF!</v>
      </c>
      <c r="FP37" t="e">
        <f>AND(#REF!,"AAAAAD9696s=")</f>
        <v>#REF!</v>
      </c>
      <c r="FQ37" t="e">
        <f>AND(#REF!,"AAAAAD9696w=")</f>
        <v>#REF!</v>
      </c>
      <c r="FR37" t="e">
        <f>AND(#REF!,"AAAAAD96960=")</f>
        <v>#REF!</v>
      </c>
      <c r="FS37" t="e">
        <f>AND(#REF!,"AAAAAD96964=")</f>
        <v>#REF!</v>
      </c>
      <c r="FT37" t="e">
        <f>AND(#REF!,"AAAAAD96968=")</f>
        <v>#REF!</v>
      </c>
      <c r="FU37" t="e">
        <f>AND(#REF!,"AAAAAD9697A=")</f>
        <v>#REF!</v>
      </c>
      <c r="FV37" t="e">
        <f>AND(#REF!,"AAAAAD9697E=")</f>
        <v>#REF!</v>
      </c>
      <c r="FW37" t="e">
        <f>AND(#REF!,"AAAAAD9697I=")</f>
        <v>#REF!</v>
      </c>
      <c r="FX37" t="e">
        <f>AND(#REF!,"AAAAAD9697M=")</f>
        <v>#REF!</v>
      </c>
      <c r="FY37" t="e">
        <f>AND(#REF!,"AAAAAD9697Q=")</f>
        <v>#REF!</v>
      </c>
      <c r="FZ37" t="e">
        <f>AND(#REF!,"AAAAAD9697U=")</f>
        <v>#REF!</v>
      </c>
      <c r="GA37" t="e">
        <f>AND(#REF!,"AAAAAD9697Y=")</f>
        <v>#REF!</v>
      </c>
      <c r="GB37" t="e">
        <f>AND(#REF!,"AAAAAD9697c=")</f>
        <v>#REF!</v>
      </c>
      <c r="GC37" t="e">
        <f>AND(#REF!,"AAAAAD9697g=")</f>
        <v>#REF!</v>
      </c>
      <c r="GD37" t="e">
        <f>AND(#REF!,"AAAAAD9697k=")</f>
        <v>#REF!</v>
      </c>
      <c r="GE37" t="e">
        <f>AND(#REF!,"AAAAAD9697o=")</f>
        <v>#REF!</v>
      </c>
      <c r="GF37" t="e">
        <f>AND(#REF!,"AAAAAD9697s=")</f>
        <v>#REF!</v>
      </c>
      <c r="GG37" t="e">
        <f>AND(#REF!,"AAAAAD9697w=")</f>
        <v>#REF!</v>
      </c>
      <c r="GH37" t="e">
        <f>AND(#REF!,"AAAAAD96970=")</f>
        <v>#REF!</v>
      </c>
      <c r="GI37" t="e">
        <f>AND(#REF!,"AAAAAD96974=")</f>
        <v>#REF!</v>
      </c>
      <c r="GJ37" t="e">
        <f>AND(#REF!,"AAAAAD96978=")</f>
        <v>#REF!</v>
      </c>
      <c r="GK37" t="e">
        <f>AND(#REF!,"AAAAAD9698A=")</f>
        <v>#REF!</v>
      </c>
      <c r="GL37" t="e">
        <f>AND(#REF!,"AAAAAD9698E=")</f>
        <v>#REF!</v>
      </c>
      <c r="GM37" t="e">
        <f>AND(#REF!,"AAAAAD9698I=")</f>
        <v>#REF!</v>
      </c>
      <c r="GN37" t="e">
        <f>AND(#REF!,"AAAAAD9698M=")</f>
        <v>#REF!</v>
      </c>
      <c r="GO37" t="e">
        <f>AND(#REF!,"AAAAAD9698Q=")</f>
        <v>#REF!</v>
      </c>
      <c r="GP37" t="e">
        <f>AND(#REF!,"AAAAAD9698U=")</f>
        <v>#REF!</v>
      </c>
      <c r="GQ37" t="e">
        <f>AND(#REF!,"AAAAAD9698Y=")</f>
        <v>#REF!</v>
      </c>
      <c r="GR37" t="e">
        <f>AND(#REF!,"AAAAAD9698c=")</f>
        <v>#REF!</v>
      </c>
      <c r="GS37" t="e">
        <f>AND(#REF!,"AAAAAD9698g=")</f>
        <v>#REF!</v>
      </c>
      <c r="GT37" t="e">
        <f>AND(#REF!,"AAAAAD9698k=")</f>
        <v>#REF!</v>
      </c>
      <c r="GU37" t="e">
        <f>AND(#REF!,"AAAAAD9698o=")</f>
        <v>#REF!</v>
      </c>
      <c r="GV37" t="e">
        <f>AND(#REF!,"AAAAAD9698s=")</f>
        <v>#REF!</v>
      </c>
      <c r="GW37" t="e">
        <f>AND(#REF!,"AAAAAD9698w=")</f>
        <v>#REF!</v>
      </c>
      <c r="GX37" t="e">
        <f>AND(#REF!,"AAAAAD96980=")</f>
        <v>#REF!</v>
      </c>
      <c r="GY37" t="e">
        <f>AND(#REF!,"AAAAAD96984=")</f>
        <v>#REF!</v>
      </c>
      <c r="GZ37" t="e">
        <f>AND(#REF!,"AAAAAD96988=")</f>
        <v>#REF!</v>
      </c>
      <c r="HA37" t="e">
        <f>AND(#REF!,"AAAAAD9699A=")</f>
        <v>#REF!</v>
      </c>
      <c r="HB37" t="e">
        <f>AND(#REF!,"AAAAAD9699E=")</f>
        <v>#REF!</v>
      </c>
      <c r="HC37" t="e">
        <f>AND(#REF!,"AAAAAD9699I=")</f>
        <v>#REF!</v>
      </c>
      <c r="HD37" t="e">
        <f>AND(#REF!,"AAAAAD9699M=")</f>
        <v>#REF!</v>
      </c>
      <c r="HE37" t="e">
        <f>AND(#REF!,"AAAAAD9699Q=")</f>
        <v>#REF!</v>
      </c>
      <c r="HF37" t="e">
        <f>AND(#REF!,"AAAAAD9699U=")</f>
        <v>#REF!</v>
      </c>
      <c r="HG37" t="e">
        <f>AND(#REF!,"AAAAAD9699Y=")</f>
        <v>#REF!</v>
      </c>
      <c r="HH37" t="e">
        <f>AND(#REF!,"AAAAAD9699c=")</f>
        <v>#REF!</v>
      </c>
      <c r="HI37" t="e">
        <f>AND(#REF!,"AAAAAD9699g=")</f>
        <v>#REF!</v>
      </c>
      <c r="HJ37" t="e">
        <f>AND(#REF!,"AAAAAD9699k=")</f>
        <v>#REF!</v>
      </c>
      <c r="HK37" t="e">
        <f>AND(#REF!,"AAAAAD9699o=")</f>
        <v>#REF!</v>
      </c>
      <c r="HL37" t="e">
        <f>AND(#REF!,"AAAAAD9699s=")</f>
        <v>#REF!</v>
      </c>
      <c r="HM37" t="e">
        <f>AND(#REF!,"AAAAAD9699w=")</f>
        <v>#REF!</v>
      </c>
      <c r="HN37" t="e">
        <f>AND(#REF!,"AAAAAD96990=")</f>
        <v>#REF!</v>
      </c>
      <c r="HO37" t="e">
        <f>AND(#REF!,"AAAAAD96994=")</f>
        <v>#REF!</v>
      </c>
      <c r="HP37" t="e">
        <f>AND(#REF!,"AAAAAD96998=")</f>
        <v>#REF!</v>
      </c>
      <c r="HQ37" t="e">
        <f>AND(#REF!,"AAAAAD969+A=")</f>
        <v>#REF!</v>
      </c>
      <c r="HR37" t="e">
        <f>AND(#REF!,"AAAAAD969+E=")</f>
        <v>#REF!</v>
      </c>
      <c r="HS37" t="e">
        <f>AND(#REF!,"AAAAAD969+I=")</f>
        <v>#REF!</v>
      </c>
      <c r="HT37" t="e">
        <f>AND(#REF!,"AAAAAD969+M=")</f>
        <v>#REF!</v>
      </c>
      <c r="HU37" t="e">
        <f>AND(#REF!,"AAAAAD969+Q=")</f>
        <v>#REF!</v>
      </c>
      <c r="HV37" t="e">
        <f>AND(#REF!,"AAAAAD969+U=")</f>
        <v>#REF!</v>
      </c>
      <c r="HW37" t="e">
        <f>AND(#REF!,"AAAAAD969+Y=")</f>
        <v>#REF!</v>
      </c>
      <c r="HX37" t="e">
        <f>AND(#REF!,"AAAAAD969+c=")</f>
        <v>#REF!</v>
      </c>
      <c r="HY37" t="e">
        <f>AND(#REF!,"AAAAAD969+g=")</f>
        <v>#REF!</v>
      </c>
      <c r="HZ37" t="e">
        <f>AND(#REF!,"AAAAAD969+k=")</f>
        <v>#REF!</v>
      </c>
      <c r="IA37" t="e">
        <f>AND(#REF!,"AAAAAD969+o=")</f>
        <v>#REF!</v>
      </c>
      <c r="IB37" t="e">
        <f>AND(#REF!,"AAAAAD969+s=")</f>
        <v>#REF!</v>
      </c>
      <c r="IC37" t="e">
        <f>AND(#REF!,"AAAAAD969+w=")</f>
        <v>#REF!</v>
      </c>
      <c r="ID37" t="e">
        <f>AND(#REF!,"AAAAAD969+0=")</f>
        <v>#REF!</v>
      </c>
      <c r="IE37" t="e">
        <f>AND(#REF!,"AAAAAD969+4=")</f>
        <v>#REF!</v>
      </c>
      <c r="IF37" t="e">
        <f>AND(#REF!,"AAAAAD969+8=")</f>
        <v>#REF!</v>
      </c>
      <c r="IG37" t="e">
        <f>AND(#REF!,"AAAAAD969/A=")</f>
        <v>#REF!</v>
      </c>
      <c r="IH37" t="e">
        <f>AND(#REF!,"AAAAAD969/E=")</f>
        <v>#REF!</v>
      </c>
      <c r="II37" t="e">
        <f>AND(#REF!,"AAAAAD969/I=")</f>
        <v>#REF!</v>
      </c>
      <c r="IJ37" t="e">
        <f>AND(#REF!,"AAAAAD969/M=")</f>
        <v>#REF!</v>
      </c>
      <c r="IK37" t="e">
        <f>AND(#REF!,"AAAAAD969/Q=")</f>
        <v>#REF!</v>
      </c>
      <c r="IL37" t="e">
        <f>AND(#REF!,"AAAAAD969/U=")</f>
        <v>#REF!</v>
      </c>
      <c r="IM37" t="e">
        <f>AND(#REF!,"AAAAAD969/Y=")</f>
        <v>#REF!</v>
      </c>
      <c r="IN37" t="e">
        <f>AND(#REF!,"AAAAAD969/c=")</f>
        <v>#REF!</v>
      </c>
      <c r="IO37" t="e">
        <f>AND(#REF!,"AAAAAD969/g=")</f>
        <v>#REF!</v>
      </c>
      <c r="IP37" t="e">
        <f>AND(#REF!,"AAAAAD969/k=")</f>
        <v>#REF!</v>
      </c>
      <c r="IQ37" t="e">
        <f>AND(#REF!,"AAAAAD969/o=")</f>
        <v>#REF!</v>
      </c>
      <c r="IR37" t="e">
        <f>AND(#REF!,"AAAAAD969/s=")</f>
        <v>#REF!</v>
      </c>
      <c r="IS37" t="e">
        <f>AND(#REF!,"AAAAAD969/w=")</f>
        <v>#REF!</v>
      </c>
      <c r="IT37" t="e">
        <f>AND(#REF!,"AAAAAD969/0=")</f>
        <v>#REF!</v>
      </c>
      <c r="IU37" t="e">
        <f>AND(#REF!,"AAAAAD969/4=")</f>
        <v>#REF!</v>
      </c>
      <c r="IV37" t="e">
        <f>AND(#REF!,"AAAAAD969/8=")</f>
        <v>#REF!</v>
      </c>
    </row>
    <row r="38" spans="1:256" x14ac:dyDescent="0.25">
      <c r="A38" t="e">
        <f>AND(#REF!,"AAAAAG+f9QA=")</f>
        <v>#REF!</v>
      </c>
      <c r="B38" t="e">
        <f>AND(#REF!,"AAAAAG+f9QE=")</f>
        <v>#REF!</v>
      </c>
      <c r="C38" t="e">
        <f>AND(#REF!,"AAAAAG+f9QI=")</f>
        <v>#REF!</v>
      </c>
      <c r="D38" t="e">
        <f>AND(#REF!,"AAAAAG+f9QM=")</f>
        <v>#REF!</v>
      </c>
      <c r="E38" t="e">
        <f>AND(#REF!,"AAAAAG+f9QQ=")</f>
        <v>#REF!</v>
      </c>
      <c r="F38" t="e">
        <f>AND(#REF!,"AAAAAG+f9QU=")</f>
        <v>#REF!</v>
      </c>
      <c r="G38" t="e">
        <f>AND(#REF!,"AAAAAG+f9QY=")</f>
        <v>#REF!</v>
      </c>
      <c r="H38" t="e">
        <f>AND(#REF!,"AAAAAG+f9Qc=")</f>
        <v>#REF!</v>
      </c>
      <c r="I38" t="e">
        <f>AND(#REF!,"AAAAAG+f9Qg=")</f>
        <v>#REF!</v>
      </c>
      <c r="J38" t="e">
        <f>AND(#REF!,"AAAAAG+f9Qk=")</f>
        <v>#REF!</v>
      </c>
      <c r="K38" t="e">
        <f>AND(#REF!,"AAAAAG+f9Qo=")</f>
        <v>#REF!</v>
      </c>
      <c r="L38" t="e">
        <f>AND(#REF!,"AAAAAG+f9Qs=")</f>
        <v>#REF!</v>
      </c>
      <c r="M38" t="e">
        <f>AND(#REF!,"AAAAAG+f9Qw=")</f>
        <v>#REF!</v>
      </c>
      <c r="N38" t="e">
        <f>AND(#REF!,"AAAAAG+f9Q0=")</f>
        <v>#REF!</v>
      </c>
      <c r="O38" t="e">
        <f>AND(#REF!,"AAAAAG+f9Q4=")</f>
        <v>#REF!</v>
      </c>
      <c r="P38" t="e">
        <f>IF(#REF!,"AAAAAG+f9Q8=",0)</f>
        <v>#REF!</v>
      </c>
      <c r="Q38" t="e">
        <f>AND(#REF!,"AAAAAG+f9RA=")</f>
        <v>#REF!</v>
      </c>
      <c r="R38" t="e">
        <f>AND(#REF!,"AAAAAG+f9RE=")</f>
        <v>#REF!</v>
      </c>
      <c r="S38" t="e">
        <f>AND(#REF!,"AAAAAG+f9RI=")</f>
        <v>#REF!</v>
      </c>
      <c r="T38" t="e">
        <f>AND(#REF!,"AAAAAG+f9RM=")</f>
        <v>#REF!</v>
      </c>
      <c r="U38" t="e">
        <f>AND(#REF!,"AAAAAG+f9RQ=")</f>
        <v>#REF!</v>
      </c>
      <c r="V38" t="e">
        <f>AND(#REF!,"AAAAAG+f9RU=")</f>
        <v>#REF!</v>
      </c>
      <c r="W38" t="e">
        <f>AND(#REF!,"AAAAAG+f9RY=")</f>
        <v>#REF!</v>
      </c>
      <c r="X38" t="e">
        <f>AND(#REF!,"AAAAAG+f9Rc=")</f>
        <v>#REF!</v>
      </c>
      <c r="Y38" t="e">
        <f>AND(#REF!,"AAAAAG+f9Rg=")</f>
        <v>#REF!</v>
      </c>
      <c r="Z38" t="e">
        <f>AND(#REF!,"AAAAAG+f9Rk=")</f>
        <v>#REF!</v>
      </c>
      <c r="AA38" t="e">
        <f>AND(#REF!,"AAAAAG+f9Ro=")</f>
        <v>#REF!</v>
      </c>
      <c r="AB38" t="e">
        <f>AND(#REF!,"AAAAAG+f9Rs=")</f>
        <v>#REF!</v>
      </c>
      <c r="AC38" t="e">
        <f>AND(#REF!,"AAAAAG+f9Rw=")</f>
        <v>#REF!</v>
      </c>
      <c r="AD38" t="e">
        <f>AND(#REF!,"AAAAAG+f9R0=")</f>
        <v>#REF!</v>
      </c>
      <c r="AE38" t="e">
        <f>AND(#REF!,"AAAAAG+f9R4=")</f>
        <v>#REF!</v>
      </c>
      <c r="AF38" t="e">
        <f>AND(#REF!,"AAAAAG+f9R8=")</f>
        <v>#REF!</v>
      </c>
      <c r="AG38" t="e">
        <f>AND(#REF!,"AAAAAG+f9SA=")</f>
        <v>#REF!</v>
      </c>
      <c r="AH38" t="e">
        <f>AND(#REF!,"AAAAAG+f9SE=")</f>
        <v>#REF!</v>
      </c>
      <c r="AI38" t="e">
        <f>AND(#REF!,"AAAAAG+f9SI=")</f>
        <v>#REF!</v>
      </c>
      <c r="AJ38" t="e">
        <f>AND(#REF!,"AAAAAG+f9SM=")</f>
        <v>#REF!</v>
      </c>
      <c r="AK38" t="e">
        <f>AND(#REF!,"AAAAAG+f9SQ=")</f>
        <v>#REF!</v>
      </c>
      <c r="AL38" t="e">
        <f>AND(#REF!,"AAAAAG+f9SU=")</f>
        <v>#REF!</v>
      </c>
      <c r="AM38" t="e">
        <f>AND(#REF!,"AAAAAG+f9SY=")</f>
        <v>#REF!</v>
      </c>
      <c r="AN38" t="e">
        <f>AND(#REF!,"AAAAAG+f9Sc=")</f>
        <v>#REF!</v>
      </c>
      <c r="AO38" t="e">
        <f>AND(#REF!,"AAAAAG+f9Sg=")</f>
        <v>#REF!</v>
      </c>
      <c r="AP38" t="e">
        <f>AND(#REF!,"AAAAAG+f9Sk=")</f>
        <v>#REF!</v>
      </c>
      <c r="AQ38" t="e">
        <f>AND(#REF!,"AAAAAG+f9So=")</f>
        <v>#REF!</v>
      </c>
      <c r="AR38" t="e">
        <f>AND(#REF!,"AAAAAG+f9Ss=")</f>
        <v>#REF!</v>
      </c>
      <c r="AS38" t="e">
        <f>AND(#REF!,"AAAAAG+f9Sw=")</f>
        <v>#REF!</v>
      </c>
      <c r="AT38" t="e">
        <f>AND(#REF!,"AAAAAG+f9S0=")</f>
        <v>#REF!</v>
      </c>
      <c r="AU38" t="e">
        <f>AND(#REF!,"AAAAAG+f9S4=")</f>
        <v>#REF!</v>
      </c>
      <c r="AV38" t="e">
        <f>AND(#REF!,"AAAAAG+f9S8=")</f>
        <v>#REF!</v>
      </c>
      <c r="AW38" t="e">
        <f>AND(#REF!,"AAAAAG+f9TA=")</f>
        <v>#REF!</v>
      </c>
      <c r="AX38" t="e">
        <f>AND(#REF!,"AAAAAG+f9TE=")</f>
        <v>#REF!</v>
      </c>
      <c r="AY38" t="e">
        <f>AND(#REF!,"AAAAAG+f9TI=")</f>
        <v>#REF!</v>
      </c>
      <c r="AZ38" t="e">
        <f>AND(#REF!,"AAAAAG+f9TM=")</f>
        <v>#REF!</v>
      </c>
      <c r="BA38" t="e">
        <f>AND(#REF!,"AAAAAG+f9TQ=")</f>
        <v>#REF!</v>
      </c>
      <c r="BB38" t="e">
        <f>AND(#REF!,"AAAAAG+f9TU=")</f>
        <v>#REF!</v>
      </c>
      <c r="BC38" t="e">
        <f>AND(#REF!,"AAAAAG+f9TY=")</f>
        <v>#REF!</v>
      </c>
      <c r="BD38" t="e">
        <f>AND(#REF!,"AAAAAG+f9Tc=")</f>
        <v>#REF!</v>
      </c>
      <c r="BE38" t="e">
        <f>AND(#REF!,"AAAAAG+f9Tg=")</f>
        <v>#REF!</v>
      </c>
      <c r="BF38" t="e">
        <f>AND(#REF!,"AAAAAG+f9Tk=")</f>
        <v>#REF!</v>
      </c>
      <c r="BG38" t="e">
        <f>AND(#REF!,"AAAAAG+f9To=")</f>
        <v>#REF!</v>
      </c>
      <c r="BH38" t="e">
        <f>AND(#REF!,"AAAAAG+f9Ts=")</f>
        <v>#REF!</v>
      </c>
      <c r="BI38" t="e">
        <f>AND(#REF!,"AAAAAG+f9Tw=")</f>
        <v>#REF!</v>
      </c>
      <c r="BJ38" t="e">
        <f>AND(#REF!,"AAAAAG+f9T0=")</f>
        <v>#REF!</v>
      </c>
      <c r="BK38" t="e">
        <f>AND(#REF!,"AAAAAG+f9T4=")</f>
        <v>#REF!</v>
      </c>
      <c r="BL38" t="e">
        <f>AND(#REF!,"AAAAAG+f9T8=")</f>
        <v>#REF!</v>
      </c>
      <c r="BM38" t="e">
        <f>AND(#REF!,"AAAAAG+f9UA=")</f>
        <v>#REF!</v>
      </c>
      <c r="BN38" t="e">
        <f>AND(#REF!,"AAAAAG+f9UE=")</f>
        <v>#REF!</v>
      </c>
      <c r="BO38" t="e">
        <f>AND(#REF!,"AAAAAG+f9UI=")</f>
        <v>#REF!</v>
      </c>
      <c r="BP38" t="e">
        <f>AND(#REF!,"AAAAAG+f9UM=")</f>
        <v>#REF!</v>
      </c>
      <c r="BQ38" t="e">
        <f>AND(#REF!,"AAAAAG+f9UQ=")</f>
        <v>#REF!</v>
      </c>
      <c r="BR38" t="e">
        <f>AND(#REF!,"AAAAAG+f9UU=")</f>
        <v>#REF!</v>
      </c>
      <c r="BS38" t="e">
        <f>AND(#REF!,"AAAAAG+f9UY=")</f>
        <v>#REF!</v>
      </c>
      <c r="BT38" t="e">
        <f>AND(#REF!,"AAAAAG+f9Uc=")</f>
        <v>#REF!</v>
      </c>
      <c r="BU38" t="e">
        <f>AND(#REF!,"AAAAAG+f9Ug=")</f>
        <v>#REF!</v>
      </c>
      <c r="BV38" t="e">
        <f>AND(#REF!,"AAAAAG+f9Uk=")</f>
        <v>#REF!</v>
      </c>
      <c r="BW38" t="e">
        <f>AND(#REF!,"AAAAAG+f9Uo=")</f>
        <v>#REF!</v>
      </c>
      <c r="BX38" t="e">
        <f>AND(#REF!,"AAAAAG+f9Us=")</f>
        <v>#REF!</v>
      </c>
      <c r="BY38" t="e">
        <f>AND(#REF!,"AAAAAG+f9Uw=")</f>
        <v>#REF!</v>
      </c>
      <c r="BZ38" t="e">
        <f>AND(#REF!,"AAAAAG+f9U0=")</f>
        <v>#REF!</v>
      </c>
      <c r="CA38" t="e">
        <f>AND(#REF!,"AAAAAG+f9U4=")</f>
        <v>#REF!</v>
      </c>
      <c r="CB38" t="e">
        <f>AND(#REF!,"AAAAAG+f9U8=")</f>
        <v>#REF!</v>
      </c>
      <c r="CC38" t="e">
        <f>AND(#REF!,"AAAAAG+f9VA=")</f>
        <v>#REF!</v>
      </c>
      <c r="CD38" t="e">
        <f>AND(#REF!,"AAAAAG+f9VE=")</f>
        <v>#REF!</v>
      </c>
      <c r="CE38" t="e">
        <f>AND(#REF!,"AAAAAG+f9VI=")</f>
        <v>#REF!</v>
      </c>
      <c r="CF38" t="e">
        <f>AND(#REF!,"AAAAAG+f9VM=")</f>
        <v>#REF!</v>
      </c>
      <c r="CG38" t="e">
        <f>AND(#REF!,"AAAAAG+f9VQ=")</f>
        <v>#REF!</v>
      </c>
      <c r="CH38" t="e">
        <f>AND(#REF!,"AAAAAG+f9VU=")</f>
        <v>#REF!</v>
      </c>
      <c r="CI38" t="e">
        <f>AND(#REF!,"AAAAAG+f9VY=")</f>
        <v>#REF!</v>
      </c>
      <c r="CJ38" t="e">
        <f>AND(#REF!,"AAAAAG+f9Vc=")</f>
        <v>#REF!</v>
      </c>
      <c r="CK38" t="e">
        <f>AND(#REF!,"AAAAAG+f9Vg=")</f>
        <v>#REF!</v>
      </c>
      <c r="CL38" t="e">
        <f>AND(#REF!,"AAAAAG+f9Vk=")</f>
        <v>#REF!</v>
      </c>
      <c r="CM38" t="e">
        <f>AND(#REF!,"AAAAAG+f9Vo=")</f>
        <v>#REF!</v>
      </c>
      <c r="CN38" t="e">
        <f>AND(#REF!,"AAAAAG+f9Vs=")</f>
        <v>#REF!</v>
      </c>
      <c r="CO38" t="e">
        <f>AND(#REF!,"AAAAAG+f9Vw=")</f>
        <v>#REF!</v>
      </c>
      <c r="CP38" t="e">
        <f>AND(#REF!,"AAAAAG+f9V0=")</f>
        <v>#REF!</v>
      </c>
      <c r="CQ38" t="e">
        <f>AND(#REF!,"AAAAAG+f9V4=")</f>
        <v>#REF!</v>
      </c>
      <c r="CR38" t="e">
        <f>AND(#REF!,"AAAAAG+f9V8=")</f>
        <v>#REF!</v>
      </c>
      <c r="CS38" t="e">
        <f>AND(#REF!,"AAAAAG+f9WA=")</f>
        <v>#REF!</v>
      </c>
      <c r="CT38" t="e">
        <f>AND(#REF!,"AAAAAG+f9WE=")</f>
        <v>#REF!</v>
      </c>
      <c r="CU38" t="e">
        <f>AND(#REF!,"AAAAAG+f9WI=")</f>
        <v>#REF!</v>
      </c>
      <c r="CV38" t="e">
        <f>AND(#REF!,"AAAAAG+f9WM=")</f>
        <v>#REF!</v>
      </c>
      <c r="CW38" t="e">
        <f>AND(#REF!,"AAAAAG+f9WQ=")</f>
        <v>#REF!</v>
      </c>
      <c r="CX38" t="e">
        <f>AND(#REF!,"AAAAAG+f9WU=")</f>
        <v>#REF!</v>
      </c>
      <c r="CY38" t="e">
        <f>AND(#REF!,"AAAAAG+f9WY=")</f>
        <v>#REF!</v>
      </c>
      <c r="CZ38" t="e">
        <f>AND(#REF!,"AAAAAG+f9Wc=")</f>
        <v>#REF!</v>
      </c>
      <c r="DA38" t="e">
        <f>AND(#REF!,"AAAAAG+f9Wg=")</f>
        <v>#REF!</v>
      </c>
      <c r="DB38" t="e">
        <f>AND(#REF!,"AAAAAG+f9Wk=")</f>
        <v>#REF!</v>
      </c>
      <c r="DC38" t="e">
        <f>AND(#REF!,"AAAAAG+f9Wo=")</f>
        <v>#REF!</v>
      </c>
      <c r="DD38" t="e">
        <f>AND(#REF!,"AAAAAG+f9Ws=")</f>
        <v>#REF!</v>
      </c>
      <c r="DE38" t="e">
        <f>AND(#REF!,"AAAAAG+f9Ww=")</f>
        <v>#REF!</v>
      </c>
      <c r="DF38" t="e">
        <f>AND(#REF!,"AAAAAG+f9W0=")</f>
        <v>#REF!</v>
      </c>
      <c r="DG38" t="e">
        <f>AND(#REF!,"AAAAAG+f9W4=")</f>
        <v>#REF!</v>
      </c>
      <c r="DH38" t="e">
        <f>AND(#REF!,"AAAAAG+f9W8=")</f>
        <v>#REF!</v>
      </c>
      <c r="DI38" t="e">
        <f>AND(#REF!,"AAAAAG+f9XA=")</f>
        <v>#REF!</v>
      </c>
      <c r="DJ38" t="e">
        <f>AND(#REF!,"AAAAAG+f9XE=")</f>
        <v>#REF!</v>
      </c>
      <c r="DK38" t="e">
        <f>AND(#REF!,"AAAAAG+f9XI=")</f>
        <v>#REF!</v>
      </c>
      <c r="DL38" t="e">
        <f>AND(#REF!,"AAAAAG+f9XM=")</f>
        <v>#REF!</v>
      </c>
      <c r="DM38" t="e">
        <f>AND(#REF!,"AAAAAG+f9XQ=")</f>
        <v>#REF!</v>
      </c>
      <c r="DN38" t="e">
        <f>AND(#REF!,"AAAAAG+f9XU=")</f>
        <v>#REF!</v>
      </c>
      <c r="DO38" t="e">
        <f>AND(#REF!,"AAAAAG+f9XY=")</f>
        <v>#REF!</v>
      </c>
      <c r="DP38" t="e">
        <f>AND(#REF!,"AAAAAG+f9Xc=")</f>
        <v>#REF!</v>
      </c>
      <c r="DQ38" t="e">
        <f>AND(#REF!,"AAAAAG+f9Xg=")</f>
        <v>#REF!</v>
      </c>
      <c r="DR38" t="e">
        <f>AND(#REF!,"AAAAAG+f9Xk=")</f>
        <v>#REF!</v>
      </c>
      <c r="DS38" t="e">
        <f>AND(#REF!,"AAAAAG+f9Xo=")</f>
        <v>#REF!</v>
      </c>
      <c r="DT38" t="e">
        <f>AND(#REF!,"AAAAAG+f9Xs=")</f>
        <v>#REF!</v>
      </c>
      <c r="DU38" t="e">
        <f>AND(#REF!,"AAAAAG+f9Xw=")</f>
        <v>#REF!</v>
      </c>
      <c r="DV38" t="e">
        <f>AND(#REF!,"AAAAAG+f9X0=")</f>
        <v>#REF!</v>
      </c>
      <c r="DW38" t="e">
        <f>AND(#REF!,"AAAAAG+f9X4=")</f>
        <v>#REF!</v>
      </c>
      <c r="DX38" t="e">
        <f>AND(#REF!,"AAAAAG+f9X8=")</f>
        <v>#REF!</v>
      </c>
      <c r="DY38" t="e">
        <f>AND(#REF!,"AAAAAG+f9YA=")</f>
        <v>#REF!</v>
      </c>
      <c r="DZ38" t="e">
        <f>AND(#REF!,"AAAAAG+f9YE=")</f>
        <v>#REF!</v>
      </c>
      <c r="EA38" t="e">
        <f>AND(#REF!,"AAAAAG+f9YI=")</f>
        <v>#REF!</v>
      </c>
      <c r="EB38" t="e">
        <f>AND(#REF!,"AAAAAG+f9YM=")</f>
        <v>#REF!</v>
      </c>
      <c r="EC38" t="e">
        <f>AND(#REF!,"AAAAAG+f9YQ=")</f>
        <v>#REF!</v>
      </c>
      <c r="ED38" t="e">
        <f>AND(#REF!,"AAAAAG+f9YU=")</f>
        <v>#REF!</v>
      </c>
      <c r="EE38" t="e">
        <f>AND(#REF!,"AAAAAG+f9YY=")</f>
        <v>#REF!</v>
      </c>
      <c r="EF38" t="e">
        <f>AND(#REF!,"AAAAAG+f9Yc=")</f>
        <v>#REF!</v>
      </c>
      <c r="EG38" t="e">
        <f>AND(#REF!,"AAAAAG+f9Yg=")</f>
        <v>#REF!</v>
      </c>
      <c r="EH38" t="e">
        <f>AND(#REF!,"AAAAAG+f9Yk=")</f>
        <v>#REF!</v>
      </c>
      <c r="EI38" t="e">
        <f>AND(#REF!,"AAAAAG+f9Yo=")</f>
        <v>#REF!</v>
      </c>
      <c r="EJ38" t="e">
        <f>AND(#REF!,"AAAAAG+f9Ys=")</f>
        <v>#REF!</v>
      </c>
      <c r="EK38" t="e">
        <f>AND(#REF!,"AAAAAG+f9Yw=")</f>
        <v>#REF!</v>
      </c>
      <c r="EL38" t="e">
        <f>AND(#REF!,"AAAAAG+f9Y0=")</f>
        <v>#REF!</v>
      </c>
      <c r="EM38" t="e">
        <f>AND(#REF!,"AAAAAG+f9Y4=")</f>
        <v>#REF!</v>
      </c>
      <c r="EN38" t="e">
        <f>AND(#REF!,"AAAAAG+f9Y8=")</f>
        <v>#REF!</v>
      </c>
      <c r="EO38" t="e">
        <f>AND(#REF!,"AAAAAG+f9ZA=")</f>
        <v>#REF!</v>
      </c>
      <c r="EP38" t="e">
        <f>AND(#REF!,"AAAAAG+f9ZE=")</f>
        <v>#REF!</v>
      </c>
      <c r="EQ38" t="e">
        <f>AND(#REF!,"AAAAAG+f9ZI=")</f>
        <v>#REF!</v>
      </c>
      <c r="ER38" t="e">
        <f>AND(#REF!,"AAAAAG+f9ZM=")</f>
        <v>#REF!</v>
      </c>
      <c r="ES38" t="e">
        <f>AND(#REF!,"AAAAAG+f9ZQ=")</f>
        <v>#REF!</v>
      </c>
      <c r="ET38" t="e">
        <f>AND(#REF!,"AAAAAG+f9ZU=")</f>
        <v>#REF!</v>
      </c>
      <c r="EU38" t="e">
        <f>AND(#REF!,"AAAAAG+f9ZY=")</f>
        <v>#REF!</v>
      </c>
      <c r="EV38" t="e">
        <f>AND(#REF!,"AAAAAG+f9Zc=")</f>
        <v>#REF!</v>
      </c>
      <c r="EW38" t="e">
        <f>AND(#REF!,"AAAAAG+f9Zg=")</f>
        <v>#REF!</v>
      </c>
      <c r="EX38" t="e">
        <f>AND(#REF!,"AAAAAG+f9Zk=")</f>
        <v>#REF!</v>
      </c>
      <c r="EY38" t="e">
        <f>AND(#REF!,"AAAAAG+f9Zo=")</f>
        <v>#REF!</v>
      </c>
      <c r="EZ38" t="e">
        <f>AND(#REF!,"AAAAAG+f9Zs=")</f>
        <v>#REF!</v>
      </c>
      <c r="FA38" t="e">
        <f>AND(#REF!,"AAAAAG+f9Zw=")</f>
        <v>#REF!</v>
      </c>
      <c r="FB38" t="e">
        <f>AND(#REF!,"AAAAAG+f9Z0=")</f>
        <v>#REF!</v>
      </c>
      <c r="FC38" t="e">
        <f>AND(#REF!,"AAAAAG+f9Z4=")</f>
        <v>#REF!</v>
      </c>
      <c r="FD38" t="e">
        <f>AND(#REF!,"AAAAAG+f9Z8=")</f>
        <v>#REF!</v>
      </c>
      <c r="FE38" t="e">
        <f>AND(#REF!,"AAAAAG+f9aA=")</f>
        <v>#REF!</v>
      </c>
      <c r="FF38" t="e">
        <f>AND(#REF!,"AAAAAG+f9aE=")</f>
        <v>#REF!</v>
      </c>
      <c r="FG38" t="e">
        <f>AND(#REF!,"AAAAAG+f9aI=")</f>
        <v>#REF!</v>
      </c>
      <c r="FH38" t="e">
        <f>AND(#REF!,"AAAAAG+f9aM=")</f>
        <v>#REF!</v>
      </c>
      <c r="FI38" t="e">
        <f>AND(#REF!,"AAAAAG+f9aQ=")</f>
        <v>#REF!</v>
      </c>
      <c r="FJ38" t="e">
        <f>AND(#REF!,"AAAAAG+f9aU=")</f>
        <v>#REF!</v>
      </c>
      <c r="FK38" t="e">
        <f>AND(#REF!,"AAAAAG+f9aY=")</f>
        <v>#REF!</v>
      </c>
      <c r="FL38" t="e">
        <f>AND(#REF!,"AAAAAG+f9ac=")</f>
        <v>#REF!</v>
      </c>
      <c r="FM38" t="e">
        <f>AND(#REF!,"AAAAAG+f9ag=")</f>
        <v>#REF!</v>
      </c>
      <c r="FN38" t="e">
        <f>AND(#REF!,"AAAAAG+f9ak=")</f>
        <v>#REF!</v>
      </c>
      <c r="FO38" t="e">
        <f>AND(#REF!,"AAAAAG+f9ao=")</f>
        <v>#REF!</v>
      </c>
      <c r="FP38" t="e">
        <f>AND(#REF!,"AAAAAG+f9as=")</f>
        <v>#REF!</v>
      </c>
      <c r="FQ38" t="e">
        <f>AND(#REF!,"AAAAAG+f9aw=")</f>
        <v>#REF!</v>
      </c>
      <c r="FR38" t="e">
        <f>AND(#REF!,"AAAAAG+f9a0=")</f>
        <v>#REF!</v>
      </c>
      <c r="FS38" t="e">
        <f>AND(#REF!,"AAAAAG+f9a4=")</f>
        <v>#REF!</v>
      </c>
      <c r="FT38" t="e">
        <f>AND(#REF!,"AAAAAG+f9a8=")</f>
        <v>#REF!</v>
      </c>
      <c r="FU38" t="e">
        <f>AND(#REF!,"AAAAAG+f9bA=")</f>
        <v>#REF!</v>
      </c>
      <c r="FV38" t="e">
        <f>AND(#REF!,"AAAAAG+f9bE=")</f>
        <v>#REF!</v>
      </c>
      <c r="FW38" t="e">
        <f>AND(#REF!,"AAAAAG+f9bI=")</f>
        <v>#REF!</v>
      </c>
      <c r="FX38" t="e">
        <f>AND(#REF!,"AAAAAG+f9bM=")</f>
        <v>#REF!</v>
      </c>
      <c r="FY38" t="e">
        <f>AND(#REF!,"AAAAAG+f9bQ=")</f>
        <v>#REF!</v>
      </c>
      <c r="FZ38" t="e">
        <f>AND(#REF!,"AAAAAG+f9bU=")</f>
        <v>#REF!</v>
      </c>
      <c r="GA38" t="e">
        <f>AND(#REF!,"AAAAAG+f9bY=")</f>
        <v>#REF!</v>
      </c>
      <c r="GB38" t="e">
        <f>AND(#REF!,"AAAAAG+f9bc=")</f>
        <v>#REF!</v>
      </c>
      <c r="GC38" t="e">
        <f>AND(#REF!,"AAAAAG+f9bg=")</f>
        <v>#REF!</v>
      </c>
      <c r="GD38" t="e">
        <f>AND(#REF!,"AAAAAG+f9bk=")</f>
        <v>#REF!</v>
      </c>
      <c r="GE38" t="e">
        <f>AND(#REF!,"AAAAAG+f9bo=")</f>
        <v>#REF!</v>
      </c>
      <c r="GF38" t="e">
        <f>AND(#REF!,"AAAAAG+f9bs=")</f>
        <v>#REF!</v>
      </c>
      <c r="GG38" t="e">
        <f>AND(#REF!,"AAAAAG+f9bw=")</f>
        <v>#REF!</v>
      </c>
      <c r="GH38" t="e">
        <f>AND(#REF!,"AAAAAG+f9b0=")</f>
        <v>#REF!</v>
      </c>
      <c r="GI38" t="e">
        <f>AND(#REF!,"AAAAAG+f9b4=")</f>
        <v>#REF!</v>
      </c>
      <c r="GJ38" t="e">
        <f>AND(#REF!,"AAAAAG+f9b8=")</f>
        <v>#REF!</v>
      </c>
      <c r="GK38" t="e">
        <f>AND(#REF!,"AAAAAG+f9cA=")</f>
        <v>#REF!</v>
      </c>
      <c r="GL38" t="e">
        <f>AND(#REF!,"AAAAAG+f9cE=")</f>
        <v>#REF!</v>
      </c>
      <c r="GM38" t="e">
        <f>AND(#REF!,"AAAAAG+f9cI=")</f>
        <v>#REF!</v>
      </c>
      <c r="GN38" t="e">
        <f>AND(#REF!,"AAAAAG+f9cM=")</f>
        <v>#REF!</v>
      </c>
      <c r="GO38" t="e">
        <f>AND(#REF!,"AAAAAG+f9cQ=")</f>
        <v>#REF!</v>
      </c>
      <c r="GP38" t="e">
        <f>AND(#REF!,"AAAAAG+f9cU=")</f>
        <v>#REF!</v>
      </c>
      <c r="GQ38" t="e">
        <f>AND(#REF!,"AAAAAG+f9cY=")</f>
        <v>#REF!</v>
      </c>
      <c r="GR38" t="e">
        <f>AND(#REF!,"AAAAAG+f9cc=")</f>
        <v>#REF!</v>
      </c>
      <c r="GS38" t="e">
        <f>AND(#REF!,"AAAAAG+f9cg=")</f>
        <v>#REF!</v>
      </c>
      <c r="GT38" t="e">
        <f>AND(#REF!,"AAAAAG+f9ck=")</f>
        <v>#REF!</v>
      </c>
      <c r="GU38" t="e">
        <f>AND(#REF!,"AAAAAG+f9co=")</f>
        <v>#REF!</v>
      </c>
      <c r="GV38" t="e">
        <f>AND(#REF!,"AAAAAG+f9cs=")</f>
        <v>#REF!</v>
      </c>
      <c r="GW38" t="e">
        <f>IF(#REF!,"AAAAAG+f9cw=",0)</f>
        <v>#REF!</v>
      </c>
      <c r="GX38" t="e">
        <f>AND(#REF!,"AAAAAG+f9c0=")</f>
        <v>#REF!</v>
      </c>
      <c r="GY38" t="e">
        <f>AND(#REF!,"AAAAAG+f9c4=")</f>
        <v>#REF!</v>
      </c>
      <c r="GZ38" t="e">
        <f>AND(#REF!,"AAAAAG+f9c8=")</f>
        <v>#REF!</v>
      </c>
      <c r="HA38" t="e">
        <f>AND(#REF!,"AAAAAG+f9dA=")</f>
        <v>#REF!</v>
      </c>
      <c r="HB38" t="e">
        <f>AND(#REF!,"AAAAAG+f9dE=")</f>
        <v>#REF!</v>
      </c>
      <c r="HC38" t="e">
        <f>AND(#REF!,"AAAAAG+f9dI=")</f>
        <v>#REF!</v>
      </c>
      <c r="HD38" t="e">
        <f>AND(#REF!,"AAAAAG+f9dM=")</f>
        <v>#REF!</v>
      </c>
      <c r="HE38" t="e">
        <f>AND(#REF!,"AAAAAG+f9dQ=")</f>
        <v>#REF!</v>
      </c>
      <c r="HF38" t="e">
        <f>AND(#REF!,"AAAAAG+f9dU=")</f>
        <v>#REF!</v>
      </c>
      <c r="HG38" t="e">
        <f>AND(#REF!,"AAAAAG+f9dY=")</f>
        <v>#REF!</v>
      </c>
      <c r="HH38" t="e">
        <f>AND(#REF!,"AAAAAG+f9dc=")</f>
        <v>#REF!</v>
      </c>
      <c r="HI38" t="e">
        <f>AND(#REF!,"AAAAAG+f9dg=")</f>
        <v>#REF!</v>
      </c>
      <c r="HJ38" t="e">
        <f>AND(#REF!,"AAAAAG+f9dk=")</f>
        <v>#REF!</v>
      </c>
      <c r="HK38" t="e">
        <f>AND(#REF!,"AAAAAG+f9do=")</f>
        <v>#REF!</v>
      </c>
      <c r="HL38" t="e">
        <f>AND(#REF!,"AAAAAG+f9ds=")</f>
        <v>#REF!</v>
      </c>
      <c r="HM38" t="e">
        <f>AND(#REF!,"AAAAAG+f9dw=")</f>
        <v>#REF!</v>
      </c>
      <c r="HN38" t="e">
        <f>AND(#REF!,"AAAAAG+f9d0=")</f>
        <v>#REF!</v>
      </c>
      <c r="HO38" t="e">
        <f>AND(#REF!,"AAAAAG+f9d4=")</f>
        <v>#REF!</v>
      </c>
      <c r="HP38" t="e">
        <f>AND(#REF!,"AAAAAG+f9d8=")</f>
        <v>#REF!</v>
      </c>
      <c r="HQ38" t="e">
        <f>AND(#REF!,"AAAAAG+f9eA=")</f>
        <v>#REF!</v>
      </c>
      <c r="HR38" t="e">
        <f>AND(#REF!,"AAAAAG+f9eE=")</f>
        <v>#REF!</v>
      </c>
      <c r="HS38" t="e">
        <f>AND(#REF!,"AAAAAG+f9eI=")</f>
        <v>#REF!</v>
      </c>
      <c r="HT38" t="e">
        <f>AND(#REF!,"AAAAAG+f9eM=")</f>
        <v>#REF!</v>
      </c>
      <c r="HU38" t="e">
        <f>AND(#REF!,"AAAAAG+f9eQ=")</f>
        <v>#REF!</v>
      </c>
      <c r="HV38" t="e">
        <f>AND(#REF!,"AAAAAG+f9eU=")</f>
        <v>#REF!</v>
      </c>
      <c r="HW38" t="e">
        <f>AND(#REF!,"AAAAAG+f9eY=")</f>
        <v>#REF!</v>
      </c>
      <c r="HX38" t="e">
        <f>AND(#REF!,"AAAAAG+f9ec=")</f>
        <v>#REF!</v>
      </c>
      <c r="HY38" t="e">
        <f>AND(#REF!,"AAAAAG+f9eg=")</f>
        <v>#REF!</v>
      </c>
      <c r="HZ38" t="e">
        <f>AND(#REF!,"AAAAAG+f9ek=")</f>
        <v>#REF!</v>
      </c>
      <c r="IA38" t="e">
        <f>AND(#REF!,"AAAAAG+f9eo=")</f>
        <v>#REF!</v>
      </c>
      <c r="IB38" t="e">
        <f>AND(#REF!,"AAAAAG+f9es=")</f>
        <v>#REF!</v>
      </c>
      <c r="IC38" t="e">
        <f>AND(#REF!,"AAAAAG+f9ew=")</f>
        <v>#REF!</v>
      </c>
      <c r="ID38" t="e">
        <f>AND(#REF!,"AAAAAG+f9e0=")</f>
        <v>#REF!</v>
      </c>
      <c r="IE38" t="e">
        <f>AND(#REF!,"AAAAAG+f9e4=")</f>
        <v>#REF!</v>
      </c>
      <c r="IF38" t="e">
        <f>AND(#REF!,"AAAAAG+f9e8=")</f>
        <v>#REF!</v>
      </c>
      <c r="IG38" t="e">
        <f>AND(#REF!,"AAAAAG+f9fA=")</f>
        <v>#REF!</v>
      </c>
      <c r="IH38" t="e">
        <f>AND(#REF!,"AAAAAG+f9fE=")</f>
        <v>#REF!</v>
      </c>
      <c r="II38" t="e">
        <f>AND(#REF!,"AAAAAG+f9fI=")</f>
        <v>#REF!</v>
      </c>
      <c r="IJ38" t="e">
        <f>AND(#REF!,"AAAAAG+f9fM=")</f>
        <v>#REF!</v>
      </c>
      <c r="IK38" t="e">
        <f>AND(#REF!,"AAAAAG+f9fQ=")</f>
        <v>#REF!</v>
      </c>
      <c r="IL38" t="e">
        <f>AND(#REF!,"AAAAAG+f9fU=")</f>
        <v>#REF!</v>
      </c>
      <c r="IM38" t="e">
        <f>AND(#REF!,"AAAAAG+f9fY=")</f>
        <v>#REF!</v>
      </c>
      <c r="IN38" t="e">
        <f>AND(#REF!,"AAAAAG+f9fc=")</f>
        <v>#REF!</v>
      </c>
      <c r="IO38" t="e">
        <f>AND(#REF!,"AAAAAG+f9fg=")</f>
        <v>#REF!</v>
      </c>
      <c r="IP38" t="e">
        <f>AND(#REF!,"AAAAAG+f9fk=")</f>
        <v>#REF!</v>
      </c>
      <c r="IQ38" t="e">
        <f>AND(#REF!,"AAAAAG+f9fo=")</f>
        <v>#REF!</v>
      </c>
      <c r="IR38" t="e">
        <f>AND(#REF!,"AAAAAG+f9fs=")</f>
        <v>#REF!</v>
      </c>
      <c r="IS38" t="e">
        <f>AND(#REF!,"AAAAAG+f9fw=")</f>
        <v>#REF!</v>
      </c>
      <c r="IT38" t="e">
        <f>AND(#REF!,"AAAAAG+f9f0=")</f>
        <v>#REF!</v>
      </c>
      <c r="IU38" t="e">
        <f>AND(#REF!,"AAAAAG+f9f4=")</f>
        <v>#REF!</v>
      </c>
      <c r="IV38" t="e">
        <f>AND(#REF!,"AAAAAG+f9f8=")</f>
        <v>#REF!</v>
      </c>
    </row>
    <row r="39" spans="1:256" x14ac:dyDescent="0.25">
      <c r="A39" t="e">
        <f>AND(#REF!,"AAAAAH42vwA=")</f>
        <v>#REF!</v>
      </c>
      <c r="B39" t="e">
        <f>AND(#REF!,"AAAAAH42vwE=")</f>
        <v>#REF!</v>
      </c>
      <c r="C39" t="e">
        <f>AND(#REF!,"AAAAAH42vwI=")</f>
        <v>#REF!</v>
      </c>
      <c r="D39" t="e">
        <f>AND(#REF!,"AAAAAH42vwM=")</f>
        <v>#REF!</v>
      </c>
      <c r="E39" t="e">
        <f>AND(#REF!,"AAAAAH42vwQ=")</f>
        <v>#REF!</v>
      </c>
      <c r="F39" t="e">
        <f>AND(#REF!,"AAAAAH42vwU=")</f>
        <v>#REF!</v>
      </c>
      <c r="G39" t="e">
        <f>AND(#REF!,"AAAAAH42vwY=")</f>
        <v>#REF!</v>
      </c>
      <c r="H39" t="e">
        <f>AND(#REF!,"AAAAAH42vwc=")</f>
        <v>#REF!</v>
      </c>
      <c r="I39" t="e">
        <f>AND(#REF!,"AAAAAH42vwg=")</f>
        <v>#REF!</v>
      </c>
      <c r="J39" t="e">
        <f>AND(#REF!,"AAAAAH42vwk=")</f>
        <v>#REF!</v>
      </c>
      <c r="K39" t="e">
        <f>AND(#REF!,"AAAAAH42vwo=")</f>
        <v>#REF!</v>
      </c>
      <c r="L39" t="e">
        <f>AND(#REF!,"AAAAAH42vws=")</f>
        <v>#REF!</v>
      </c>
      <c r="M39" t="e">
        <f>AND(#REF!,"AAAAAH42vww=")</f>
        <v>#REF!</v>
      </c>
      <c r="N39" t="e">
        <f>AND(#REF!,"AAAAAH42vw0=")</f>
        <v>#REF!</v>
      </c>
      <c r="O39" t="e">
        <f>AND(#REF!,"AAAAAH42vw4=")</f>
        <v>#REF!</v>
      </c>
      <c r="P39" t="e">
        <f>AND(#REF!,"AAAAAH42vw8=")</f>
        <v>#REF!</v>
      </c>
      <c r="Q39" t="e">
        <f>AND(#REF!,"AAAAAH42vxA=")</f>
        <v>#REF!</v>
      </c>
      <c r="R39" t="e">
        <f>AND(#REF!,"AAAAAH42vxE=")</f>
        <v>#REF!</v>
      </c>
      <c r="S39" t="e">
        <f>AND(#REF!,"AAAAAH42vxI=")</f>
        <v>#REF!</v>
      </c>
      <c r="T39" t="e">
        <f>AND(#REF!,"AAAAAH42vxM=")</f>
        <v>#REF!</v>
      </c>
      <c r="U39" t="e">
        <f>AND(#REF!,"AAAAAH42vxQ=")</f>
        <v>#REF!</v>
      </c>
      <c r="V39" t="e">
        <f>AND(#REF!,"AAAAAH42vxU=")</f>
        <v>#REF!</v>
      </c>
      <c r="W39" t="e">
        <f>AND(#REF!,"AAAAAH42vxY=")</f>
        <v>#REF!</v>
      </c>
      <c r="X39" t="e">
        <f>AND(#REF!,"AAAAAH42vxc=")</f>
        <v>#REF!</v>
      </c>
      <c r="Y39" t="e">
        <f>AND(#REF!,"AAAAAH42vxg=")</f>
        <v>#REF!</v>
      </c>
      <c r="Z39" t="e">
        <f>AND(#REF!,"AAAAAH42vxk=")</f>
        <v>#REF!</v>
      </c>
      <c r="AA39" t="e">
        <f>AND(#REF!,"AAAAAH42vxo=")</f>
        <v>#REF!</v>
      </c>
      <c r="AB39" t="e">
        <f>AND(#REF!,"AAAAAH42vxs=")</f>
        <v>#REF!</v>
      </c>
      <c r="AC39" t="e">
        <f>AND(#REF!,"AAAAAH42vxw=")</f>
        <v>#REF!</v>
      </c>
      <c r="AD39" t="e">
        <f>AND(#REF!,"AAAAAH42vx0=")</f>
        <v>#REF!</v>
      </c>
      <c r="AE39" t="e">
        <f>AND(#REF!,"AAAAAH42vx4=")</f>
        <v>#REF!</v>
      </c>
      <c r="AF39" t="e">
        <f>AND(#REF!,"AAAAAH42vx8=")</f>
        <v>#REF!</v>
      </c>
      <c r="AG39" t="e">
        <f>AND(#REF!,"AAAAAH42vyA=")</f>
        <v>#REF!</v>
      </c>
      <c r="AH39" t="e">
        <f>AND(#REF!,"AAAAAH42vyE=")</f>
        <v>#REF!</v>
      </c>
      <c r="AI39" t="e">
        <f>AND(#REF!,"AAAAAH42vyI=")</f>
        <v>#REF!</v>
      </c>
      <c r="AJ39" t="e">
        <f>AND(#REF!,"AAAAAH42vyM=")</f>
        <v>#REF!</v>
      </c>
      <c r="AK39" t="e">
        <f>AND(#REF!,"AAAAAH42vyQ=")</f>
        <v>#REF!</v>
      </c>
      <c r="AL39" t="e">
        <f>AND(#REF!,"AAAAAH42vyU=")</f>
        <v>#REF!</v>
      </c>
      <c r="AM39" t="e">
        <f>AND(#REF!,"AAAAAH42vyY=")</f>
        <v>#REF!</v>
      </c>
      <c r="AN39" t="e">
        <f>AND(#REF!,"AAAAAH42vyc=")</f>
        <v>#REF!</v>
      </c>
      <c r="AO39" t="e">
        <f>AND(#REF!,"AAAAAH42vyg=")</f>
        <v>#REF!</v>
      </c>
      <c r="AP39" t="e">
        <f>AND(#REF!,"AAAAAH42vyk=")</f>
        <v>#REF!</v>
      </c>
      <c r="AQ39" t="e">
        <f>AND(#REF!,"AAAAAH42vyo=")</f>
        <v>#REF!</v>
      </c>
      <c r="AR39" t="e">
        <f>AND(#REF!,"AAAAAH42vys=")</f>
        <v>#REF!</v>
      </c>
      <c r="AS39" t="e">
        <f>AND(#REF!,"AAAAAH42vyw=")</f>
        <v>#REF!</v>
      </c>
      <c r="AT39" t="e">
        <f>AND(#REF!,"AAAAAH42vy0=")</f>
        <v>#REF!</v>
      </c>
      <c r="AU39" t="e">
        <f>AND(#REF!,"AAAAAH42vy4=")</f>
        <v>#REF!</v>
      </c>
      <c r="AV39" t="e">
        <f>AND(#REF!,"AAAAAH42vy8=")</f>
        <v>#REF!</v>
      </c>
      <c r="AW39" t="e">
        <f>AND(#REF!,"AAAAAH42vzA=")</f>
        <v>#REF!</v>
      </c>
      <c r="AX39" t="e">
        <f>AND(#REF!,"AAAAAH42vzE=")</f>
        <v>#REF!</v>
      </c>
      <c r="AY39" t="e">
        <f>AND(#REF!,"AAAAAH42vzI=")</f>
        <v>#REF!</v>
      </c>
      <c r="AZ39" t="e">
        <f>AND(#REF!,"AAAAAH42vzM=")</f>
        <v>#REF!</v>
      </c>
      <c r="BA39" t="e">
        <f>AND(#REF!,"AAAAAH42vzQ=")</f>
        <v>#REF!</v>
      </c>
      <c r="BB39" t="e">
        <f>AND(#REF!,"AAAAAH42vzU=")</f>
        <v>#REF!</v>
      </c>
      <c r="BC39" t="e">
        <f>AND(#REF!,"AAAAAH42vzY=")</f>
        <v>#REF!</v>
      </c>
      <c r="BD39" t="e">
        <f>AND(#REF!,"AAAAAH42vzc=")</f>
        <v>#REF!</v>
      </c>
      <c r="BE39" t="e">
        <f>AND(#REF!,"AAAAAH42vzg=")</f>
        <v>#REF!</v>
      </c>
      <c r="BF39" t="e">
        <f>AND(#REF!,"AAAAAH42vzk=")</f>
        <v>#REF!</v>
      </c>
      <c r="BG39" t="e">
        <f>AND(#REF!,"AAAAAH42vzo=")</f>
        <v>#REF!</v>
      </c>
      <c r="BH39" t="e">
        <f>AND(#REF!,"AAAAAH42vzs=")</f>
        <v>#REF!</v>
      </c>
      <c r="BI39" t="e">
        <f>AND(#REF!,"AAAAAH42vzw=")</f>
        <v>#REF!</v>
      </c>
      <c r="BJ39" t="e">
        <f>AND(#REF!,"AAAAAH42vz0=")</f>
        <v>#REF!</v>
      </c>
      <c r="BK39" t="e">
        <f>AND(#REF!,"AAAAAH42vz4=")</f>
        <v>#REF!</v>
      </c>
      <c r="BL39" t="e">
        <f>AND(#REF!,"AAAAAH42vz8=")</f>
        <v>#REF!</v>
      </c>
      <c r="BM39" t="e">
        <f>AND(#REF!,"AAAAAH42v0A=")</f>
        <v>#REF!</v>
      </c>
      <c r="BN39" t="e">
        <f>AND(#REF!,"AAAAAH42v0E=")</f>
        <v>#REF!</v>
      </c>
      <c r="BO39" t="e">
        <f>AND(#REF!,"AAAAAH42v0I=")</f>
        <v>#REF!</v>
      </c>
      <c r="BP39" t="e">
        <f>AND(#REF!,"AAAAAH42v0M=")</f>
        <v>#REF!</v>
      </c>
      <c r="BQ39" t="e">
        <f>AND(#REF!,"AAAAAH42v0Q=")</f>
        <v>#REF!</v>
      </c>
      <c r="BR39" t="e">
        <f>AND(#REF!,"AAAAAH42v0U=")</f>
        <v>#REF!</v>
      </c>
      <c r="BS39" t="e">
        <f>AND(#REF!,"AAAAAH42v0Y=")</f>
        <v>#REF!</v>
      </c>
      <c r="BT39" t="e">
        <f>AND(#REF!,"AAAAAH42v0c=")</f>
        <v>#REF!</v>
      </c>
      <c r="BU39" t="e">
        <f>AND(#REF!,"AAAAAH42v0g=")</f>
        <v>#REF!</v>
      </c>
      <c r="BV39" t="e">
        <f>AND(#REF!,"AAAAAH42v0k=")</f>
        <v>#REF!</v>
      </c>
      <c r="BW39" t="e">
        <f>AND(#REF!,"AAAAAH42v0o=")</f>
        <v>#REF!</v>
      </c>
      <c r="BX39" t="e">
        <f>AND(#REF!,"AAAAAH42v0s=")</f>
        <v>#REF!</v>
      </c>
      <c r="BY39" t="e">
        <f>AND(#REF!,"AAAAAH42v0w=")</f>
        <v>#REF!</v>
      </c>
      <c r="BZ39" t="e">
        <f>AND(#REF!,"AAAAAH42v00=")</f>
        <v>#REF!</v>
      </c>
      <c r="CA39" t="e">
        <f>AND(#REF!,"AAAAAH42v04=")</f>
        <v>#REF!</v>
      </c>
      <c r="CB39" t="e">
        <f>AND(#REF!,"AAAAAH42v08=")</f>
        <v>#REF!</v>
      </c>
      <c r="CC39" t="e">
        <f>AND(#REF!,"AAAAAH42v1A=")</f>
        <v>#REF!</v>
      </c>
      <c r="CD39" t="e">
        <f>AND(#REF!,"AAAAAH42v1E=")</f>
        <v>#REF!</v>
      </c>
      <c r="CE39" t="e">
        <f>AND(#REF!,"AAAAAH42v1I=")</f>
        <v>#REF!</v>
      </c>
      <c r="CF39" t="e">
        <f>AND(#REF!,"AAAAAH42v1M=")</f>
        <v>#REF!</v>
      </c>
      <c r="CG39" t="e">
        <f>AND(#REF!,"AAAAAH42v1Q=")</f>
        <v>#REF!</v>
      </c>
      <c r="CH39" t="e">
        <f>AND(#REF!,"AAAAAH42v1U=")</f>
        <v>#REF!</v>
      </c>
      <c r="CI39" t="e">
        <f>AND(#REF!,"AAAAAH42v1Y=")</f>
        <v>#REF!</v>
      </c>
      <c r="CJ39" t="e">
        <f>AND(#REF!,"AAAAAH42v1c=")</f>
        <v>#REF!</v>
      </c>
      <c r="CK39" t="e">
        <f>AND(#REF!,"AAAAAH42v1g=")</f>
        <v>#REF!</v>
      </c>
      <c r="CL39" t="e">
        <f>AND(#REF!,"AAAAAH42v1k=")</f>
        <v>#REF!</v>
      </c>
      <c r="CM39" t="e">
        <f>AND(#REF!,"AAAAAH42v1o=")</f>
        <v>#REF!</v>
      </c>
      <c r="CN39" t="e">
        <f>AND(#REF!,"AAAAAH42v1s=")</f>
        <v>#REF!</v>
      </c>
      <c r="CO39" t="e">
        <f>AND(#REF!,"AAAAAH42v1w=")</f>
        <v>#REF!</v>
      </c>
      <c r="CP39" t="e">
        <f>AND(#REF!,"AAAAAH42v10=")</f>
        <v>#REF!</v>
      </c>
      <c r="CQ39" t="e">
        <f>AND(#REF!,"AAAAAH42v14=")</f>
        <v>#REF!</v>
      </c>
      <c r="CR39" t="e">
        <f>AND(#REF!,"AAAAAH42v18=")</f>
        <v>#REF!</v>
      </c>
      <c r="CS39" t="e">
        <f>AND(#REF!,"AAAAAH42v2A=")</f>
        <v>#REF!</v>
      </c>
      <c r="CT39" t="e">
        <f>AND(#REF!,"AAAAAH42v2E=")</f>
        <v>#REF!</v>
      </c>
      <c r="CU39" t="e">
        <f>AND(#REF!,"AAAAAH42v2I=")</f>
        <v>#REF!</v>
      </c>
      <c r="CV39" t="e">
        <f>AND(#REF!,"AAAAAH42v2M=")</f>
        <v>#REF!</v>
      </c>
      <c r="CW39" t="e">
        <f>AND(#REF!,"AAAAAH42v2Q=")</f>
        <v>#REF!</v>
      </c>
      <c r="CX39" t="e">
        <f>AND(#REF!,"AAAAAH42v2U=")</f>
        <v>#REF!</v>
      </c>
      <c r="CY39" t="e">
        <f>AND(#REF!,"AAAAAH42v2Y=")</f>
        <v>#REF!</v>
      </c>
      <c r="CZ39" t="e">
        <f>AND(#REF!,"AAAAAH42v2c=")</f>
        <v>#REF!</v>
      </c>
      <c r="DA39" t="e">
        <f>AND(#REF!,"AAAAAH42v2g=")</f>
        <v>#REF!</v>
      </c>
      <c r="DB39" t="e">
        <f>AND(#REF!,"AAAAAH42v2k=")</f>
        <v>#REF!</v>
      </c>
      <c r="DC39" t="e">
        <f>AND(#REF!,"AAAAAH42v2o=")</f>
        <v>#REF!</v>
      </c>
      <c r="DD39" t="e">
        <f>AND(#REF!,"AAAAAH42v2s=")</f>
        <v>#REF!</v>
      </c>
      <c r="DE39" t="e">
        <f>AND(#REF!,"AAAAAH42v2w=")</f>
        <v>#REF!</v>
      </c>
      <c r="DF39" t="e">
        <f>AND(#REF!,"AAAAAH42v20=")</f>
        <v>#REF!</v>
      </c>
      <c r="DG39" t="e">
        <f>AND(#REF!,"AAAAAH42v24=")</f>
        <v>#REF!</v>
      </c>
      <c r="DH39" t="e">
        <f>AND(#REF!,"AAAAAH42v28=")</f>
        <v>#REF!</v>
      </c>
      <c r="DI39" t="e">
        <f>AND(#REF!,"AAAAAH42v3A=")</f>
        <v>#REF!</v>
      </c>
      <c r="DJ39" t="e">
        <f>AND(#REF!,"AAAAAH42v3E=")</f>
        <v>#REF!</v>
      </c>
      <c r="DK39" t="e">
        <f>AND(#REF!,"AAAAAH42v3I=")</f>
        <v>#REF!</v>
      </c>
      <c r="DL39" t="e">
        <f>AND(#REF!,"AAAAAH42v3M=")</f>
        <v>#REF!</v>
      </c>
      <c r="DM39" t="e">
        <f>AND(#REF!,"AAAAAH42v3Q=")</f>
        <v>#REF!</v>
      </c>
      <c r="DN39" t="e">
        <f>AND(#REF!,"AAAAAH42v3U=")</f>
        <v>#REF!</v>
      </c>
      <c r="DO39" t="e">
        <f>AND(#REF!,"AAAAAH42v3Y=")</f>
        <v>#REF!</v>
      </c>
      <c r="DP39" t="e">
        <f>AND(#REF!,"AAAAAH42v3c=")</f>
        <v>#REF!</v>
      </c>
      <c r="DQ39" t="e">
        <f>AND(#REF!,"AAAAAH42v3g=")</f>
        <v>#REF!</v>
      </c>
      <c r="DR39" t="e">
        <f>AND(#REF!,"AAAAAH42v3k=")</f>
        <v>#REF!</v>
      </c>
      <c r="DS39" t="e">
        <f>AND(#REF!,"AAAAAH42v3o=")</f>
        <v>#REF!</v>
      </c>
      <c r="DT39" t="e">
        <f>AND(#REF!,"AAAAAH42v3s=")</f>
        <v>#REF!</v>
      </c>
      <c r="DU39" t="e">
        <f>AND(#REF!,"AAAAAH42v3w=")</f>
        <v>#REF!</v>
      </c>
      <c r="DV39" t="e">
        <f>AND(#REF!,"AAAAAH42v30=")</f>
        <v>#REF!</v>
      </c>
      <c r="DW39" t="e">
        <f>AND(#REF!,"AAAAAH42v34=")</f>
        <v>#REF!</v>
      </c>
      <c r="DX39" t="e">
        <f>AND(#REF!,"AAAAAH42v38=")</f>
        <v>#REF!</v>
      </c>
      <c r="DY39" t="e">
        <f>AND(#REF!,"AAAAAH42v4A=")</f>
        <v>#REF!</v>
      </c>
      <c r="DZ39" t="e">
        <f>AND(#REF!,"AAAAAH42v4E=")</f>
        <v>#REF!</v>
      </c>
      <c r="EA39" t="e">
        <f>AND(#REF!,"AAAAAH42v4I=")</f>
        <v>#REF!</v>
      </c>
      <c r="EB39" t="e">
        <f>AND(#REF!,"AAAAAH42v4M=")</f>
        <v>#REF!</v>
      </c>
      <c r="EC39" t="e">
        <f>AND(#REF!,"AAAAAH42v4Q=")</f>
        <v>#REF!</v>
      </c>
      <c r="ED39" t="e">
        <f>AND(#REF!,"AAAAAH42v4U=")</f>
        <v>#REF!</v>
      </c>
      <c r="EE39" t="e">
        <f>AND(#REF!,"AAAAAH42v4Y=")</f>
        <v>#REF!</v>
      </c>
      <c r="EF39" t="e">
        <f>AND(#REF!,"AAAAAH42v4c=")</f>
        <v>#REF!</v>
      </c>
      <c r="EG39" t="e">
        <f>AND(#REF!,"AAAAAH42v4g=")</f>
        <v>#REF!</v>
      </c>
      <c r="EH39" t="e">
        <f>IF(#REF!,"AAAAAH42v4k=",0)</f>
        <v>#REF!</v>
      </c>
      <c r="EI39" t="e">
        <f>AND(#REF!,"AAAAAH42v4o=")</f>
        <v>#REF!</v>
      </c>
      <c r="EJ39" t="e">
        <f>AND(#REF!,"AAAAAH42v4s=")</f>
        <v>#REF!</v>
      </c>
      <c r="EK39" t="e">
        <f>AND(#REF!,"AAAAAH42v4w=")</f>
        <v>#REF!</v>
      </c>
      <c r="EL39" t="e">
        <f>AND(#REF!,"AAAAAH42v40=")</f>
        <v>#REF!</v>
      </c>
      <c r="EM39" t="e">
        <f>AND(#REF!,"AAAAAH42v44=")</f>
        <v>#REF!</v>
      </c>
      <c r="EN39" t="e">
        <f>AND(#REF!,"AAAAAH42v48=")</f>
        <v>#REF!</v>
      </c>
      <c r="EO39" t="e">
        <f>AND(#REF!,"AAAAAH42v5A=")</f>
        <v>#REF!</v>
      </c>
      <c r="EP39" t="e">
        <f>AND(#REF!,"AAAAAH42v5E=")</f>
        <v>#REF!</v>
      </c>
      <c r="EQ39" t="e">
        <f>AND(#REF!,"AAAAAH42v5I=")</f>
        <v>#REF!</v>
      </c>
      <c r="ER39" t="e">
        <f>AND(#REF!,"AAAAAH42v5M=")</f>
        <v>#REF!</v>
      </c>
      <c r="ES39" t="e">
        <f>AND(#REF!,"AAAAAH42v5Q=")</f>
        <v>#REF!</v>
      </c>
      <c r="ET39" t="e">
        <f>AND(#REF!,"AAAAAH42v5U=")</f>
        <v>#REF!</v>
      </c>
      <c r="EU39" t="e">
        <f>AND(#REF!,"AAAAAH42v5Y=")</f>
        <v>#REF!</v>
      </c>
      <c r="EV39" t="e">
        <f>AND(#REF!,"AAAAAH42v5c=")</f>
        <v>#REF!</v>
      </c>
      <c r="EW39" t="e">
        <f>AND(#REF!,"AAAAAH42v5g=")</f>
        <v>#REF!</v>
      </c>
      <c r="EX39" t="e">
        <f>AND(#REF!,"AAAAAH42v5k=")</f>
        <v>#REF!</v>
      </c>
      <c r="EY39" t="e">
        <f>AND(#REF!,"AAAAAH42v5o=")</f>
        <v>#REF!</v>
      </c>
      <c r="EZ39" t="e">
        <f>AND(#REF!,"AAAAAH42v5s=")</f>
        <v>#REF!</v>
      </c>
      <c r="FA39" t="e">
        <f>AND(#REF!,"AAAAAH42v5w=")</f>
        <v>#REF!</v>
      </c>
      <c r="FB39" t="e">
        <f>AND(#REF!,"AAAAAH42v50=")</f>
        <v>#REF!</v>
      </c>
      <c r="FC39" t="e">
        <f>AND(#REF!,"AAAAAH42v54=")</f>
        <v>#REF!</v>
      </c>
      <c r="FD39" t="e">
        <f>AND(#REF!,"AAAAAH42v58=")</f>
        <v>#REF!</v>
      </c>
      <c r="FE39" t="e">
        <f>AND(#REF!,"AAAAAH42v6A=")</f>
        <v>#REF!</v>
      </c>
      <c r="FF39" t="e">
        <f>AND(#REF!,"AAAAAH42v6E=")</f>
        <v>#REF!</v>
      </c>
      <c r="FG39" t="e">
        <f>AND(#REF!,"AAAAAH42v6I=")</f>
        <v>#REF!</v>
      </c>
      <c r="FH39" t="e">
        <f>AND(#REF!,"AAAAAH42v6M=")</f>
        <v>#REF!</v>
      </c>
      <c r="FI39" t="e">
        <f>AND(#REF!,"AAAAAH42v6Q=")</f>
        <v>#REF!</v>
      </c>
      <c r="FJ39" t="e">
        <f>AND(#REF!,"AAAAAH42v6U=")</f>
        <v>#REF!</v>
      </c>
      <c r="FK39" t="e">
        <f>AND(#REF!,"AAAAAH42v6Y=")</f>
        <v>#REF!</v>
      </c>
      <c r="FL39" t="e">
        <f>AND(#REF!,"AAAAAH42v6c=")</f>
        <v>#REF!</v>
      </c>
      <c r="FM39" t="e">
        <f>AND(#REF!,"AAAAAH42v6g=")</f>
        <v>#REF!</v>
      </c>
      <c r="FN39" t="e">
        <f>AND(#REF!,"AAAAAH42v6k=")</f>
        <v>#REF!</v>
      </c>
      <c r="FO39" t="e">
        <f>AND(#REF!,"AAAAAH42v6o=")</f>
        <v>#REF!</v>
      </c>
      <c r="FP39" t="e">
        <f>AND(#REF!,"AAAAAH42v6s=")</f>
        <v>#REF!</v>
      </c>
      <c r="FQ39" t="e">
        <f>AND(#REF!,"AAAAAH42v6w=")</f>
        <v>#REF!</v>
      </c>
      <c r="FR39" t="e">
        <f>AND(#REF!,"AAAAAH42v60=")</f>
        <v>#REF!</v>
      </c>
      <c r="FS39" t="e">
        <f>AND(#REF!,"AAAAAH42v64=")</f>
        <v>#REF!</v>
      </c>
      <c r="FT39" t="e">
        <f>AND(#REF!,"AAAAAH42v68=")</f>
        <v>#REF!</v>
      </c>
      <c r="FU39" t="e">
        <f>AND(#REF!,"AAAAAH42v7A=")</f>
        <v>#REF!</v>
      </c>
      <c r="FV39" t="e">
        <f>AND(#REF!,"AAAAAH42v7E=")</f>
        <v>#REF!</v>
      </c>
      <c r="FW39" t="e">
        <f>AND(#REF!,"AAAAAH42v7I=")</f>
        <v>#REF!</v>
      </c>
      <c r="FX39" t="e">
        <f>AND(#REF!,"AAAAAH42v7M=")</f>
        <v>#REF!</v>
      </c>
      <c r="FY39" t="e">
        <f>AND(#REF!,"AAAAAH42v7Q=")</f>
        <v>#REF!</v>
      </c>
      <c r="FZ39" t="e">
        <f>AND(#REF!,"AAAAAH42v7U=")</f>
        <v>#REF!</v>
      </c>
      <c r="GA39" t="e">
        <f>AND(#REF!,"AAAAAH42v7Y=")</f>
        <v>#REF!</v>
      </c>
      <c r="GB39" t="e">
        <f>AND(#REF!,"AAAAAH42v7c=")</f>
        <v>#REF!</v>
      </c>
      <c r="GC39" t="e">
        <f>AND(#REF!,"AAAAAH42v7g=")</f>
        <v>#REF!</v>
      </c>
      <c r="GD39" t="e">
        <f>AND(#REF!,"AAAAAH42v7k=")</f>
        <v>#REF!</v>
      </c>
      <c r="GE39" t="e">
        <f>AND(#REF!,"AAAAAH42v7o=")</f>
        <v>#REF!</v>
      </c>
      <c r="GF39" t="e">
        <f>AND(#REF!,"AAAAAH42v7s=")</f>
        <v>#REF!</v>
      </c>
      <c r="GG39" t="e">
        <f>AND(#REF!,"AAAAAH42v7w=")</f>
        <v>#REF!</v>
      </c>
      <c r="GH39" t="e">
        <f>AND(#REF!,"AAAAAH42v70=")</f>
        <v>#REF!</v>
      </c>
      <c r="GI39" t="e">
        <f>AND(#REF!,"AAAAAH42v74=")</f>
        <v>#REF!</v>
      </c>
      <c r="GJ39" t="e">
        <f>AND(#REF!,"AAAAAH42v78=")</f>
        <v>#REF!</v>
      </c>
      <c r="GK39" t="e">
        <f>AND(#REF!,"AAAAAH42v8A=")</f>
        <v>#REF!</v>
      </c>
      <c r="GL39" t="e">
        <f>AND(#REF!,"AAAAAH42v8E=")</f>
        <v>#REF!</v>
      </c>
      <c r="GM39" t="e">
        <f>AND(#REF!,"AAAAAH42v8I=")</f>
        <v>#REF!</v>
      </c>
      <c r="GN39" t="e">
        <f>AND(#REF!,"AAAAAH42v8M=")</f>
        <v>#REF!</v>
      </c>
      <c r="GO39" t="e">
        <f>AND(#REF!,"AAAAAH42v8Q=")</f>
        <v>#REF!</v>
      </c>
      <c r="GP39" t="e">
        <f>AND(#REF!,"AAAAAH42v8U=")</f>
        <v>#REF!</v>
      </c>
      <c r="GQ39" t="e">
        <f>AND(#REF!,"AAAAAH42v8Y=")</f>
        <v>#REF!</v>
      </c>
      <c r="GR39" t="e">
        <f>AND(#REF!,"AAAAAH42v8c=")</f>
        <v>#REF!</v>
      </c>
      <c r="GS39" t="e">
        <f>AND(#REF!,"AAAAAH42v8g=")</f>
        <v>#REF!</v>
      </c>
      <c r="GT39" t="e">
        <f>AND(#REF!,"AAAAAH42v8k=")</f>
        <v>#REF!</v>
      </c>
      <c r="GU39" t="e">
        <f>AND(#REF!,"AAAAAH42v8o=")</f>
        <v>#REF!</v>
      </c>
      <c r="GV39" t="e">
        <f>AND(#REF!,"AAAAAH42v8s=")</f>
        <v>#REF!</v>
      </c>
      <c r="GW39" t="e">
        <f>AND(#REF!,"AAAAAH42v8w=")</f>
        <v>#REF!</v>
      </c>
      <c r="GX39" t="e">
        <f>AND(#REF!,"AAAAAH42v80=")</f>
        <v>#REF!</v>
      </c>
      <c r="GY39" t="e">
        <f>AND(#REF!,"AAAAAH42v84=")</f>
        <v>#REF!</v>
      </c>
      <c r="GZ39" t="e">
        <f>AND(#REF!,"AAAAAH42v88=")</f>
        <v>#REF!</v>
      </c>
      <c r="HA39" t="e">
        <f>AND(#REF!,"AAAAAH42v9A=")</f>
        <v>#REF!</v>
      </c>
      <c r="HB39" t="e">
        <f>AND(#REF!,"AAAAAH42v9E=")</f>
        <v>#REF!</v>
      </c>
      <c r="HC39" t="e">
        <f>AND(#REF!,"AAAAAH42v9I=")</f>
        <v>#REF!</v>
      </c>
      <c r="HD39" t="e">
        <f>AND(#REF!,"AAAAAH42v9M=")</f>
        <v>#REF!</v>
      </c>
      <c r="HE39" t="e">
        <f>AND(#REF!,"AAAAAH42v9Q=")</f>
        <v>#REF!</v>
      </c>
      <c r="HF39" t="e">
        <f>AND(#REF!,"AAAAAH42v9U=")</f>
        <v>#REF!</v>
      </c>
      <c r="HG39" t="e">
        <f>AND(#REF!,"AAAAAH42v9Y=")</f>
        <v>#REF!</v>
      </c>
      <c r="HH39" t="e">
        <f>AND(#REF!,"AAAAAH42v9c=")</f>
        <v>#REF!</v>
      </c>
      <c r="HI39" t="e">
        <f>AND(#REF!,"AAAAAH42v9g=")</f>
        <v>#REF!</v>
      </c>
      <c r="HJ39" t="e">
        <f>AND(#REF!,"AAAAAH42v9k=")</f>
        <v>#REF!</v>
      </c>
      <c r="HK39" t="e">
        <f>AND(#REF!,"AAAAAH42v9o=")</f>
        <v>#REF!</v>
      </c>
      <c r="HL39" t="e">
        <f>AND(#REF!,"AAAAAH42v9s=")</f>
        <v>#REF!</v>
      </c>
      <c r="HM39" t="e">
        <f>AND(#REF!,"AAAAAH42v9w=")</f>
        <v>#REF!</v>
      </c>
      <c r="HN39" t="e">
        <f>AND(#REF!,"AAAAAH42v90=")</f>
        <v>#REF!</v>
      </c>
      <c r="HO39" t="e">
        <f>AND(#REF!,"AAAAAH42v94=")</f>
        <v>#REF!</v>
      </c>
      <c r="HP39" t="e">
        <f>AND(#REF!,"AAAAAH42v98=")</f>
        <v>#REF!</v>
      </c>
      <c r="HQ39" t="e">
        <f>AND(#REF!,"AAAAAH42v+A=")</f>
        <v>#REF!</v>
      </c>
      <c r="HR39" t="e">
        <f>AND(#REF!,"AAAAAH42v+E=")</f>
        <v>#REF!</v>
      </c>
      <c r="HS39" t="e">
        <f>AND(#REF!,"AAAAAH42v+I=")</f>
        <v>#REF!</v>
      </c>
      <c r="HT39" t="e">
        <f>AND(#REF!,"AAAAAH42v+M=")</f>
        <v>#REF!</v>
      </c>
      <c r="HU39" t="e">
        <f>AND(#REF!,"AAAAAH42v+Q=")</f>
        <v>#REF!</v>
      </c>
      <c r="HV39" t="e">
        <f>AND(#REF!,"AAAAAH42v+U=")</f>
        <v>#REF!</v>
      </c>
      <c r="HW39" t="e">
        <f>AND(#REF!,"AAAAAH42v+Y=")</f>
        <v>#REF!</v>
      </c>
      <c r="HX39" t="e">
        <f>AND(#REF!,"AAAAAH42v+c=")</f>
        <v>#REF!</v>
      </c>
      <c r="HY39" t="e">
        <f>AND(#REF!,"AAAAAH42v+g=")</f>
        <v>#REF!</v>
      </c>
      <c r="HZ39" t="e">
        <f>AND(#REF!,"AAAAAH42v+k=")</f>
        <v>#REF!</v>
      </c>
      <c r="IA39" t="e">
        <f>AND(#REF!,"AAAAAH42v+o=")</f>
        <v>#REF!</v>
      </c>
      <c r="IB39" t="e">
        <f>AND(#REF!,"AAAAAH42v+s=")</f>
        <v>#REF!</v>
      </c>
      <c r="IC39" t="e">
        <f>AND(#REF!,"AAAAAH42v+w=")</f>
        <v>#REF!</v>
      </c>
      <c r="ID39" t="e">
        <f>AND(#REF!,"AAAAAH42v+0=")</f>
        <v>#REF!</v>
      </c>
      <c r="IE39" t="e">
        <f>AND(#REF!,"AAAAAH42v+4=")</f>
        <v>#REF!</v>
      </c>
      <c r="IF39" t="e">
        <f>AND(#REF!,"AAAAAH42v+8=")</f>
        <v>#REF!</v>
      </c>
      <c r="IG39" t="e">
        <f>AND(#REF!,"AAAAAH42v/A=")</f>
        <v>#REF!</v>
      </c>
      <c r="IH39" t="e">
        <f>AND(#REF!,"AAAAAH42v/E=")</f>
        <v>#REF!</v>
      </c>
      <c r="II39" t="e">
        <f>AND(#REF!,"AAAAAH42v/I=")</f>
        <v>#REF!</v>
      </c>
      <c r="IJ39" t="e">
        <f>AND(#REF!,"AAAAAH42v/M=")</f>
        <v>#REF!</v>
      </c>
      <c r="IK39" t="e">
        <f>AND(#REF!,"AAAAAH42v/Q=")</f>
        <v>#REF!</v>
      </c>
      <c r="IL39" t="e">
        <f>AND(#REF!,"AAAAAH42v/U=")</f>
        <v>#REF!</v>
      </c>
      <c r="IM39" t="e">
        <f>AND(#REF!,"AAAAAH42v/Y=")</f>
        <v>#REF!</v>
      </c>
      <c r="IN39" t="e">
        <f>AND(#REF!,"AAAAAH42v/c=")</f>
        <v>#REF!</v>
      </c>
      <c r="IO39" t="e">
        <f>AND(#REF!,"AAAAAH42v/g=")</f>
        <v>#REF!</v>
      </c>
      <c r="IP39" t="e">
        <f>AND(#REF!,"AAAAAH42v/k=")</f>
        <v>#REF!</v>
      </c>
      <c r="IQ39" t="e">
        <f>AND(#REF!,"AAAAAH42v/o=")</f>
        <v>#REF!</v>
      </c>
      <c r="IR39" t="e">
        <f>AND(#REF!,"AAAAAH42v/s=")</f>
        <v>#REF!</v>
      </c>
      <c r="IS39" t="e">
        <f>AND(#REF!,"AAAAAH42v/w=")</f>
        <v>#REF!</v>
      </c>
      <c r="IT39" t="e">
        <f>AND(#REF!,"AAAAAH42v/0=")</f>
        <v>#REF!</v>
      </c>
      <c r="IU39" t="e">
        <f>AND(#REF!,"AAAAAH42v/4=")</f>
        <v>#REF!</v>
      </c>
      <c r="IV39" t="e">
        <f>AND(#REF!,"AAAAAH42v/8=")</f>
        <v>#REF!</v>
      </c>
    </row>
    <row r="40" spans="1:256" x14ac:dyDescent="0.25">
      <c r="A40" t="e">
        <f>AND(#REF!,"AAAAAH/n/AA=")</f>
        <v>#REF!</v>
      </c>
      <c r="B40" t="e">
        <f>AND(#REF!,"AAAAAH/n/AE=")</f>
        <v>#REF!</v>
      </c>
      <c r="C40" t="e">
        <f>AND(#REF!,"AAAAAH/n/AI=")</f>
        <v>#REF!</v>
      </c>
      <c r="D40" t="e">
        <f>AND(#REF!,"AAAAAH/n/AM=")</f>
        <v>#REF!</v>
      </c>
      <c r="E40" t="e">
        <f>AND(#REF!,"AAAAAH/n/AQ=")</f>
        <v>#REF!</v>
      </c>
      <c r="F40" t="e">
        <f>AND(#REF!,"AAAAAH/n/AU=")</f>
        <v>#REF!</v>
      </c>
      <c r="G40" t="e">
        <f>AND(#REF!,"AAAAAH/n/AY=")</f>
        <v>#REF!</v>
      </c>
      <c r="H40" t="e">
        <f>AND(#REF!,"AAAAAH/n/Ac=")</f>
        <v>#REF!</v>
      </c>
      <c r="I40" t="e">
        <f>AND(#REF!,"AAAAAH/n/Ag=")</f>
        <v>#REF!</v>
      </c>
      <c r="J40" t="e">
        <f>AND(#REF!,"AAAAAH/n/Ak=")</f>
        <v>#REF!</v>
      </c>
      <c r="K40" t="e">
        <f>AND(#REF!,"AAAAAH/n/Ao=")</f>
        <v>#REF!</v>
      </c>
      <c r="L40" t="e">
        <f>AND(#REF!,"AAAAAH/n/As=")</f>
        <v>#REF!</v>
      </c>
      <c r="M40" t="e">
        <f>AND(#REF!,"AAAAAH/n/Aw=")</f>
        <v>#REF!</v>
      </c>
      <c r="N40" t="e">
        <f>AND(#REF!,"AAAAAH/n/A0=")</f>
        <v>#REF!</v>
      </c>
      <c r="O40" t="e">
        <f>AND(#REF!,"AAAAAH/n/A4=")</f>
        <v>#REF!</v>
      </c>
      <c r="P40" t="e">
        <f>AND(#REF!,"AAAAAH/n/A8=")</f>
        <v>#REF!</v>
      </c>
      <c r="Q40" t="e">
        <f>AND(#REF!,"AAAAAH/n/BA=")</f>
        <v>#REF!</v>
      </c>
      <c r="R40" t="e">
        <f>AND(#REF!,"AAAAAH/n/BE=")</f>
        <v>#REF!</v>
      </c>
      <c r="S40" t="e">
        <f>AND(#REF!,"AAAAAH/n/BI=")</f>
        <v>#REF!</v>
      </c>
      <c r="T40" t="e">
        <f>AND(#REF!,"AAAAAH/n/BM=")</f>
        <v>#REF!</v>
      </c>
      <c r="U40" t="e">
        <f>AND(#REF!,"AAAAAH/n/BQ=")</f>
        <v>#REF!</v>
      </c>
      <c r="V40" t="e">
        <f>AND(#REF!,"AAAAAH/n/BU=")</f>
        <v>#REF!</v>
      </c>
      <c r="W40" t="e">
        <f>AND(#REF!,"AAAAAH/n/BY=")</f>
        <v>#REF!</v>
      </c>
      <c r="X40" t="e">
        <f>AND(#REF!,"AAAAAH/n/Bc=")</f>
        <v>#REF!</v>
      </c>
      <c r="Y40" t="e">
        <f>AND(#REF!,"AAAAAH/n/Bg=")</f>
        <v>#REF!</v>
      </c>
      <c r="Z40" t="e">
        <f>AND(#REF!,"AAAAAH/n/Bk=")</f>
        <v>#REF!</v>
      </c>
      <c r="AA40" t="e">
        <f>AND(#REF!,"AAAAAH/n/Bo=")</f>
        <v>#REF!</v>
      </c>
      <c r="AB40" t="e">
        <f>AND(#REF!,"AAAAAH/n/Bs=")</f>
        <v>#REF!</v>
      </c>
      <c r="AC40" t="e">
        <f>AND(#REF!,"AAAAAH/n/Bw=")</f>
        <v>#REF!</v>
      </c>
      <c r="AD40" t="e">
        <f>AND(#REF!,"AAAAAH/n/B0=")</f>
        <v>#REF!</v>
      </c>
      <c r="AE40" t="e">
        <f>AND(#REF!,"AAAAAH/n/B4=")</f>
        <v>#REF!</v>
      </c>
      <c r="AF40" t="e">
        <f>AND(#REF!,"AAAAAH/n/B8=")</f>
        <v>#REF!</v>
      </c>
      <c r="AG40" t="e">
        <f>AND(#REF!,"AAAAAH/n/CA=")</f>
        <v>#REF!</v>
      </c>
      <c r="AH40" t="e">
        <f>AND(#REF!,"AAAAAH/n/CE=")</f>
        <v>#REF!</v>
      </c>
      <c r="AI40" t="e">
        <f>AND(#REF!,"AAAAAH/n/CI=")</f>
        <v>#REF!</v>
      </c>
      <c r="AJ40" t="e">
        <f>AND(#REF!,"AAAAAH/n/CM=")</f>
        <v>#REF!</v>
      </c>
      <c r="AK40" t="e">
        <f>AND(#REF!,"AAAAAH/n/CQ=")</f>
        <v>#REF!</v>
      </c>
      <c r="AL40" t="e">
        <f>AND(#REF!,"AAAAAH/n/CU=")</f>
        <v>#REF!</v>
      </c>
      <c r="AM40" t="e">
        <f>AND(#REF!,"AAAAAH/n/CY=")</f>
        <v>#REF!</v>
      </c>
      <c r="AN40" t="e">
        <f>AND(#REF!,"AAAAAH/n/Cc=")</f>
        <v>#REF!</v>
      </c>
      <c r="AO40" t="e">
        <f>AND(#REF!,"AAAAAH/n/Cg=")</f>
        <v>#REF!</v>
      </c>
      <c r="AP40" t="e">
        <f>AND(#REF!,"AAAAAH/n/Ck=")</f>
        <v>#REF!</v>
      </c>
      <c r="AQ40" t="e">
        <f>AND(#REF!,"AAAAAH/n/Co=")</f>
        <v>#REF!</v>
      </c>
      <c r="AR40" t="e">
        <f>AND(#REF!,"AAAAAH/n/Cs=")</f>
        <v>#REF!</v>
      </c>
      <c r="AS40" t="e">
        <f>AND(#REF!,"AAAAAH/n/Cw=")</f>
        <v>#REF!</v>
      </c>
      <c r="AT40" t="e">
        <f>AND(#REF!,"AAAAAH/n/C0=")</f>
        <v>#REF!</v>
      </c>
      <c r="AU40" t="e">
        <f>AND(#REF!,"AAAAAH/n/C4=")</f>
        <v>#REF!</v>
      </c>
      <c r="AV40" t="e">
        <f>AND(#REF!,"AAAAAH/n/C8=")</f>
        <v>#REF!</v>
      </c>
      <c r="AW40" t="e">
        <f>AND(#REF!,"AAAAAH/n/DA=")</f>
        <v>#REF!</v>
      </c>
      <c r="AX40" t="e">
        <f>AND(#REF!,"AAAAAH/n/DE=")</f>
        <v>#REF!</v>
      </c>
      <c r="AY40" t="e">
        <f>AND(#REF!,"AAAAAH/n/DI=")</f>
        <v>#REF!</v>
      </c>
      <c r="AZ40" t="e">
        <f>AND(#REF!,"AAAAAH/n/DM=")</f>
        <v>#REF!</v>
      </c>
      <c r="BA40" t="e">
        <f>AND(#REF!,"AAAAAH/n/DQ=")</f>
        <v>#REF!</v>
      </c>
      <c r="BB40" t="e">
        <f>AND(#REF!,"AAAAAH/n/DU=")</f>
        <v>#REF!</v>
      </c>
      <c r="BC40" t="e">
        <f>AND(#REF!,"AAAAAH/n/DY=")</f>
        <v>#REF!</v>
      </c>
      <c r="BD40" t="e">
        <f>AND(#REF!,"AAAAAH/n/Dc=")</f>
        <v>#REF!</v>
      </c>
      <c r="BE40" t="e">
        <f>AND(#REF!,"AAAAAH/n/Dg=")</f>
        <v>#REF!</v>
      </c>
      <c r="BF40" t="e">
        <f>AND(#REF!,"AAAAAH/n/Dk=")</f>
        <v>#REF!</v>
      </c>
      <c r="BG40" t="e">
        <f>AND(#REF!,"AAAAAH/n/Do=")</f>
        <v>#REF!</v>
      </c>
      <c r="BH40" t="e">
        <f>AND(#REF!,"AAAAAH/n/Ds=")</f>
        <v>#REF!</v>
      </c>
      <c r="BI40" t="e">
        <f>AND(#REF!,"AAAAAH/n/Dw=")</f>
        <v>#REF!</v>
      </c>
      <c r="BJ40" t="e">
        <f>AND(#REF!,"AAAAAH/n/D0=")</f>
        <v>#REF!</v>
      </c>
      <c r="BK40" t="e">
        <f>AND(#REF!,"AAAAAH/n/D4=")</f>
        <v>#REF!</v>
      </c>
      <c r="BL40" t="e">
        <f>AND(#REF!,"AAAAAH/n/D8=")</f>
        <v>#REF!</v>
      </c>
      <c r="BM40" t="e">
        <f>AND(#REF!,"AAAAAH/n/EA=")</f>
        <v>#REF!</v>
      </c>
      <c r="BN40" t="e">
        <f>AND(#REF!,"AAAAAH/n/EE=")</f>
        <v>#REF!</v>
      </c>
      <c r="BO40" t="e">
        <f>AND(#REF!,"AAAAAH/n/EI=")</f>
        <v>#REF!</v>
      </c>
      <c r="BP40" t="e">
        <f>AND(#REF!,"AAAAAH/n/EM=")</f>
        <v>#REF!</v>
      </c>
      <c r="BQ40" t="e">
        <f>AND(#REF!,"AAAAAH/n/EQ=")</f>
        <v>#REF!</v>
      </c>
      <c r="BR40" t="e">
        <f>AND(#REF!,"AAAAAH/n/EU=")</f>
        <v>#REF!</v>
      </c>
      <c r="BS40" t="e">
        <f>IF(#REF!,"AAAAAH/n/EY=",0)</f>
        <v>#REF!</v>
      </c>
      <c r="BT40" t="e">
        <f>AND(#REF!,"AAAAAH/n/Ec=")</f>
        <v>#REF!</v>
      </c>
      <c r="BU40" t="e">
        <f>AND(#REF!,"AAAAAH/n/Eg=")</f>
        <v>#REF!</v>
      </c>
      <c r="BV40" t="e">
        <f>AND(#REF!,"AAAAAH/n/Ek=")</f>
        <v>#REF!</v>
      </c>
      <c r="BW40" t="e">
        <f>AND(#REF!,"AAAAAH/n/Eo=")</f>
        <v>#REF!</v>
      </c>
      <c r="BX40" t="e">
        <f>AND(#REF!,"AAAAAH/n/Es=")</f>
        <v>#REF!</v>
      </c>
      <c r="BY40" t="e">
        <f>AND(#REF!,"AAAAAH/n/Ew=")</f>
        <v>#REF!</v>
      </c>
      <c r="BZ40" t="e">
        <f>AND(#REF!,"AAAAAH/n/E0=")</f>
        <v>#REF!</v>
      </c>
      <c r="CA40" t="e">
        <f>AND(#REF!,"AAAAAH/n/E4=")</f>
        <v>#REF!</v>
      </c>
      <c r="CB40" t="e">
        <f>AND(#REF!,"AAAAAH/n/E8=")</f>
        <v>#REF!</v>
      </c>
      <c r="CC40" t="e">
        <f>AND(#REF!,"AAAAAH/n/FA=")</f>
        <v>#REF!</v>
      </c>
      <c r="CD40" t="e">
        <f>AND(#REF!,"AAAAAH/n/FE=")</f>
        <v>#REF!</v>
      </c>
      <c r="CE40" t="e">
        <f>AND(#REF!,"AAAAAH/n/FI=")</f>
        <v>#REF!</v>
      </c>
      <c r="CF40" t="e">
        <f>AND(#REF!,"AAAAAH/n/FM=")</f>
        <v>#REF!</v>
      </c>
      <c r="CG40" t="e">
        <f>AND(#REF!,"AAAAAH/n/FQ=")</f>
        <v>#REF!</v>
      </c>
      <c r="CH40" t="e">
        <f>AND(#REF!,"AAAAAH/n/FU=")</f>
        <v>#REF!</v>
      </c>
      <c r="CI40" t="e">
        <f>AND(#REF!,"AAAAAH/n/FY=")</f>
        <v>#REF!</v>
      </c>
      <c r="CJ40" t="e">
        <f>AND(#REF!,"AAAAAH/n/Fc=")</f>
        <v>#REF!</v>
      </c>
      <c r="CK40" t="e">
        <f>AND(#REF!,"AAAAAH/n/Fg=")</f>
        <v>#REF!</v>
      </c>
      <c r="CL40" t="e">
        <f>AND(#REF!,"AAAAAH/n/Fk=")</f>
        <v>#REF!</v>
      </c>
      <c r="CM40" t="e">
        <f>AND(#REF!,"AAAAAH/n/Fo=")</f>
        <v>#REF!</v>
      </c>
      <c r="CN40" t="e">
        <f>AND(#REF!,"AAAAAH/n/Fs=")</f>
        <v>#REF!</v>
      </c>
      <c r="CO40" t="e">
        <f>AND(#REF!,"AAAAAH/n/Fw=")</f>
        <v>#REF!</v>
      </c>
      <c r="CP40" t="e">
        <f>AND(#REF!,"AAAAAH/n/F0=")</f>
        <v>#REF!</v>
      </c>
      <c r="CQ40" t="e">
        <f>AND(#REF!,"AAAAAH/n/F4=")</f>
        <v>#REF!</v>
      </c>
      <c r="CR40" t="e">
        <f>AND(#REF!,"AAAAAH/n/F8=")</f>
        <v>#REF!</v>
      </c>
      <c r="CS40" t="e">
        <f>AND(#REF!,"AAAAAH/n/GA=")</f>
        <v>#REF!</v>
      </c>
      <c r="CT40" t="e">
        <f>AND(#REF!,"AAAAAH/n/GE=")</f>
        <v>#REF!</v>
      </c>
      <c r="CU40" t="e">
        <f>AND(#REF!,"AAAAAH/n/GI=")</f>
        <v>#REF!</v>
      </c>
      <c r="CV40" t="e">
        <f>AND(#REF!,"AAAAAH/n/GM=")</f>
        <v>#REF!</v>
      </c>
      <c r="CW40" t="e">
        <f>AND(#REF!,"AAAAAH/n/GQ=")</f>
        <v>#REF!</v>
      </c>
      <c r="CX40" t="e">
        <f>AND(#REF!,"AAAAAH/n/GU=")</f>
        <v>#REF!</v>
      </c>
      <c r="CY40" t="e">
        <f>AND(#REF!,"AAAAAH/n/GY=")</f>
        <v>#REF!</v>
      </c>
      <c r="CZ40" t="e">
        <f>AND(#REF!,"AAAAAH/n/Gc=")</f>
        <v>#REF!</v>
      </c>
      <c r="DA40" t="e">
        <f>AND(#REF!,"AAAAAH/n/Gg=")</f>
        <v>#REF!</v>
      </c>
      <c r="DB40" t="e">
        <f>AND(#REF!,"AAAAAH/n/Gk=")</f>
        <v>#REF!</v>
      </c>
      <c r="DC40" t="e">
        <f>AND(#REF!,"AAAAAH/n/Go=")</f>
        <v>#REF!</v>
      </c>
      <c r="DD40" t="e">
        <f>AND(#REF!,"AAAAAH/n/Gs=")</f>
        <v>#REF!</v>
      </c>
      <c r="DE40" t="e">
        <f>AND(#REF!,"AAAAAH/n/Gw=")</f>
        <v>#REF!</v>
      </c>
      <c r="DF40" t="e">
        <f>AND(#REF!,"AAAAAH/n/G0=")</f>
        <v>#REF!</v>
      </c>
      <c r="DG40" t="e">
        <f>AND(#REF!,"AAAAAH/n/G4=")</f>
        <v>#REF!</v>
      </c>
      <c r="DH40" t="e">
        <f>AND(#REF!,"AAAAAH/n/G8=")</f>
        <v>#REF!</v>
      </c>
      <c r="DI40" t="e">
        <f>AND(#REF!,"AAAAAH/n/HA=")</f>
        <v>#REF!</v>
      </c>
      <c r="DJ40" t="e">
        <f>AND(#REF!,"AAAAAH/n/HE=")</f>
        <v>#REF!</v>
      </c>
      <c r="DK40" t="e">
        <f>AND(#REF!,"AAAAAH/n/HI=")</f>
        <v>#REF!</v>
      </c>
      <c r="DL40" t="e">
        <f>AND(#REF!,"AAAAAH/n/HM=")</f>
        <v>#REF!</v>
      </c>
      <c r="DM40" t="e">
        <f>AND(#REF!,"AAAAAH/n/HQ=")</f>
        <v>#REF!</v>
      </c>
      <c r="DN40" t="e">
        <f>AND(#REF!,"AAAAAH/n/HU=")</f>
        <v>#REF!</v>
      </c>
      <c r="DO40" t="e">
        <f>AND(#REF!,"AAAAAH/n/HY=")</f>
        <v>#REF!</v>
      </c>
      <c r="DP40" t="e">
        <f>AND(#REF!,"AAAAAH/n/Hc=")</f>
        <v>#REF!</v>
      </c>
      <c r="DQ40" t="e">
        <f>AND(#REF!,"AAAAAH/n/Hg=")</f>
        <v>#REF!</v>
      </c>
      <c r="DR40" t="e">
        <f>AND(#REF!,"AAAAAH/n/Hk=")</f>
        <v>#REF!</v>
      </c>
      <c r="DS40" t="e">
        <f>AND(#REF!,"AAAAAH/n/Ho=")</f>
        <v>#REF!</v>
      </c>
      <c r="DT40" t="e">
        <f>AND(#REF!,"AAAAAH/n/Hs=")</f>
        <v>#REF!</v>
      </c>
      <c r="DU40" t="e">
        <f>AND(#REF!,"AAAAAH/n/Hw=")</f>
        <v>#REF!</v>
      </c>
      <c r="DV40" t="e">
        <f>AND(#REF!,"AAAAAH/n/H0=")</f>
        <v>#REF!</v>
      </c>
      <c r="DW40" t="e">
        <f>AND(#REF!,"AAAAAH/n/H4=")</f>
        <v>#REF!</v>
      </c>
      <c r="DX40" t="e">
        <f>AND(#REF!,"AAAAAH/n/H8=")</f>
        <v>#REF!</v>
      </c>
      <c r="DY40" t="e">
        <f>AND(#REF!,"AAAAAH/n/IA=")</f>
        <v>#REF!</v>
      </c>
      <c r="DZ40" t="e">
        <f>AND(#REF!,"AAAAAH/n/IE=")</f>
        <v>#REF!</v>
      </c>
      <c r="EA40" t="e">
        <f>AND(#REF!,"AAAAAH/n/II=")</f>
        <v>#REF!</v>
      </c>
      <c r="EB40" t="e">
        <f>AND(#REF!,"AAAAAH/n/IM=")</f>
        <v>#REF!</v>
      </c>
      <c r="EC40" t="e">
        <f>AND(#REF!,"AAAAAH/n/IQ=")</f>
        <v>#REF!</v>
      </c>
      <c r="ED40" t="e">
        <f>AND(#REF!,"AAAAAH/n/IU=")</f>
        <v>#REF!</v>
      </c>
      <c r="EE40" t="e">
        <f>AND(#REF!,"AAAAAH/n/IY=")</f>
        <v>#REF!</v>
      </c>
      <c r="EF40" t="e">
        <f>AND(#REF!,"AAAAAH/n/Ic=")</f>
        <v>#REF!</v>
      </c>
      <c r="EG40" t="e">
        <f>AND(#REF!,"AAAAAH/n/Ig=")</f>
        <v>#REF!</v>
      </c>
      <c r="EH40" t="e">
        <f>AND(#REF!,"AAAAAH/n/Ik=")</f>
        <v>#REF!</v>
      </c>
      <c r="EI40" t="e">
        <f>AND(#REF!,"AAAAAH/n/Io=")</f>
        <v>#REF!</v>
      </c>
      <c r="EJ40" t="e">
        <f>AND(#REF!,"AAAAAH/n/Is=")</f>
        <v>#REF!</v>
      </c>
      <c r="EK40" t="e">
        <f>AND(#REF!,"AAAAAH/n/Iw=")</f>
        <v>#REF!</v>
      </c>
      <c r="EL40" t="e">
        <f>AND(#REF!,"AAAAAH/n/I0=")</f>
        <v>#REF!</v>
      </c>
      <c r="EM40" t="e">
        <f>AND(#REF!,"AAAAAH/n/I4=")</f>
        <v>#REF!</v>
      </c>
      <c r="EN40" t="e">
        <f>AND(#REF!,"AAAAAH/n/I8=")</f>
        <v>#REF!</v>
      </c>
      <c r="EO40" t="e">
        <f>AND(#REF!,"AAAAAH/n/JA=")</f>
        <v>#REF!</v>
      </c>
      <c r="EP40" t="e">
        <f>AND(#REF!,"AAAAAH/n/JE=")</f>
        <v>#REF!</v>
      </c>
      <c r="EQ40" t="e">
        <f>AND(#REF!,"AAAAAH/n/JI=")</f>
        <v>#REF!</v>
      </c>
      <c r="ER40" t="e">
        <f>AND(#REF!,"AAAAAH/n/JM=")</f>
        <v>#REF!</v>
      </c>
      <c r="ES40" t="e">
        <f>AND(#REF!,"AAAAAH/n/JQ=")</f>
        <v>#REF!</v>
      </c>
      <c r="ET40" t="e">
        <f>AND(#REF!,"AAAAAH/n/JU=")</f>
        <v>#REF!</v>
      </c>
      <c r="EU40" t="e">
        <f>AND(#REF!,"AAAAAH/n/JY=")</f>
        <v>#REF!</v>
      </c>
      <c r="EV40" t="e">
        <f>AND(#REF!,"AAAAAH/n/Jc=")</f>
        <v>#REF!</v>
      </c>
      <c r="EW40" t="e">
        <f>AND(#REF!,"AAAAAH/n/Jg=")</f>
        <v>#REF!</v>
      </c>
      <c r="EX40" t="e">
        <f>AND(#REF!,"AAAAAH/n/Jk=")</f>
        <v>#REF!</v>
      </c>
      <c r="EY40" t="e">
        <f>AND(#REF!,"AAAAAH/n/Jo=")</f>
        <v>#REF!</v>
      </c>
      <c r="EZ40" t="e">
        <f>AND(#REF!,"AAAAAH/n/Js=")</f>
        <v>#REF!</v>
      </c>
      <c r="FA40" t="e">
        <f>AND(#REF!,"AAAAAH/n/Jw=")</f>
        <v>#REF!</v>
      </c>
      <c r="FB40" t="e">
        <f>AND(#REF!,"AAAAAH/n/J0=")</f>
        <v>#REF!</v>
      </c>
      <c r="FC40" t="e">
        <f>AND(#REF!,"AAAAAH/n/J4=")</f>
        <v>#REF!</v>
      </c>
      <c r="FD40" t="e">
        <f>AND(#REF!,"AAAAAH/n/J8=")</f>
        <v>#REF!</v>
      </c>
      <c r="FE40" t="e">
        <f>AND(#REF!,"AAAAAH/n/KA=")</f>
        <v>#REF!</v>
      </c>
      <c r="FF40" t="e">
        <f>AND(#REF!,"AAAAAH/n/KE=")</f>
        <v>#REF!</v>
      </c>
      <c r="FG40" t="e">
        <f>AND(#REF!,"AAAAAH/n/KI=")</f>
        <v>#REF!</v>
      </c>
      <c r="FH40" t="e">
        <f>AND(#REF!,"AAAAAH/n/KM=")</f>
        <v>#REF!</v>
      </c>
      <c r="FI40" t="e">
        <f>AND(#REF!,"AAAAAH/n/KQ=")</f>
        <v>#REF!</v>
      </c>
      <c r="FJ40" t="e">
        <f>AND(#REF!,"AAAAAH/n/KU=")</f>
        <v>#REF!</v>
      </c>
      <c r="FK40" t="e">
        <f>AND(#REF!,"AAAAAH/n/KY=")</f>
        <v>#REF!</v>
      </c>
      <c r="FL40" t="e">
        <f>AND(#REF!,"AAAAAH/n/Kc=")</f>
        <v>#REF!</v>
      </c>
      <c r="FM40" t="e">
        <f>AND(#REF!,"AAAAAH/n/Kg=")</f>
        <v>#REF!</v>
      </c>
      <c r="FN40" t="e">
        <f>AND(#REF!,"AAAAAH/n/Kk=")</f>
        <v>#REF!</v>
      </c>
      <c r="FO40" t="e">
        <f>AND(#REF!,"AAAAAH/n/Ko=")</f>
        <v>#REF!</v>
      </c>
      <c r="FP40" t="e">
        <f>AND(#REF!,"AAAAAH/n/Ks=")</f>
        <v>#REF!</v>
      </c>
      <c r="FQ40" t="e">
        <f>AND(#REF!,"AAAAAH/n/Kw=")</f>
        <v>#REF!</v>
      </c>
      <c r="FR40" t="e">
        <f>AND(#REF!,"AAAAAH/n/K0=")</f>
        <v>#REF!</v>
      </c>
      <c r="FS40" t="e">
        <f>AND(#REF!,"AAAAAH/n/K4=")</f>
        <v>#REF!</v>
      </c>
      <c r="FT40" t="e">
        <f>AND(#REF!,"AAAAAH/n/K8=")</f>
        <v>#REF!</v>
      </c>
      <c r="FU40" t="e">
        <f>AND(#REF!,"AAAAAH/n/LA=")</f>
        <v>#REF!</v>
      </c>
      <c r="FV40" t="e">
        <f>AND(#REF!,"AAAAAH/n/LE=")</f>
        <v>#REF!</v>
      </c>
      <c r="FW40" t="e">
        <f>AND(#REF!,"AAAAAH/n/LI=")</f>
        <v>#REF!</v>
      </c>
      <c r="FX40" t="e">
        <f>AND(#REF!,"AAAAAH/n/LM=")</f>
        <v>#REF!</v>
      </c>
      <c r="FY40" t="e">
        <f>AND(#REF!,"AAAAAH/n/LQ=")</f>
        <v>#REF!</v>
      </c>
      <c r="FZ40" t="e">
        <f>AND(#REF!,"AAAAAH/n/LU=")</f>
        <v>#REF!</v>
      </c>
      <c r="GA40" t="e">
        <f>AND(#REF!,"AAAAAH/n/LY=")</f>
        <v>#REF!</v>
      </c>
      <c r="GB40" t="e">
        <f>AND(#REF!,"AAAAAH/n/Lc=")</f>
        <v>#REF!</v>
      </c>
      <c r="GC40" t="e">
        <f>AND(#REF!,"AAAAAH/n/Lg=")</f>
        <v>#REF!</v>
      </c>
      <c r="GD40" t="e">
        <f>AND(#REF!,"AAAAAH/n/Lk=")</f>
        <v>#REF!</v>
      </c>
      <c r="GE40" t="e">
        <f>AND(#REF!,"AAAAAH/n/Lo=")</f>
        <v>#REF!</v>
      </c>
      <c r="GF40" t="e">
        <f>AND(#REF!,"AAAAAH/n/Ls=")</f>
        <v>#REF!</v>
      </c>
      <c r="GG40" t="e">
        <f>AND(#REF!,"AAAAAH/n/Lw=")</f>
        <v>#REF!</v>
      </c>
      <c r="GH40" t="e">
        <f>AND(#REF!,"AAAAAH/n/L0=")</f>
        <v>#REF!</v>
      </c>
      <c r="GI40" t="e">
        <f>AND(#REF!,"AAAAAH/n/L4=")</f>
        <v>#REF!</v>
      </c>
      <c r="GJ40" t="e">
        <f>AND(#REF!,"AAAAAH/n/L8=")</f>
        <v>#REF!</v>
      </c>
      <c r="GK40" t="e">
        <f>AND(#REF!,"AAAAAH/n/MA=")</f>
        <v>#REF!</v>
      </c>
      <c r="GL40" t="e">
        <f>AND(#REF!,"AAAAAH/n/ME=")</f>
        <v>#REF!</v>
      </c>
      <c r="GM40" t="e">
        <f>AND(#REF!,"AAAAAH/n/MI=")</f>
        <v>#REF!</v>
      </c>
      <c r="GN40" t="e">
        <f>AND(#REF!,"AAAAAH/n/MM=")</f>
        <v>#REF!</v>
      </c>
      <c r="GO40" t="e">
        <f>AND(#REF!,"AAAAAH/n/MQ=")</f>
        <v>#REF!</v>
      </c>
      <c r="GP40" t="e">
        <f>AND(#REF!,"AAAAAH/n/MU=")</f>
        <v>#REF!</v>
      </c>
      <c r="GQ40" t="e">
        <f>AND(#REF!,"AAAAAH/n/MY=")</f>
        <v>#REF!</v>
      </c>
      <c r="GR40" t="e">
        <f>AND(#REF!,"AAAAAH/n/Mc=")</f>
        <v>#REF!</v>
      </c>
      <c r="GS40" t="e">
        <f>AND(#REF!,"AAAAAH/n/Mg=")</f>
        <v>#REF!</v>
      </c>
      <c r="GT40" t="e">
        <f>AND(#REF!,"AAAAAH/n/Mk=")</f>
        <v>#REF!</v>
      </c>
      <c r="GU40" t="e">
        <f>AND(#REF!,"AAAAAH/n/Mo=")</f>
        <v>#REF!</v>
      </c>
      <c r="GV40" t="e">
        <f>AND(#REF!,"AAAAAH/n/Ms=")</f>
        <v>#REF!</v>
      </c>
      <c r="GW40" t="e">
        <f>AND(#REF!,"AAAAAH/n/Mw=")</f>
        <v>#REF!</v>
      </c>
      <c r="GX40" t="e">
        <f>AND(#REF!,"AAAAAH/n/M0=")</f>
        <v>#REF!</v>
      </c>
      <c r="GY40" t="e">
        <f>AND(#REF!,"AAAAAH/n/M4=")</f>
        <v>#REF!</v>
      </c>
      <c r="GZ40" t="e">
        <f>AND(#REF!,"AAAAAH/n/M8=")</f>
        <v>#REF!</v>
      </c>
      <c r="HA40" t="e">
        <f>AND(#REF!,"AAAAAH/n/NA=")</f>
        <v>#REF!</v>
      </c>
      <c r="HB40" t="e">
        <f>AND(#REF!,"AAAAAH/n/NE=")</f>
        <v>#REF!</v>
      </c>
      <c r="HC40" t="e">
        <f>AND(#REF!,"AAAAAH/n/NI=")</f>
        <v>#REF!</v>
      </c>
      <c r="HD40" t="e">
        <f>AND(#REF!,"AAAAAH/n/NM=")</f>
        <v>#REF!</v>
      </c>
      <c r="HE40" t="e">
        <f>AND(#REF!,"AAAAAH/n/NQ=")</f>
        <v>#REF!</v>
      </c>
      <c r="HF40" t="e">
        <f>AND(#REF!,"AAAAAH/n/NU=")</f>
        <v>#REF!</v>
      </c>
      <c r="HG40" t="e">
        <f>AND(#REF!,"AAAAAH/n/NY=")</f>
        <v>#REF!</v>
      </c>
      <c r="HH40" t="e">
        <f>AND(#REF!,"AAAAAH/n/Nc=")</f>
        <v>#REF!</v>
      </c>
      <c r="HI40" t="e">
        <f>AND(#REF!,"AAAAAH/n/Ng=")</f>
        <v>#REF!</v>
      </c>
      <c r="HJ40" t="e">
        <f>AND(#REF!,"AAAAAH/n/Nk=")</f>
        <v>#REF!</v>
      </c>
      <c r="HK40" t="e">
        <f>AND(#REF!,"AAAAAH/n/No=")</f>
        <v>#REF!</v>
      </c>
      <c r="HL40" t="e">
        <f>AND(#REF!,"AAAAAH/n/Ns=")</f>
        <v>#REF!</v>
      </c>
      <c r="HM40" t="e">
        <f>AND(#REF!,"AAAAAH/n/Nw=")</f>
        <v>#REF!</v>
      </c>
      <c r="HN40" t="e">
        <f>AND(#REF!,"AAAAAH/n/N0=")</f>
        <v>#REF!</v>
      </c>
      <c r="HO40" t="e">
        <f>AND(#REF!,"AAAAAH/n/N4=")</f>
        <v>#REF!</v>
      </c>
      <c r="HP40" t="e">
        <f>AND(#REF!,"AAAAAH/n/N8=")</f>
        <v>#REF!</v>
      </c>
      <c r="HQ40" t="e">
        <f>AND(#REF!,"AAAAAH/n/OA=")</f>
        <v>#REF!</v>
      </c>
      <c r="HR40" t="e">
        <f>AND(#REF!,"AAAAAH/n/OE=")</f>
        <v>#REF!</v>
      </c>
      <c r="HS40" t="e">
        <f>AND(#REF!,"AAAAAH/n/OI=")</f>
        <v>#REF!</v>
      </c>
      <c r="HT40" t="e">
        <f>AND(#REF!,"AAAAAH/n/OM=")</f>
        <v>#REF!</v>
      </c>
      <c r="HU40" t="e">
        <f>AND(#REF!,"AAAAAH/n/OQ=")</f>
        <v>#REF!</v>
      </c>
      <c r="HV40" t="e">
        <f>AND(#REF!,"AAAAAH/n/OU=")</f>
        <v>#REF!</v>
      </c>
      <c r="HW40" t="e">
        <f>AND(#REF!,"AAAAAH/n/OY=")</f>
        <v>#REF!</v>
      </c>
      <c r="HX40" t="e">
        <f>AND(#REF!,"AAAAAH/n/Oc=")</f>
        <v>#REF!</v>
      </c>
      <c r="HY40" t="e">
        <f>AND(#REF!,"AAAAAH/n/Og=")</f>
        <v>#REF!</v>
      </c>
      <c r="HZ40" t="e">
        <f>AND(#REF!,"AAAAAH/n/Ok=")</f>
        <v>#REF!</v>
      </c>
      <c r="IA40" t="e">
        <f>AND(#REF!,"AAAAAH/n/Oo=")</f>
        <v>#REF!</v>
      </c>
      <c r="IB40" t="e">
        <f>AND(#REF!,"AAAAAH/n/Os=")</f>
        <v>#REF!</v>
      </c>
      <c r="IC40" t="e">
        <f>AND(#REF!,"AAAAAH/n/Ow=")</f>
        <v>#REF!</v>
      </c>
      <c r="ID40" t="e">
        <f>AND(#REF!,"AAAAAH/n/O0=")</f>
        <v>#REF!</v>
      </c>
      <c r="IE40" t="e">
        <f>AND(#REF!,"AAAAAH/n/O4=")</f>
        <v>#REF!</v>
      </c>
      <c r="IF40" t="e">
        <f>AND(#REF!,"AAAAAH/n/O8=")</f>
        <v>#REF!</v>
      </c>
      <c r="IG40" t="e">
        <f>AND(#REF!,"AAAAAH/n/PA=")</f>
        <v>#REF!</v>
      </c>
      <c r="IH40" t="e">
        <f>AND(#REF!,"AAAAAH/n/PE=")</f>
        <v>#REF!</v>
      </c>
      <c r="II40" t="e">
        <f>AND(#REF!,"AAAAAH/n/PI=")</f>
        <v>#REF!</v>
      </c>
      <c r="IJ40" t="e">
        <f>AND(#REF!,"AAAAAH/n/PM=")</f>
        <v>#REF!</v>
      </c>
      <c r="IK40" t="e">
        <f>AND(#REF!,"AAAAAH/n/PQ=")</f>
        <v>#REF!</v>
      </c>
      <c r="IL40" t="e">
        <f>AND(#REF!,"AAAAAH/n/PU=")</f>
        <v>#REF!</v>
      </c>
      <c r="IM40" t="e">
        <f>AND(#REF!,"AAAAAH/n/PY=")</f>
        <v>#REF!</v>
      </c>
      <c r="IN40" t="e">
        <f>AND(#REF!,"AAAAAH/n/Pc=")</f>
        <v>#REF!</v>
      </c>
      <c r="IO40" t="e">
        <f>AND(#REF!,"AAAAAH/n/Pg=")</f>
        <v>#REF!</v>
      </c>
      <c r="IP40" t="e">
        <f>AND(#REF!,"AAAAAH/n/Pk=")</f>
        <v>#REF!</v>
      </c>
      <c r="IQ40" t="e">
        <f>AND(#REF!,"AAAAAH/n/Po=")</f>
        <v>#REF!</v>
      </c>
      <c r="IR40" t="e">
        <f>AND(#REF!,"AAAAAH/n/Ps=")</f>
        <v>#REF!</v>
      </c>
      <c r="IS40" t="e">
        <f>AND(#REF!,"AAAAAH/n/Pw=")</f>
        <v>#REF!</v>
      </c>
      <c r="IT40" t="e">
        <f>AND(#REF!,"AAAAAH/n/P0=")</f>
        <v>#REF!</v>
      </c>
      <c r="IU40" t="e">
        <f>AND(#REF!,"AAAAAH/n/P4=")</f>
        <v>#REF!</v>
      </c>
      <c r="IV40" t="e">
        <f>AND(#REF!,"AAAAAH/n/P8=")</f>
        <v>#REF!</v>
      </c>
    </row>
    <row r="41" spans="1:256" x14ac:dyDescent="0.25">
      <c r="A41" t="e">
        <f>AND(#REF!,"AAAAAF+3rwA=")</f>
        <v>#REF!</v>
      </c>
      <c r="B41" t="e">
        <f>AND(#REF!,"AAAAAF+3rwE=")</f>
        <v>#REF!</v>
      </c>
      <c r="C41" t="e">
        <f>AND(#REF!,"AAAAAF+3rwI=")</f>
        <v>#REF!</v>
      </c>
      <c r="D41" t="e">
        <f>IF(#REF!,"AAAAAF+3rwM=",0)</f>
        <v>#REF!</v>
      </c>
      <c r="E41" t="e">
        <f>AND(#REF!,"AAAAAF+3rwQ=")</f>
        <v>#REF!</v>
      </c>
      <c r="F41" t="e">
        <f>AND(#REF!,"AAAAAF+3rwU=")</f>
        <v>#REF!</v>
      </c>
      <c r="G41" t="e">
        <f>AND(#REF!,"AAAAAF+3rwY=")</f>
        <v>#REF!</v>
      </c>
      <c r="H41" t="e">
        <f>AND(#REF!,"AAAAAF+3rwc=")</f>
        <v>#REF!</v>
      </c>
      <c r="I41" t="e">
        <f>AND(#REF!,"AAAAAF+3rwg=")</f>
        <v>#REF!</v>
      </c>
      <c r="J41" t="e">
        <f>AND(#REF!,"AAAAAF+3rwk=")</f>
        <v>#REF!</v>
      </c>
      <c r="K41" t="e">
        <f>AND(#REF!,"AAAAAF+3rwo=")</f>
        <v>#REF!</v>
      </c>
      <c r="L41" t="e">
        <f>AND(#REF!,"AAAAAF+3rws=")</f>
        <v>#REF!</v>
      </c>
      <c r="M41" t="e">
        <f>AND(#REF!,"AAAAAF+3rww=")</f>
        <v>#REF!</v>
      </c>
      <c r="N41" t="e">
        <f>AND(#REF!,"AAAAAF+3rw0=")</f>
        <v>#REF!</v>
      </c>
      <c r="O41" t="e">
        <f>AND(#REF!,"AAAAAF+3rw4=")</f>
        <v>#REF!</v>
      </c>
      <c r="P41" t="e">
        <f>AND(#REF!,"AAAAAF+3rw8=")</f>
        <v>#REF!</v>
      </c>
      <c r="Q41" t="e">
        <f>AND(#REF!,"AAAAAF+3rxA=")</f>
        <v>#REF!</v>
      </c>
      <c r="R41" t="e">
        <f>AND(#REF!,"AAAAAF+3rxE=")</f>
        <v>#REF!</v>
      </c>
      <c r="S41" t="e">
        <f>AND(#REF!,"AAAAAF+3rxI=")</f>
        <v>#REF!</v>
      </c>
      <c r="T41" t="e">
        <f>AND(#REF!,"AAAAAF+3rxM=")</f>
        <v>#REF!</v>
      </c>
      <c r="U41" t="e">
        <f>AND(#REF!,"AAAAAF+3rxQ=")</f>
        <v>#REF!</v>
      </c>
      <c r="V41" t="e">
        <f>AND(#REF!,"AAAAAF+3rxU=")</f>
        <v>#REF!</v>
      </c>
      <c r="W41" t="e">
        <f>AND(#REF!,"AAAAAF+3rxY=")</f>
        <v>#REF!</v>
      </c>
      <c r="X41" t="e">
        <f>AND(#REF!,"AAAAAF+3rxc=")</f>
        <v>#REF!</v>
      </c>
      <c r="Y41" t="e">
        <f>AND(#REF!,"AAAAAF+3rxg=")</f>
        <v>#REF!</v>
      </c>
      <c r="Z41" t="e">
        <f>AND(#REF!,"AAAAAF+3rxk=")</f>
        <v>#REF!</v>
      </c>
      <c r="AA41" t="e">
        <f>AND(#REF!,"AAAAAF+3rxo=")</f>
        <v>#REF!</v>
      </c>
      <c r="AB41" t="e">
        <f>AND(#REF!,"AAAAAF+3rxs=")</f>
        <v>#REF!</v>
      </c>
      <c r="AC41" t="e">
        <f>AND(#REF!,"AAAAAF+3rxw=")</f>
        <v>#REF!</v>
      </c>
      <c r="AD41" t="e">
        <f>AND(#REF!,"AAAAAF+3rx0=")</f>
        <v>#REF!</v>
      </c>
      <c r="AE41" t="e">
        <f>AND(#REF!,"AAAAAF+3rx4=")</f>
        <v>#REF!</v>
      </c>
      <c r="AF41" t="e">
        <f>AND(#REF!,"AAAAAF+3rx8=")</f>
        <v>#REF!</v>
      </c>
      <c r="AG41" t="e">
        <f>AND(#REF!,"AAAAAF+3ryA=")</f>
        <v>#REF!</v>
      </c>
      <c r="AH41" t="e">
        <f>AND(#REF!,"AAAAAF+3ryE=")</f>
        <v>#REF!</v>
      </c>
      <c r="AI41" t="e">
        <f>AND(#REF!,"AAAAAF+3ryI=")</f>
        <v>#REF!</v>
      </c>
      <c r="AJ41" t="e">
        <f>AND(#REF!,"AAAAAF+3ryM=")</f>
        <v>#REF!</v>
      </c>
      <c r="AK41" t="e">
        <f>AND(#REF!,"AAAAAF+3ryQ=")</f>
        <v>#REF!</v>
      </c>
      <c r="AL41" t="e">
        <f>AND(#REF!,"AAAAAF+3ryU=")</f>
        <v>#REF!</v>
      </c>
      <c r="AM41" t="e">
        <f>AND(#REF!,"AAAAAF+3ryY=")</f>
        <v>#REF!</v>
      </c>
      <c r="AN41" t="e">
        <f>AND(#REF!,"AAAAAF+3ryc=")</f>
        <v>#REF!</v>
      </c>
      <c r="AO41" t="e">
        <f>AND(#REF!,"AAAAAF+3ryg=")</f>
        <v>#REF!</v>
      </c>
      <c r="AP41" t="e">
        <f>AND(#REF!,"AAAAAF+3ryk=")</f>
        <v>#REF!</v>
      </c>
      <c r="AQ41" t="e">
        <f>AND(#REF!,"AAAAAF+3ryo=")</f>
        <v>#REF!</v>
      </c>
      <c r="AR41" t="e">
        <f>AND(#REF!,"AAAAAF+3rys=")</f>
        <v>#REF!</v>
      </c>
      <c r="AS41" t="e">
        <f>AND(#REF!,"AAAAAF+3ryw=")</f>
        <v>#REF!</v>
      </c>
      <c r="AT41" t="e">
        <f>AND(#REF!,"AAAAAF+3ry0=")</f>
        <v>#REF!</v>
      </c>
      <c r="AU41" t="e">
        <f>AND(#REF!,"AAAAAF+3ry4=")</f>
        <v>#REF!</v>
      </c>
      <c r="AV41" t="e">
        <f>AND(#REF!,"AAAAAF+3ry8=")</f>
        <v>#REF!</v>
      </c>
      <c r="AW41" t="e">
        <f>AND(#REF!,"AAAAAF+3rzA=")</f>
        <v>#REF!</v>
      </c>
      <c r="AX41" t="e">
        <f>AND(#REF!,"AAAAAF+3rzE=")</f>
        <v>#REF!</v>
      </c>
      <c r="AY41" t="e">
        <f>AND(#REF!,"AAAAAF+3rzI=")</f>
        <v>#REF!</v>
      </c>
      <c r="AZ41" t="e">
        <f>AND(#REF!,"AAAAAF+3rzM=")</f>
        <v>#REF!</v>
      </c>
      <c r="BA41" t="e">
        <f>AND(#REF!,"AAAAAF+3rzQ=")</f>
        <v>#REF!</v>
      </c>
      <c r="BB41" t="e">
        <f>AND(#REF!,"AAAAAF+3rzU=")</f>
        <v>#REF!</v>
      </c>
      <c r="BC41" t="e">
        <f>AND(#REF!,"AAAAAF+3rzY=")</f>
        <v>#REF!</v>
      </c>
      <c r="BD41" t="e">
        <f>AND(#REF!,"AAAAAF+3rzc=")</f>
        <v>#REF!</v>
      </c>
      <c r="BE41" t="e">
        <f>AND(#REF!,"AAAAAF+3rzg=")</f>
        <v>#REF!</v>
      </c>
      <c r="BF41" t="e">
        <f>AND(#REF!,"AAAAAF+3rzk=")</f>
        <v>#REF!</v>
      </c>
      <c r="BG41" t="e">
        <f>AND(#REF!,"AAAAAF+3rzo=")</f>
        <v>#REF!</v>
      </c>
      <c r="BH41" t="e">
        <f>AND(#REF!,"AAAAAF+3rzs=")</f>
        <v>#REF!</v>
      </c>
      <c r="BI41" t="e">
        <f>AND(#REF!,"AAAAAF+3rzw=")</f>
        <v>#REF!</v>
      </c>
      <c r="BJ41" t="e">
        <f>AND(#REF!,"AAAAAF+3rz0=")</f>
        <v>#REF!</v>
      </c>
      <c r="BK41" t="e">
        <f>AND(#REF!,"AAAAAF+3rz4=")</f>
        <v>#REF!</v>
      </c>
      <c r="BL41" t="e">
        <f>AND(#REF!,"AAAAAF+3rz8=")</f>
        <v>#REF!</v>
      </c>
      <c r="BM41" t="e">
        <f>AND(#REF!,"AAAAAF+3r0A=")</f>
        <v>#REF!</v>
      </c>
      <c r="BN41" t="e">
        <f>AND(#REF!,"AAAAAF+3r0E=")</f>
        <v>#REF!</v>
      </c>
      <c r="BO41" t="e">
        <f>AND(#REF!,"AAAAAF+3r0I=")</f>
        <v>#REF!</v>
      </c>
      <c r="BP41" t="e">
        <f>AND(#REF!,"AAAAAF+3r0M=")</f>
        <v>#REF!</v>
      </c>
      <c r="BQ41" t="e">
        <f>AND(#REF!,"AAAAAF+3r0Q=")</f>
        <v>#REF!</v>
      </c>
      <c r="BR41" t="e">
        <f>AND(#REF!,"AAAAAF+3r0U=")</f>
        <v>#REF!</v>
      </c>
      <c r="BS41" t="e">
        <f>AND(#REF!,"AAAAAF+3r0Y=")</f>
        <v>#REF!</v>
      </c>
      <c r="BT41" t="e">
        <f>AND(#REF!,"AAAAAF+3r0c=")</f>
        <v>#REF!</v>
      </c>
      <c r="BU41" t="e">
        <f>AND(#REF!,"AAAAAF+3r0g=")</f>
        <v>#REF!</v>
      </c>
      <c r="BV41" t="e">
        <f>AND(#REF!,"AAAAAF+3r0k=")</f>
        <v>#REF!</v>
      </c>
      <c r="BW41" t="e">
        <f>AND(#REF!,"AAAAAF+3r0o=")</f>
        <v>#REF!</v>
      </c>
      <c r="BX41" t="e">
        <f>AND(#REF!,"AAAAAF+3r0s=")</f>
        <v>#REF!</v>
      </c>
      <c r="BY41" t="e">
        <f>AND(#REF!,"AAAAAF+3r0w=")</f>
        <v>#REF!</v>
      </c>
      <c r="BZ41" t="e">
        <f>AND(#REF!,"AAAAAF+3r00=")</f>
        <v>#REF!</v>
      </c>
      <c r="CA41" t="e">
        <f>AND(#REF!,"AAAAAF+3r04=")</f>
        <v>#REF!</v>
      </c>
      <c r="CB41" t="e">
        <f>AND(#REF!,"AAAAAF+3r08=")</f>
        <v>#REF!</v>
      </c>
      <c r="CC41" t="e">
        <f>AND(#REF!,"AAAAAF+3r1A=")</f>
        <v>#REF!</v>
      </c>
      <c r="CD41" t="e">
        <f>AND(#REF!,"AAAAAF+3r1E=")</f>
        <v>#REF!</v>
      </c>
      <c r="CE41" t="e">
        <f>AND(#REF!,"AAAAAF+3r1I=")</f>
        <v>#REF!</v>
      </c>
      <c r="CF41" t="e">
        <f>AND(#REF!,"AAAAAF+3r1M=")</f>
        <v>#REF!</v>
      </c>
      <c r="CG41" t="e">
        <f>AND(#REF!,"AAAAAF+3r1Q=")</f>
        <v>#REF!</v>
      </c>
      <c r="CH41" t="e">
        <f>AND(#REF!,"AAAAAF+3r1U=")</f>
        <v>#REF!</v>
      </c>
      <c r="CI41" t="e">
        <f>AND(#REF!,"AAAAAF+3r1Y=")</f>
        <v>#REF!</v>
      </c>
      <c r="CJ41" t="e">
        <f>AND(#REF!,"AAAAAF+3r1c=")</f>
        <v>#REF!</v>
      </c>
      <c r="CK41" t="e">
        <f>AND(#REF!,"AAAAAF+3r1g=")</f>
        <v>#REF!</v>
      </c>
      <c r="CL41" t="e">
        <f>AND(#REF!,"AAAAAF+3r1k=")</f>
        <v>#REF!</v>
      </c>
      <c r="CM41" t="e">
        <f>AND(#REF!,"AAAAAF+3r1o=")</f>
        <v>#REF!</v>
      </c>
      <c r="CN41" t="e">
        <f>AND(#REF!,"AAAAAF+3r1s=")</f>
        <v>#REF!</v>
      </c>
      <c r="CO41" t="e">
        <f>AND(#REF!,"AAAAAF+3r1w=")</f>
        <v>#REF!</v>
      </c>
      <c r="CP41" t="e">
        <f>AND(#REF!,"AAAAAF+3r10=")</f>
        <v>#REF!</v>
      </c>
      <c r="CQ41" t="e">
        <f>AND(#REF!,"AAAAAF+3r14=")</f>
        <v>#REF!</v>
      </c>
      <c r="CR41" t="e">
        <f>AND(#REF!,"AAAAAF+3r18=")</f>
        <v>#REF!</v>
      </c>
      <c r="CS41" t="e">
        <f>AND(#REF!,"AAAAAF+3r2A=")</f>
        <v>#REF!</v>
      </c>
      <c r="CT41" t="e">
        <f>AND(#REF!,"AAAAAF+3r2E=")</f>
        <v>#REF!</v>
      </c>
      <c r="CU41" t="e">
        <f>AND(#REF!,"AAAAAF+3r2I=")</f>
        <v>#REF!</v>
      </c>
      <c r="CV41" t="e">
        <f>AND(#REF!,"AAAAAF+3r2M=")</f>
        <v>#REF!</v>
      </c>
      <c r="CW41" t="e">
        <f>AND(#REF!,"AAAAAF+3r2Q=")</f>
        <v>#REF!</v>
      </c>
      <c r="CX41" t="e">
        <f>AND(#REF!,"AAAAAF+3r2U=")</f>
        <v>#REF!</v>
      </c>
      <c r="CY41" t="e">
        <f>AND(#REF!,"AAAAAF+3r2Y=")</f>
        <v>#REF!</v>
      </c>
      <c r="CZ41" t="e">
        <f>AND(#REF!,"AAAAAF+3r2c=")</f>
        <v>#REF!</v>
      </c>
      <c r="DA41" t="e">
        <f>AND(#REF!,"AAAAAF+3r2g=")</f>
        <v>#REF!</v>
      </c>
      <c r="DB41" t="e">
        <f>AND(#REF!,"AAAAAF+3r2k=")</f>
        <v>#REF!</v>
      </c>
      <c r="DC41" t="e">
        <f>AND(#REF!,"AAAAAF+3r2o=")</f>
        <v>#REF!</v>
      </c>
      <c r="DD41" t="e">
        <f>AND(#REF!,"AAAAAF+3r2s=")</f>
        <v>#REF!</v>
      </c>
      <c r="DE41" t="e">
        <f>AND(#REF!,"AAAAAF+3r2w=")</f>
        <v>#REF!</v>
      </c>
      <c r="DF41" t="e">
        <f>AND(#REF!,"AAAAAF+3r20=")</f>
        <v>#REF!</v>
      </c>
      <c r="DG41" t="e">
        <f>AND(#REF!,"AAAAAF+3r24=")</f>
        <v>#REF!</v>
      </c>
      <c r="DH41" t="e">
        <f>AND(#REF!,"AAAAAF+3r28=")</f>
        <v>#REF!</v>
      </c>
      <c r="DI41" t="e">
        <f>AND(#REF!,"AAAAAF+3r3A=")</f>
        <v>#REF!</v>
      </c>
      <c r="DJ41" t="e">
        <f>AND(#REF!,"AAAAAF+3r3E=")</f>
        <v>#REF!</v>
      </c>
      <c r="DK41" t="e">
        <f>AND(#REF!,"AAAAAF+3r3I=")</f>
        <v>#REF!</v>
      </c>
      <c r="DL41" t="e">
        <f>AND(#REF!,"AAAAAF+3r3M=")</f>
        <v>#REF!</v>
      </c>
      <c r="DM41" t="e">
        <f>AND(#REF!,"AAAAAF+3r3Q=")</f>
        <v>#REF!</v>
      </c>
      <c r="DN41" t="e">
        <f>AND(#REF!,"AAAAAF+3r3U=")</f>
        <v>#REF!</v>
      </c>
      <c r="DO41" t="e">
        <f>AND(#REF!,"AAAAAF+3r3Y=")</f>
        <v>#REF!</v>
      </c>
      <c r="DP41" t="e">
        <f>AND(#REF!,"AAAAAF+3r3c=")</f>
        <v>#REF!</v>
      </c>
      <c r="DQ41" t="e">
        <f>AND(#REF!,"AAAAAF+3r3g=")</f>
        <v>#REF!</v>
      </c>
      <c r="DR41" t="e">
        <f>AND(#REF!,"AAAAAF+3r3k=")</f>
        <v>#REF!</v>
      </c>
      <c r="DS41" t="e">
        <f>AND(#REF!,"AAAAAF+3r3o=")</f>
        <v>#REF!</v>
      </c>
      <c r="DT41" t="e">
        <f>AND(#REF!,"AAAAAF+3r3s=")</f>
        <v>#REF!</v>
      </c>
      <c r="DU41" t="e">
        <f>AND(#REF!,"AAAAAF+3r3w=")</f>
        <v>#REF!</v>
      </c>
      <c r="DV41" t="e">
        <f>AND(#REF!,"AAAAAF+3r30=")</f>
        <v>#REF!</v>
      </c>
      <c r="DW41" t="e">
        <f>AND(#REF!,"AAAAAF+3r34=")</f>
        <v>#REF!</v>
      </c>
      <c r="DX41" t="e">
        <f>AND(#REF!,"AAAAAF+3r38=")</f>
        <v>#REF!</v>
      </c>
      <c r="DY41" t="e">
        <f>AND(#REF!,"AAAAAF+3r4A=")</f>
        <v>#REF!</v>
      </c>
      <c r="DZ41" t="e">
        <f>AND(#REF!,"AAAAAF+3r4E=")</f>
        <v>#REF!</v>
      </c>
      <c r="EA41" t="e">
        <f>AND(#REF!,"AAAAAF+3r4I=")</f>
        <v>#REF!</v>
      </c>
      <c r="EB41" t="e">
        <f>AND(#REF!,"AAAAAF+3r4M=")</f>
        <v>#REF!</v>
      </c>
      <c r="EC41" t="e">
        <f>AND(#REF!,"AAAAAF+3r4Q=")</f>
        <v>#REF!</v>
      </c>
      <c r="ED41" t="e">
        <f>AND(#REF!,"AAAAAF+3r4U=")</f>
        <v>#REF!</v>
      </c>
      <c r="EE41" t="e">
        <f>AND(#REF!,"AAAAAF+3r4Y=")</f>
        <v>#REF!</v>
      </c>
      <c r="EF41" t="e">
        <f>AND(#REF!,"AAAAAF+3r4c=")</f>
        <v>#REF!</v>
      </c>
      <c r="EG41" t="e">
        <f>AND(#REF!,"AAAAAF+3r4g=")</f>
        <v>#REF!</v>
      </c>
      <c r="EH41" t="e">
        <f>AND(#REF!,"AAAAAF+3r4k=")</f>
        <v>#REF!</v>
      </c>
      <c r="EI41" t="e">
        <f>AND(#REF!,"AAAAAF+3r4o=")</f>
        <v>#REF!</v>
      </c>
      <c r="EJ41" t="e">
        <f>AND(#REF!,"AAAAAF+3r4s=")</f>
        <v>#REF!</v>
      </c>
      <c r="EK41" t="e">
        <f>AND(#REF!,"AAAAAF+3r4w=")</f>
        <v>#REF!</v>
      </c>
      <c r="EL41" t="e">
        <f>AND(#REF!,"AAAAAF+3r40=")</f>
        <v>#REF!</v>
      </c>
      <c r="EM41" t="e">
        <f>AND(#REF!,"AAAAAF+3r44=")</f>
        <v>#REF!</v>
      </c>
      <c r="EN41" t="e">
        <f>AND(#REF!,"AAAAAF+3r48=")</f>
        <v>#REF!</v>
      </c>
      <c r="EO41" t="e">
        <f>AND(#REF!,"AAAAAF+3r5A=")</f>
        <v>#REF!</v>
      </c>
      <c r="EP41" t="e">
        <f>AND(#REF!,"AAAAAF+3r5E=")</f>
        <v>#REF!</v>
      </c>
      <c r="EQ41" t="e">
        <f>AND(#REF!,"AAAAAF+3r5I=")</f>
        <v>#REF!</v>
      </c>
      <c r="ER41" t="e">
        <f>AND(#REF!,"AAAAAF+3r5M=")</f>
        <v>#REF!</v>
      </c>
      <c r="ES41" t="e">
        <f>AND(#REF!,"AAAAAF+3r5Q=")</f>
        <v>#REF!</v>
      </c>
      <c r="ET41" t="e">
        <f>AND(#REF!,"AAAAAF+3r5U=")</f>
        <v>#REF!</v>
      </c>
      <c r="EU41" t="e">
        <f>AND(#REF!,"AAAAAF+3r5Y=")</f>
        <v>#REF!</v>
      </c>
      <c r="EV41" t="e">
        <f>AND(#REF!,"AAAAAF+3r5c=")</f>
        <v>#REF!</v>
      </c>
      <c r="EW41" t="e">
        <f>AND(#REF!,"AAAAAF+3r5g=")</f>
        <v>#REF!</v>
      </c>
      <c r="EX41" t="e">
        <f>AND(#REF!,"AAAAAF+3r5k=")</f>
        <v>#REF!</v>
      </c>
      <c r="EY41" t="e">
        <f>AND(#REF!,"AAAAAF+3r5o=")</f>
        <v>#REF!</v>
      </c>
      <c r="EZ41" t="e">
        <f>AND(#REF!,"AAAAAF+3r5s=")</f>
        <v>#REF!</v>
      </c>
      <c r="FA41" t="e">
        <f>AND(#REF!,"AAAAAF+3r5w=")</f>
        <v>#REF!</v>
      </c>
      <c r="FB41" t="e">
        <f>AND(#REF!,"AAAAAF+3r50=")</f>
        <v>#REF!</v>
      </c>
      <c r="FC41" t="e">
        <f>AND(#REF!,"AAAAAF+3r54=")</f>
        <v>#REF!</v>
      </c>
      <c r="FD41" t="e">
        <f>AND(#REF!,"AAAAAF+3r58=")</f>
        <v>#REF!</v>
      </c>
      <c r="FE41" t="e">
        <f>AND(#REF!,"AAAAAF+3r6A=")</f>
        <v>#REF!</v>
      </c>
      <c r="FF41" t="e">
        <f>AND(#REF!,"AAAAAF+3r6E=")</f>
        <v>#REF!</v>
      </c>
      <c r="FG41" t="e">
        <f>AND(#REF!,"AAAAAF+3r6I=")</f>
        <v>#REF!</v>
      </c>
      <c r="FH41" t="e">
        <f>AND(#REF!,"AAAAAF+3r6M=")</f>
        <v>#REF!</v>
      </c>
      <c r="FI41" t="e">
        <f>AND(#REF!,"AAAAAF+3r6Q=")</f>
        <v>#REF!</v>
      </c>
      <c r="FJ41" t="e">
        <f>AND(#REF!,"AAAAAF+3r6U=")</f>
        <v>#REF!</v>
      </c>
      <c r="FK41" t="e">
        <f>AND(#REF!,"AAAAAF+3r6Y=")</f>
        <v>#REF!</v>
      </c>
      <c r="FL41" t="e">
        <f>AND(#REF!,"AAAAAF+3r6c=")</f>
        <v>#REF!</v>
      </c>
      <c r="FM41" t="e">
        <f>AND(#REF!,"AAAAAF+3r6g=")</f>
        <v>#REF!</v>
      </c>
      <c r="FN41" t="e">
        <f>AND(#REF!,"AAAAAF+3r6k=")</f>
        <v>#REF!</v>
      </c>
      <c r="FO41" t="e">
        <f>AND(#REF!,"AAAAAF+3r6o=")</f>
        <v>#REF!</v>
      </c>
      <c r="FP41" t="e">
        <f>AND(#REF!,"AAAAAF+3r6s=")</f>
        <v>#REF!</v>
      </c>
      <c r="FQ41" t="e">
        <f>AND(#REF!,"AAAAAF+3r6w=")</f>
        <v>#REF!</v>
      </c>
      <c r="FR41" t="e">
        <f>AND(#REF!,"AAAAAF+3r60=")</f>
        <v>#REF!</v>
      </c>
      <c r="FS41" t="e">
        <f>AND(#REF!,"AAAAAF+3r64=")</f>
        <v>#REF!</v>
      </c>
      <c r="FT41" t="e">
        <f>AND(#REF!,"AAAAAF+3r68=")</f>
        <v>#REF!</v>
      </c>
      <c r="FU41" t="e">
        <f>AND(#REF!,"AAAAAF+3r7A=")</f>
        <v>#REF!</v>
      </c>
      <c r="FV41" t="e">
        <f>AND(#REF!,"AAAAAF+3r7E=")</f>
        <v>#REF!</v>
      </c>
      <c r="FW41" t="e">
        <f>AND(#REF!,"AAAAAF+3r7I=")</f>
        <v>#REF!</v>
      </c>
      <c r="FX41" t="e">
        <f>AND(#REF!,"AAAAAF+3r7M=")</f>
        <v>#REF!</v>
      </c>
      <c r="FY41" t="e">
        <f>AND(#REF!,"AAAAAF+3r7Q=")</f>
        <v>#REF!</v>
      </c>
      <c r="FZ41" t="e">
        <f>AND(#REF!,"AAAAAF+3r7U=")</f>
        <v>#REF!</v>
      </c>
      <c r="GA41" t="e">
        <f>AND(#REF!,"AAAAAF+3r7Y=")</f>
        <v>#REF!</v>
      </c>
      <c r="GB41" t="e">
        <f>AND(#REF!,"AAAAAF+3r7c=")</f>
        <v>#REF!</v>
      </c>
      <c r="GC41" t="e">
        <f>AND(#REF!,"AAAAAF+3r7g=")</f>
        <v>#REF!</v>
      </c>
      <c r="GD41" t="e">
        <f>AND(#REF!,"AAAAAF+3r7k=")</f>
        <v>#REF!</v>
      </c>
      <c r="GE41" t="e">
        <f>AND(#REF!,"AAAAAF+3r7o=")</f>
        <v>#REF!</v>
      </c>
      <c r="GF41" t="e">
        <f>AND(#REF!,"AAAAAF+3r7s=")</f>
        <v>#REF!</v>
      </c>
      <c r="GG41" t="e">
        <f>AND(#REF!,"AAAAAF+3r7w=")</f>
        <v>#REF!</v>
      </c>
      <c r="GH41" t="e">
        <f>AND(#REF!,"AAAAAF+3r70=")</f>
        <v>#REF!</v>
      </c>
      <c r="GI41" t="e">
        <f>AND(#REF!,"AAAAAF+3r74=")</f>
        <v>#REF!</v>
      </c>
      <c r="GJ41" t="e">
        <f>AND(#REF!,"AAAAAF+3r78=")</f>
        <v>#REF!</v>
      </c>
      <c r="GK41" t="e">
        <f>IF(#REF!,"AAAAAF+3r8A=",0)</f>
        <v>#REF!</v>
      </c>
      <c r="GL41" t="e">
        <f>IF(#REF!,"AAAAAF+3r8E=",0)</f>
        <v>#REF!</v>
      </c>
      <c r="GM41" t="e">
        <f>IF(#REF!,"AAAAAF+3r8I=",0)</f>
        <v>#REF!</v>
      </c>
      <c r="GN41" t="e">
        <f>IF(#REF!,"AAAAAF+3r8M=",0)</f>
        <v>#REF!</v>
      </c>
      <c r="GO41" t="e">
        <f>IF(#REF!,"AAAAAF+3r8Q=",0)</f>
        <v>#REF!</v>
      </c>
      <c r="GP41" t="e">
        <f>IF(#REF!,"AAAAAF+3r8U=",0)</f>
        <v>#REF!</v>
      </c>
      <c r="GQ41" t="e">
        <f>IF(#REF!,"AAAAAF+3r8Y=",0)</f>
        <v>#REF!</v>
      </c>
      <c r="GR41" t="e">
        <f>IF(#REF!,"AAAAAF+3r8c=",0)</f>
        <v>#REF!</v>
      </c>
      <c r="GS41" t="e">
        <f>IF(#REF!,"AAAAAF+3r8g=",0)</f>
        <v>#REF!</v>
      </c>
      <c r="GT41" t="e">
        <f>IF(#REF!,"AAAAAF+3r8k=",0)</f>
        <v>#REF!</v>
      </c>
      <c r="GU41" t="e">
        <f>IF(#REF!,"AAAAAF+3r8o=",0)</f>
        <v>#REF!</v>
      </c>
      <c r="GV41" t="e">
        <f>IF(#REF!,"AAAAAF+3r8s=",0)</f>
        <v>#REF!</v>
      </c>
      <c r="GW41" t="e">
        <f>IF(#REF!,"AAAAAF+3r8w=",0)</f>
        <v>#REF!</v>
      </c>
      <c r="GX41" t="e">
        <f>IF(#REF!,"AAAAAF+3r80=",0)</f>
        <v>#REF!</v>
      </c>
      <c r="GY41" t="e">
        <f>IF(#REF!,"AAAAAF+3r84=",0)</f>
        <v>#REF!</v>
      </c>
      <c r="GZ41" t="e">
        <f>IF(#REF!,"AAAAAF+3r88=",0)</f>
        <v>#REF!</v>
      </c>
      <c r="HA41" t="e">
        <f>IF(#REF!,"AAAAAF+3r9A=",0)</f>
        <v>#REF!</v>
      </c>
      <c r="HB41" t="e">
        <f>IF(#REF!,"AAAAAF+3r9E=",0)</f>
        <v>#REF!</v>
      </c>
      <c r="HC41" t="e">
        <f>IF(#REF!,"AAAAAF+3r9I=",0)</f>
        <v>#REF!</v>
      </c>
      <c r="HD41" t="e">
        <f>IF(#REF!,"AAAAAF+3r9M=",0)</f>
        <v>#REF!</v>
      </c>
      <c r="HE41" t="e">
        <f>IF(#REF!,"AAAAAF+3r9Q=",0)</f>
        <v>#REF!</v>
      </c>
      <c r="HF41" t="e">
        <f>IF(#REF!,"AAAAAF+3r9U=",0)</f>
        <v>#REF!</v>
      </c>
      <c r="HG41" t="e">
        <f>IF(#REF!,"AAAAAF+3r9Y=",0)</f>
        <v>#REF!</v>
      </c>
      <c r="HH41" t="e">
        <f>IF(#REF!,"AAAAAF+3r9c=",0)</f>
        <v>#REF!</v>
      </c>
      <c r="HI41" t="e">
        <f>IF(#REF!,"AAAAAF+3r9g=",0)</f>
        <v>#REF!</v>
      </c>
      <c r="HJ41" t="e">
        <f>IF(#REF!,"AAAAAF+3r9k=",0)</f>
        <v>#REF!</v>
      </c>
      <c r="HK41" t="e">
        <f>IF(#REF!,"AAAAAF+3r9o=",0)</f>
        <v>#REF!</v>
      </c>
      <c r="HL41" t="e">
        <f>IF(#REF!,"AAAAAF+3r9s=",0)</f>
        <v>#REF!</v>
      </c>
      <c r="HM41" t="e">
        <f>IF(#REF!,"AAAAAF+3r9w=",0)</f>
        <v>#REF!</v>
      </c>
      <c r="HN41" t="e">
        <f>IF(#REF!,"AAAAAF+3r90=",0)</f>
        <v>#REF!</v>
      </c>
      <c r="HO41" t="e">
        <f>IF(#REF!,"AAAAAF+3r94=",0)</f>
        <v>#REF!</v>
      </c>
      <c r="HP41" t="e">
        <f>IF(#REF!,"AAAAAF+3r98=",0)</f>
        <v>#REF!</v>
      </c>
      <c r="HQ41" t="e">
        <f>IF(#REF!,"AAAAAF+3r+A=",0)</f>
        <v>#REF!</v>
      </c>
      <c r="HR41" t="e">
        <f>IF(#REF!,"AAAAAF+3r+E=",0)</f>
        <v>#REF!</v>
      </c>
      <c r="HS41" t="e">
        <f>IF(#REF!,"AAAAAF+3r+I=",0)</f>
        <v>#REF!</v>
      </c>
      <c r="HT41" t="e">
        <f>IF(#REF!,"AAAAAF+3r+M=",0)</f>
        <v>#REF!</v>
      </c>
      <c r="HU41" t="e">
        <f>IF(#REF!,"AAAAAF+3r+Q=",0)</f>
        <v>#REF!</v>
      </c>
      <c r="HV41" t="e">
        <f>IF(#REF!,"AAAAAF+3r+U=",0)</f>
        <v>#REF!</v>
      </c>
      <c r="HW41" t="e">
        <f>IF(#REF!,"AAAAAF+3r+Y=",0)</f>
        <v>#REF!</v>
      </c>
      <c r="HX41" t="e">
        <f>IF(#REF!,"AAAAAF+3r+c=",0)</f>
        <v>#REF!</v>
      </c>
      <c r="HY41" t="e">
        <f>IF(#REF!,"AAAAAF+3r+g=",0)</f>
        <v>#REF!</v>
      </c>
      <c r="HZ41" t="e">
        <f>IF(#REF!,"AAAAAF+3r+k=",0)</f>
        <v>#REF!</v>
      </c>
      <c r="IA41" t="e">
        <f>IF(#REF!,"AAAAAF+3r+o=",0)</f>
        <v>#REF!</v>
      </c>
      <c r="IB41" t="e">
        <f>IF(#REF!,"AAAAAF+3r+s=",0)</f>
        <v>#REF!</v>
      </c>
      <c r="IC41" t="e">
        <f>IF(#REF!,"AAAAAF+3r+w=",0)</f>
        <v>#REF!</v>
      </c>
      <c r="ID41" t="e">
        <f>IF(#REF!,"AAAAAF+3r+0=",0)</f>
        <v>#REF!</v>
      </c>
      <c r="IE41" t="e">
        <f>IF(#REF!,"AAAAAF+3r+4=",0)</f>
        <v>#REF!</v>
      </c>
      <c r="IF41" t="e">
        <f>IF(#REF!,"AAAAAF+3r+8=",0)</f>
        <v>#REF!</v>
      </c>
      <c r="IG41" t="e">
        <f>IF(#REF!,"AAAAAF+3r/A=",0)</f>
        <v>#REF!</v>
      </c>
      <c r="IH41" t="e">
        <f>IF(#REF!,"AAAAAF+3r/E=",0)</f>
        <v>#REF!</v>
      </c>
      <c r="II41" t="e">
        <f>IF(#REF!,"AAAAAF+3r/I=",0)</f>
        <v>#REF!</v>
      </c>
      <c r="IJ41" t="e">
        <f>IF(#REF!,"AAAAAF+3r/M=",0)</f>
        <v>#REF!</v>
      </c>
      <c r="IK41" t="e">
        <f>IF(#REF!,"AAAAAF+3r/Q=",0)</f>
        <v>#REF!</v>
      </c>
      <c r="IL41" t="e">
        <f>IF(#REF!,"AAAAAF+3r/U=",0)</f>
        <v>#REF!</v>
      </c>
      <c r="IM41" t="e">
        <f>IF(#REF!,"AAAAAF+3r/Y=",0)</f>
        <v>#REF!</v>
      </c>
      <c r="IN41" t="e">
        <f>IF(#REF!,"AAAAAF+3r/c=",0)</f>
        <v>#REF!</v>
      </c>
      <c r="IO41" t="e">
        <f>IF(#REF!,"AAAAAF+3r/g=",0)</f>
        <v>#REF!</v>
      </c>
      <c r="IP41" t="e">
        <f>IF(#REF!,"AAAAAF+3r/k=",0)</f>
        <v>#REF!</v>
      </c>
      <c r="IQ41" t="e">
        <f>IF(#REF!,"AAAAAF+3r/o=",0)</f>
        <v>#REF!</v>
      </c>
      <c r="IR41" t="e">
        <f>IF(#REF!,"AAAAAF+3r/s=",0)</f>
        <v>#REF!</v>
      </c>
      <c r="IS41" t="e">
        <f>IF(#REF!,"AAAAAF+3r/w=",0)</f>
        <v>#REF!</v>
      </c>
      <c r="IT41" t="e">
        <f>IF(#REF!,"AAAAAF+3r/0=",0)</f>
        <v>#REF!</v>
      </c>
      <c r="IU41" t="e">
        <f>IF(#REF!,"AAAAAF+3r/4=",0)</f>
        <v>#REF!</v>
      </c>
      <c r="IV41" t="e">
        <f>IF(#REF!,"AAAAAF+3r/8=",0)</f>
        <v>#REF!</v>
      </c>
    </row>
    <row r="42" spans="1:256" x14ac:dyDescent="0.25">
      <c r="A42" t="e">
        <f>IF(#REF!,"AAAAAH98rQA=",0)</f>
        <v>#REF!</v>
      </c>
      <c r="B42" t="e">
        <f>IF(#REF!,"AAAAAH98rQE=",0)</f>
        <v>#REF!</v>
      </c>
      <c r="C42" t="e">
        <f>IF(#REF!,"AAAAAH98rQI=",0)</f>
        <v>#REF!</v>
      </c>
      <c r="D42" t="e">
        <f>IF(#REF!,"AAAAAH98rQM=",0)</f>
        <v>#REF!</v>
      </c>
      <c r="E42" t="e">
        <f>IF(#REF!,"AAAAAH98rQQ=",0)</f>
        <v>#REF!</v>
      </c>
      <c r="F42" t="e">
        <f>IF(#REF!,"AAAAAH98rQU=",0)</f>
        <v>#REF!</v>
      </c>
      <c r="G42" t="e">
        <f>IF(#REF!,"AAAAAH98rQY=",0)</f>
        <v>#REF!</v>
      </c>
      <c r="H42" t="e">
        <f>IF(#REF!,"AAAAAH98rQc=",0)</f>
        <v>#REF!</v>
      </c>
      <c r="I42" t="e">
        <f>IF(#REF!,"AAAAAH98rQg=",0)</f>
        <v>#REF!</v>
      </c>
      <c r="J42" t="e">
        <f>IF(#REF!,"AAAAAH98rQk=",0)</f>
        <v>#REF!</v>
      </c>
      <c r="K42" t="e">
        <f>IF(#REF!,"AAAAAH98rQo=",0)</f>
        <v>#REF!</v>
      </c>
      <c r="L42" t="e">
        <f>IF(#REF!,"AAAAAH98rQs=",0)</f>
        <v>#REF!</v>
      </c>
      <c r="M42" t="e">
        <f>IF(#REF!,"AAAAAH98rQw=",0)</f>
        <v>#REF!</v>
      </c>
      <c r="N42" t="e">
        <f>IF(#REF!,"AAAAAH98rQ0=",0)</f>
        <v>#REF!</v>
      </c>
      <c r="O42" t="e">
        <f>IF(#REF!,"AAAAAH98rQ4=",0)</f>
        <v>#REF!</v>
      </c>
      <c r="P42" t="e">
        <f>IF(#REF!,"AAAAAH98rQ8=",0)</f>
        <v>#REF!</v>
      </c>
      <c r="Q42" t="e">
        <f>IF(#REF!,"AAAAAH98rRA=",0)</f>
        <v>#REF!</v>
      </c>
      <c r="R42" t="e">
        <f>IF(#REF!,"AAAAAH98rRE=",0)</f>
        <v>#REF!</v>
      </c>
      <c r="S42" t="e">
        <f>IF(#REF!,"AAAAAH98rRI=",0)</f>
        <v>#REF!</v>
      </c>
      <c r="T42" t="e">
        <f>IF(#REF!,"AAAAAH98rRM=",0)</f>
        <v>#REF!</v>
      </c>
      <c r="U42" t="e">
        <f>IF(#REF!,"AAAAAH98rRQ=",0)</f>
        <v>#REF!</v>
      </c>
      <c r="V42" t="e">
        <f>IF(#REF!,"AAAAAH98rRU=",0)</f>
        <v>#REF!</v>
      </c>
      <c r="W42" t="e">
        <f>IF(#REF!,"AAAAAH98rRY=",0)</f>
        <v>#REF!</v>
      </c>
      <c r="X42" t="e">
        <f>IF(#REF!,"AAAAAH98rRc=",0)</f>
        <v>#REF!</v>
      </c>
      <c r="Y42" t="e">
        <f>IF(#REF!,"AAAAAH98rRg=",0)</f>
        <v>#REF!</v>
      </c>
      <c r="Z42" t="e">
        <f>IF(#REF!,"AAAAAH98rRk=",0)</f>
        <v>#REF!</v>
      </c>
      <c r="AA42" t="e">
        <f>IF(#REF!,"AAAAAH98rRo=",0)</f>
        <v>#REF!</v>
      </c>
      <c r="AB42" t="e">
        <f>IF(#REF!,"AAAAAH98rRs=",0)</f>
        <v>#REF!</v>
      </c>
      <c r="AC42" t="e">
        <f>IF(#REF!,"AAAAAH98rRw=",0)</f>
        <v>#REF!</v>
      </c>
      <c r="AD42" t="e">
        <f>IF(#REF!,"AAAAAH98rR0=",0)</f>
        <v>#REF!</v>
      </c>
      <c r="AE42" t="e">
        <f>IF(#REF!,"AAAAAH98rR4=",0)</f>
        <v>#REF!</v>
      </c>
      <c r="AF42" t="e">
        <f>IF(#REF!,"AAAAAH98rR8=",0)</f>
        <v>#REF!</v>
      </c>
      <c r="AG42" t="e">
        <f>IF(#REF!,"AAAAAH98rSA=",0)</f>
        <v>#REF!</v>
      </c>
      <c r="AH42" t="e">
        <f>IF(#REF!,"AAAAAH98rSE=",0)</f>
        <v>#REF!</v>
      </c>
      <c r="AI42" t="e">
        <f>IF(#REF!,"AAAAAH98rSI=",0)</f>
        <v>#REF!</v>
      </c>
      <c r="AJ42" t="e">
        <f>IF(#REF!,"AAAAAH98rSM=",0)</f>
        <v>#REF!</v>
      </c>
      <c r="AK42" t="e">
        <f>IF(#REF!,"AAAAAH98rSQ=",0)</f>
        <v>#REF!</v>
      </c>
      <c r="AL42" t="e">
        <f>IF(#REF!,"AAAAAH98rSU=",0)</f>
        <v>#REF!</v>
      </c>
      <c r="AM42" t="e">
        <f>IF(#REF!,"AAAAAH98rSY=",0)</f>
        <v>#REF!</v>
      </c>
      <c r="AN42" t="e">
        <f>IF(#REF!,"AAAAAH98rSc=",0)</f>
        <v>#REF!</v>
      </c>
      <c r="AO42" t="e">
        <f>IF(#REF!,"AAAAAH98rSg=",0)</f>
        <v>#REF!</v>
      </c>
      <c r="AP42" t="e">
        <f>IF(#REF!,"AAAAAH98rSk=",0)</f>
        <v>#REF!</v>
      </c>
      <c r="AQ42" t="e">
        <f>IF(#REF!,"AAAAAH98rSo=",0)</f>
        <v>#REF!</v>
      </c>
      <c r="AR42" t="e">
        <f>IF(#REF!,"AAAAAH98rSs=",0)</f>
        <v>#REF!</v>
      </c>
      <c r="AS42" t="e">
        <f>IF(#REF!,"AAAAAH98rSw=",0)</f>
        <v>#REF!</v>
      </c>
      <c r="AT42" t="e">
        <f>IF(#REF!,"AAAAAH98rS0=",0)</f>
        <v>#REF!</v>
      </c>
      <c r="AU42" t="e">
        <f>IF(#REF!,"AAAAAH98rS4=",0)</f>
        <v>#REF!</v>
      </c>
      <c r="AV42" t="e">
        <f>IF(#REF!,"AAAAAH98rS8=",0)</f>
        <v>#REF!</v>
      </c>
      <c r="AW42" t="e">
        <f>IF(#REF!,"AAAAAH98rTA=",0)</f>
        <v>#REF!</v>
      </c>
      <c r="AX42" t="e">
        <f>IF(#REF!,"AAAAAH98rTE=",0)</f>
        <v>#REF!</v>
      </c>
      <c r="AY42" t="e">
        <f>IF(#REF!,"AAAAAH98rTI=",0)</f>
        <v>#REF!</v>
      </c>
      <c r="AZ42" t="e">
        <f>IF(#REF!,"AAAAAH98rTM=",0)</f>
        <v>#REF!</v>
      </c>
      <c r="BA42" t="e">
        <f>IF(#REF!,"AAAAAH98rTQ=",0)</f>
        <v>#REF!</v>
      </c>
      <c r="BB42" t="e">
        <f>IF(#REF!,"AAAAAH98rTU=",0)</f>
        <v>#REF!</v>
      </c>
      <c r="BC42" t="e">
        <f>IF(#REF!,"AAAAAH98rTY=",0)</f>
        <v>#REF!</v>
      </c>
      <c r="BD42" t="e">
        <f>IF(#REF!,"AAAAAH98rTc=",0)</f>
        <v>#REF!</v>
      </c>
      <c r="BE42" t="e">
        <f>IF(#REF!,"AAAAAH98rTg=",0)</f>
        <v>#REF!</v>
      </c>
      <c r="BF42" t="e">
        <f>IF(#REF!,"AAAAAH98rTk=",0)</f>
        <v>#REF!</v>
      </c>
      <c r="BG42" t="e">
        <f>IF(#REF!,"AAAAAH98rTo=",0)</f>
        <v>#REF!</v>
      </c>
      <c r="BH42" t="e">
        <f>IF(#REF!,"AAAAAH98rTs=",0)</f>
        <v>#REF!</v>
      </c>
      <c r="BI42" t="e">
        <f>IF(#REF!,"AAAAAH98rTw=",0)</f>
        <v>#REF!</v>
      </c>
      <c r="BJ42" t="e">
        <f>IF(#REF!,"AAAAAH98rT0=",0)</f>
        <v>#REF!</v>
      </c>
      <c r="BK42" t="e">
        <f>IF(#REF!,"AAAAAH98rT4=",0)</f>
        <v>#REF!</v>
      </c>
      <c r="BL42" t="e">
        <f>IF(#REF!,"AAAAAH98rT8=",0)</f>
        <v>#REF!</v>
      </c>
      <c r="BM42" t="e">
        <f>IF(#REF!,"AAAAAH98rUA=",0)</f>
        <v>#REF!</v>
      </c>
      <c r="BN42" t="e">
        <f>IF(#REF!,"AAAAAH98rUE=",0)</f>
        <v>#REF!</v>
      </c>
      <c r="BO42" t="e">
        <f>IF(#REF!,"AAAAAH98rUI=",0)</f>
        <v>#REF!</v>
      </c>
      <c r="BP42" t="e">
        <f>IF(#REF!,"AAAAAH98rUM=",0)</f>
        <v>#REF!</v>
      </c>
      <c r="BQ42" t="e">
        <f>IF(#REF!,"AAAAAH98rUQ=",0)</f>
        <v>#REF!</v>
      </c>
      <c r="BR42" t="e">
        <f>IF(#REF!,"AAAAAH98rUU=",0)</f>
        <v>#REF!</v>
      </c>
      <c r="BS42" t="e">
        <f>IF(#REF!,"AAAAAH98rUY=",0)</f>
        <v>#REF!</v>
      </c>
      <c r="BT42" t="e">
        <f>IF(#REF!,"AAAAAH98rUc=",0)</f>
        <v>#REF!</v>
      </c>
      <c r="BU42" t="e">
        <f>IF(#REF!,"AAAAAH98rUg=",0)</f>
        <v>#REF!</v>
      </c>
      <c r="BV42" t="e">
        <f>IF(#REF!,"AAAAAH98rUk=",0)</f>
        <v>#REF!</v>
      </c>
      <c r="BW42" t="e">
        <f>IF(#REF!,"AAAAAH98rUo=",0)</f>
        <v>#REF!</v>
      </c>
      <c r="BX42" t="e">
        <f>IF(#REF!,"AAAAAH98rUs=",0)</f>
        <v>#REF!</v>
      </c>
      <c r="BY42" t="e">
        <f>IF(#REF!,"AAAAAH98rUw=",0)</f>
        <v>#REF!</v>
      </c>
      <c r="BZ42" t="e">
        <f>IF(#REF!,"AAAAAH98rU0=",0)</f>
        <v>#REF!</v>
      </c>
      <c r="CA42" t="e">
        <f>IF(#REF!,"AAAAAH98rU4=",0)</f>
        <v>#REF!</v>
      </c>
      <c r="CB42" t="e">
        <f>IF(#REF!,"AAAAAH98rU8=",0)</f>
        <v>#REF!</v>
      </c>
      <c r="CC42" t="e">
        <f>IF(#REF!,"AAAAAH98rVA=",0)</f>
        <v>#REF!</v>
      </c>
      <c r="CD42" t="e">
        <f>IF(#REF!,"AAAAAH98rVE=",0)</f>
        <v>#REF!</v>
      </c>
      <c r="CE42" t="e">
        <f>IF(#REF!,"AAAAAH98rVI=",0)</f>
        <v>#REF!</v>
      </c>
      <c r="CF42" t="e">
        <f>IF(#REF!,"AAAAAH98rVM=",0)</f>
        <v>#REF!</v>
      </c>
      <c r="CG42" t="e">
        <f>IF(#REF!,"AAAAAH98rVQ=",0)</f>
        <v>#REF!</v>
      </c>
      <c r="CH42" t="e">
        <f>IF(#REF!,"AAAAAH98rVU=",0)</f>
        <v>#REF!</v>
      </c>
      <c r="CI42" t="e">
        <f>IF(#REF!,"AAAAAH98rVY=",0)</f>
        <v>#REF!</v>
      </c>
      <c r="CJ42" t="e">
        <f>IF(#REF!,"AAAAAH98rVc=",0)</f>
        <v>#REF!</v>
      </c>
      <c r="CK42" t="e">
        <f>IF(#REF!,"AAAAAH98rVg=",0)</f>
        <v>#REF!</v>
      </c>
      <c r="CL42" t="e">
        <f>IF(#REF!,"AAAAAH98rVk=",0)</f>
        <v>#REF!</v>
      </c>
      <c r="CM42" t="e">
        <f>IF(#REF!,"AAAAAH98rVo=",0)</f>
        <v>#REF!</v>
      </c>
      <c r="CN42" t="e">
        <f>IF(#REF!,"AAAAAH98rVs=",0)</f>
        <v>#REF!</v>
      </c>
      <c r="CO42" t="e">
        <f>IF(#REF!,"AAAAAH98rVw=",0)</f>
        <v>#REF!</v>
      </c>
      <c r="CP42" t="e">
        <f>IF(#REF!,"AAAAAH98rV0=",0)</f>
        <v>#REF!</v>
      </c>
      <c r="CQ42" t="e">
        <f>IF(#REF!,"AAAAAH98rV4=",0)</f>
        <v>#REF!</v>
      </c>
      <c r="CR42" t="e">
        <f>IF(#REF!,"AAAAAH98rV8=",0)</f>
        <v>#REF!</v>
      </c>
      <c r="CS42" t="e">
        <f>IF(#REF!,"AAAAAH98rWA=",0)</f>
        <v>#REF!</v>
      </c>
      <c r="CT42" t="e">
        <f>IF(#REF!,"AAAAAH98rWE=",0)</f>
        <v>#REF!</v>
      </c>
      <c r="CU42" t="e">
        <f>IF(#REF!,"AAAAAH98rWI=",0)</f>
        <v>#REF!</v>
      </c>
      <c r="CV42" t="e">
        <f>IF(#REF!,"AAAAAH98rWM=",0)</f>
        <v>#REF!</v>
      </c>
      <c r="CW42" t="e">
        <f>IF(#REF!,"AAAAAH98rWQ=",0)</f>
        <v>#REF!</v>
      </c>
      <c r="CX42" t="e">
        <f>IF(#REF!,"AAAAAH98rWU=",0)</f>
        <v>#REF!</v>
      </c>
      <c r="CY42" t="e">
        <f>IF(#REF!,"AAAAAH98rWY=",0)</f>
        <v>#REF!</v>
      </c>
      <c r="CZ42" t="e">
        <f>IF(#REF!,"AAAAAH98rWc=",0)</f>
        <v>#REF!</v>
      </c>
      <c r="DA42" t="e">
        <f>IF(#REF!,"AAAAAH98rWg=",0)</f>
        <v>#REF!</v>
      </c>
      <c r="DB42" t="e">
        <f>IF(#REF!,"AAAAAH98rWk=",0)</f>
        <v>#REF!</v>
      </c>
      <c r="DC42" t="e">
        <f>IF(#REF!,"AAAAAH98rWo=",0)</f>
        <v>#REF!</v>
      </c>
      <c r="DD42" t="e">
        <f>IF(#REF!,"AAAAAH98rWs=",0)</f>
        <v>#REF!</v>
      </c>
      <c r="DE42" t="e">
        <f>IF(#REF!,"AAAAAH98rWw=",0)</f>
        <v>#REF!</v>
      </c>
      <c r="DF42" t="e">
        <f>IF(#REF!,"AAAAAH98rW0=",0)</f>
        <v>#REF!</v>
      </c>
      <c r="DG42" t="e">
        <f>IF(#REF!,"AAAAAH98rW4=",0)</f>
        <v>#REF!</v>
      </c>
      <c r="DH42" t="e">
        <f>IF(#REF!,"AAAAAH98rW8=",0)</f>
        <v>#REF!</v>
      </c>
      <c r="DI42" t="e">
        <f>IF(#REF!,"AAAAAH98rXA=",0)</f>
        <v>#REF!</v>
      </c>
      <c r="DJ42" t="e">
        <f>IF(#REF!,"AAAAAH98rXE=",0)</f>
        <v>#REF!</v>
      </c>
      <c r="DK42" t="e">
        <f>IF(#REF!,"AAAAAH98rXI=",0)</f>
        <v>#REF!</v>
      </c>
      <c r="DL42" t="e">
        <f>IF(#REF!,"AAAAAH98rXM=",0)</f>
        <v>#REF!</v>
      </c>
      <c r="DM42" t="e">
        <f>IF(#REF!,"AAAAAH98rXQ=",0)</f>
        <v>#REF!</v>
      </c>
      <c r="DN42" t="e">
        <f>IF(#REF!,"AAAAAH98rXU=",0)</f>
        <v>#REF!</v>
      </c>
      <c r="DO42" t="e">
        <f>IF(#REF!,"AAAAAH98rXY=",0)</f>
        <v>#REF!</v>
      </c>
      <c r="DP42" t="e">
        <f>IF(#REF!,"AAAAAH98rXc=",0)</f>
        <v>#REF!</v>
      </c>
      <c r="DQ42" t="e">
        <f>IF(#REF!,"AAAAAH98rXg=",0)</f>
        <v>#REF!</v>
      </c>
      <c r="DR42" t="e">
        <f>IF(#REF!,"AAAAAH98rXk=",0)</f>
        <v>#REF!</v>
      </c>
      <c r="DS42" t="e">
        <f>IF(#REF!,"AAAAAH98rXo=",0)</f>
        <v>#REF!</v>
      </c>
      <c r="DT42" t="e">
        <f>IF(#REF!,"AAAAAH98rXs=",0)</f>
        <v>#REF!</v>
      </c>
      <c r="DU42" t="e">
        <f>IF(#REF!,"AAAAAH98rXw=",0)</f>
        <v>#REF!</v>
      </c>
      <c r="DV42" t="e">
        <f>IF(#REF!,"AAAAAH98rX0=",0)</f>
        <v>#REF!</v>
      </c>
      <c r="DW42" t="s">
        <v>12</v>
      </c>
      <c r="DX42" s="1" t="s">
        <v>13</v>
      </c>
      <c r="DY42" t="e">
        <f>IF("N",apparent_stress,"AAAAAH98rYA=")</f>
        <v>#VALUE!</v>
      </c>
      <c r="DZ42" t="e">
        <f>IF("N",'Main - US'!_xlnm.Print_Area,"AAAAAH98rYE=")</f>
        <v>#VALUE!</v>
      </c>
      <c r="EA42" t="e">
        <f>IF("N",'Main - US'!_xlnm.Print_Area,"AAAAAH98rYI=")</f>
        <v>#VALUE!</v>
      </c>
      <c r="EB42" t="e">
        <f>IF("N",sencount,"AAAAAH98rYM=")</f>
        <v>#VALUE!</v>
      </c>
    </row>
    <row r="43" spans="1:256" x14ac:dyDescent="0.25">
      <c r="A43" t="e">
        <f>AND(#REF!,"AAAAAHafQwA=")</f>
        <v>#REF!</v>
      </c>
      <c r="B43" t="e">
        <f>AND(#REF!,"AAAAAHafQwE=")</f>
        <v>#REF!</v>
      </c>
      <c r="C43" t="e">
        <f>AND(#REF!,"AAAAAHafQwI=")</f>
        <v>#REF!</v>
      </c>
      <c r="D43" t="e">
        <f>AND(#REF!,"AAAAAHafQwM=")</f>
        <v>#REF!</v>
      </c>
      <c r="E43" t="e">
        <f>AND(#REF!,"AAAAAHafQwQ=")</f>
        <v>#REF!</v>
      </c>
      <c r="F43" t="e">
        <f>AND(#REF!,"AAAAAHafQwU=")</f>
        <v>#REF!</v>
      </c>
      <c r="G43" t="e">
        <f>AND(#REF!,"AAAAAHafQwY=")</f>
        <v>#REF!</v>
      </c>
      <c r="H43" t="e">
        <f>AND(#REF!,"AAAAAHafQwc=")</f>
        <v>#REF!</v>
      </c>
      <c r="I43" t="e">
        <f>AND(#REF!,"AAAAAHafQwg=")</f>
        <v>#REF!</v>
      </c>
      <c r="J43" t="e">
        <f>AND(#REF!,"AAAAAHafQwk=")</f>
        <v>#REF!</v>
      </c>
    </row>
    <row r="44" spans="1:256" x14ac:dyDescent="0.25">
      <c r="A44" t="e">
        <f>AND(#REF!,"AAAAABPpvwA=")</f>
        <v>#REF!</v>
      </c>
      <c r="B44" t="e">
        <f>AND(#REF!,"AAAAABPpvwE=")</f>
        <v>#REF!</v>
      </c>
      <c r="C44" t="e">
        <f>AND(#REF!,"AAAAABPpvwI=")</f>
        <v>#REF!</v>
      </c>
      <c r="D44" t="e">
        <f>AND(#REF!,"AAAAABPpvwM=")</f>
        <v>#REF!</v>
      </c>
      <c r="E44" t="e">
        <f>AND(#REF!,"AAAAABPpvwQ=")</f>
        <v>#REF!</v>
      </c>
      <c r="F44" t="e">
        <f>AND(#REF!,"AAAAABPpvwU=")</f>
        <v>#REF!</v>
      </c>
      <c r="G44" t="e">
        <f>AND(#REF!,"AAAAABPpvwY=")</f>
        <v>#REF!</v>
      </c>
      <c r="H44" t="e">
        <f>AND(#REF!,"AAAAABPpvwc=")</f>
        <v>#REF!</v>
      </c>
      <c r="I44" t="e">
        <f>AND(#REF!,"AAAAABPpvwg=")</f>
        <v>#REF!</v>
      </c>
      <c r="J44" t="e">
        <f>AND(#REF!,"AAAAABPpvwk=")</f>
        <v>#REF!</v>
      </c>
      <c r="K44" t="e">
        <f>AND(#REF!,"AAAAABPpvwo=")</f>
        <v>#REF!</v>
      </c>
      <c r="L44" t="e">
        <f>AND(#REF!,"AAAAABPpvws=")</f>
        <v>#REF!</v>
      </c>
      <c r="M44" t="e">
        <f>AND(#REF!,"AAAAABPpvww=")</f>
        <v>#REF!</v>
      </c>
      <c r="N44" t="e">
        <f>AND(#REF!,"AAAAABPpvw0=")</f>
        <v>#REF!</v>
      </c>
      <c r="O44" t="e">
        <f>AND(#REF!,"AAAAABPpvw4=")</f>
        <v>#REF!</v>
      </c>
      <c r="P44" t="e">
        <f>AND(#REF!,"AAAAABPpvw8=")</f>
        <v>#REF!</v>
      </c>
    </row>
    <row r="45" spans="1:256" x14ac:dyDescent="0.25">
      <c r="A45" t="e">
        <f>AND(#REF!,"AAAAAG6+2wA=")</f>
        <v>#REF!</v>
      </c>
      <c r="B45" t="e">
        <f>AND(#REF!,"AAAAAG6+2wE=")</f>
        <v>#REF!</v>
      </c>
      <c r="C45" t="e">
        <f>AND(#REF!,"AAAAAG6+2wI=")</f>
        <v>#REF!</v>
      </c>
      <c r="D45" t="e">
        <f>AND(#REF!,"AAAAAG6+2wM=")</f>
        <v>#REF!</v>
      </c>
      <c r="E45" t="e">
        <f>AND(#REF!,"AAAAAG6+2wQ=")</f>
        <v>#REF!</v>
      </c>
      <c r="F45" t="e">
        <f>AND(#REF!,"AAAAAG6+2wU=")</f>
        <v>#REF!</v>
      </c>
      <c r="G45" t="e">
        <f>AND(#REF!,"AAAAAG6+2wY=")</f>
        <v>#REF!</v>
      </c>
      <c r="H45" t="e">
        <f>AND(#REF!,"AAAAAG6+2wc=")</f>
        <v>#REF!</v>
      </c>
      <c r="I45" t="e">
        <f>AND(#REF!,"AAAAAG6+2wg=")</f>
        <v>#REF!</v>
      </c>
      <c r="J45" t="e">
        <f>AND(#REF!,"AAAAAG6+2wk=")</f>
        <v>#REF!</v>
      </c>
      <c r="K45" t="e">
        <f>AND(#REF!,"AAAAAG6+2wo=")</f>
        <v>#REF!</v>
      </c>
      <c r="L45" t="e">
        <f>AND(#REF!,"AAAAAG6+2ws=")</f>
        <v>#REF!</v>
      </c>
      <c r="M45" t="e">
        <f>AND(#REF!,"AAAAAG6+2ww=")</f>
        <v>#REF!</v>
      </c>
      <c r="N45" t="e">
        <f>AND(#REF!,"AAAAAG6+2w0=")</f>
        <v>#REF!</v>
      </c>
      <c r="O45" t="e">
        <f>AND(#REF!,"AAAAAG6+2w4=")</f>
        <v>#REF!</v>
      </c>
      <c r="P45" t="e">
        <f>AND(#REF!,"AAAAAG6+2w8=")</f>
        <v>#REF!</v>
      </c>
      <c r="Q45" t="e">
        <f>AND(#REF!,"AAAAAG6+2xA=")</f>
        <v>#REF!</v>
      </c>
      <c r="R45" t="e">
        <f>AND(#REF!,"AAAAAG6+2xE=")</f>
        <v>#REF!</v>
      </c>
      <c r="S45" t="e">
        <f>AND(#REF!,"AAAAAG6+2xI=")</f>
        <v>#REF!</v>
      </c>
      <c r="T45" t="e">
        <f>AND(#REF!,"AAAAAG6+2xM=")</f>
        <v>#REF!</v>
      </c>
      <c r="U45" t="e">
        <f>AND(#REF!,"AAAAAG6+2xQ=")</f>
        <v>#REF!</v>
      </c>
      <c r="V45" t="e">
        <f>AND(#REF!,"AAAAAG6+2xU=")</f>
        <v>#REF!</v>
      </c>
      <c r="W45" t="e">
        <f>AND(#REF!,"AAAAAG6+2xY=")</f>
        <v>#REF!</v>
      </c>
      <c r="X45" t="e">
        <f>AND(#REF!,"AAAAAG6+2xc=")</f>
        <v>#REF!</v>
      </c>
      <c r="Y45" t="e">
        <f>AND(#REF!,"AAAAAG6+2xg=")</f>
        <v>#REF!</v>
      </c>
      <c r="Z45" t="e">
        <f>AND(#REF!,"AAAAAG6+2xk=")</f>
        <v>#REF!</v>
      </c>
      <c r="AA45" t="e">
        <f>AND(#REF!,"AAAAAG6+2xo=")</f>
        <v>#REF!</v>
      </c>
      <c r="AB45" t="e">
        <f>AND(#REF!,"AAAAAG6+2xs=")</f>
        <v>#REF!</v>
      </c>
      <c r="AC45" t="e">
        <f>AND(#REF!,"AAAAAG6+2xw=")</f>
        <v>#REF!</v>
      </c>
      <c r="AD45" t="e">
        <f>AND(#REF!,"AAAAAG6+2x0=")</f>
        <v>#REF!</v>
      </c>
      <c r="AE45" t="e">
        <f>AND(#REF!,"AAAAAG6+2x4=")</f>
        <v>#REF!</v>
      </c>
      <c r="AF45" t="e">
        <f>AND(#REF!,"AAAAAG6+2x8=")</f>
        <v>#REF!</v>
      </c>
      <c r="AG45" t="e">
        <f>AND(#REF!,"AAAAAG6+2yA=")</f>
        <v>#REF!</v>
      </c>
      <c r="AH45" t="e">
        <f>AND(#REF!,"AAAAAG6+2yE=")</f>
        <v>#REF!</v>
      </c>
      <c r="AI45" t="e">
        <f>AND(#REF!,"AAAAAG6+2yI=")</f>
        <v>#REF!</v>
      </c>
      <c r="AJ45" t="e">
        <f>AND(#REF!,"AAAAAG6+2yM=")</f>
        <v>#REF!</v>
      </c>
      <c r="AK45" t="e">
        <f>AND(#REF!,"AAAAAG6+2yQ=")</f>
        <v>#REF!</v>
      </c>
      <c r="AL45" t="e">
        <f>AND(#REF!,"AAAAAG6+2yU=")</f>
        <v>#REF!</v>
      </c>
      <c r="AM45" t="e">
        <f>AND(#REF!,"AAAAAG6+2yY=")</f>
        <v>#REF!</v>
      </c>
      <c r="AN45" t="e">
        <f>AND(#REF!,"AAAAAG6+2yc=")</f>
        <v>#REF!</v>
      </c>
      <c r="AO45" t="e">
        <f>AND(#REF!,"AAAAAG6+2yg=")</f>
        <v>#REF!</v>
      </c>
      <c r="AP45" t="e">
        <f>AND(#REF!,"AAAAAG6+2yk=")</f>
        <v>#REF!</v>
      </c>
      <c r="AQ45" t="e">
        <f>AND(#REF!,"AAAAAG6+2yo=")</f>
        <v>#REF!</v>
      </c>
      <c r="AR45" t="e">
        <f>AND(#REF!,"AAAAAG6+2ys=")</f>
        <v>#REF!</v>
      </c>
      <c r="AS45" t="e">
        <f>AND(#REF!,"AAAAAG6+2yw=")</f>
        <v>#REF!</v>
      </c>
      <c r="AT45" t="e">
        <f>AND(#REF!,"AAAAAG6+2y0=")</f>
        <v>#REF!</v>
      </c>
      <c r="AU45" t="e">
        <f>AND(#REF!,"AAAAAG6+2y4=")</f>
        <v>#REF!</v>
      </c>
      <c r="AV45" t="e">
        <f>AND(#REF!,"AAAAAG6+2y8=")</f>
        <v>#REF!</v>
      </c>
      <c r="AW45" t="e">
        <f>AND(#REF!,"AAAAAG6+2zA=")</f>
        <v>#REF!</v>
      </c>
      <c r="AX45" t="e">
        <f>AND(#REF!,"AAAAAG6+2zE=")</f>
        <v>#REF!</v>
      </c>
      <c r="AY45" t="e">
        <f>AND(#REF!,"AAAAAG6+2zI=")</f>
        <v>#REF!</v>
      </c>
      <c r="AZ45" t="e">
        <f>AND(#REF!,"AAAAAG6+2zM=")</f>
        <v>#REF!</v>
      </c>
      <c r="BA45" t="e">
        <f>AND(#REF!,"AAAAAG6+2zQ=")</f>
        <v>#REF!</v>
      </c>
      <c r="BB45" t="e">
        <f>AND(#REF!,"AAAAAG6+2zU=")</f>
        <v>#REF!</v>
      </c>
      <c r="BC45" t="e">
        <f>AND(#REF!,"AAAAAG6+2zY=")</f>
        <v>#REF!</v>
      </c>
      <c r="BD45" t="e">
        <f>AND(#REF!,"AAAAAG6+2zc=")</f>
        <v>#REF!</v>
      </c>
      <c r="BE45" t="e">
        <f>AND(#REF!,"AAAAAG6+2zg=")</f>
        <v>#REF!</v>
      </c>
      <c r="BF45" t="e">
        <f>AND(#REF!,"AAAAAG6+2zk=")</f>
        <v>#REF!</v>
      </c>
      <c r="BG45" t="e">
        <f>AND(#REF!,"AAAAAG6+2zo=")</f>
        <v>#REF!</v>
      </c>
      <c r="BH45" t="e">
        <f>AND(#REF!,"AAAAAG6+2zs=")</f>
        <v>#REF!</v>
      </c>
      <c r="BI45" t="e">
        <f>AND(#REF!,"AAAAAG6+2zw=")</f>
        <v>#REF!</v>
      </c>
      <c r="BJ45" t="e">
        <f>AND(#REF!,"AAAAAG6+2z0=")</f>
        <v>#REF!</v>
      </c>
      <c r="BK45" t="e">
        <f>AND(#REF!,"AAAAAG6+2z4=")</f>
        <v>#REF!</v>
      </c>
      <c r="BL45" t="e">
        <f>AND(#REF!,"AAAAAG6+2z8=")</f>
        <v>#REF!</v>
      </c>
      <c r="BM45" t="e">
        <f>AND(#REF!,"AAAAAG6+20A=")</f>
        <v>#REF!</v>
      </c>
      <c r="BN45" t="e">
        <f>AND(#REF!,"AAAAAG6+20E=")</f>
        <v>#REF!</v>
      </c>
      <c r="BO45" t="e">
        <f>AND(#REF!,"AAAAAG6+20I=")</f>
        <v>#REF!</v>
      </c>
      <c r="BP45" t="e">
        <f>AND(#REF!,"AAAAAG6+20M=")</f>
        <v>#REF!</v>
      </c>
      <c r="BQ45" t="e">
        <f>AND(#REF!,"AAAAAG6+20Q=")</f>
        <v>#REF!</v>
      </c>
      <c r="BR45" t="e">
        <f>AND(#REF!,"AAAAAG6+20U=")</f>
        <v>#REF!</v>
      </c>
      <c r="BS45" t="e">
        <f>AND(#REF!,"AAAAAG6+20Y=")</f>
        <v>#REF!</v>
      </c>
      <c r="BT45" t="e">
        <f>AND(#REF!,"AAAAAG6+20c=")</f>
        <v>#REF!</v>
      </c>
      <c r="BU45" t="e">
        <f>AND(#REF!,"AAAAAG6+20g=")</f>
        <v>#REF!</v>
      </c>
      <c r="BV45" t="e">
        <f>AND(#REF!,"AAAAAG6+20k=")</f>
        <v>#REF!</v>
      </c>
      <c r="BW45" t="e">
        <f>AND(#REF!,"AAAAAG6+20o=")</f>
        <v>#REF!</v>
      </c>
      <c r="BX45" t="e">
        <f>AND(#REF!,"AAAAAG6+20s=")</f>
        <v>#REF!</v>
      </c>
      <c r="BY45" t="e">
        <f>AND(#REF!,"AAAAAG6+20w=")</f>
        <v>#REF!</v>
      </c>
      <c r="BZ45" t="e">
        <f>AND(#REF!,"AAAAAG6+200=")</f>
        <v>#REF!</v>
      </c>
      <c r="CA45" t="e">
        <f>AND(#REF!,"AAAAAG6+204=")</f>
        <v>#REF!</v>
      </c>
      <c r="CB45" t="e">
        <f>AND(#REF!,"AAAAAG6+208=")</f>
        <v>#REF!</v>
      </c>
      <c r="CC45" t="e">
        <f>AND(#REF!,"AAAAAG6+21A=")</f>
        <v>#REF!</v>
      </c>
      <c r="CD45" t="e">
        <f>AND(#REF!,"AAAAAG6+21E=")</f>
        <v>#REF!</v>
      </c>
      <c r="CE45" t="e">
        <f>AND(#REF!,"AAAAAG6+21I=")</f>
        <v>#REF!</v>
      </c>
      <c r="CF45" t="e">
        <f>AND(#REF!,"AAAAAG6+21M=")</f>
        <v>#REF!</v>
      </c>
      <c r="CG45" t="e">
        <f>AND(#REF!,"AAAAAG6+21Q=")</f>
        <v>#REF!</v>
      </c>
      <c r="CH45" t="e">
        <f>AND(#REF!,"AAAAAG6+21U=")</f>
        <v>#REF!</v>
      </c>
      <c r="CI45" t="e">
        <f>AND(#REF!,"AAAAAG6+21Y=")</f>
        <v>#REF!</v>
      </c>
      <c r="CJ45" t="e">
        <f>AND(#REF!,"AAAAAG6+21c=")</f>
        <v>#REF!</v>
      </c>
      <c r="CK45" t="e">
        <f>AND(#REF!,"AAAAAG6+21g=")</f>
        <v>#REF!</v>
      </c>
      <c r="CL45" t="e">
        <f>AND(#REF!,"AAAAAG6+21k=")</f>
        <v>#REF!</v>
      </c>
      <c r="CM45" t="e">
        <f>AND(#REF!,"AAAAAG6+21o=")</f>
        <v>#REF!</v>
      </c>
      <c r="CN45" t="e">
        <f>AND(#REF!,"AAAAAG6+21s=")</f>
        <v>#REF!</v>
      </c>
      <c r="CO45" t="e">
        <f>AND(#REF!,"AAAAAG6+21w=")</f>
        <v>#REF!</v>
      </c>
      <c r="CP45" t="e">
        <f>AND(#REF!,"AAAAAG6+210=")</f>
        <v>#REF!</v>
      </c>
      <c r="CQ45" t="e">
        <f>AND(#REF!,"AAAAAG6+214=")</f>
        <v>#REF!</v>
      </c>
      <c r="CR45" t="e">
        <f>AND(#REF!,"AAAAAG6+218=")</f>
        <v>#REF!</v>
      </c>
      <c r="CS45" t="e">
        <f>AND(#REF!,"AAAAAG6+22A=")</f>
        <v>#REF!</v>
      </c>
      <c r="CT45" t="e">
        <f>AND(#REF!,"AAAAAG6+22E=")</f>
        <v>#REF!</v>
      </c>
      <c r="CU45" t="e">
        <f>AND(#REF!,"AAAAAG6+22I=")</f>
        <v>#REF!</v>
      </c>
      <c r="CV45" t="e">
        <f>AND(#REF!,"AAAAAG6+22M=")</f>
        <v>#REF!</v>
      </c>
      <c r="CW45" t="e">
        <f>AND(#REF!,"AAAAAG6+22Q=")</f>
        <v>#REF!</v>
      </c>
      <c r="CX45" t="e">
        <f>AND(#REF!,"AAAAAG6+22U=")</f>
        <v>#REF!</v>
      </c>
      <c r="CY45" t="e">
        <f>AND(#REF!,"AAAAAG6+22Y=")</f>
        <v>#REF!</v>
      </c>
      <c r="CZ45" t="e">
        <f>AND(#REF!,"AAAAAG6+22c=")</f>
        <v>#REF!</v>
      </c>
      <c r="DA45" t="e">
        <f>AND(#REF!,"AAAAAG6+22g=")</f>
        <v>#REF!</v>
      </c>
      <c r="DB45" t="e">
        <f>AND(#REF!,"AAAAAG6+22k=")</f>
        <v>#REF!</v>
      </c>
      <c r="DC45" t="e">
        <f>AND(#REF!,"AAAAAG6+22o=")</f>
        <v>#REF!</v>
      </c>
      <c r="DD45" t="e">
        <f>AND(#REF!,"AAAAAG6+22s=")</f>
        <v>#REF!</v>
      </c>
      <c r="DE45" t="e">
        <f>AND(#REF!,"AAAAAG6+22w=")</f>
        <v>#REF!</v>
      </c>
      <c r="DF45" t="e">
        <f>AND(#REF!,"AAAAAG6+220=")</f>
        <v>#REF!</v>
      </c>
      <c r="DG45" t="e">
        <f>AND(#REF!,"AAAAAG6+224=")</f>
        <v>#REF!</v>
      </c>
      <c r="DH45" t="e">
        <f>AND(#REF!,"AAAAAG6+228=")</f>
        <v>#REF!</v>
      </c>
      <c r="DI45" t="e">
        <f>AND(#REF!,"AAAAAG6+23A=")</f>
        <v>#REF!</v>
      </c>
      <c r="DJ45" t="e">
        <f>AND(#REF!,"AAAAAG6+23E=")</f>
        <v>#REF!</v>
      </c>
      <c r="DK45" t="e">
        <f>AND(#REF!,"AAAAAG6+23I=")</f>
        <v>#REF!</v>
      </c>
      <c r="DL45" t="e">
        <f>AND(#REF!,"AAAAAG6+23M=")</f>
        <v>#REF!</v>
      </c>
      <c r="DM45" t="e">
        <f>AND(#REF!,"AAAAAG6+23Q=")</f>
        <v>#REF!</v>
      </c>
      <c r="DN45" t="e">
        <f>AND(#REF!,"AAAAAG6+23U=")</f>
        <v>#REF!</v>
      </c>
      <c r="DO45" t="e">
        <f>AND(#REF!,"AAAAAG6+23Y=")</f>
        <v>#REF!</v>
      </c>
      <c r="DP45" t="e">
        <f>AND(#REF!,"AAAAAG6+23c=")</f>
        <v>#REF!</v>
      </c>
      <c r="DQ45" t="e">
        <f>AND(#REF!,"AAAAAG6+23g=")</f>
        <v>#REF!</v>
      </c>
      <c r="DR45" t="e">
        <f>AND(#REF!,"AAAAAG6+23k=")</f>
        <v>#REF!</v>
      </c>
      <c r="DS45" t="e">
        <f>AND(#REF!,"AAAAAG6+23o=")</f>
        <v>#REF!</v>
      </c>
      <c r="DT45" t="e">
        <f>AND(#REF!,"AAAAAG6+23s=")</f>
        <v>#REF!</v>
      </c>
      <c r="DU45" t="e">
        <f>AND(#REF!,"AAAAAG6+23w=")</f>
        <v>#REF!</v>
      </c>
      <c r="DV45" t="e">
        <f>AND(#REF!,"AAAAAG6+230=")</f>
        <v>#REF!</v>
      </c>
      <c r="DW45" t="e">
        <f>AND(#REF!,"AAAAAG6+234=")</f>
        <v>#REF!</v>
      </c>
      <c r="DX45" t="e">
        <f>AND(#REF!,"AAAAAG6+238=")</f>
        <v>#REF!</v>
      </c>
      <c r="DY45" t="e">
        <f>AND(#REF!,"AAAAAG6+24A=")</f>
        <v>#REF!</v>
      </c>
      <c r="DZ45" t="e">
        <f>AND(#REF!,"AAAAAG6+24E=")</f>
        <v>#REF!</v>
      </c>
      <c r="EA45" t="e">
        <f>AND(#REF!,"AAAAAG6+24I=")</f>
        <v>#REF!</v>
      </c>
      <c r="EB45" t="e">
        <f>AND(#REF!,"AAAAAG6+24M=")</f>
        <v>#REF!</v>
      </c>
      <c r="EC45" t="e">
        <f>AND(#REF!,"AAAAAG6+24Q=")</f>
        <v>#REF!</v>
      </c>
      <c r="ED45" t="e">
        <f>AND(#REF!,"AAAAAG6+24U=")</f>
        <v>#REF!</v>
      </c>
      <c r="EE45" t="e">
        <f>AND(#REF!,"AAAAAG6+24Y=")</f>
        <v>#REF!</v>
      </c>
      <c r="EF45" t="e">
        <f>AND(#REF!,"AAAAAG6+24c=")</f>
        <v>#REF!</v>
      </c>
      <c r="EG45" t="e">
        <f>AND(#REF!,"AAAAAG6+24g=")</f>
        <v>#REF!</v>
      </c>
      <c r="EH45" t="e">
        <f>AND(#REF!,"AAAAAG6+24k=")</f>
        <v>#REF!</v>
      </c>
      <c r="EI45" t="e">
        <f>AND(#REF!,"AAAAAG6+24o=")</f>
        <v>#REF!</v>
      </c>
      <c r="EJ45" t="e">
        <f>AND(#REF!,"AAAAAG6+24s=")</f>
        <v>#REF!</v>
      </c>
      <c r="EK45" t="e">
        <f>AND(#REF!,"AAAAAG6+24w=")</f>
        <v>#REF!</v>
      </c>
      <c r="EL45" t="e">
        <f>AND(#REF!,"AAAAAG6+240=")</f>
        <v>#REF!</v>
      </c>
      <c r="EM45" t="e">
        <f>AND(#REF!,"AAAAAG6+244=")</f>
        <v>#REF!</v>
      </c>
      <c r="EN45" t="e">
        <f>AND(#REF!,"AAAAAG6+248=")</f>
        <v>#REF!</v>
      </c>
      <c r="EO45" t="e">
        <f>AND(#REF!,"AAAAAG6+25A=")</f>
        <v>#REF!</v>
      </c>
      <c r="EP45" t="e">
        <f>AND(#REF!,"AAAAAG6+25E=")</f>
        <v>#REF!</v>
      </c>
      <c r="EQ45" t="e">
        <f>AND(#REF!,"AAAAAG6+25I=")</f>
        <v>#REF!</v>
      </c>
      <c r="ER45" t="e">
        <f>AND(#REF!,"AAAAAG6+25M=")</f>
        <v>#REF!</v>
      </c>
      <c r="ES45" t="e">
        <f>AND(#REF!,"AAAAAG6+25Q=")</f>
        <v>#REF!</v>
      </c>
      <c r="ET45" t="e">
        <f>AND(#REF!,"AAAAAG6+25U=")</f>
        <v>#REF!</v>
      </c>
      <c r="EU45" t="e">
        <f>AND(#REF!,"AAAAAG6+25Y=")</f>
        <v>#REF!</v>
      </c>
      <c r="EV45" t="e">
        <f>AND(#REF!,"AAAAAG6+25c=")</f>
        <v>#REF!</v>
      </c>
      <c r="EW45" t="e">
        <f>AND(#REF!,"AAAAAG6+25g=")</f>
        <v>#REF!</v>
      </c>
      <c r="EX45" t="e">
        <f>AND(#REF!,"AAAAAG6+25k=")</f>
        <v>#REF!</v>
      </c>
      <c r="EY45" t="e">
        <f>AND(#REF!,"AAAAAG6+25o=")</f>
        <v>#REF!</v>
      </c>
      <c r="EZ45" t="e">
        <f>AND(#REF!,"AAAAAG6+25s=")</f>
        <v>#REF!</v>
      </c>
      <c r="FA45" t="e">
        <f>AND(#REF!,"AAAAAG6+25w=")</f>
        <v>#REF!</v>
      </c>
      <c r="FB45" t="e">
        <f>AND(#REF!,"AAAAAG6+250=")</f>
        <v>#REF!</v>
      </c>
      <c r="FC45" t="e">
        <f>AND(#REF!,"AAAAAG6+254=")</f>
        <v>#REF!</v>
      </c>
      <c r="FD45" t="e">
        <f>AND(#REF!,"AAAAAG6+258=")</f>
        <v>#REF!</v>
      </c>
      <c r="FE45" t="e">
        <f>AND(#REF!,"AAAAAG6+26A=")</f>
        <v>#REF!</v>
      </c>
      <c r="FF45" t="e">
        <f>AND(#REF!,"AAAAAG6+26E=")</f>
        <v>#REF!</v>
      </c>
      <c r="FG45" t="e">
        <f>AND(#REF!,"AAAAAG6+26I=")</f>
        <v>#REF!</v>
      </c>
      <c r="FH45" t="e">
        <f>AND(#REF!,"AAAAAG6+26M=")</f>
        <v>#REF!</v>
      </c>
      <c r="FI45" t="e">
        <f>AND(#REF!,"AAAAAG6+26Q=")</f>
        <v>#REF!</v>
      </c>
      <c r="FJ45" t="e">
        <f>AND(#REF!,"AAAAAG6+26U=")</f>
        <v>#REF!</v>
      </c>
      <c r="FK45" t="e">
        <f>AND(#REF!,"AAAAAG6+26Y=")</f>
        <v>#REF!</v>
      </c>
      <c r="FL45" t="e">
        <f>AND(#REF!,"AAAAAG6+26c=")</f>
        <v>#REF!</v>
      </c>
      <c r="FM45" t="e">
        <f>AND(#REF!,"AAAAAG6+26g=")</f>
        <v>#REF!</v>
      </c>
      <c r="FN45" t="e">
        <f>AND(#REF!,"AAAAAG6+26k=")</f>
        <v>#REF!</v>
      </c>
      <c r="FO45" t="e">
        <f>AND(#REF!,"AAAAAG6+26o=")</f>
        <v>#REF!</v>
      </c>
      <c r="FP45" t="e">
        <f>AND(#REF!,"AAAAAG6+26s=")</f>
        <v>#REF!</v>
      </c>
      <c r="FQ45" t="e">
        <f>AND(#REF!,"AAAAAG6+26w=")</f>
        <v>#REF!</v>
      </c>
      <c r="FR45" t="e">
        <f>AND(#REF!,"AAAAAG6+260=")</f>
        <v>#REF!</v>
      </c>
      <c r="FS45" t="e">
        <f>AND(#REF!,"AAAAAG6+264=")</f>
        <v>#REF!</v>
      </c>
      <c r="FT45" t="e">
        <f>AND(#REF!,"AAAAAG6+268=")</f>
        <v>#REF!</v>
      </c>
      <c r="FU45" t="e">
        <f>AND(#REF!,"AAAAAG6+27A=")</f>
        <v>#REF!</v>
      </c>
      <c r="FV45" t="e">
        <f>AND(#REF!,"AAAAAG6+27E=")</f>
        <v>#REF!</v>
      </c>
      <c r="FW45" t="e">
        <f>AND(#REF!,"AAAAAG6+27I=")</f>
        <v>#REF!</v>
      </c>
      <c r="FX45" t="e">
        <f>AND(#REF!,"AAAAAG6+27M=")</f>
        <v>#REF!</v>
      </c>
      <c r="FY45" t="e">
        <f>AND(#REF!,"AAAAAG6+27Q=")</f>
        <v>#REF!</v>
      </c>
      <c r="FZ45" t="e">
        <f>AND(#REF!,"AAAAAG6+27U=")</f>
        <v>#REF!</v>
      </c>
      <c r="GA45" t="e">
        <f>AND(#REF!,"AAAAAG6+27Y=")</f>
        <v>#REF!</v>
      </c>
      <c r="GB45" t="e">
        <f>AND(#REF!,"AAAAAG6+27c=")</f>
        <v>#REF!</v>
      </c>
      <c r="GC45" t="e">
        <f>AND(#REF!,"AAAAAG6+27g=")</f>
        <v>#REF!</v>
      </c>
      <c r="GD45" t="e">
        <f>AND(#REF!,"AAAAAG6+27k=")</f>
        <v>#REF!</v>
      </c>
      <c r="GE45" t="e">
        <f>AND(#REF!,"AAAAAG6+27o=")</f>
        <v>#REF!</v>
      </c>
      <c r="GF45" t="e">
        <f>AND(#REF!,"AAAAAG6+27s=")</f>
        <v>#REF!</v>
      </c>
      <c r="GG45" t="e">
        <f>AND(#REF!,"AAAAAG6+27w=")</f>
        <v>#REF!</v>
      </c>
      <c r="GH45" t="e">
        <f>AND(#REF!,"AAAAAG6+270=")</f>
        <v>#REF!</v>
      </c>
      <c r="GI45" t="e">
        <f>AND(#REF!,"AAAAAG6+274=")</f>
        <v>#REF!</v>
      </c>
      <c r="GJ45" t="e">
        <f>AND(#REF!,"AAAAAG6+278=")</f>
        <v>#REF!</v>
      </c>
      <c r="GK45" t="e">
        <f>AND(#REF!,"AAAAAG6+28A=")</f>
        <v>#REF!</v>
      </c>
      <c r="GL45" t="e">
        <f>AND(#REF!,"AAAAAG6+28E=")</f>
        <v>#REF!</v>
      </c>
      <c r="GM45" t="e">
        <f>AND(#REF!,"AAAAAG6+28I=")</f>
        <v>#REF!</v>
      </c>
      <c r="GN45" t="e">
        <f>AND(#REF!,"AAAAAG6+28M=")</f>
        <v>#REF!</v>
      </c>
      <c r="GO45" t="e">
        <f>AND(#REF!,"AAAAAG6+28Q=")</f>
        <v>#REF!</v>
      </c>
      <c r="GP45" t="e">
        <f>AND(#REF!,"AAAAAG6+28U=")</f>
        <v>#REF!</v>
      </c>
      <c r="GQ45" t="e">
        <f>AND(#REF!,"AAAAAG6+28Y=")</f>
        <v>#REF!</v>
      </c>
      <c r="GR45" t="e">
        <f>AND(#REF!,"AAAAAG6+28c=")</f>
        <v>#REF!</v>
      </c>
      <c r="GS45" t="e">
        <f>AND(#REF!,"AAAAAG6+28g=")</f>
        <v>#REF!</v>
      </c>
      <c r="GT45" t="e">
        <f>AND(#REF!,"AAAAAG6+28k=")</f>
        <v>#REF!</v>
      </c>
      <c r="GU45" t="e">
        <f>AND(#REF!,"AAAAAG6+28o=")</f>
        <v>#REF!</v>
      </c>
      <c r="GV45" t="e">
        <f>AND(#REF!,"AAAAAG6+28s=")</f>
        <v>#REF!</v>
      </c>
      <c r="GW45" t="e">
        <f>AND(#REF!,"AAAAAG6+28w=")</f>
        <v>#REF!</v>
      </c>
      <c r="GX45" t="e">
        <f>AND(#REF!,"AAAAAG6+280=")</f>
        <v>#REF!</v>
      </c>
      <c r="GY45" t="e">
        <f>AND(#REF!,"AAAAAG6+284=")</f>
        <v>#REF!</v>
      </c>
      <c r="GZ45" t="e">
        <f>AND(#REF!,"AAAAAG6+288=")</f>
        <v>#REF!</v>
      </c>
      <c r="HA45" t="e">
        <f>AND(#REF!,"AAAAAG6+29A=")</f>
        <v>#REF!</v>
      </c>
      <c r="HB45" t="e">
        <f>AND(#REF!,"AAAAAG6+29E=")</f>
        <v>#REF!</v>
      </c>
      <c r="HC45" t="e">
        <f>AND(#REF!,"AAAAAG6+29I=")</f>
        <v>#REF!</v>
      </c>
      <c r="HD45" t="e">
        <f>AND(#REF!,"AAAAAG6+29M=")</f>
        <v>#REF!</v>
      </c>
      <c r="HE45" t="e">
        <f>AND(#REF!,"AAAAAG6+29Q=")</f>
        <v>#REF!</v>
      </c>
      <c r="HF45" t="e">
        <f>AND(#REF!,"AAAAAG6+29U=")</f>
        <v>#REF!</v>
      </c>
      <c r="HG45" t="e">
        <f>AND(#REF!,"AAAAAG6+29Y=")</f>
        <v>#REF!</v>
      </c>
      <c r="HH45" t="e">
        <f>AND(#REF!,"AAAAAG6+29c=")</f>
        <v>#REF!</v>
      </c>
      <c r="HI45" t="e">
        <f>AND(#REF!,"AAAAAG6+29g=")</f>
        <v>#REF!</v>
      </c>
      <c r="HJ45" t="e">
        <f>AND(#REF!,"AAAAAG6+29k=")</f>
        <v>#REF!</v>
      </c>
      <c r="HK45" t="e">
        <f>AND(#REF!,"AAAAAG6+29o=")</f>
        <v>#REF!</v>
      </c>
      <c r="HL45" t="e">
        <f>AND(#REF!,"AAAAAG6+29s=")</f>
        <v>#REF!</v>
      </c>
      <c r="HM45" t="e">
        <f>AND(#REF!,"AAAAAG6+29w=")</f>
        <v>#REF!</v>
      </c>
      <c r="HN45" t="e">
        <f>AND(#REF!,"AAAAAG6+290=")</f>
        <v>#REF!</v>
      </c>
      <c r="HO45" t="e">
        <f>AND(#REF!,"AAAAAG6+294=")</f>
        <v>#REF!</v>
      </c>
      <c r="HP45" t="e">
        <f>AND(#REF!,"AAAAAG6+298=")</f>
        <v>#REF!</v>
      </c>
      <c r="HQ45" t="e">
        <f>AND(#REF!,"AAAAAG6+2+A=")</f>
        <v>#REF!</v>
      </c>
      <c r="HR45" t="e">
        <f>AND(#REF!,"AAAAAG6+2+E=")</f>
        <v>#REF!</v>
      </c>
      <c r="HS45" t="e">
        <f>AND(#REF!,"AAAAAG6+2+I=")</f>
        <v>#REF!</v>
      </c>
      <c r="HT45" t="e">
        <f>AND(#REF!,"AAAAAG6+2+M=")</f>
        <v>#REF!</v>
      </c>
      <c r="HU45" t="e">
        <f>AND(#REF!,"AAAAAG6+2+Q=")</f>
        <v>#REF!</v>
      </c>
      <c r="HV45" t="e">
        <f>AND(#REF!,"AAAAAG6+2+U=")</f>
        <v>#REF!</v>
      </c>
      <c r="HW45" t="e">
        <f>AND(#REF!,"AAAAAG6+2+Y=")</f>
        <v>#REF!</v>
      </c>
      <c r="HX45" t="e">
        <f>IF(#REF!,"AAAAAG6+2+c=",0)</f>
        <v>#REF!</v>
      </c>
      <c r="HY45" t="e">
        <f>AND(#REF!,"AAAAAG6+2+g=")</f>
        <v>#REF!</v>
      </c>
      <c r="HZ45" t="e">
        <f>AND(#REF!,"AAAAAG6+2+k=")</f>
        <v>#REF!</v>
      </c>
      <c r="IA45" t="e">
        <f>AND(#REF!,"AAAAAG6+2+o=")</f>
        <v>#REF!</v>
      </c>
      <c r="IB45" t="e">
        <f>AND(#REF!,"AAAAAG6+2+s=")</f>
        <v>#REF!</v>
      </c>
      <c r="IC45" t="e">
        <f>AND(#REF!,"AAAAAG6+2+w=")</f>
        <v>#REF!</v>
      </c>
      <c r="ID45" t="e">
        <f>AND(#REF!,"AAAAAG6+2+0=")</f>
        <v>#REF!</v>
      </c>
      <c r="IE45" t="e">
        <f>AND(#REF!,"AAAAAG6+2+4=")</f>
        <v>#REF!</v>
      </c>
      <c r="IF45" t="e">
        <f>AND(#REF!,"AAAAAG6+2+8=")</f>
        <v>#REF!</v>
      </c>
      <c r="IG45" t="e">
        <f>AND(#REF!,"AAAAAG6+2/A=")</f>
        <v>#REF!</v>
      </c>
      <c r="IH45" t="e">
        <f>AND(#REF!,"AAAAAG6+2/E=")</f>
        <v>#REF!</v>
      </c>
      <c r="II45" t="e">
        <f>AND(#REF!,"AAAAAG6+2/I=")</f>
        <v>#REF!</v>
      </c>
      <c r="IJ45" t="e">
        <f>AND(#REF!,"AAAAAG6+2/M=")</f>
        <v>#REF!</v>
      </c>
      <c r="IK45" t="e">
        <f>AND(#REF!,"AAAAAG6+2/Q=")</f>
        <v>#REF!</v>
      </c>
      <c r="IL45" t="e">
        <f>AND(#REF!,"AAAAAG6+2/U=")</f>
        <v>#REF!</v>
      </c>
      <c r="IM45" t="e">
        <f>AND(#REF!,"AAAAAG6+2/Y=")</f>
        <v>#REF!</v>
      </c>
      <c r="IN45" t="e">
        <f>AND(#REF!,"AAAAAG6+2/c=")</f>
        <v>#REF!</v>
      </c>
      <c r="IO45" t="e">
        <f>AND(#REF!,"AAAAAG6+2/g=")</f>
        <v>#REF!</v>
      </c>
      <c r="IP45" t="e">
        <f>AND(#REF!,"AAAAAG6+2/k=")</f>
        <v>#REF!</v>
      </c>
      <c r="IQ45" t="e">
        <f>AND(#REF!,"AAAAAG6+2/o=")</f>
        <v>#REF!</v>
      </c>
      <c r="IR45" t="e">
        <f>AND(#REF!,"AAAAAG6+2/s=")</f>
        <v>#REF!</v>
      </c>
      <c r="IS45" t="e">
        <f>AND(#REF!,"AAAAAG6+2/w=")</f>
        <v>#REF!</v>
      </c>
      <c r="IT45" t="e">
        <f>AND(#REF!,"AAAAAG6+2/0=")</f>
        <v>#REF!</v>
      </c>
      <c r="IU45" t="e">
        <f>AND(#REF!,"AAAAAG6+2/4=")</f>
        <v>#REF!</v>
      </c>
      <c r="IV45" t="e">
        <f>AND(#REF!,"AAAAAG6+2/8=")</f>
        <v>#REF!</v>
      </c>
    </row>
    <row r="46" spans="1:256" x14ac:dyDescent="0.25">
      <c r="A46" t="e">
        <f>AND(#REF!,"AAAAAG/ufwA=")</f>
        <v>#REF!</v>
      </c>
      <c r="B46" t="e">
        <f>AND(#REF!,"AAAAAG/ufwE=")</f>
        <v>#REF!</v>
      </c>
      <c r="C46" t="e">
        <f>AND(#REF!,"AAAAAG/ufwI=")</f>
        <v>#REF!</v>
      </c>
      <c r="D46" t="e">
        <f>AND(#REF!,"AAAAAG/ufwM=")</f>
        <v>#REF!</v>
      </c>
      <c r="E46" t="e">
        <f>AND(#REF!,"AAAAAG/ufwQ=")</f>
        <v>#REF!</v>
      </c>
      <c r="F46" t="e">
        <f>AND(#REF!,"AAAAAG/ufwU=")</f>
        <v>#REF!</v>
      </c>
      <c r="G46" t="e">
        <f>AND(#REF!,"AAAAAG/ufwY=")</f>
        <v>#REF!</v>
      </c>
      <c r="H46" t="e">
        <f>AND(#REF!,"AAAAAG/ufwc=")</f>
        <v>#REF!</v>
      </c>
      <c r="I46" t="e">
        <f>AND(#REF!,"AAAAAG/ufwg=")</f>
        <v>#REF!</v>
      </c>
      <c r="J46" t="e">
        <f>AND(#REF!,"AAAAAG/ufwk=")</f>
        <v>#REF!</v>
      </c>
      <c r="K46" t="e">
        <f>AND(#REF!,"AAAAAG/ufwo=")</f>
        <v>#REF!</v>
      </c>
      <c r="L46" t="e">
        <f>AND(#REF!,"AAAAAG/ufws=")</f>
        <v>#REF!</v>
      </c>
      <c r="M46" t="e">
        <f>AND(#REF!,"AAAAAG/ufww=")</f>
        <v>#REF!</v>
      </c>
      <c r="N46" t="e">
        <f>AND(#REF!,"AAAAAG/ufw0=")</f>
        <v>#REF!</v>
      </c>
      <c r="O46" t="e">
        <f>AND(#REF!,"AAAAAG/ufw4=")</f>
        <v>#REF!</v>
      </c>
      <c r="P46" t="e">
        <f>AND(#REF!,"AAAAAG/ufw8=")</f>
        <v>#REF!</v>
      </c>
      <c r="Q46" t="e">
        <f>AND(#REF!,"AAAAAG/ufxA=")</f>
        <v>#REF!</v>
      </c>
      <c r="R46" t="e">
        <f>AND(#REF!,"AAAAAG/ufxE=")</f>
        <v>#REF!</v>
      </c>
      <c r="S46" t="e">
        <f>AND(#REF!,"AAAAAG/ufxI=")</f>
        <v>#REF!</v>
      </c>
      <c r="T46" t="e">
        <f>AND(#REF!,"AAAAAG/ufxM=")</f>
        <v>#REF!</v>
      </c>
      <c r="U46" t="e">
        <f>AND(#REF!,"AAAAAG/ufxQ=")</f>
        <v>#REF!</v>
      </c>
      <c r="V46" t="e">
        <f>AND(#REF!,"AAAAAG/ufxU=")</f>
        <v>#REF!</v>
      </c>
      <c r="W46" t="e">
        <f>AND(#REF!,"AAAAAG/ufxY=")</f>
        <v>#REF!</v>
      </c>
      <c r="X46" t="e">
        <f>AND(#REF!,"AAAAAG/ufxc=")</f>
        <v>#REF!</v>
      </c>
      <c r="Y46" t="e">
        <f>AND(#REF!,"AAAAAG/ufxg=")</f>
        <v>#REF!</v>
      </c>
      <c r="Z46" t="e">
        <f>AND(#REF!,"AAAAAG/ufxk=")</f>
        <v>#REF!</v>
      </c>
      <c r="AA46" t="e">
        <f>AND(#REF!,"AAAAAG/ufxo=")</f>
        <v>#REF!</v>
      </c>
      <c r="AB46" t="e">
        <f>AND(#REF!,"AAAAAG/ufxs=")</f>
        <v>#REF!</v>
      </c>
      <c r="AC46" t="e">
        <f>AND(#REF!,"AAAAAG/ufxw=")</f>
        <v>#REF!</v>
      </c>
      <c r="AD46" t="e">
        <f>AND(#REF!,"AAAAAG/ufx0=")</f>
        <v>#REF!</v>
      </c>
      <c r="AE46" t="e">
        <f>AND(#REF!,"AAAAAG/ufx4=")</f>
        <v>#REF!</v>
      </c>
      <c r="AF46" t="e">
        <f>AND(#REF!,"AAAAAG/ufx8=")</f>
        <v>#REF!</v>
      </c>
      <c r="AG46" t="e">
        <f>AND(#REF!,"AAAAAG/ufyA=")</f>
        <v>#REF!</v>
      </c>
      <c r="AH46" t="e">
        <f>AND(#REF!,"AAAAAG/ufyE=")</f>
        <v>#REF!</v>
      </c>
      <c r="AI46" t="e">
        <f>AND(#REF!,"AAAAAG/ufyI=")</f>
        <v>#REF!</v>
      </c>
      <c r="AJ46" t="e">
        <f>AND(#REF!,"AAAAAG/ufyM=")</f>
        <v>#REF!</v>
      </c>
      <c r="AK46" t="e">
        <f>AND(#REF!,"AAAAAG/ufyQ=")</f>
        <v>#REF!</v>
      </c>
      <c r="AL46" t="e">
        <f>AND(#REF!,"AAAAAG/ufyU=")</f>
        <v>#REF!</v>
      </c>
      <c r="AM46" t="e">
        <f>AND(#REF!,"AAAAAG/ufyY=")</f>
        <v>#REF!</v>
      </c>
      <c r="AN46" t="e">
        <f>AND(#REF!,"AAAAAG/ufyc=")</f>
        <v>#REF!</v>
      </c>
      <c r="AO46" t="e">
        <f>AND(#REF!,"AAAAAG/ufyg=")</f>
        <v>#REF!</v>
      </c>
      <c r="AP46" t="e">
        <f>AND(#REF!,"AAAAAG/ufyk=")</f>
        <v>#REF!</v>
      </c>
      <c r="AQ46" t="e">
        <f>AND(#REF!,"AAAAAG/ufyo=")</f>
        <v>#REF!</v>
      </c>
      <c r="AR46" t="e">
        <f>AND(#REF!,"AAAAAG/ufys=")</f>
        <v>#REF!</v>
      </c>
      <c r="AS46" t="e">
        <f>AND(#REF!,"AAAAAG/ufyw=")</f>
        <v>#REF!</v>
      </c>
      <c r="AT46" t="e">
        <f>AND(#REF!,"AAAAAG/ufy0=")</f>
        <v>#REF!</v>
      </c>
      <c r="AU46" t="e">
        <f>AND(#REF!,"AAAAAG/ufy4=")</f>
        <v>#REF!</v>
      </c>
      <c r="AV46" t="e">
        <f>AND(#REF!,"AAAAAG/ufy8=")</f>
        <v>#REF!</v>
      </c>
      <c r="AW46" t="e">
        <f>AND(#REF!,"AAAAAG/ufzA=")</f>
        <v>#REF!</v>
      </c>
      <c r="AX46" t="e">
        <f>AND(#REF!,"AAAAAG/ufzE=")</f>
        <v>#REF!</v>
      </c>
      <c r="AY46" t="e">
        <f>AND(#REF!,"AAAAAG/ufzI=")</f>
        <v>#REF!</v>
      </c>
      <c r="AZ46" t="e">
        <f>AND(#REF!,"AAAAAG/ufzM=")</f>
        <v>#REF!</v>
      </c>
      <c r="BA46" t="e">
        <f>AND(#REF!,"AAAAAG/ufzQ=")</f>
        <v>#REF!</v>
      </c>
      <c r="BB46" t="e">
        <f>AND(#REF!,"AAAAAG/ufzU=")</f>
        <v>#REF!</v>
      </c>
      <c r="BC46" t="e">
        <f>AND(#REF!,"AAAAAG/ufzY=")</f>
        <v>#REF!</v>
      </c>
      <c r="BD46" t="e">
        <f>AND(#REF!,"AAAAAG/ufzc=")</f>
        <v>#REF!</v>
      </c>
      <c r="BE46" t="e">
        <f>AND(#REF!,"AAAAAG/ufzg=")</f>
        <v>#REF!</v>
      </c>
      <c r="BF46" t="e">
        <f>AND(#REF!,"AAAAAG/ufzk=")</f>
        <v>#REF!</v>
      </c>
      <c r="BG46" t="e">
        <f>AND(#REF!,"AAAAAG/ufzo=")</f>
        <v>#REF!</v>
      </c>
      <c r="BH46" t="e">
        <f>AND(#REF!,"AAAAAG/ufzs=")</f>
        <v>#REF!</v>
      </c>
      <c r="BI46" t="e">
        <f>AND(#REF!,"AAAAAG/ufzw=")</f>
        <v>#REF!</v>
      </c>
      <c r="BJ46" t="e">
        <f>AND(#REF!,"AAAAAG/ufz0=")</f>
        <v>#REF!</v>
      </c>
      <c r="BK46" t="e">
        <f>AND(#REF!,"AAAAAG/ufz4=")</f>
        <v>#REF!</v>
      </c>
      <c r="BL46" t="e">
        <f>AND(#REF!,"AAAAAG/ufz8=")</f>
        <v>#REF!</v>
      </c>
      <c r="BM46" t="e">
        <f>AND(#REF!,"AAAAAG/uf0A=")</f>
        <v>#REF!</v>
      </c>
      <c r="BN46" t="e">
        <f>AND(#REF!,"AAAAAG/uf0E=")</f>
        <v>#REF!</v>
      </c>
      <c r="BO46" t="e">
        <f>AND(#REF!,"AAAAAG/uf0I=")</f>
        <v>#REF!</v>
      </c>
      <c r="BP46" t="e">
        <f>AND(#REF!,"AAAAAG/uf0M=")</f>
        <v>#REF!</v>
      </c>
      <c r="BQ46" t="e">
        <f>AND(#REF!,"AAAAAG/uf0Q=")</f>
        <v>#REF!</v>
      </c>
      <c r="BR46" t="e">
        <f>AND(#REF!,"AAAAAG/uf0U=")</f>
        <v>#REF!</v>
      </c>
      <c r="BS46" t="e">
        <f>AND(#REF!,"AAAAAG/uf0Y=")</f>
        <v>#REF!</v>
      </c>
      <c r="BT46" t="e">
        <f>AND(#REF!,"AAAAAG/uf0c=")</f>
        <v>#REF!</v>
      </c>
      <c r="BU46" t="e">
        <f>AND(#REF!,"AAAAAG/uf0g=")</f>
        <v>#REF!</v>
      </c>
      <c r="BV46" t="e">
        <f>AND(#REF!,"AAAAAG/uf0k=")</f>
        <v>#REF!</v>
      </c>
      <c r="BW46" t="e">
        <f>AND(#REF!,"AAAAAG/uf0o=")</f>
        <v>#REF!</v>
      </c>
      <c r="BX46" t="e">
        <f>AND(#REF!,"AAAAAG/uf0s=")</f>
        <v>#REF!</v>
      </c>
      <c r="BY46" t="e">
        <f>AND(#REF!,"AAAAAG/uf0w=")</f>
        <v>#REF!</v>
      </c>
      <c r="BZ46" t="e">
        <f>AND(#REF!,"AAAAAG/uf00=")</f>
        <v>#REF!</v>
      </c>
      <c r="CA46" t="e">
        <f>AND(#REF!,"AAAAAG/uf04=")</f>
        <v>#REF!</v>
      </c>
      <c r="CB46" t="e">
        <f>AND(#REF!,"AAAAAG/uf08=")</f>
        <v>#REF!</v>
      </c>
      <c r="CC46" t="e">
        <f>AND(#REF!,"AAAAAG/uf1A=")</f>
        <v>#REF!</v>
      </c>
      <c r="CD46" t="e">
        <f>AND(#REF!,"AAAAAG/uf1E=")</f>
        <v>#REF!</v>
      </c>
      <c r="CE46" t="e">
        <f>AND(#REF!,"AAAAAG/uf1I=")</f>
        <v>#REF!</v>
      </c>
      <c r="CF46" t="e">
        <f>AND(#REF!,"AAAAAG/uf1M=")</f>
        <v>#REF!</v>
      </c>
      <c r="CG46" t="e">
        <f>AND(#REF!,"AAAAAG/uf1Q=")</f>
        <v>#REF!</v>
      </c>
      <c r="CH46" t="e">
        <f>AND(#REF!,"AAAAAG/uf1U=")</f>
        <v>#REF!</v>
      </c>
      <c r="CI46" t="e">
        <f>AND(#REF!,"AAAAAG/uf1Y=")</f>
        <v>#REF!</v>
      </c>
      <c r="CJ46" t="e">
        <f>AND(#REF!,"AAAAAG/uf1c=")</f>
        <v>#REF!</v>
      </c>
      <c r="CK46" t="e">
        <f>AND(#REF!,"AAAAAG/uf1g=")</f>
        <v>#REF!</v>
      </c>
      <c r="CL46" t="e">
        <f>AND(#REF!,"AAAAAG/uf1k=")</f>
        <v>#REF!</v>
      </c>
      <c r="CM46" t="e">
        <f>AND(#REF!,"AAAAAG/uf1o=")</f>
        <v>#REF!</v>
      </c>
      <c r="CN46" t="e">
        <f>AND(#REF!,"AAAAAG/uf1s=")</f>
        <v>#REF!</v>
      </c>
      <c r="CO46" t="e">
        <f>AND(#REF!,"AAAAAG/uf1w=")</f>
        <v>#REF!</v>
      </c>
      <c r="CP46" t="e">
        <f>AND(#REF!,"AAAAAG/uf10=")</f>
        <v>#REF!</v>
      </c>
      <c r="CQ46" t="e">
        <f>AND(#REF!,"AAAAAG/uf14=")</f>
        <v>#REF!</v>
      </c>
      <c r="CR46" t="e">
        <f>AND(#REF!,"AAAAAG/uf18=")</f>
        <v>#REF!</v>
      </c>
      <c r="CS46" t="e">
        <f>AND(#REF!,"AAAAAG/uf2A=")</f>
        <v>#REF!</v>
      </c>
      <c r="CT46" t="e">
        <f>AND(#REF!,"AAAAAG/uf2E=")</f>
        <v>#REF!</v>
      </c>
      <c r="CU46" t="e">
        <f>AND(#REF!,"AAAAAG/uf2I=")</f>
        <v>#REF!</v>
      </c>
      <c r="CV46" t="e">
        <f>AND(#REF!,"AAAAAG/uf2M=")</f>
        <v>#REF!</v>
      </c>
      <c r="CW46" t="e">
        <f>AND(#REF!,"AAAAAG/uf2Q=")</f>
        <v>#REF!</v>
      </c>
      <c r="CX46" t="e">
        <f>AND(#REF!,"AAAAAG/uf2U=")</f>
        <v>#REF!</v>
      </c>
      <c r="CY46" t="e">
        <f>AND(#REF!,"AAAAAG/uf2Y=")</f>
        <v>#REF!</v>
      </c>
      <c r="CZ46" t="e">
        <f>AND(#REF!,"AAAAAG/uf2c=")</f>
        <v>#REF!</v>
      </c>
      <c r="DA46" t="e">
        <f>AND(#REF!,"AAAAAG/uf2g=")</f>
        <v>#REF!</v>
      </c>
      <c r="DB46" t="e">
        <f>AND(#REF!,"AAAAAG/uf2k=")</f>
        <v>#REF!</v>
      </c>
      <c r="DC46" t="e">
        <f>AND(#REF!,"AAAAAG/uf2o=")</f>
        <v>#REF!</v>
      </c>
      <c r="DD46" t="e">
        <f>AND(#REF!,"AAAAAG/uf2s=")</f>
        <v>#REF!</v>
      </c>
      <c r="DE46" t="e">
        <f>AND(#REF!,"AAAAAG/uf2w=")</f>
        <v>#REF!</v>
      </c>
      <c r="DF46" t="e">
        <f>AND(#REF!,"AAAAAG/uf20=")</f>
        <v>#REF!</v>
      </c>
      <c r="DG46" t="e">
        <f>AND(#REF!,"AAAAAG/uf24=")</f>
        <v>#REF!</v>
      </c>
      <c r="DH46" t="e">
        <f>AND(#REF!,"AAAAAG/uf28=")</f>
        <v>#REF!</v>
      </c>
      <c r="DI46" t="e">
        <f>AND(#REF!,"AAAAAG/uf3A=")</f>
        <v>#REF!</v>
      </c>
      <c r="DJ46" t="e">
        <f>AND(#REF!,"AAAAAG/uf3E=")</f>
        <v>#REF!</v>
      </c>
      <c r="DK46" t="e">
        <f>AND(#REF!,"AAAAAG/uf3I=")</f>
        <v>#REF!</v>
      </c>
      <c r="DL46" t="e">
        <f>AND(#REF!,"AAAAAG/uf3M=")</f>
        <v>#REF!</v>
      </c>
      <c r="DM46" t="e">
        <f>AND(#REF!,"AAAAAG/uf3Q=")</f>
        <v>#REF!</v>
      </c>
      <c r="DN46" t="e">
        <f>AND(#REF!,"AAAAAG/uf3U=")</f>
        <v>#REF!</v>
      </c>
      <c r="DO46" t="e">
        <f>AND(#REF!,"AAAAAG/uf3Y=")</f>
        <v>#REF!</v>
      </c>
      <c r="DP46" t="e">
        <f>AND(#REF!,"AAAAAG/uf3c=")</f>
        <v>#REF!</v>
      </c>
      <c r="DQ46" t="e">
        <f>AND(#REF!,"AAAAAG/uf3g=")</f>
        <v>#REF!</v>
      </c>
      <c r="DR46" t="e">
        <f>AND(#REF!,"AAAAAG/uf3k=")</f>
        <v>#REF!</v>
      </c>
      <c r="DS46" t="e">
        <f>AND(#REF!,"AAAAAG/uf3o=")</f>
        <v>#REF!</v>
      </c>
      <c r="DT46" t="e">
        <f>AND(#REF!,"AAAAAG/uf3s=")</f>
        <v>#REF!</v>
      </c>
      <c r="DU46" t="e">
        <f>AND(#REF!,"AAAAAG/uf3w=")</f>
        <v>#REF!</v>
      </c>
      <c r="DV46" t="e">
        <f>AND(#REF!,"AAAAAG/uf30=")</f>
        <v>#REF!</v>
      </c>
      <c r="DW46" t="e">
        <f>AND(#REF!,"AAAAAG/uf34=")</f>
        <v>#REF!</v>
      </c>
      <c r="DX46" t="e">
        <f>AND(#REF!,"AAAAAG/uf38=")</f>
        <v>#REF!</v>
      </c>
      <c r="DY46" t="e">
        <f>AND(#REF!,"AAAAAG/uf4A=")</f>
        <v>#REF!</v>
      </c>
      <c r="DZ46" t="e">
        <f>AND(#REF!,"AAAAAG/uf4E=")</f>
        <v>#REF!</v>
      </c>
      <c r="EA46" t="e">
        <f>AND(#REF!,"AAAAAG/uf4I=")</f>
        <v>#REF!</v>
      </c>
      <c r="EB46" t="e">
        <f>AND(#REF!,"AAAAAG/uf4M=")</f>
        <v>#REF!</v>
      </c>
      <c r="EC46" t="e">
        <f>AND(#REF!,"AAAAAG/uf4Q=")</f>
        <v>#REF!</v>
      </c>
      <c r="ED46" t="e">
        <f>AND(#REF!,"AAAAAG/uf4U=")</f>
        <v>#REF!</v>
      </c>
      <c r="EE46" t="e">
        <f>AND(#REF!,"AAAAAG/uf4Y=")</f>
        <v>#REF!</v>
      </c>
      <c r="EF46" t="e">
        <f>AND(#REF!,"AAAAAG/uf4c=")</f>
        <v>#REF!</v>
      </c>
      <c r="EG46" t="e">
        <f>AND(#REF!,"AAAAAG/uf4g=")</f>
        <v>#REF!</v>
      </c>
      <c r="EH46" t="e">
        <f>AND(#REF!,"AAAAAG/uf4k=")</f>
        <v>#REF!</v>
      </c>
      <c r="EI46" t="e">
        <f>AND(#REF!,"AAAAAG/uf4o=")</f>
        <v>#REF!</v>
      </c>
      <c r="EJ46" t="e">
        <f>AND(#REF!,"AAAAAG/uf4s=")</f>
        <v>#REF!</v>
      </c>
      <c r="EK46" t="e">
        <f>AND(#REF!,"AAAAAG/uf4w=")</f>
        <v>#REF!</v>
      </c>
      <c r="EL46" t="e">
        <f>AND(#REF!,"AAAAAG/uf40=")</f>
        <v>#REF!</v>
      </c>
      <c r="EM46" t="e">
        <f>AND(#REF!,"AAAAAG/uf44=")</f>
        <v>#REF!</v>
      </c>
      <c r="EN46" t="e">
        <f>AND(#REF!,"AAAAAG/uf48=")</f>
        <v>#REF!</v>
      </c>
      <c r="EO46" t="e">
        <f>AND(#REF!,"AAAAAG/uf5A=")</f>
        <v>#REF!</v>
      </c>
      <c r="EP46" t="e">
        <f>AND(#REF!,"AAAAAG/uf5E=")</f>
        <v>#REF!</v>
      </c>
      <c r="EQ46" t="e">
        <f>AND(#REF!,"AAAAAG/uf5I=")</f>
        <v>#REF!</v>
      </c>
      <c r="ER46" t="e">
        <f>AND(#REF!,"AAAAAG/uf5M=")</f>
        <v>#REF!</v>
      </c>
      <c r="ES46" t="e">
        <f>AND(#REF!,"AAAAAG/uf5Q=")</f>
        <v>#REF!</v>
      </c>
      <c r="ET46" t="e">
        <f>AND(#REF!,"AAAAAG/uf5U=")</f>
        <v>#REF!</v>
      </c>
      <c r="EU46" t="e">
        <f>AND(#REF!,"AAAAAG/uf5Y=")</f>
        <v>#REF!</v>
      </c>
      <c r="EV46" t="e">
        <f>AND(#REF!,"AAAAAG/uf5c=")</f>
        <v>#REF!</v>
      </c>
      <c r="EW46" t="e">
        <f>AND(#REF!,"AAAAAG/uf5g=")</f>
        <v>#REF!</v>
      </c>
      <c r="EX46" t="e">
        <f>AND(#REF!,"AAAAAG/uf5k=")</f>
        <v>#REF!</v>
      </c>
      <c r="EY46" t="e">
        <f>AND(#REF!,"AAAAAG/uf5o=")</f>
        <v>#REF!</v>
      </c>
      <c r="EZ46" t="e">
        <f>AND(#REF!,"AAAAAG/uf5s=")</f>
        <v>#REF!</v>
      </c>
      <c r="FA46" t="e">
        <f>AND(#REF!,"AAAAAG/uf5w=")</f>
        <v>#REF!</v>
      </c>
      <c r="FB46" t="e">
        <f>AND(#REF!,"AAAAAG/uf50=")</f>
        <v>#REF!</v>
      </c>
      <c r="FC46" t="e">
        <f>AND(#REF!,"AAAAAG/uf54=")</f>
        <v>#REF!</v>
      </c>
      <c r="FD46" t="e">
        <f>AND(#REF!,"AAAAAG/uf58=")</f>
        <v>#REF!</v>
      </c>
      <c r="FE46" t="e">
        <f>AND(#REF!,"AAAAAG/uf6A=")</f>
        <v>#REF!</v>
      </c>
      <c r="FF46" t="e">
        <f>AND(#REF!,"AAAAAG/uf6E=")</f>
        <v>#REF!</v>
      </c>
      <c r="FG46" t="e">
        <f>AND(#REF!,"AAAAAG/uf6I=")</f>
        <v>#REF!</v>
      </c>
      <c r="FH46" t="e">
        <f>AND(#REF!,"AAAAAG/uf6M=")</f>
        <v>#REF!</v>
      </c>
      <c r="FI46" t="e">
        <f>IF(#REF!,"AAAAAG/uf6Q=",0)</f>
        <v>#REF!</v>
      </c>
      <c r="FJ46" t="e">
        <f>AND(#REF!,"AAAAAG/uf6U=")</f>
        <v>#REF!</v>
      </c>
      <c r="FK46" t="e">
        <f>AND(#REF!,"AAAAAG/uf6Y=")</f>
        <v>#REF!</v>
      </c>
      <c r="FL46" t="e">
        <f>AND(#REF!,"AAAAAG/uf6c=")</f>
        <v>#REF!</v>
      </c>
      <c r="FM46" t="e">
        <f>AND(#REF!,"AAAAAG/uf6g=")</f>
        <v>#REF!</v>
      </c>
      <c r="FN46" t="e">
        <f>AND(#REF!,"AAAAAG/uf6k=")</f>
        <v>#REF!</v>
      </c>
      <c r="FO46" t="e">
        <f>AND(#REF!,"AAAAAG/uf6o=")</f>
        <v>#REF!</v>
      </c>
      <c r="FP46" t="e">
        <f>AND(#REF!,"AAAAAG/uf6s=")</f>
        <v>#REF!</v>
      </c>
      <c r="FQ46" t="e">
        <f>AND(#REF!,"AAAAAG/uf6w=")</f>
        <v>#REF!</v>
      </c>
      <c r="FR46" t="e">
        <f>AND(#REF!,"AAAAAG/uf60=")</f>
        <v>#REF!</v>
      </c>
      <c r="FS46" t="e">
        <f>AND(#REF!,"AAAAAG/uf64=")</f>
        <v>#REF!</v>
      </c>
      <c r="FT46" t="e">
        <f>AND(#REF!,"AAAAAG/uf68=")</f>
        <v>#REF!</v>
      </c>
      <c r="FU46" t="e">
        <f>AND(#REF!,"AAAAAG/uf7A=")</f>
        <v>#REF!</v>
      </c>
      <c r="FV46" t="e">
        <f>AND(#REF!,"AAAAAG/uf7E=")</f>
        <v>#REF!</v>
      </c>
      <c r="FW46" t="e">
        <f>AND(#REF!,"AAAAAG/uf7I=")</f>
        <v>#REF!</v>
      </c>
      <c r="FX46" t="e">
        <f>AND(#REF!,"AAAAAG/uf7M=")</f>
        <v>#REF!</v>
      </c>
      <c r="FY46" t="e">
        <f>AND(#REF!,"AAAAAG/uf7Q=")</f>
        <v>#REF!</v>
      </c>
      <c r="FZ46" t="e">
        <f>AND(#REF!,"AAAAAG/uf7U=")</f>
        <v>#REF!</v>
      </c>
      <c r="GA46" t="e">
        <f>AND(#REF!,"AAAAAG/uf7Y=")</f>
        <v>#REF!</v>
      </c>
      <c r="GB46" t="e">
        <f>AND(#REF!,"AAAAAG/uf7c=")</f>
        <v>#REF!</v>
      </c>
      <c r="GC46" t="e">
        <f>AND(#REF!,"AAAAAG/uf7g=")</f>
        <v>#REF!</v>
      </c>
      <c r="GD46" t="e">
        <f>AND(#REF!,"AAAAAG/uf7k=")</f>
        <v>#REF!</v>
      </c>
      <c r="GE46" t="e">
        <f>AND(#REF!,"AAAAAG/uf7o=")</f>
        <v>#REF!</v>
      </c>
      <c r="GF46" t="e">
        <f>AND(#REF!,"AAAAAG/uf7s=")</f>
        <v>#REF!</v>
      </c>
      <c r="GG46" t="e">
        <f>AND(#REF!,"AAAAAG/uf7w=")</f>
        <v>#REF!</v>
      </c>
      <c r="GH46" t="e">
        <f>AND(#REF!,"AAAAAG/uf70=")</f>
        <v>#REF!</v>
      </c>
      <c r="GI46" t="e">
        <f>AND(#REF!,"AAAAAG/uf74=")</f>
        <v>#REF!</v>
      </c>
      <c r="GJ46" t="e">
        <f>AND(#REF!,"AAAAAG/uf78=")</f>
        <v>#REF!</v>
      </c>
      <c r="GK46" t="e">
        <f>AND(#REF!,"AAAAAG/uf8A=")</f>
        <v>#REF!</v>
      </c>
      <c r="GL46" t="e">
        <f>AND(#REF!,"AAAAAG/uf8E=")</f>
        <v>#REF!</v>
      </c>
      <c r="GM46" t="e">
        <f>AND(#REF!,"AAAAAG/uf8I=")</f>
        <v>#REF!</v>
      </c>
      <c r="GN46" t="e">
        <f>AND(#REF!,"AAAAAG/uf8M=")</f>
        <v>#REF!</v>
      </c>
      <c r="GO46" t="e">
        <f>AND(#REF!,"AAAAAG/uf8Q=")</f>
        <v>#REF!</v>
      </c>
      <c r="GP46" t="e">
        <f>AND(#REF!,"AAAAAG/uf8U=")</f>
        <v>#REF!</v>
      </c>
      <c r="GQ46" t="e">
        <f>AND(#REF!,"AAAAAG/uf8Y=")</f>
        <v>#REF!</v>
      </c>
      <c r="GR46" t="e">
        <f>AND(#REF!,"AAAAAG/uf8c=")</f>
        <v>#REF!</v>
      </c>
      <c r="GS46" t="e">
        <f>AND(#REF!,"AAAAAG/uf8g=")</f>
        <v>#REF!</v>
      </c>
      <c r="GT46" t="e">
        <f>AND(#REF!,"AAAAAG/uf8k=")</f>
        <v>#REF!</v>
      </c>
      <c r="GU46" t="e">
        <f>AND(#REF!,"AAAAAG/uf8o=")</f>
        <v>#REF!</v>
      </c>
      <c r="GV46" t="e">
        <f>AND(#REF!,"AAAAAG/uf8s=")</f>
        <v>#REF!</v>
      </c>
      <c r="GW46" t="e">
        <f>AND(#REF!,"AAAAAG/uf8w=")</f>
        <v>#REF!</v>
      </c>
      <c r="GX46" t="e">
        <f>AND(#REF!,"AAAAAG/uf80=")</f>
        <v>#REF!</v>
      </c>
      <c r="GY46" t="e">
        <f>AND(#REF!,"AAAAAG/uf84=")</f>
        <v>#REF!</v>
      </c>
      <c r="GZ46" t="e">
        <f>AND(#REF!,"AAAAAG/uf88=")</f>
        <v>#REF!</v>
      </c>
      <c r="HA46" t="e">
        <f>AND(#REF!,"AAAAAG/uf9A=")</f>
        <v>#REF!</v>
      </c>
      <c r="HB46" t="e">
        <f>AND(#REF!,"AAAAAG/uf9E=")</f>
        <v>#REF!</v>
      </c>
      <c r="HC46" t="e">
        <f>AND(#REF!,"AAAAAG/uf9I=")</f>
        <v>#REF!</v>
      </c>
      <c r="HD46" t="e">
        <f>AND(#REF!,"AAAAAG/uf9M=")</f>
        <v>#REF!</v>
      </c>
      <c r="HE46" t="e">
        <f>AND(#REF!,"AAAAAG/uf9Q=")</f>
        <v>#REF!</v>
      </c>
      <c r="HF46" t="e">
        <f>AND(#REF!,"AAAAAG/uf9U=")</f>
        <v>#REF!</v>
      </c>
      <c r="HG46" t="e">
        <f>AND(#REF!,"AAAAAG/uf9Y=")</f>
        <v>#REF!</v>
      </c>
      <c r="HH46" t="e">
        <f>AND(#REF!,"AAAAAG/uf9c=")</f>
        <v>#REF!</v>
      </c>
      <c r="HI46" t="e">
        <f>AND(#REF!,"AAAAAG/uf9g=")</f>
        <v>#REF!</v>
      </c>
      <c r="HJ46" t="e">
        <f>AND(#REF!,"AAAAAG/uf9k=")</f>
        <v>#REF!</v>
      </c>
      <c r="HK46" t="e">
        <f>AND(#REF!,"AAAAAG/uf9o=")</f>
        <v>#REF!</v>
      </c>
      <c r="HL46" t="e">
        <f>AND(#REF!,"AAAAAG/uf9s=")</f>
        <v>#REF!</v>
      </c>
      <c r="HM46" t="e">
        <f>AND(#REF!,"AAAAAG/uf9w=")</f>
        <v>#REF!</v>
      </c>
      <c r="HN46" t="e">
        <f>AND(#REF!,"AAAAAG/uf90=")</f>
        <v>#REF!</v>
      </c>
      <c r="HO46" t="e">
        <f>AND(#REF!,"AAAAAG/uf94=")</f>
        <v>#REF!</v>
      </c>
      <c r="HP46" t="e">
        <f>AND(#REF!,"AAAAAG/uf98=")</f>
        <v>#REF!</v>
      </c>
      <c r="HQ46" t="e">
        <f>AND(#REF!,"AAAAAG/uf+A=")</f>
        <v>#REF!</v>
      </c>
      <c r="HR46" t="e">
        <f>AND(#REF!,"AAAAAG/uf+E=")</f>
        <v>#REF!</v>
      </c>
      <c r="HS46" t="e">
        <f>AND(#REF!,"AAAAAG/uf+I=")</f>
        <v>#REF!</v>
      </c>
      <c r="HT46" t="e">
        <f>AND(#REF!,"AAAAAG/uf+M=")</f>
        <v>#REF!</v>
      </c>
      <c r="HU46" t="e">
        <f>AND(#REF!,"AAAAAG/uf+Q=")</f>
        <v>#REF!</v>
      </c>
      <c r="HV46" t="e">
        <f>AND(#REF!,"AAAAAG/uf+U=")</f>
        <v>#REF!</v>
      </c>
      <c r="HW46" t="e">
        <f>AND(#REF!,"AAAAAG/uf+Y=")</f>
        <v>#REF!</v>
      </c>
      <c r="HX46" t="e">
        <f>AND(#REF!,"AAAAAG/uf+c=")</f>
        <v>#REF!</v>
      </c>
      <c r="HY46" t="e">
        <f>AND(#REF!,"AAAAAG/uf+g=")</f>
        <v>#REF!</v>
      </c>
      <c r="HZ46" t="e">
        <f>AND(#REF!,"AAAAAG/uf+k=")</f>
        <v>#REF!</v>
      </c>
      <c r="IA46" t="e">
        <f>AND(#REF!,"AAAAAG/uf+o=")</f>
        <v>#REF!</v>
      </c>
      <c r="IB46" t="e">
        <f>AND(#REF!,"AAAAAG/uf+s=")</f>
        <v>#REF!</v>
      </c>
      <c r="IC46" t="e">
        <f>AND(#REF!,"AAAAAG/uf+w=")</f>
        <v>#REF!</v>
      </c>
      <c r="ID46" t="e">
        <f>AND(#REF!,"AAAAAG/uf+0=")</f>
        <v>#REF!</v>
      </c>
      <c r="IE46" t="e">
        <f>AND(#REF!,"AAAAAG/uf+4=")</f>
        <v>#REF!</v>
      </c>
      <c r="IF46" t="e">
        <f>AND(#REF!,"AAAAAG/uf+8=")</f>
        <v>#REF!</v>
      </c>
      <c r="IG46" t="e">
        <f>AND(#REF!,"AAAAAG/uf/A=")</f>
        <v>#REF!</v>
      </c>
      <c r="IH46" t="e">
        <f>AND(#REF!,"AAAAAG/uf/E=")</f>
        <v>#REF!</v>
      </c>
      <c r="II46" t="e">
        <f>AND(#REF!,"AAAAAG/uf/I=")</f>
        <v>#REF!</v>
      </c>
      <c r="IJ46" t="e">
        <f>AND(#REF!,"AAAAAG/uf/M=")</f>
        <v>#REF!</v>
      </c>
      <c r="IK46" t="e">
        <f>AND(#REF!,"AAAAAG/uf/Q=")</f>
        <v>#REF!</v>
      </c>
      <c r="IL46" t="e">
        <f>AND(#REF!,"AAAAAG/uf/U=")</f>
        <v>#REF!</v>
      </c>
      <c r="IM46" t="e">
        <f>AND(#REF!,"AAAAAG/uf/Y=")</f>
        <v>#REF!</v>
      </c>
      <c r="IN46" t="e">
        <f>AND(#REF!,"AAAAAG/uf/c=")</f>
        <v>#REF!</v>
      </c>
      <c r="IO46" t="e">
        <f>AND(#REF!,"AAAAAG/uf/g=")</f>
        <v>#REF!</v>
      </c>
      <c r="IP46" t="e">
        <f>AND(#REF!,"AAAAAG/uf/k=")</f>
        <v>#REF!</v>
      </c>
      <c r="IQ46" t="e">
        <f>AND(#REF!,"AAAAAG/uf/o=")</f>
        <v>#REF!</v>
      </c>
      <c r="IR46" t="e">
        <f>AND(#REF!,"AAAAAG/uf/s=")</f>
        <v>#REF!</v>
      </c>
      <c r="IS46" t="e">
        <f>AND(#REF!,"AAAAAG/uf/w=")</f>
        <v>#REF!</v>
      </c>
      <c r="IT46" t="e">
        <f>AND(#REF!,"AAAAAG/uf/0=")</f>
        <v>#REF!</v>
      </c>
      <c r="IU46" t="e">
        <f>AND(#REF!,"AAAAAG/uf/4=")</f>
        <v>#REF!</v>
      </c>
      <c r="IV46" t="e">
        <f>AND(#REF!,"AAAAAG/uf/8=")</f>
        <v>#REF!</v>
      </c>
    </row>
    <row r="47" spans="1:256" x14ac:dyDescent="0.25">
      <c r="A47" t="e">
        <f>AND(#REF!,"AAAAADv72QA=")</f>
        <v>#REF!</v>
      </c>
      <c r="B47" t="e">
        <f>AND(#REF!,"AAAAADv72QE=")</f>
        <v>#REF!</v>
      </c>
      <c r="C47" t="e">
        <f>AND(#REF!,"AAAAADv72QI=")</f>
        <v>#REF!</v>
      </c>
      <c r="D47" t="e">
        <f>AND(#REF!,"AAAAADv72QM=")</f>
        <v>#REF!</v>
      </c>
      <c r="E47" t="e">
        <f>AND(#REF!,"AAAAADv72QQ=")</f>
        <v>#REF!</v>
      </c>
      <c r="F47" t="e">
        <f>AND(#REF!,"AAAAADv72QU=")</f>
        <v>#REF!</v>
      </c>
      <c r="G47" t="e">
        <f>AND(#REF!,"AAAAADv72QY=")</f>
        <v>#REF!</v>
      </c>
      <c r="H47" t="e">
        <f>AND(#REF!,"AAAAADv72Qc=")</f>
        <v>#REF!</v>
      </c>
      <c r="I47" t="e">
        <f>AND(#REF!,"AAAAADv72Qg=")</f>
        <v>#REF!</v>
      </c>
      <c r="J47" t="e">
        <f>AND(#REF!,"AAAAADv72Qk=")</f>
        <v>#REF!</v>
      </c>
      <c r="K47" t="e">
        <f>AND(#REF!,"AAAAADv72Qo=")</f>
        <v>#REF!</v>
      </c>
      <c r="L47" t="e">
        <f>AND(#REF!,"AAAAADv72Qs=")</f>
        <v>#REF!</v>
      </c>
      <c r="M47" t="e">
        <f>AND(#REF!,"AAAAADv72Qw=")</f>
        <v>#REF!</v>
      </c>
      <c r="N47" t="e">
        <f>AND(#REF!,"AAAAADv72Q0=")</f>
        <v>#REF!</v>
      </c>
      <c r="O47" t="e">
        <f>AND(#REF!,"AAAAADv72Q4=")</f>
        <v>#REF!</v>
      </c>
      <c r="P47" t="e">
        <f>AND(#REF!,"AAAAADv72Q8=")</f>
        <v>#REF!</v>
      </c>
      <c r="Q47" t="e">
        <f>AND(#REF!,"AAAAADv72RA=")</f>
        <v>#REF!</v>
      </c>
      <c r="R47" t="e">
        <f>AND(#REF!,"AAAAADv72RE=")</f>
        <v>#REF!</v>
      </c>
      <c r="S47" t="e">
        <f>AND(#REF!,"AAAAADv72RI=")</f>
        <v>#REF!</v>
      </c>
      <c r="T47" t="e">
        <f>AND(#REF!,"AAAAADv72RM=")</f>
        <v>#REF!</v>
      </c>
      <c r="U47" t="e">
        <f>AND(#REF!,"AAAAADv72RQ=")</f>
        <v>#REF!</v>
      </c>
      <c r="V47" t="e">
        <f>AND(#REF!,"AAAAADv72RU=")</f>
        <v>#REF!</v>
      </c>
      <c r="W47" t="e">
        <f>AND(#REF!,"AAAAADv72RY=")</f>
        <v>#REF!</v>
      </c>
      <c r="X47" t="e">
        <f>AND(#REF!,"AAAAADv72Rc=")</f>
        <v>#REF!</v>
      </c>
      <c r="Y47" t="e">
        <f>AND(#REF!,"AAAAADv72Rg=")</f>
        <v>#REF!</v>
      </c>
      <c r="Z47" t="e">
        <f>AND(#REF!,"AAAAADv72Rk=")</f>
        <v>#REF!</v>
      </c>
      <c r="AA47" t="e">
        <f>AND(#REF!,"AAAAADv72Ro=")</f>
        <v>#REF!</v>
      </c>
      <c r="AB47" t="e">
        <f>AND(#REF!,"AAAAADv72Rs=")</f>
        <v>#REF!</v>
      </c>
      <c r="AC47" t="e">
        <f>AND(#REF!,"AAAAADv72Rw=")</f>
        <v>#REF!</v>
      </c>
      <c r="AD47" t="e">
        <f>AND(#REF!,"AAAAADv72R0=")</f>
        <v>#REF!</v>
      </c>
      <c r="AE47" t="e">
        <f>AND(#REF!,"AAAAADv72R4=")</f>
        <v>#REF!</v>
      </c>
      <c r="AF47" t="e">
        <f>AND(#REF!,"AAAAADv72R8=")</f>
        <v>#REF!</v>
      </c>
      <c r="AG47" t="e">
        <f>AND(#REF!,"AAAAADv72SA=")</f>
        <v>#REF!</v>
      </c>
      <c r="AH47" t="e">
        <f>AND(#REF!,"AAAAADv72SE=")</f>
        <v>#REF!</v>
      </c>
      <c r="AI47" t="e">
        <f>AND(#REF!,"AAAAADv72SI=")</f>
        <v>#REF!</v>
      </c>
      <c r="AJ47" t="e">
        <f>AND(#REF!,"AAAAADv72SM=")</f>
        <v>#REF!</v>
      </c>
      <c r="AK47" t="e">
        <f>AND(#REF!,"AAAAADv72SQ=")</f>
        <v>#REF!</v>
      </c>
      <c r="AL47" t="e">
        <f>AND(#REF!,"AAAAADv72SU=")</f>
        <v>#REF!</v>
      </c>
      <c r="AM47" t="e">
        <f>AND(#REF!,"AAAAADv72SY=")</f>
        <v>#REF!</v>
      </c>
      <c r="AN47" t="e">
        <f>AND(#REF!,"AAAAADv72Sc=")</f>
        <v>#REF!</v>
      </c>
      <c r="AO47" t="e">
        <f>AND(#REF!,"AAAAADv72Sg=")</f>
        <v>#REF!</v>
      </c>
      <c r="AP47" t="e">
        <f>AND(#REF!,"AAAAADv72Sk=")</f>
        <v>#REF!</v>
      </c>
      <c r="AQ47" t="e">
        <f>AND(#REF!,"AAAAADv72So=")</f>
        <v>#REF!</v>
      </c>
      <c r="AR47" t="e">
        <f>AND(#REF!,"AAAAADv72Ss=")</f>
        <v>#REF!</v>
      </c>
      <c r="AS47" t="e">
        <f>AND(#REF!,"AAAAADv72Sw=")</f>
        <v>#REF!</v>
      </c>
      <c r="AT47" t="e">
        <f>AND(#REF!,"AAAAADv72S0=")</f>
        <v>#REF!</v>
      </c>
      <c r="AU47" t="e">
        <f>AND(#REF!,"AAAAADv72S4=")</f>
        <v>#REF!</v>
      </c>
      <c r="AV47" t="e">
        <f>AND(#REF!,"AAAAADv72S8=")</f>
        <v>#REF!</v>
      </c>
      <c r="AW47" t="e">
        <f>AND(#REF!,"AAAAADv72TA=")</f>
        <v>#REF!</v>
      </c>
      <c r="AX47" t="e">
        <f>AND(#REF!,"AAAAADv72TE=")</f>
        <v>#REF!</v>
      </c>
      <c r="AY47" t="e">
        <f>AND(#REF!,"AAAAADv72TI=")</f>
        <v>#REF!</v>
      </c>
      <c r="AZ47" t="e">
        <f>AND(#REF!,"AAAAADv72TM=")</f>
        <v>#REF!</v>
      </c>
      <c r="BA47" t="e">
        <f>AND(#REF!,"AAAAADv72TQ=")</f>
        <v>#REF!</v>
      </c>
      <c r="BB47" t="e">
        <f>AND(#REF!,"AAAAADv72TU=")</f>
        <v>#REF!</v>
      </c>
      <c r="BC47" t="e">
        <f>AND(#REF!,"AAAAADv72TY=")</f>
        <v>#REF!</v>
      </c>
      <c r="BD47" t="e">
        <f>AND(#REF!,"AAAAADv72Tc=")</f>
        <v>#REF!</v>
      </c>
      <c r="BE47" t="e">
        <f>AND(#REF!,"AAAAADv72Tg=")</f>
        <v>#REF!</v>
      </c>
      <c r="BF47" t="e">
        <f>AND(#REF!,"AAAAADv72Tk=")</f>
        <v>#REF!</v>
      </c>
      <c r="BG47" t="e">
        <f>AND(#REF!,"AAAAADv72To=")</f>
        <v>#REF!</v>
      </c>
      <c r="BH47" t="e">
        <f>AND(#REF!,"AAAAADv72Ts=")</f>
        <v>#REF!</v>
      </c>
      <c r="BI47" t="e">
        <f>AND(#REF!,"AAAAADv72Tw=")</f>
        <v>#REF!</v>
      </c>
      <c r="BJ47" t="e">
        <f>AND(#REF!,"AAAAADv72T0=")</f>
        <v>#REF!</v>
      </c>
      <c r="BK47" t="e">
        <f>AND(#REF!,"AAAAADv72T4=")</f>
        <v>#REF!</v>
      </c>
      <c r="BL47" t="e">
        <f>AND(#REF!,"AAAAADv72T8=")</f>
        <v>#REF!</v>
      </c>
      <c r="BM47" t="e">
        <f>AND(#REF!,"AAAAADv72UA=")</f>
        <v>#REF!</v>
      </c>
      <c r="BN47" t="e">
        <f>AND(#REF!,"AAAAADv72UE=")</f>
        <v>#REF!</v>
      </c>
      <c r="BO47" t="e">
        <f>AND(#REF!,"AAAAADv72UI=")</f>
        <v>#REF!</v>
      </c>
      <c r="BP47" t="e">
        <f>AND(#REF!,"AAAAADv72UM=")</f>
        <v>#REF!</v>
      </c>
      <c r="BQ47" t="e">
        <f>AND(#REF!,"AAAAADv72UQ=")</f>
        <v>#REF!</v>
      </c>
      <c r="BR47" t="e">
        <f>AND(#REF!,"AAAAADv72UU=")</f>
        <v>#REF!</v>
      </c>
      <c r="BS47" t="e">
        <f>AND(#REF!,"AAAAADv72UY=")</f>
        <v>#REF!</v>
      </c>
      <c r="BT47" t="e">
        <f>AND(#REF!,"AAAAADv72Uc=")</f>
        <v>#REF!</v>
      </c>
      <c r="BU47" t="e">
        <f>AND(#REF!,"AAAAADv72Ug=")</f>
        <v>#REF!</v>
      </c>
      <c r="BV47" t="e">
        <f>AND(#REF!,"AAAAADv72Uk=")</f>
        <v>#REF!</v>
      </c>
      <c r="BW47" t="e">
        <f>AND(#REF!,"AAAAADv72Uo=")</f>
        <v>#REF!</v>
      </c>
      <c r="BX47" t="e">
        <f>AND(#REF!,"AAAAADv72Us=")</f>
        <v>#REF!</v>
      </c>
      <c r="BY47" t="e">
        <f>AND(#REF!,"AAAAADv72Uw=")</f>
        <v>#REF!</v>
      </c>
      <c r="BZ47" t="e">
        <f>AND(#REF!,"AAAAADv72U0=")</f>
        <v>#REF!</v>
      </c>
      <c r="CA47" t="e">
        <f>AND(#REF!,"AAAAADv72U4=")</f>
        <v>#REF!</v>
      </c>
      <c r="CB47" t="e">
        <f>AND(#REF!,"AAAAADv72U8=")</f>
        <v>#REF!</v>
      </c>
      <c r="CC47" t="e">
        <f>AND(#REF!,"AAAAADv72VA=")</f>
        <v>#REF!</v>
      </c>
      <c r="CD47" t="e">
        <f>AND(#REF!,"AAAAADv72VE=")</f>
        <v>#REF!</v>
      </c>
      <c r="CE47" t="e">
        <f>AND(#REF!,"AAAAADv72VI=")</f>
        <v>#REF!</v>
      </c>
      <c r="CF47" t="e">
        <f>AND(#REF!,"AAAAADv72VM=")</f>
        <v>#REF!</v>
      </c>
      <c r="CG47" t="e">
        <f>AND(#REF!,"AAAAADv72VQ=")</f>
        <v>#REF!</v>
      </c>
      <c r="CH47" t="e">
        <f>AND(#REF!,"AAAAADv72VU=")</f>
        <v>#REF!</v>
      </c>
      <c r="CI47" t="e">
        <f>AND(#REF!,"AAAAADv72VY=")</f>
        <v>#REF!</v>
      </c>
      <c r="CJ47" t="e">
        <f>AND(#REF!,"AAAAADv72Vc=")</f>
        <v>#REF!</v>
      </c>
      <c r="CK47" t="e">
        <f>AND(#REF!,"AAAAADv72Vg=")</f>
        <v>#REF!</v>
      </c>
      <c r="CL47" t="e">
        <f>AND(#REF!,"AAAAADv72Vk=")</f>
        <v>#REF!</v>
      </c>
      <c r="CM47" t="e">
        <f>AND(#REF!,"AAAAADv72Vo=")</f>
        <v>#REF!</v>
      </c>
      <c r="CN47" t="e">
        <f>AND(#REF!,"AAAAADv72Vs=")</f>
        <v>#REF!</v>
      </c>
      <c r="CO47" t="e">
        <f>AND(#REF!,"AAAAADv72Vw=")</f>
        <v>#REF!</v>
      </c>
      <c r="CP47" t="e">
        <f>AND(#REF!,"AAAAADv72V0=")</f>
        <v>#REF!</v>
      </c>
      <c r="CQ47" t="e">
        <f>AND(#REF!,"AAAAADv72V4=")</f>
        <v>#REF!</v>
      </c>
      <c r="CR47" t="e">
        <f>AND(#REF!,"AAAAADv72V8=")</f>
        <v>#REF!</v>
      </c>
      <c r="CS47" t="e">
        <f>AND(#REF!,"AAAAADv72WA=")</f>
        <v>#REF!</v>
      </c>
      <c r="CT47" t="e">
        <f>IF(#REF!,"AAAAADv72WE=",0)</f>
        <v>#REF!</v>
      </c>
      <c r="CU47" t="e">
        <f>AND(#REF!,"AAAAADv72WI=")</f>
        <v>#REF!</v>
      </c>
      <c r="CV47" t="e">
        <f>AND(#REF!,"AAAAADv72WM=")</f>
        <v>#REF!</v>
      </c>
      <c r="CW47" t="e">
        <f>AND(#REF!,"AAAAADv72WQ=")</f>
        <v>#REF!</v>
      </c>
      <c r="CX47" t="e">
        <f>AND(#REF!,"AAAAADv72WU=")</f>
        <v>#REF!</v>
      </c>
      <c r="CY47" t="e">
        <f>AND(#REF!,"AAAAADv72WY=")</f>
        <v>#REF!</v>
      </c>
      <c r="CZ47" t="e">
        <f>AND(#REF!,"AAAAADv72Wc=")</f>
        <v>#REF!</v>
      </c>
      <c r="DA47" t="e">
        <f>AND(#REF!,"AAAAADv72Wg=")</f>
        <v>#REF!</v>
      </c>
      <c r="DB47" t="e">
        <f>AND(#REF!,"AAAAADv72Wk=")</f>
        <v>#REF!</v>
      </c>
      <c r="DC47" t="e">
        <f>AND(#REF!,"AAAAADv72Wo=")</f>
        <v>#REF!</v>
      </c>
      <c r="DD47" t="e">
        <f>AND(#REF!,"AAAAADv72Ws=")</f>
        <v>#REF!</v>
      </c>
      <c r="DE47" t="e">
        <f>AND(#REF!,"AAAAADv72Ww=")</f>
        <v>#REF!</v>
      </c>
      <c r="DF47" t="e">
        <f>AND(#REF!,"AAAAADv72W0=")</f>
        <v>#REF!</v>
      </c>
      <c r="DG47" t="e">
        <f>AND(#REF!,"AAAAADv72W4=")</f>
        <v>#REF!</v>
      </c>
      <c r="DH47" t="e">
        <f>AND(#REF!,"AAAAADv72W8=")</f>
        <v>#REF!</v>
      </c>
      <c r="DI47" t="e">
        <f>AND(#REF!,"AAAAADv72XA=")</f>
        <v>#REF!</v>
      </c>
      <c r="DJ47" t="e">
        <f>AND(#REF!,"AAAAADv72XE=")</f>
        <v>#REF!</v>
      </c>
      <c r="DK47" t="e">
        <f>AND(#REF!,"AAAAADv72XI=")</f>
        <v>#REF!</v>
      </c>
      <c r="DL47" t="e">
        <f>AND(#REF!,"AAAAADv72XM=")</f>
        <v>#REF!</v>
      </c>
      <c r="DM47" t="e">
        <f>AND(#REF!,"AAAAADv72XQ=")</f>
        <v>#REF!</v>
      </c>
      <c r="DN47" t="e">
        <f>AND(#REF!,"AAAAADv72XU=")</f>
        <v>#REF!</v>
      </c>
      <c r="DO47" t="e">
        <f>AND(#REF!,"AAAAADv72XY=")</f>
        <v>#REF!</v>
      </c>
      <c r="DP47" t="e">
        <f>AND(#REF!,"AAAAADv72Xc=")</f>
        <v>#REF!</v>
      </c>
      <c r="DQ47" t="e">
        <f>AND(#REF!,"AAAAADv72Xg=")</f>
        <v>#REF!</v>
      </c>
      <c r="DR47" t="e">
        <f>AND(#REF!,"AAAAADv72Xk=")</f>
        <v>#REF!</v>
      </c>
      <c r="DS47" t="e">
        <f>AND(#REF!,"AAAAADv72Xo=")</f>
        <v>#REF!</v>
      </c>
      <c r="DT47" t="e">
        <f>AND(#REF!,"AAAAADv72Xs=")</f>
        <v>#REF!</v>
      </c>
      <c r="DU47" t="e">
        <f>AND(#REF!,"AAAAADv72Xw=")</f>
        <v>#REF!</v>
      </c>
      <c r="DV47" t="e">
        <f>AND(#REF!,"AAAAADv72X0=")</f>
        <v>#REF!</v>
      </c>
      <c r="DW47" t="e">
        <f>AND(#REF!,"AAAAADv72X4=")</f>
        <v>#REF!</v>
      </c>
      <c r="DX47" t="e">
        <f>AND(#REF!,"AAAAADv72X8=")</f>
        <v>#REF!</v>
      </c>
      <c r="DY47" t="e">
        <f>AND(#REF!,"AAAAADv72YA=")</f>
        <v>#REF!</v>
      </c>
      <c r="DZ47" t="e">
        <f>AND(#REF!,"AAAAADv72YE=")</f>
        <v>#REF!</v>
      </c>
      <c r="EA47" t="e">
        <f>AND(#REF!,"AAAAADv72YI=")</f>
        <v>#REF!</v>
      </c>
      <c r="EB47" t="e">
        <f>AND(#REF!,"AAAAADv72YM=")</f>
        <v>#REF!</v>
      </c>
      <c r="EC47" t="e">
        <f>AND(#REF!,"AAAAADv72YQ=")</f>
        <v>#REF!</v>
      </c>
      <c r="ED47" t="e">
        <f>AND(#REF!,"AAAAADv72YU=")</f>
        <v>#REF!</v>
      </c>
      <c r="EE47" t="e">
        <f>AND(#REF!,"AAAAADv72YY=")</f>
        <v>#REF!</v>
      </c>
      <c r="EF47" t="e">
        <f>AND(#REF!,"AAAAADv72Yc=")</f>
        <v>#REF!</v>
      </c>
      <c r="EG47" t="e">
        <f>AND(#REF!,"AAAAADv72Yg=")</f>
        <v>#REF!</v>
      </c>
      <c r="EH47" t="e">
        <f>AND(#REF!,"AAAAADv72Yk=")</f>
        <v>#REF!</v>
      </c>
      <c r="EI47" t="e">
        <f>AND(#REF!,"AAAAADv72Yo=")</f>
        <v>#REF!</v>
      </c>
      <c r="EJ47" t="e">
        <f>AND(#REF!,"AAAAADv72Ys=")</f>
        <v>#REF!</v>
      </c>
      <c r="EK47" t="e">
        <f>AND(#REF!,"AAAAADv72Yw=")</f>
        <v>#REF!</v>
      </c>
      <c r="EL47" t="e">
        <f>AND(#REF!,"AAAAADv72Y0=")</f>
        <v>#REF!</v>
      </c>
      <c r="EM47" t="e">
        <f>AND(#REF!,"AAAAADv72Y4=")</f>
        <v>#REF!</v>
      </c>
      <c r="EN47" t="e">
        <f>AND(#REF!,"AAAAADv72Y8=")</f>
        <v>#REF!</v>
      </c>
      <c r="EO47" t="e">
        <f>AND(#REF!,"AAAAADv72ZA=")</f>
        <v>#REF!</v>
      </c>
      <c r="EP47" t="e">
        <f>AND(#REF!,"AAAAADv72ZE=")</f>
        <v>#REF!</v>
      </c>
      <c r="EQ47" t="e">
        <f>AND(#REF!,"AAAAADv72ZI=")</f>
        <v>#REF!</v>
      </c>
      <c r="ER47" t="e">
        <f>AND(#REF!,"AAAAADv72ZM=")</f>
        <v>#REF!</v>
      </c>
      <c r="ES47" t="e">
        <f>AND(#REF!,"AAAAADv72ZQ=")</f>
        <v>#REF!</v>
      </c>
      <c r="ET47" t="e">
        <f>AND(#REF!,"AAAAADv72ZU=")</f>
        <v>#REF!</v>
      </c>
      <c r="EU47" t="e">
        <f>AND(#REF!,"AAAAADv72ZY=")</f>
        <v>#REF!</v>
      </c>
      <c r="EV47" t="e">
        <f>AND(#REF!,"AAAAADv72Zc=")</f>
        <v>#REF!</v>
      </c>
      <c r="EW47" t="e">
        <f>AND(#REF!,"AAAAADv72Zg=")</f>
        <v>#REF!</v>
      </c>
      <c r="EX47" t="e">
        <f>AND(#REF!,"AAAAADv72Zk=")</f>
        <v>#REF!</v>
      </c>
      <c r="EY47" t="e">
        <f>AND(#REF!,"AAAAADv72Zo=")</f>
        <v>#REF!</v>
      </c>
      <c r="EZ47" t="e">
        <f>AND(#REF!,"AAAAADv72Zs=")</f>
        <v>#REF!</v>
      </c>
      <c r="FA47" t="e">
        <f>AND(#REF!,"AAAAADv72Zw=")</f>
        <v>#REF!</v>
      </c>
      <c r="FB47" t="e">
        <f>AND(#REF!,"AAAAADv72Z0=")</f>
        <v>#REF!</v>
      </c>
      <c r="FC47" t="e">
        <f>AND(#REF!,"AAAAADv72Z4=")</f>
        <v>#REF!</v>
      </c>
      <c r="FD47" t="e">
        <f>AND(#REF!,"AAAAADv72Z8=")</f>
        <v>#REF!</v>
      </c>
      <c r="FE47" t="e">
        <f>AND(#REF!,"AAAAADv72aA=")</f>
        <v>#REF!</v>
      </c>
      <c r="FF47" t="e">
        <f>AND(#REF!,"AAAAADv72aE=")</f>
        <v>#REF!</v>
      </c>
      <c r="FG47" t="e">
        <f>AND(#REF!,"AAAAADv72aI=")</f>
        <v>#REF!</v>
      </c>
      <c r="FH47" t="e">
        <f>AND(#REF!,"AAAAADv72aM=")</f>
        <v>#REF!</v>
      </c>
      <c r="FI47" t="e">
        <f>AND(#REF!,"AAAAADv72aQ=")</f>
        <v>#REF!</v>
      </c>
      <c r="FJ47" t="e">
        <f>AND(#REF!,"AAAAADv72aU=")</f>
        <v>#REF!</v>
      </c>
      <c r="FK47" t="e">
        <f>AND(#REF!,"AAAAADv72aY=")</f>
        <v>#REF!</v>
      </c>
      <c r="FL47" t="e">
        <f>AND(#REF!,"AAAAADv72ac=")</f>
        <v>#REF!</v>
      </c>
      <c r="FM47" t="e">
        <f>AND(#REF!,"AAAAADv72ag=")</f>
        <v>#REF!</v>
      </c>
      <c r="FN47" t="e">
        <f>AND(#REF!,"AAAAADv72ak=")</f>
        <v>#REF!</v>
      </c>
      <c r="FO47" t="e">
        <f>AND(#REF!,"AAAAADv72ao=")</f>
        <v>#REF!</v>
      </c>
      <c r="FP47" t="e">
        <f>AND(#REF!,"AAAAADv72as=")</f>
        <v>#REF!</v>
      </c>
      <c r="FQ47" t="e">
        <f>AND(#REF!,"AAAAADv72aw=")</f>
        <v>#REF!</v>
      </c>
      <c r="FR47" t="e">
        <f>AND(#REF!,"AAAAADv72a0=")</f>
        <v>#REF!</v>
      </c>
      <c r="FS47" t="e">
        <f>AND(#REF!,"AAAAADv72a4=")</f>
        <v>#REF!</v>
      </c>
      <c r="FT47" t="e">
        <f>AND(#REF!,"AAAAADv72a8=")</f>
        <v>#REF!</v>
      </c>
      <c r="FU47" t="e">
        <f>AND(#REF!,"AAAAADv72bA=")</f>
        <v>#REF!</v>
      </c>
      <c r="FV47" t="e">
        <f>AND(#REF!,"AAAAADv72bE=")</f>
        <v>#REF!</v>
      </c>
      <c r="FW47" t="e">
        <f>AND(#REF!,"AAAAADv72bI=")</f>
        <v>#REF!</v>
      </c>
      <c r="FX47" t="e">
        <f>AND(#REF!,"AAAAADv72bM=")</f>
        <v>#REF!</v>
      </c>
      <c r="FY47" t="e">
        <f>AND(#REF!,"AAAAADv72bQ=")</f>
        <v>#REF!</v>
      </c>
      <c r="FZ47" t="e">
        <f>AND(#REF!,"AAAAADv72bU=")</f>
        <v>#REF!</v>
      </c>
      <c r="GA47" t="e">
        <f>AND(#REF!,"AAAAADv72bY=")</f>
        <v>#REF!</v>
      </c>
      <c r="GB47" t="e">
        <f>AND(#REF!,"AAAAADv72bc=")</f>
        <v>#REF!</v>
      </c>
      <c r="GC47" t="e">
        <f>AND(#REF!,"AAAAADv72bg=")</f>
        <v>#REF!</v>
      </c>
      <c r="GD47" t="e">
        <f>AND(#REF!,"AAAAADv72bk=")</f>
        <v>#REF!</v>
      </c>
      <c r="GE47" t="e">
        <f>AND(#REF!,"AAAAADv72bo=")</f>
        <v>#REF!</v>
      </c>
      <c r="GF47" t="e">
        <f>AND(#REF!,"AAAAADv72bs=")</f>
        <v>#REF!</v>
      </c>
      <c r="GG47" t="e">
        <f>AND(#REF!,"AAAAADv72bw=")</f>
        <v>#REF!</v>
      </c>
      <c r="GH47" t="e">
        <f>AND(#REF!,"AAAAADv72b0=")</f>
        <v>#REF!</v>
      </c>
      <c r="GI47" t="e">
        <f>AND(#REF!,"AAAAADv72b4=")</f>
        <v>#REF!</v>
      </c>
      <c r="GJ47" t="e">
        <f>AND(#REF!,"AAAAADv72b8=")</f>
        <v>#REF!</v>
      </c>
      <c r="GK47" t="e">
        <f>AND(#REF!,"AAAAADv72cA=")</f>
        <v>#REF!</v>
      </c>
      <c r="GL47" t="e">
        <f>AND(#REF!,"AAAAADv72cE=")</f>
        <v>#REF!</v>
      </c>
      <c r="GM47" t="e">
        <f>AND(#REF!,"AAAAADv72cI=")</f>
        <v>#REF!</v>
      </c>
      <c r="GN47" t="e">
        <f>AND(#REF!,"AAAAADv72cM=")</f>
        <v>#REF!</v>
      </c>
      <c r="GO47" t="e">
        <f>AND(#REF!,"AAAAADv72cQ=")</f>
        <v>#REF!</v>
      </c>
      <c r="GP47" t="e">
        <f>AND(#REF!,"AAAAADv72cU=")</f>
        <v>#REF!</v>
      </c>
      <c r="GQ47" t="e">
        <f>AND(#REF!,"AAAAADv72cY=")</f>
        <v>#REF!</v>
      </c>
      <c r="GR47" t="e">
        <f>AND(#REF!,"AAAAADv72cc=")</f>
        <v>#REF!</v>
      </c>
      <c r="GS47" t="e">
        <f>AND(#REF!,"AAAAADv72cg=")</f>
        <v>#REF!</v>
      </c>
      <c r="GT47" t="e">
        <f>AND(#REF!,"AAAAADv72ck=")</f>
        <v>#REF!</v>
      </c>
      <c r="GU47" t="e">
        <f>AND(#REF!,"AAAAADv72co=")</f>
        <v>#REF!</v>
      </c>
      <c r="GV47" t="e">
        <f>AND(#REF!,"AAAAADv72cs=")</f>
        <v>#REF!</v>
      </c>
      <c r="GW47" t="e">
        <f>AND(#REF!,"AAAAADv72cw=")</f>
        <v>#REF!</v>
      </c>
      <c r="GX47" t="e">
        <f>AND(#REF!,"AAAAADv72c0=")</f>
        <v>#REF!</v>
      </c>
      <c r="GY47" t="e">
        <f>AND(#REF!,"AAAAADv72c4=")</f>
        <v>#REF!</v>
      </c>
      <c r="GZ47" t="e">
        <f>AND(#REF!,"AAAAADv72c8=")</f>
        <v>#REF!</v>
      </c>
      <c r="HA47" t="e">
        <f>AND(#REF!,"AAAAADv72dA=")</f>
        <v>#REF!</v>
      </c>
      <c r="HB47" t="e">
        <f>AND(#REF!,"AAAAADv72dE=")</f>
        <v>#REF!</v>
      </c>
      <c r="HC47" t="e">
        <f>AND(#REF!,"AAAAADv72dI=")</f>
        <v>#REF!</v>
      </c>
      <c r="HD47" t="e">
        <f>AND(#REF!,"AAAAADv72dM=")</f>
        <v>#REF!</v>
      </c>
      <c r="HE47" t="e">
        <f>AND(#REF!,"AAAAADv72dQ=")</f>
        <v>#REF!</v>
      </c>
      <c r="HF47" t="e">
        <f>AND(#REF!,"AAAAADv72dU=")</f>
        <v>#REF!</v>
      </c>
      <c r="HG47" t="e">
        <f>AND(#REF!,"AAAAADv72dY=")</f>
        <v>#REF!</v>
      </c>
      <c r="HH47" t="e">
        <f>AND(#REF!,"AAAAADv72dc=")</f>
        <v>#REF!</v>
      </c>
      <c r="HI47" t="e">
        <f>AND(#REF!,"AAAAADv72dg=")</f>
        <v>#REF!</v>
      </c>
      <c r="HJ47" t="e">
        <f>AND(#REF!,"AAAAADv72dk=")</f>
        <v>#REF!</v>
      </c>
      <c r="HK47" t="e">
        <f>AND(#REF!,"AAAAADv72do=")</f>
        <v>#REF!</v>
      </c>
      <c r="HL47" t="e">
        <f>AND(#REF!,"AAAAADv72ds=")</f>
        <v>#REF!</v>
      </c>
      <c r="HM47" t="e">
        <f>AND(#REF!,"AAAAADv72dw=")</f>
        <v>#REF!</v>
      </c>
      <c r="HN47" t="e">
        <f>AND(#REF!,"AAAAADv72d0=")</f>
        <v>#REF!</v>
      </c>
      <c r="HO47" t="e">
        <f>AND(#REF!,"AAAAADv72d4=")</f>
        <v>#REF!</v>
      </c>
      <c r="HP47" t="e">
        <f>AND(#REF!,"AAAAADv72d8=")</f>
        <v>#REF!</v>
      </c>
      <c r="HQ47" t="e">
        <f>AND(#REF!,"AAAAADv72eA=")</f>
        <v>#REF!</v>
      </c>
      <c r="HR47" t="e">
        <f>AND(#REF!,"AAAAADv72eE=")</f>
        <v>#REF!</v>
      </c>
      <c r="HS47" t="e">
        <f>AND(#REF!,"AAAAADv72eI=")</f>
        <v>#REF!</v>
      </c>
      <c r="HT47" t="e">
        <f>AND(#REF!,"AAAAADv72eM=")</f>
        <v>#REF!</v>
      </c>
      <c r="HU47" t="e">
        <f>AND(#REF!,"AAAAADv72eQ=")</f>
        <v>#REF!</v>
      </c>
      <c r="HV47" t="e">
        <f>AND(#REF!,"AAAAADv72eU=")</f>
        <v>#REF!</v>
      </c>
      <c r="HW47" t="e">
        <f>AND(#REF!,"AAAAADv72eY=")</f>
        <v>#REF!</v>
      </c>
      <c r="HX47" t="e">
        <f>AND(#REF!,"AAAAADv72ec=")</f>
        <v>#REF!</v>
      </c>
      <c r="HY47" t="e">
        <f>AND(#REF!,"AAAAADv72eg=")</f>
        <v>#REF!</v>
      </c>
      <c r="HZ47" t="e">
        <f>AND(#REF!,"AAAAADv72ek=")</f>
        <v>#REF!</v>
      </c>
      <c r="IA47" t="e">
        <f>AND(#REF!,"AAAAADv72eo=")</f>
        <v>#REF!</v>
      </c>
      <c r="IB47" t="e">
        <f>AND(#REF!,"AAAAADv72es=")</f>
        <v>#REF!</v>
      </c>
      <c r="IC47" t="e">
        <f>AND(#REF!,"AAAAADv72ew=")</f>
        <v>#REF!</v>
      </c>
      <c r="ID47" t="e">
        <f>AND(#REF!,"AAAAADv72e0=")</f>
        <v>#REF!</v>
      </c>
      <c r="IE47" t="e">
        <f>AND(#REF!,"AAAAADv72e4=")</f>
        <v>#REF!</v>
      </c>
      <c r="IF47" t="e">
        <f>AND(#REF!,"AAAAADv72e8=")</f>
        <v>#REF!</v>
      </c>
      <c r="IG47" t="e">
        <f>AND(#REF!,"AAAAADv72fA=")</f>
        <v>#REF!</v>
      </c>
      <c r="IH47" t="e">
        <f>AND(#REF!,"AAAAADv72fE=")</f>
        <v>#REF!</v>
      </c>
      <c r="II47" t="e">
        <f>AND(#REF!,"AAAAADv72fI=")</f>
        <v>#REF!</v>
      </c>
      <c r="IJ47" t="e">
        <f>AND(#REF!,"AAAAADv72fM=")</f>
        <v>#REF!</v>
      </c>
      <c r="IK47" t="e">
        <f>AND(#REF!,"AAAAADv72fQ=")</f>
        <v>#REF!</v>
      </c>
      <c r="IL47" t="e">
        <f>AND(#REF!,"AAAAADv72fU=")</f>
        <v>#REF!</v>
      </c>
      <c r="IM47" t="e">
        <f>AND(#REF!,"AAAAADv72fY=")</f>
        <v>#REF!</v>
      </c>
      <c r="IN47" t="e">
        <f>AND(#REF!,"AAAAADv72fc=")</f>
        <v>#REF!</v>
      </c>
      <c r="IO47" t="e">
        <f>AND(#REF!,"AAAAADv72fg=")</f>
        <v>#REF!</v>
      </c>
      <c r="IP47" t="e">
        <f>AND(#REF!,"AAAAADv72fk=")</f>
        <v>#REF!</v>
      </c>
      <c r="IQ47" t="e">
        <f>AND(#REF!,"AAAAADv72fo=")</f>
        <v>#REF!</v>
      </c>
      <c r="IR47" t="e">
        <f>AND(#REF!,"AAAAADv72fs=")</f>
        <v>#REF!</v>
      </c>
      <c r="IS47" t="e">
        <f>AND(#REF!,"AAAAADv72fw=")</f>
        <v>#REF!</v>
      </c>
      <c r="IT47" t="e">
        <f>AND(#REF!,"AAAAADv72f0=")</f>
        <v>#REF!</v>
      </c>
      <c r="IU47" t="e">
        <f>AND(#REF!,"AAAAADv72f4=")</f>
        <v>#REF!</v>
      </c>
      <c r="IV47" t="e">
        <f>AND(#REF!,"AAAAADv72f8=")</f>
        <v>#REF!</v>
      </c>
    </row>
    <row r="48" spans="1:256" x14ac:dyDescent="0.25">
      <c r="A48" t="e">
        <f>AND(#REF!,"AAAAAD99MwA=")</f>
        <v>#REF!</v>
      </c>
      <c r="B48" t="e">
        <f>AND(#REF!,"AAAAAD99MwE=")</f>
        <v>#REF!</v>
      </c>
      <c r="C48" t="e">
        <f>AND(#REF!,"AAAAAD99MwI=")</f>
        <v>#REF!</v>
      </c>
      <c r="D48" t="e">
        <f>AND(#REF!,"AAAAAD99MwM=")</f>
        <v>#REF!</v>
      </c>
      <c r="E48" t="e">
        <f>AND(#REF!,"AAAAAD99MwQ=")</f>
        <v>#REF!</v>
      </c>
      <c r="F48" t="e">
        <f>AND(#REF!,"AAAAAD99MwU=")</f>
        <v>#REF!</v>
      </c>
      <c r="G48" t="e">
        <f>AND(#REF!,"AAAAAD99MwY=")</f>
        <v>#REF!</v>
      </c>
      <c r="H48" t="e">
        <f>AND(#REF!,"AAAAAD99Mwc=")</f>
        <v>#REF!</v>
      </c>
      <c r="I48" t="e">
        <f>AND(#REF!,"AAAAAD99Mwg=")</f>
        <v>#REF!</v>
      </c>
      <c r="J48" t="e">
        <f>AND(#REF!,"AAAAAD99Mwk=")</f>
        <v>#REF!</v>
      </c>
      <c r="K48" t="e">
        <f>AND(#REF!,"AAAAAD99Mwo=")</f>
        <v>#REF!</v>
      </c>
      <c r="L48" t="e">
        <f>AND(#REF!,"AAAAAD99Mws=")</f>
        <v>#REF!</v>
      </c>
      <c r="M48" t="e">
        <f>AND(#REF!,"AAAAAD99Mww=")</f>
        <v>#REF!</v>
      </c>
      <c r="N48" t="e">
        <f>AND(#REF!,"AAAAAD99Mw0=")</f>
        <v>#REF!</v>
      </c>
      <c r="O48" t="e">
        <f>AND(#REF!,"AAAAAD99Mw4=")</f>
        <v>#REF!</v>
      </c>
      <c r="P48" t="e">
        <f>AND(#REF!,"AAAAAD99Mw8=")</f>
        <v>#REF!</v>
      </c>
      <c r="Q48" t="e">
        <f>AND(#REF!,"AAAAAD99MxA=")</f>
        <v>#REF!</v>
      </c>
      <c r="R48" t="e">
        <f>AND(#REF!,"AAAAAD99MxE=")</f>
        <v>#REF!</v>
      </c>
      <c r="S48" t="e">
        <f>AND(#REF!,"AAAAAD99MxI=")</f>
        <v>#REF!</v>
      </c>
      <c r="T48" t="e">
        <f>AND(#REF!,"AAAAAD99MxM=")</f>
        <v>#REF!</v>
      </c>
      <c r="U48" t="e">
        <f>AND(#REF!,"AAAAAD99MxQ=")</f>
        <v>#REF!</v>
      </c>
      <c r="V48" t="e">
        <f>AND(#REF!,"AAAAAD99MxU=")</f>
        <v>#REF!</v>
      </c>
      <c r="W48" t="e">
        <f>AND(#REF!,"AAAAAD99MxY=")</f>
        <v>#REF!</v>
      </c>
      <c r="X48" t="e">
        <f>AND(#REF!,"AAAAAD99Mxc=")</f>
        <v>#REF!</v>
      </c>
      <c r="Y48" t="e">
        <f>AND(#REF!,"AAAAAD99Mxg=")</f>
        <v>#REF!</v>
      </c>
      <c r="Z48" t="e">
        <f>AND(#REF!,"AAAAAD99Mxk=")</f>
        <v>#REF!</v>
      </c>
      <c r="AA48" t="e">
        <f>AND(#REF!,"AAAAAD99Mxo=")</f>
        <v>#REF!</v>
      </c>
      <c r="AB48" t="e">
        <f>AND(#REF!,"AAAAAD99Mxs=")</f>
        <v>#REF!</v>
      </c>
      <c r="AC48" t="e">
        <f>AND(#REF!,"AAAAAD99Mxw=")</f>
        <v>#REF!</v>
      </c>
      <c r="AD48" t="e">
        <f>AND(#REF!,"AAAAAD99Mx0=")</f>
        <v>#REF!</v>
      </c>
      <c r="AE48" t="e">
        <f>IF(#REF!,"AAAAAD99Mx4=",0)</f>
        <v>#REF!</v>
      </c>
      <c r="AF48" t="e">
        <f>AND(#REF!,"AAAAAD99Mx8=")</f>
        <v>#REF!</v>
      </c>
      <c r="AG48" t="e">
        <f>AND(#REF!,"AAAAAD99MyA=")</f>
        <v>#REF!</v>
      </c>
      <c r="AH48" t="e">
        <f>AND(#REF!,"AAAAAD99MyE=")</f>
        <v>#REF!</v>
      </c>
      <c r="AI48" t="e">
        <f>AND(#REF!,"AAAAAD99MyI=")</f>
        <v>#REF!</v>
      </c>
      <c r="AJ48" t="e">
        <f>AND(#REF!,"AAAAAD99MyM=")</f>
        <v>#REF!</v>
      </c>
      <c r="AK48" t="e">
        <f>AND(#REF!,"AAAAAD99MyQ=")</f>
        <v>#REF!</v>
      </c>
      <c r="AL48" t="e">
        <f>AND(#REF!,"AAAAAD99MyU=")</f>
        <v>#REF!</v>
      </c>
      <c r="AM48" t="e">
        <f>AND(#REF!,"AAAAAD99MyY=")</f>
        <v>#REF!</v>
      </c>
      <c r="AN48" t="e">
        <f>AND(#REF!,"AAAAAD99Myc=")</f>
        <v>#REF!</v>
      </c>
      <c r="AO48" t="e">
        <f>AND(#REF!,"AAAAAD99Myg=")</f>
        <v>#REF!</v>
      </c>
      <c r="AP48" t="e">
        <f>AND(#REF!,"AAAAAD99Myk=")</f>
        <v>#REF!</v>
      </c>
      <c r="AQ48" t="e">
        <f>AND(#REF!,"AAAAAD99Myo=")</f>
        <v>#REF!</v>
      </c>
      <c r="AR48" t="e">
        <f>AND(#REF!,"AAAAAD99Mys=")</f>
        <v>#REF!</v>
      </c>
      <c r="AS48" t="e">
        <f>AND(#REF!,"AAAAAD99Myw=")</f>
        <v>#REF!</v>
      </c>
      <c r="AT48" t="e">
        <f>AND(#REF!,"AAAAAD99My0=")</f>
        <v>#REF!</v>
      </c>
      <c r="AU48" t="e">
        <f>AND(#REF!,"AAAAAD99My4=")</f>
        <v>#REF!</v>
      </c>
      <c r="AV48" t="e">
        <f>AND(#REF!,"AAAAAD99My8=")</f>
        <v>#REF!</v>
      </c>
      <c r="AW48" t="e">
        <f>AND(#REF!,"AAAAAD99MzA=")</f>
        <v>#REF!</v>
      </c>
      <c r="AX48" t="e">
        <f>AND(#REF!,"AAAAAD99MzE=")</f>
        <v>#REF!</v>
      </c>
      <c r="AY48" t="e">
        <f>AND(#REF!,"AAAAAD99MzI=")</f>
        <v>#REF!</v>
      </c>
      <c r="AZ48" t="e">
        <f>AND(#REF!,"AAAAAD99MzM=")</f>
        <v>#REF!</v>
      </c>
      <c r="BA48" t="e">
        <f>AND(#REF!,"AAAAAD99MzQ=")</f>
        <v>#REF!</v>
      </c>
      <c r="BB48" t="e">
        <f>AND(#REF!,"AAAAAD99MzU=")</f>
        <v>#REF!</v>
      </c>
      <c r="BC48" t="e">
        <f>AND(#REF!,"AAAAAD99MzY=")</f>
        <v>#REF!</v>
      </c>
      <c r="BD48" t="e">
        <f>AND(#REF!,"AAAAAD99Mzc=")</f>
        <v>#REF!</v>
      </c>
      <c r="BE48" t="e">
        <f>AND(#REF!,"AAAAAD99Mzg=")</f>
        <v>#REF!</v>
      </c>
      <c r="BF48" t="e">
        <f>AND(#REF!,"AAAAAD99Mzk=")</f>
        <v>#REF!</v>
      </c>
      <c r="BG48" t="e">
        <f>AND(#REF!,"AAAAAD99Mzo=")</f>
        <v>#REF!</v>
      </c>
      <c r="BH48" t="e">
        <f>AND(#REF!,"AAAAAD99Mzs=")</f>
        <v>#REF!</v>
      </c>
      <c r="BI48" t="e">
        <f>AND(#REF!,"AAAAAD99Mzw=")</f>
        <v>#REF!</v>
      </c>
      <c r="BJ48" t="e">
        <f>AND(#REF!,"AAAAAD99Mz0=")</f>
        <v>#REF!</v>
      </c>
      <c r="BK48" t="e">
        <f>AND(#REF!,"AAAAAD99Mz4=")</f>
        <v>#REF!</v>
      </c>
      <c r="BL48" t="e">
        <f>AND(#REF!,"AAAAAD99Mz8=")</f>
        <v>#REF!</v>
      </c>
      <c r="BM48" t="e">
        <f>AND(#REF!,"AAAAAD99M0A=")</f>
        <v>#REF!</v>
      </c>
      <c r="BN48" t="e">
        <f>AND(#REF!,"AAAAAD99M0E=")</f>
        <v>#REF!</v>
      </c>
      <c r="BO48" t="e">
        <f>AND(#REF!,"AAAAAD99M0I=")</f>
        <v>#REF!</v>
      </c>
      <c r="BP48" t="e">
        <f>AND(#REF!,"AAAAAD99M0M=")</f>
        <v>#REF!</v>
      </c>
      <c r="BQ48" t="e">
        <f>AND(#REF!,"AAAAAD99M0Q=")</f>
        <v>#REF!</v>
      </c>
      <c r="BR48" t="e">
        <f>AND(#REF!,"AAAAAD99M0U=")</f>
        <v>#REF!</v>
      </c>
      <c r="BS48" t="e">
        <f>AND(#REF!,"AAAAAD99M0Y=")</f>
        <v>#REF!</v>
      </c>
      <c r="BT48" t="e">
        <f>AND(#REF!,"AAAAAD99M0c=")</f>
        <v>#REF!</v>
      </c>
      <c r="BU48" t="e">
        <f>AND(#REF!,"AAAAAD99M0g=")</f>
        <v>#REF!</v>
      </c>
      <c r="BV48" t="e">
        <f>AND(#REF!,"AAAAAD99M0k=")</f>
        <v>#REF!</v>
      </c>
      <c r="BW48" t="e">
        <f>AND(#REF!,"AAAAAD99M0o=")</f>
        <v>#REF!</v>
      </c>
      <c r="BX48" t="e">
        <f>AND(#REF!,"AAAAAD99M0s=")</f>
        <v>#REF!</v>
      </c>
      <c r="BY48" t="e">
        <f>AND(#REF!,"AAAAAD99M0w=")</f>
        <v>#REF!</v>
      </c>
      <c r="BZ48" t="e">
        <f>AND(#REF!,"AAAAAD99M00=")</f>
        <v>#REF!</v>
      </c>
      <c r="CA48" t="e">
        <f>AND(#REF!,"AAAAAD99M04=")</f>
        <v>#REF!</v>
      </c>
      <c r="CB48" t="e">
        <f>AND(#REF!,"AAAAAD99M08=")</f>
        <v>#REF!</v>
      </c>
      <c r="CC48" t="e">
        <f>AND(#REF!,"AAAAAD99M1A=")</f>
        <v>#REF!</v>
      </c>
      <c r="CD48" t="e">
        <f>AND(#REF!,"AAAAAD99M1E=")</f>
        <v>#REF!</v>
      </c>
      <c r="CE48" t="e">
        <f>AND(#REF!,"AAAAAD99M1I=")</f>
        <v>#REF!</v>
      </c>
      <c r="CF48" t="e">
        <f>AND(#REF!,"AAAAAD99M1M=")</f>
        <v>#REF!</v>
      </c>
      <c r="CG48" t="e">
        <f>AND(#REF!,"AAAAAD99M1Q=")</f>
        <v>#REF!</v>
      </c>
      <c r="CH48" t="e">
        <f>AND(#REF!,"AAAAAD99M1U=")</f>
        <v>#REF!</v>
      </c>
      <c r="CI48" t="e">
        <f>AND(#REF!,"AAAAAD99M1Y=")</f>
        <v>#REF!</v>
      </c>
      <c r="CJ48" t="e">
        <f>AND(#REF!,"AAAAAD99M1c=")</f>
        <v>#REF!</v>
      </c>
      <c r="CK48" t="e">
        <f>AND(#REF!,"AAAAAD99M1g=")</f>
        <v>#REF!</v>
      </c>
      <c r="CL48" t="e">
        <f>AND(#REF!,"AAAAAD99M1k=")</f>
        <v>#REF!</v>
      </c>
      <c r="CM48" t="e">
        <f>AND(#REF!,"AAAAAD99M1o=")</f>
        <v>#REF!</v>
      </c>
      <c r="CN48" t="e">
        <f>AND(#REF!,"AAAAAD99M1s=")</f>
        <v>#REF!</v>
      </c>
      <c r="CO48" t="e">
        <f>AND(#REF!,"AAAAAD99M1w=")</f>
        <v>#REF!</v>
      </c>
      <c r="CP48" t="e">
        <f>AND(#REF!,"AAAAAD99M10=")</f>
        <v>#REF!</v>
      </c>
      <c r="CQ48" t="e">
        <f>AND(#REF!,"AAAAAD99M14=")</f>
        <v>#REF!</v>
      </c>
      <c r="CR48" t="e">
        <f>AND(#REF!,"AAAAAD99M18=")</f>
        <v>#REF!</v>
      </c>
      <c r="CS48" t="e">
        <f>AND(#REF!,"AAAAAD99M2A=")</f>
        <v>#REF!</v>
      </c>
      <c r="CT48" t="e">
        <f>AND(#REF!,"AAAAAD99M2E=")</f>
        <v>#REF!</v>
      </c>
      <c r="CU48" t="e">
        <f>AND(#REF!,"AAAAAD99M2I=")</f>
        <v>#REF!</v>
      </c>
      <c r="CV48" t="e">
        <f>AND(#REF!,"AAAAAD99M2M=")</f>
        <v>#REF!</v>
      </c>
      <c r="CW48" t="e">
        <f>AND(#REF!,"AAAAAD99M2Q=")</f>
        <v>#REF!</v>
      </c>
      <c r="CX48" t="e">
        <f>AND(#REF!,"AAAAAD99M2U=")</f>
        <v>#REF!</v>
      </c>
      <c r="CY48" t="e">
        <f>AND(#REF!,"AAAAAD99M2Y=")</f>
        <v>#REF!</v>
      </c>
      <c r="CZ48" t="e">
        <f>AND(#REF!,"AAAAAD99M2c=")</f>
        <v>#REF!</v>
      </c>
      <c r="DA48" t="e">
        <f>AND(#REF!,"AAAAAD99M2g=")</f>
        <v>#REF!</v>
      </c>
      <c r="DB48" t="e">
        <f>AND(#REF!,"AAAAAD99M2k=")</f>
        <v>#REF!</v>
      </c>
      <c r="DC48" t="e">
        <f>AND(#REF!,"AAAAAD99M2o=")</f>
        <v>#REF!</v>
      </c>
      <c r="DD48" t="e">
        <f>AND(#REF!,"AAAAAD99M2s=")</f>
        <v>#REF!</v>
      </c>
      <c r="DE48" t="e">
        <f>AND(#REF!,"AAAAAD99M2w=")</f>
        <v>#REF!</v>
      </c>
      <c r="DF48" t="e">
        <f>AND(#REF!,"AAAAAD99M20=")</f>
        <v>#REF!</v>
      </c>
      <c r="DG48" t="e">
        <f>AND(#REF!,"AAAAAD99M24=")</f>
        <v>#REF!</v>
      </c>
      <c r="DH48" t="e">
        <f>AND(#REF!,"AAAAAD99M28=")</f>
        <v>#REF!</v>
      </c>
      <c r="DI48" t="e">
        <f>AND(#REF!,"AAAAAD99M3A=")</f>
        <v>#REF!</v>
      </c>
      <c r="DJ48" t="e">
        <f>AND(#REF!,"AAAAAD99M3E=")</f>
        <v>#REF!</v>
      </c>
      <c r="DK48" t="e">
        <f>AND(#REF!,"AAAAAD99M3I=")</f>
        <v>#REF!</v>
      </c>
      <c r="DL48" t="e">
        <f>AND(#REF!,"AAAAAD99M3M=")</f>
        <v>#REF!</v>
      </c>
      <c r="DM48" t="e">
        <f>AND(#REF!,"AAAAAD99M3Q=")</f>
        <v>#REF!</v>
      </c>
      <c r="DN48" t="e">
        <f>AND(#REF!,"AAAAAD99M3U=")</f>
        <v>#REF!</v>
      </c>
      <c r="DO48" t="e">
        <f>AND(#REF!,"AAAAAD99M3Y=")</f>
        <v>#REF!</v>
      </c>
      <c r="DP48" t="e">
        <f>AND(#REF!,"AAAAAD99M3c=")</f>
        <v>#REF!</v>
      </c>
      <c r="DQ48" t="e">
        <f>AND(#REF!,"AAAAAD99M3g=")</f>
        <v>#REF!</v>
      </c>
      <c r="DR48" t="e">
        <f>AND(#REF!,"AAAAAD99M3k=")</f>
        <v>#REF!</v>
      </c>
      <c r="DS48" t="e">
        <f>AND(#REF!,"AAAAAD99M3o=")</f>
        <v>#REF!</v>
      </c>
      <c r="DT48" t="e">
        <f>AND(#REF!,"AAAAAD99M3s=")</f>
        <v>#REF!</v>
      </c>
      <c r="DU48" t="e">
        <f>AND(#REF!,"AAAAAD99M3w=")</f>
        <v>#REF!</v>
      </c>
      <c r="DV48" t="e">
        <f>AND(#REF!,"AAAAAD99M30=")</f>
        <v>#REF!</v>
      </c>
      <c r="DW48" t="e">
        <f>AND(#REF!,"AAAAAD99M34=")</f>
        <v>#REF!</v>
      </c>
      <c r="DX48" t="e">
        <f>AND(#REF!,"AAAAAD99M38=")</f>
        <v>#REF!</v>
      </c>
      <c r="DY48" t="e">
        <f>AND(#REF!,"AAAAAD99M4A=")</f>
        <v>#REF!</v>
      </c>
      <c r="DZ48" t="e">
        <f>AND(#REF!,"AAAAAD99M4E=")</f>
        <v>#REF!</v>
      </c>
      <c r="EA48" t="e">
        <f>AND(#REF!,"AAAAAD99M4I=")</f>
        <v>#REF!</v>
      </c>
      <c r="EB48" t="e">
        <f>AND(#REF!,"AAAAAD99M4M=")</f>
        <v>#REF!</v>
      </c>
      <c r="EC48" t="e">
        <f>AND(#REF!,"AAAAAD99M4Q=")</f>
        <v>#REF!</v>
      </c>
      <c r="ED48" t="e">
        <f>AND(#REF!,"AAAAAD99M4U=")</f>
        <v>#REF!</v>
      </c>
      <c r="EE48" t="e">
        <f>AND(#REF!,"AAAAAD99M4Y=")</f>
        <v>#REF!</v>
      </c>
      <c r="EF48" t="e">
        <f>AND(#REF!,"AAAAAD99M4c=")</f>
        <v>#REF!</v>
      </c>
      <c r="EG48" t="e">
        <f>AND(#REF!,"AAAAAD99M4g=")</f>
        <v>#REF!</v>
      </c>
      <c r="EH48" t="e">
        <f>AND(#REF!,"AAAAAD99M4k=")</f>
        <v>#REF!</v>
      </c>
      <c r="EI48" t="e">
        <f>AND(#REF!,"AAAAAD99M4o=")</f>
        <v>#REF!</v>
      </c>
      <c r="EJ48" t="e">
        <f>AND(#REF!,"AAAAAD99M4s=")</f>
        <v>#REF!</v>
      </c>
      <c r="EK48" t="e">
        <f>AND(#REF!,"AAAAAD99M4w=")</f>
        <v>#REF!</v>
      </c>
      <c r="EL48" t="e">
        <f>AND(#REF!,"AAAAAD99M40=")</f>
        <v>#REF!</v>
      </c>
      <c r="EM48" t="e">
        <f>AND(#REF!,"AAAAAD99M44=")</f>
        <v>#REF!</v>
      </c>
      <c r="EN48" t="e">
        <f>AND(#REF!,"AAAAAD99M48=")</f>
        <v>#REF!</v>
      </c>
      <c r="EO48" t="e">
        <f>AND(#REF!,"AAAAAD99M5A=")</f>
        <v>#REF!</v>
      </c>
      <c r="EP48" t="e">
        <f>AND(#REF!,"AAAAAD99M5E=")</f>
        <v>#REF!</v>
      </c>
      <c r="EQ48" t="e">
        <f>AND(#REF!,"AAAAAD99M5I=")</f>
        <v>#REF!</v>
      </c>
      <c r="ER48" t="e">
        <f>AND(#REF!,"AAAAAD99M5M=")</f>
        <v>#REF!</v>
      </c>
      <c r="ES48" t="e">
        <f>AND(#REF!,"AAAAAD99M5Q=")</f>
        <v>#REF!</v>
      </c>
      <c r="ET48" t="e">
        <f>AND(#REF!,"AAAAAD99M5U=")</f>
        <v>#REF!</v>
      </c>
      <c r="EU48" t="e">
        <f>AND(#REF!,"AAAAAD99M5Y=")</f>
        <v>#REF!</v>
      </c>
      <c r="EV48" t="e">
        <f>AND(#REF!,"AAAAAD99M5c=")</f>
        <v>#REF!</v>
      </c>
      <c r="EW48" t="e">
        <f>AND(#REF!,"AAAAAD99M5g=")</f>
        <v>#REF!</v>
      </c>
      <c r="EX48" t="e">
        <f>AND(#REF!,"AAAAAD99M5k=")</f>
        <v>#REF!</v>
      </c>
      <c r="EY48" t="e">
        <f>AND(#REF!,"AAAAAD99M5o=")</f>
        <v>#REF!</v>
      </c>
      <c r="EZ48" t="e">
        <f>AND(#REF!,"AAAAAD99M5s=")</f>
        <v>#REF!</v>
      </c>
      <c r="FA48" t="e">
        <f>AND(#REF!,"AAAAAD99M5w=")</f>
        <v>#REF!</v>
      </c>
      <c r="FB48" t="e">
        <f>AND(#REF!,"AAAAAD99M50=")</f>
        <v>#REF!</v>
      </c>
      <c r="FC48" t="e">
        <f>AND(#REF!,"AAAAAD99M54=")</f>
        <v>#REF!</v>
      </c>
      <c r="FD48" t="e">
        <f>AND(#REF!,"AAAAAD99M58=")</f>
        <v>#REF!</v>
      </c>
      <c r="FE48" t="e">
        <f>AND(#REF!,"AAAAAD99M6A=")</f>
        <v>#REF!</v>
      </c>
      <c r="FF48" t="e">
        <f>AND(#REF!,"AAAAAD99M6E=")</f>
        <v>#REF!</v>
      </c>
      <c r="FG48" t="e">
        <f>AND(#REF!,"AAAAAD99M6I=")</f>
        <v>#REF!</v>
      </c>
      <c r="FH48" t="e">
        <f>AND(#REF!,"AAAAAD99M6M=")</f>
        <v>#REF!</v>
      </c>
      <c r="FI48" t="e">
        <f>AND(#REF!,"AAAAAD99M6Q=")</f>
        <v>#REF!</v>
      </c>
      <c r="FJ48" t="e">
        <f>AND(#REF!,"AAAAAD99M6U=")</f>
        <v>#REF!</v>
      </c>
      <c r="FK48" t="e">
        <f>AND(#REF!,"AAAAAD99M6Y=")</f>
        <v>#REF!</v>
      </c>
      <c r="FL48" t="e">
        <f>AND(#REF!,"AAAAAD99M6c=")</f>
        <v>#REF!</v>
      </c>
      <c r="FM48" t="e">
        <f>AND(#REF!,"AAAAAD99M6g=")</f>
        <v>#REF!</v>
      </c>
      <c r="FN48" t="e">
        <f>AND(#REF!,"AAAAAD99M6k=")</f>
        <v>#REF!</v>
      </c>
      <c r="FO48" t="e">
        <f>AND(#REF!,"AAAAAD99M6o=")</f>
        <v>#REF!</v>
      </c>
      <c r="FP48" t="e">
        <f>AND(#REF!,"AAAAAD99M6s=")</f>
        <v>#REF!</v>
      </c>
      <c r="FQ48" t="e">
        <f>AND(#REF!,"AAAAAD99M6w=")</f>
        <v>#REF!</v>
      </c>
      <c r="FR48" t="e">
        <f>AND(#REF!,"AAAAAD99M60=")</f>
        <v>#REF!</v>
      </c>
      <c r="FS48" t="e">
        <f>AND(#REF!,"AAAAAD99M64=")</f>
        <v>#REF!</v>
      </c>
      <c r="FT48" t="e">
        <f>AND(#REF!,"AAAAAD99M68=")</f>
        <v>#REF!</v>
      </c>
      <c r="FU48" t="e">
        <f>AND(#REF!,"AAAAAD99M7A=")</f>
        <v>#REF!</v>
      </c>
      <c r="FV48" t="e">
        <f>AND(#REF!,"AAAAAD99M7E=")</f>
        <v>#REF!</v>
      </c>
      <c r="FW48" t="e">
        <f>AND(#REF!,"AAAAAD99M7I=")</f>
        <v>#REF!</v>
      </c>
      <c r="FX48" t="e">
        <f>AND(#REF!,"AAAAAD99M7M=")</f>
        <v>#REF!</v>
      </c>
      <c r="FY48" t="e">
        <f>AND(#REF!,"AAAAAD99M7Q=")</f>
        <v>#REF!</v>
      </c>
      <c r="FZ48" t="e">
        <f>AND(#REF!,"AAAAAD99M7U=")</f>
        <v>#REF!</v>
      </c>
      <c r="GA48" t="e">
        <f>AND(#REF!,"AAAAAD99M7Y=")</f>
        <v>#REF!</v>
      </c>
      <c r="GB48" t="e">
        <f>AND(#REF!,"AAAAAD99M7c=")</f>
        <v>#REF!</v>
      </c>
      <c r="GC48" t="e">
        <f>AND(#REF!,"AAAAAD99M7g=")</f>
        <v>#REF!</v>
      </c>
      <c r="GD48" t="e">
        <f>AND(#REF!,"AAAAAD99M7k=")</f>
        <v>#REF!</v>
      </c>
      <c r="GE48" t="e">
        <f>AND(#REF!,"AAAAAD99M7o=")</f>
        <v>#REF!</v>
      </c>
      <c r="GF48" t="e">
        <f>AND(#REF!,"AAAAAD99M7s=")</f>
        <v>#REF!</v>
      </c>
      <c r="GG48" t="e">
        <f>AND(#REF!,"AAAAAD99M7w=")</f>
        <v>#REF!</v>
      </c>
      <c r="GH48" t="e">
        <f>AND(#REF!,"AAAAAD99M70=")</f>
        <v>#REF!</v>
      </c>
      <c r="GI48" t="e">
        <f>AND(#REF!,"AAAAAD99M74=")</f>
        <v>#REF!</v>
      </c>
      <c r="GJ48" t="e">
        <f>AND(#REF!,"AAAAAD99M78=")</f>
        <v>#REF!</v>
      </c>
      <c r="GK48" t="e">
        <f>AND(#REF!,"AAAAAD99M8A=")</f>
        <v>#REF!</v>
      </c>
      <c r="GL48" t="e">
        <f>AND(#REF!,"AAAAAD99M8E=")</f>
        <v>#REF!</v>
      </c>
      <c r="GM48" t="e">
        <f>AND(#REF!,"AAAAAD99M8I=")</f>
        <v>#REF!</v>
      </c>
      <c r="GN48" t="e">
        <f>AND(#REF!,"AAAAAD99M8M=")</f>
        <v>#REF!</v>
      </c>
      <c r="GO48" t="e">
        <f>AND(#REF!,"AAAAAD99M8Q=")</f>
        <v>#REF!</v>
      </c>
      <c r="GP48" t="e">
        <f>AND(#REF!,"AAAAAD99M8U=")</f>
        <v>#REF!</v>
      </c>
      <c r="GQ48" t="e">
        <f>AND(#REF!,"AAAAAD99M8Y=")</f>
        <v>#REF!</v>
      </c>
      <c r="GR48" t="e">
        <f>AND(#REF!,"AAAAAD99M8c=")</f>
        <v>#REF!</v>
      </c>
      <c r="GS48" t="e">
        <f>AND(#REF!,"AAAAAD99M8g=")</f>
        <v>#REF!</v>
      </c>
      <c r="GT48" t="e">
        <f>AND(#REF!,"AAAAAD99M8k=")</f>
        <v>#REF!</v>
      </c>
      <c r="GU48" t="e">
        <f>AND(#REF!,"AAAAAD99M8o=")</f>
        <v>#REF!</v>
      </c>
      <c r="GV48" t="e">
        <f>AND(#REF!,"AAAAAD99M8s=")</f>
        <v>#REF!</v>
      </c>
      <c r="GW48" t="e">
        <f>AND(#REF!,"AAAAAD99M8w=")</f>
        <v>#REF!</v>
      </c>
      <c r="GX48" t="e">
        <f>AND(#REF!,"AAAAAD99M80=")</f>
        <v>#REF!</v>
      </c>
      <c r="GY48" t="e">
        <f>AND(#REF!,"AAAAAD99M84=")</f>
        <v>#REF!</v>
      </c>
      <c r="GZ48" t="e">
        <f>AND(#REF!,"AAAAAD99M88=")</f>
        <v>#REF!</v>
      </c>
      <c r="HA48" t="e">
        <f>AND(#REF!,"AAAAAD99M9A=")</f>
        <v>#REF!</v>
      </c>
      <c r="HB48" t="e">
        <f>AND(#REF!,"AAAAAD99M9E=")</f>
        <v>#REF!</v>
      </c>
      <c r="HC48" t="e">
        <f>AND(#REF!,"AAAAAD99M9I=")</f>
        <v>#REF!</v>
      </c>
      <c r="HD48" t="e">
        <f>AND(#REF!,"AAAAAD99M9M=")</f>
        <v>#REF!</v>
      </c>
      <c r="HE48" t="e">
        <f>AND(#REF!,"AAAAAD99M9Q=")</f>
        <v>#REF!</v>
      </c>
      <c r="HF48" t="e">
        <f>AND(#REF!,"AAAAAD99M9U=")</f>
        <v>#REF!</v>
      </c>
      <c r="HG48" t="e">
        <f>AND(#REF!,"AAAAAD99M9Y=")</f>
        <v>#REF!</v>
      </c>
      <c r="HH48" t="e">
        <f>AND(#REF!,"AAAAAD99M9c=")</f>
        <v>#REF!</v>
      </c>
      <c r="HI48" t="e">
        <f>AND(#REF!,"AAAAAD99M9g=")</f>
        <v>#REF!</v>
      </c>
      <c r="HJ48" t="e">
        <f>AND(#REF!,"AAAAAD99M9k=")</f>
        <v>#REF!</v>
      </c>
      <c r="HK48" t="e">
        <f>AND(#REF!,"AAAAAD99M9o=")</f>
        <v>#REF!</v>
      </c>
      <c r="HL48" t="e">
        <f>IF(#REF!,"AAAAAD99M9s=",0)</f>
        <v>#REF!</v>
      </c>
      <c r="HM48" t="e">
        <f>AND(#REF!,"AAAAAD99M9w=")</f>
        <v>#REF!</v>
      </c>
      <c r="HN48" t="e">
        <f>AND(#REF!,"AAAAAD99M90=")</f>
        <v>#REF!</v>
      </c>
      <c r="HO48" t="e">
        <f>AND(#REF!,"AAAAAD99M94=")</f>
        <v>#REF!</v>
      </c>
      <c r="HP48" t="e">
        <f>AND(#REF!,"AAAAAD99M98=")</f>
        <v>#REF!</v>
      </c>
      <c r="HQ48" t="e">
        <f>AND(#REF!,"AAAAAD99M+A=")</f>
        <v>#REF!</v>
      </c>
      <c r="HR48" t="e">
        <f>AND(#REF!,"AAAAAD99M+E=")</f>
        <v>#REF!</v>
      </c>
      <c r="HS48" t="e">
        <f>AND(#REF!,"AAAAAD99M+I=")</f>
        <v>#REF!</v>
      </c>
      <c r="HT48" t="e">
        <f>AND(#REF!,"AAAAAD99M+M=")</f>
        <v>#REF!</v>
      </c>
      <c r="HU48" t="e">
        <f>AND(#REF!,"AAAAAD99M+Q=")</f>
        <v>#REF!</v>
      </c>
      <c r="HV48" t="e">
        <f>AND(#REF!,"AAAAAD99M+U=")</f>
        <v>#REF!</v>
      </c>
      <c r="HW48" t="e">
        <f>AND(#REF!,"AAAAAD99M+Y=")</f>
        <v>#REF!</v>
      </c>
      <c r="HX48" t="e">
        <f>AND(#REF!,"AAAAAD99M+c=")</f>
        <v>#REF!</v>
      </c>
      <c r="HY48" t="e">
        <f>AND(#REF!,"AAAAAD99M+g=")</f>
        <v>#REF!</v>
      </c>
      <c r="HZ48" t="e">
        <f>AND(#REF!,"AAAAAD99M+k=")</f>
        <v>#REF!</v>
      </c>
      <c r="IA48" t="e">
        <f>AND(#REF!,"AAAAAD99M+o=")</f>
        <v>#REF!</v>
      </c>
      <c r="IB48" t="e">
        <f>AND(#REF!,"AAAAAD99M+s=")</f>
        <v>#REF!</v>
      </c>
      <c r="IC48" t="e">
        <f>AND(#REF!,"AAAAAD99M+w=")</f>
        <v>#REF!</v>
      </c>
      <c r="ID48" t="e">
        <f>AND(#REF!,"AAAAAD99M+0=")</f>
        <v>#REF!</v>
      </c>
      <c r="IE48" t="e">
        <f>AND(#REF!,"AAAAAD99M+4=")</f>
        <v>#REF!</v>
      </c>
      <c r="IF48" t="e">
        <f>AND(#REF!,"AAAAAD99M+8=")</f>
        <v>#REF!</v>
      </c>
      <c r="IG48" t="e">
        <f>AND(#REF!,"AAAAAD99M/A=")</f>
        <v>#REF!</v>
      </c>
      <c r="IH48" t="e">
        <f>AND(#REF!,"AAAAAD99M/E=")</f>
        <v>#REF!</v>
      </c>
      <c r="II48" t="e">
        <f>AND(#REF!,"AAAAAD99M/I=")</f>
        <v>#REF!</v>
      </c>
      <c r="IJ48" t="e">
        <f>AND(#REF!,"AAAAAD99M/M=")</f>
        <v>#REF!</v>
      </c>
      <c r="IK48" t="e">
        <f>AND(#REF!,"AAAAAD99M/Q=")</f>
        <v>#REF!</v>
      </c>
      <c r="IL48" t="e">
        <f>AND(#REF!,"AAAAAD99M/U=")</f>
        <v>#REF!</v>
      </c>
      <c r="IM48" t="e">
        <f>AND(#REF!,"AAAAAD99M/Y=")</f>
        <v>#REF!</v>
      </c>
      <c r="IN48" t="e">
        <f>AND(#REF!,"AAAAAD99M/c=")</f>
        <v>#REF!</v>
      </c>
      <c r="IO48" t="e">
        <f>AND(#REF!,"AAAAAD99M/g=")</f>
        <v>#REF!</v>
      </c>
      <c r="IP48" t="e">
        <f>AND(#REF!,"AAAAAD99M/k=")</f>
        <v>#REF!</v>
      </c>
      <c r="IQ48" t="e">
        <f>AND(#REF!,"AAAAAD99M/o=")</f>
        <v>#REF!</v>
      </c>
      <c r="IR48" t="e">
        <f>AND(#REF!,"AAAAAD99M/s=")</f>
        <v>#REF!</v>
      </c>
      <c r="IS48" t="e">
        <f>AND(#REF!,"AAAAAD99M/w=")</f>
        <v>#REF!</v>
      </c>
      <c r="IT48" t="e">
        <f>AND(#REF!,"AAAAAD99M/0=")</f>
        <v>#REF!</v>
      </c>
      <c r="IU48" t="e">
        <f>AND(#REF!,"AAAAAD99M/4=")</f>
        <v>#REF!</v>
      </c>
      <c r="IV48" t="e">
        <f>AND(#REF!,"AAAAAD99M/8=")</f>
        <v>#REF!</v>
      </c>
    </row>
    <row r="49" spans="1:256" x14ac:dyDescent="0.25">
      <c r="A49" t="e">
        <f>AND(#REF!,"AAAAAHrsfAA=")</f>
        <v>#REF!</v>
      </c>
      <c r="B49" t="e">
        <f>AND(#REF!,"AAAAAHrsfAE=")</f>
        <v>#REF!</v>
      </c>
      <c r="C49" t="e">
        <f>AND(#REF!,"AAAAAHrsfAI=")</f>
        <v>#REF!</v>
      </c>
      <c r="D49" t="e">
        <f>AND(#REF!,"AAAAAHrsfAM=")</f>
        <v>#REF!</v>
      </c>
      <c r="E49" t="e">
        <f>AND(#REF!,"AAAAAHrsfAQ=")</f>
        <v>#REF!</v>
      </c>
      <c r="F49" t="e">
        <f>AND(#REF!,"AAAAAHrsfAU=")</f>
        <v>#REF!</v>
      </c>
      <c r="G49" t="e">
        <f>AND(#REF!,"AAAAAHrsfAY=")</f>
        <v>#REF!</v>
      </c>
      <c r="H49" t="e">
        <f>AND(#REF!,"AAAAAHrsfAc=")</f>
        <v>#REF!</v>
      </c>
      <c r="I49" t="e">
        <f>AND(#REF!,"AAAAAHrsfAg=")</f>
        <v>#REF!</v>
      </c>
      <c r="J49" t="e">
        <f>AND(#REF!,"AAAAAHrsfAk=")</f>
        <v>#REF!</v>
      </c>
      <c r="K49" t="e">
        <f>AND(#REF!,"AAAAAHrsfAo=")</f>
        <v>#REF!</v>
      </c>
      <c r="L49" t="e">
        <f>AND(#REF!,"AAAAAHrsfAs=")</f>
        <v>#REF!</v>
      </c>
      <c r="M49" t="e">
        <f>AND(#REF!,"AAAAAHrsfAw=")</f>
        <v>#REF!</v>
      </c>
      <c r="N49" t="e">
        <f>AND(#REF!,"AAAAAHrsfA0=")</f>
        <v>#REF!</v>
      </c>
      <c r="O49" t="e">
        <f>AND(#REF!,"AAAAAHrsfA4=")</f>
        <v>#REF!</v>
      </c>
      <c r="P49" t="e">
        <f>AND(#REF!,"AAAAAHrsfA8=")</f>
        <v>#REF!</v>
      </c>
      <c r="Q49" t="e">
        <f>AND(#REF!,"AAAAAHrsfBA=")</f>
        <v>#REF!</v>
      </c>
      <c r="R49" t="e">
        <f>AND(#REF!,"AAAAAHrsfBE=")</f>
        <v>#REF!</v>
      </c>
      <c r="S49" t="e">
        <f>AND(#REF!,"AAAAAHrsfBI=")</f>
        <v>#REF!</v>
      </c>
      <c r="T49" t="e">
        <f>AND(#REF!,"AAAAAHrsfBM=")</f>
        <v>#REF!</v>
      </c>
      <c r="U49" t="e">
        <f>AND(#REF!,"AAAAAHrsfBQ=")</f>
        <v>#REF!</v>
      </c>
      <c r="V49" t="e">
        <f>AND(#REF!,"AAAAAHrsfBU=")</f>
        <v>#REF!</v>
      </c>
      <c r="W49" t="e">
        <f>AND(#REF!,"AAAAAHrsfBY=")</f>
        <v>#REF!</v>
      </c>
      <c r="X49" t="e">
        <f>AND(#REF!,"AAAAAHrsfBc=")</f>
        <v>#REF!</v>
      </c>
      <c r="Y49" t="e">
        <f>AND(#REF!,"AAAAAHrsfBg=")</f>
        <v>#REF!</v>
      </c>
      <c r="Z49" t="e">
        <f>AND(#REF!,"AAAAAHrsfBk=")</f>
        <v>#REF!</v>
      </c>
      <c r="AA49" t="e">
        <f>AND(#REF!,"AAAAAHrsfBo=")</f>
        <v>#REF!</v>
      </c>
      <c r="AB49" t="e">
        <f>AND(#REF!,"AAAAAHrsfBs=")</f>
        <v>#REF!</v>
      </c>
      <c r="AC49" t="e">
        <f>AND(#REF!,"AAAAAHrsfBw=")</f>
        <v>#REF!</v>
      </c>
      <c r="AD49" t="e">
        <f>AND(#REF!,"AAAAAHrsfB0=")</f>
        <v>#REF!</v>
      </c>
      <c r="AE49" t="e">
        <f>AND(#REF!,"AAAAAHrsfB4=")</f>
        <v>#REF!</v>
      </c>
      <c r="AF49" t="e">
        <f>AND(#REF!,"AAAAAHrsfB8=")</f>
        <v>#REF!</v>
      </c>
      <c r="AG49" t="e">
        <f>AND(#REF!,"AAAAAHrsfCA=")</f>
        <v>#REF!</v>
      </c>
      <c r="AH49" t="e">
        <f>AND(#REF!,"AAAAAHrsfCE=")</f>
        <v>#REF!</v>
      </c>
      <c r="AI49" t="e">
        <f>AND(#REF!,"AAAAAHrsfCI=")</f>
        <v>#REF!</v>
      </c>
      <c r="AJ49" t="e">
        <f>AND(#REF!,"AAAAAHrsfCM=")</f>
        <v>#REF!</v>
      </c>
      <c r="AK49" t="e">
        <f>AND(#REF!,"AAAAAHrsfCQ=")</f>
        <v>#REF!</v>
      </c>
      <c r="AL49" t="e">
        <f>AND(#REF!,"AAAAAHrsfCU=")</f>
        <v>#REF!</v>
      </c>
      <c r="AM49" t="e">
        <f>AND(#REF!,"AAAAAHrsfCY=")</f>
        <v>#REF!</v>
      </c>
      <c r="AN49" t="e">
        <f>AND(#REF!,"AAAAAHrsfCc=")</f>
        <v>#REF!</v>
      </c>
      <c r="AO49" t="e">
        <f>AND(#REF!,"AAAAAHrsfCg=")</f>
        <v>#REF!</v>
      </c>
      <c r="AP49" t="e">
        <f>AND(#REF!,"AAAAAHrsfCk=")</f>
        <v>#REF!</v>
      </c>
      <c r="AQ49" t="e">
        <f>AND(#REF!,"AAAAAHrsfCo=")</f>
        <v>#REF!</v>
      </c>
      <c r="AR49" t="e">
        <f>AND(#REF!,"AAAAAHrsfCs=")</f>
        <v>#REF!</v>
      </c>
      <c r="AS49" t="e">
        <f>AND(#REF!,"AAAAAHrsfCw=")</f>
        <v>#REF!</v>
      </c>
      <c r="AT49" t="e">
        <f>AND(#REF!,"AAAAAHrsfC0=")</f>
        <v>#REF!</v>
      </c>
      <c r="AU49" t="e">
        <f>AND(#REF!,"AAAAAHrsfC4=")</f>
        <v>#REF!</v>
      </c>
      <c r="AV49" t="e">
        <f>AND(#REF!,"AAAAAHrsfC8=")</f>
        <v>#REF!</v>
      </c>
      <c r="AW49" t="e">
        <f>AND(#REF!,"AAAAAHrsfDA=")</f>
        <v>#REF!</v>
      </c>
      <c r="AX49" t="e">
        <f>AND(#REF!,"AAAAAHrsfDE=")</f>
        <v>#REF!</v>
      </c>
      <c r="AY49" t="e">
        <f>AND(#REF!,"AAAAAHrsfDI=")</f>
        <v>#REF!</v>
      </c>
      <c r="AZ49" t="e">
        <f>AND(#REF!,"AAAAAHrsfDM=")</f>
        <v>#REF!</v>
      </c>
      <c r="BA49" t="e">
        <f>AND(#REF!,"AAAAAHrsfDQ=")</f>
        <v>#REF!</v>
      </c>
      <c r="BB49" t="e">
        <f>AND(#REF!,"AAAAAHrsfDU=")</f>
        <v>#REF!</v>
      </c>
      <c r="BC49" t="e">
        <f>AND(#REF!,"AAAAAHrsfDY=")</f>
        <v>#REF!</v>
      </c>
      <c r="BD49" t="e">
        <f>AND(#REF!,"AAAAAHrsfDc=")</f>
        <v>#REF!</v>
      </c>
      <c r="BE49" t="e">
        <f>AND(#REF!,"AAAAAHrsfDg=")</f>
        <v>#REF!</v>
      </c>
      <c r="BF49" t="e">
        <f>AND(#REF!,"AAAAAHrsfDk=")</f>
        <v>#REF!</v>
      </c>
      <c r="BG49" t="e">
        <f>AND(#REF!,"AAAAAHrsfDo=")</f>
        <v>#REF!</v>
      </c>
      <c r="BH49" t="e">
        <f>AND(#REF!,"AAAAAHrsfDs=")</f>
        <v>#REF!</v>
      </c>
      <c r="BI49" t="e">
        <f>AND(#REF!,"AAAAAHrsfDw=")</f>
        <v>#REF!</v>
      </c>
      <c r="BJ49" t="e">
        <f>AND(#REF!,"AAAAAHrsfD0=")</f>
        <v>#REF!</v>
      </c>
      <c r="BK49" t="e">
        <f>AND(#REF!,"AAAAAHrsfD4=")</f>
        <v>#REF!</v>
      </c>
      <c r="BL49" t="e">
        <f>AND(#REF!,"AAAAAHrsfD8=")</f>
        <v>#REF!</v>
      </c>
      <c r="BM49" t="e">
        <f>AND(#REF!,"AAAAAHrsfEA=")</f>
        <v>#REF!</v>
      </c>
      <c r="BN49" t="e">
        <f>AND(#REF!,"AAAAAHrsfEE=")</f>
        <v>#REF!</v>
      </c>
      <c r="BO49" t="e">
        <f>AND(#REF!,"AAAAAHrsfEI=")</f>
        <v>#REF!</v>
      </c>
      <c r="BP49" t="e">
        <f>AND(#REF!,"AAAAAHrsfEM=")</f>
        <v>#REF!</v>
      </c>
      <c r="BQ49" t="e">
        <f>AND(#REF!,"AAAAAHrsfEQ=")</f>
        <v>#REF!</v>
      </c>
      <c r="BR49" t="e">
        <f>AND(#REF!,"AAAAAHrsfEU=")</f>
        <v>#REF!</v>
      </c>
      <c r="BS49" t="e">
        <f>AND(#REF!,"AAAAAHrsfEY=")</f>
        <v>#REF!</v>
      </c>
      <c r="BT49" t="e">
        <f>AND(#REF!,"AAAAAHrsfEc=")</f>
        <v>#REF!</v>
      </c>
      <c r="BU49" t="e">
        <f>AND(#REF!,"AAAAAHrsfEg=")</f>
        <v>#REF!</v>
      </c>
      <c r="BV49" t="e">
        <f>AND(#REF!,"AAAAAHrsfEk=")</f>
        <v>#REF!</v>
      </c>
      <c r="BW49" t="e">
        <f>AND(#REF!,"AAAAAHrsfEo=")</f>
        <v>#REF!</v>
      </c>
      <c r="BX49" t="e">
        <f>AND(#REF!,"AAAAAHrsfEs=")</f>
        <v>#REF!</v>
      </c>
      <c r="BY49" t="e">
        <f>AND(#REF!,"AAAAAHrsfEw=")</f>
        <v>#REF!</v>
      </c>
      <c r="BZ49" t="e">
        <f>AND(#REF!,"AAAAAHrsfE0=")</f>
        <v>#REF!</v>
      </c>
      <c r="CA49" t="e">
        <f>AND(#REF!,"AAAAAHrsfE4=")</f>
        <v>#REF!</v>
      </c>
      <c r="CB49" t="e">
        <f>AND(#REF!,"AAAAAHrsfE8=")</f>
        <v>#REF!</v>
      </c>
      <c r="CC49" t="e">
        <f>AND(#REF!,"AAAAAHrsfFA=")</f>
        <v>#REF!</v>
      </c>
      <c r="CD49" t="e">
        <f>AND(#REF!,"AAAAAHrsfFE=")</f>
        <v>#REF!</v>
      </c>
      <c r="CE49" t="e">
        <f>AND(#REF!,"AAAAAHrsfFI=")</f>
        <v>#REF!</v>
      </c>
      <c r="CF49" t="e">
        <f>AND(#REF!,"AAAAAHrsfFM=")</f>
        <v>#REF!</v>
      </c>
      <c r="CG49" t="e">
        <f>AND(#REF!,"AAAAAHrsfFQ=")</f>
        <v>#REF!</v>
      </c>
      <c r="CH49" t="e">
        <f>AND(#REF!,"AAAAAHrsfFU=")</f>
        <v>#REF!</v>
      </c>
      <c r="CI49" t="e">
        <f>AND(#REF!,"AAAAAHrsfFY=")</f>
        <v>#REF!</v>
      </c>
      <c r="CJ49" t="e">
        <f>AND(#REF!,"AAAAAHrsfFc=")</f>
        <v>#REF!</v>
      </c>
      <c r="CK49" t="e">
        <f>AND(#REF!,"AAAAAHrsfFg=")</f>
        <v>#REF!</v>
      </c>
      <c r="CL49" t="e">
        <f>AND(#REF!,"AAAAAHrsfFk=")</f>
        <v>#REF!</v>
      </c>
      <c r="CM49" t="e">
        <f>AND(#REF!,"AAAAAHrsfFo=")</f>
        <v>#REF!</v>
      </c>
      <c r="CN49" t="e">
        <f>AND(#REF!,"AAAAAHrsfFs=")</f>
        <v>#REF!</v>
      </c>
      <c r="CO49" t="e">
        <f>AND(#REF!,"AAAAAHrsfFw=")</f>
        <v>#REF!</v>
      </c>
      <c r="CP49" t="e">
        <f>AND(#REF!,"AAAAAHrsfF0=")</f>
        <v>#REF!</v>
      </c>
      <c r="CQ49" t="e">
        <f>AND(#REF!,"AAAAAHrsfF4=")</f>
        <v>#REF!</v>
      </c>
      <c r="CR49" t="e">
        <f>AND(#REF!,"AAAAAHrsfF8=")</f>
        <v>#REF!</v>
      </c>
      <c r="CS49" t="e">
        <f>AND(#REF!,"AAAAAHrsfGA=")</f>
        <v>#REF!</v>
      </c>
      <c r="CT49" t="e">
        <f>AND(#REF!,"AAAAAHrsfGE=")</f>
        <v>#REF!</v>
      </c>
      <c r="CU49" t="e">
        <f>AND(#REF!,"AAAAAHrsfGI=")</f>
        <v>#REF!</v>
      </c>
      <c r="CV49" t="e">
        <f>AND(#REF!,"AAAAAHrsfGM=")</f>
        <v>#REF!</v>
      </c>
      <c r="CW49" t="e">
        <f>AND(#REF!,"AAAAAHrsfGQ=")</f>
        <v>#REF!</v>
      </c>
      <c r="CX49" t="e">
        <f>AND(#REF!,"AAAAAHrsfGU=")</f>
        <v>#REF!</v>
      </c>
      <c r="CY49" t="e">
        <f>AND(#REF!,"AAAAAHrsfGY=")</f>
        <v>#REF!</v>
      </c>
      <c r="CZ49" t="e">
        <f>AND(#REF!,"AAAAAHrsfGc=")</f>
        <v>#REF!</v>
      </c>
      <c r="DA49" t="e">
        <f>AND(#REF!,"AAAAAHrsfGg=")</f>
        <v>#REF!</v>
      </c>
      <c r="DB49" t="e">
        <f>AND(#REF!,"AAAAAHrsfGk=")</f>
        <v>#REF!</v>
      </c>
      <c r="DC49" t="e">
        <f>AND(#REF!,"AAAAAHrsfGo=")</f>
        <v>#REF!</v>
      </c>
      <c r="DD49" t="e">
        <f>AND(#REF!,"AAAAAHrsfGs=")</f>
        <v>#REF!</v>
      </c>
      <c r="DE49" t="e">
        <f>AND(#REF!,"AAAAAHrsfGw=")</f>
        <v>#REF!</v>
      </c>
      <c r="DF49" t="e">
        <f>AND(#REF!,"AAAAAHrsfG0=")</f>
        <v>#REF!</v>
      </c>
      <c r="DG49" t="e">
        <f>AND(#REF!,"AAAAAHrsfG4=")</f>
        <v>#REF!</v>
      </c>
      <c r="DH49" t="e">
        <f>AND(#REF!,"AAAAAHrsfG8=")</f>
        <v>#REF!</v>
      </c>
      <c r="DI49" t="e">
        <f>AND(#REF!,"AAAAAHrsfHA=")</f>
        <v>#REF!</v>
      </c>
      <c r="DJ49" t="e">
        <f>AND(#REF!,"AAAAAHrsfHE=")</f>
        <v>#REF!</v>
      </c>
      <c r="DK49" t="e">
        <f>AND(#REF!,"AAAAAHrsfHI=")</f>
        <v>#REF!</v>
      </c>
      <c r="DL49" t="e">
        <f>AND(#REF!,"AAAAAHrsfHM=")</f>
        <v>#REF!</v>
      </c>
      <c r="DM49" t="e">
        <f>AND(#REF!,"AAAAAHrsfHQ=")</f>
        <v>#REF!</v>
      </c>
      <c r="DN49" t="e">
        <f>AND(#REF!,"AAAAAHrsfHU=")</f>
        <v>#REF!</v>
      </c>
      <c r="DO49" t="e">
        <f>AND(#REF!,"AAAAAHrsfHY=")</f>
        <v>#REF!</v>
      </c>
      <c r="DP49" t="e">
        <f>AND(#REF!,"AAAAAHrsfHc=")</f>
        <v>#REF!</v>
      </c>
      <c r="DQ49" t="e">
        <f>AND(#REF!,"AAAAAHrsfHg=")</f>
        <v>#REF!</v>
      </c>
      <c r="DR49" t="e">
        <f>AND(#REF!,"AAAAAHrsfHk=")</f>
        <v>#REF!</v>
      </c>
      <c r="DS49" t="e">
        <f>AND(#REF!,"AAAAAHrsfHo=")</f>
        <v>#REF!</v>
      </c>
      <c r="DT49" t="e">
        <f>AND(#REF!,"AAAAAHrsfHs=")</f>
        <v>#REF!</v>
      </c>
      <c r="DU49" t="e">
        <f>AND(#REF!,"AAAAAHrsfHw=")</f>
        <v>#REF!</v>
      </c>
      <c r="DV49" t="e">
        <f>AND(#REF!,"AAAAAHrsfH0=")</f>
        <v>#REF!</v>
      </c>
      <c r="DW49" t="e">
        <f>AND(#REF!,"AAAAAHrsfH4=")</f>
        <v>#REF!</v>
      </c>
      <c r="DX49" t="e">
        <f>AND(#REF!,"AAAAAHrsfH8=")</f>
        <v>#REF!</v>
      </c>
      <c r="DY49" t="e">
        <f>AND(#REF!,"AAAAAHrsfIA=")</f>
        <v>#REF!</v>
      </c>
      <c r="DZ49" t="e">
        <f>AND(#REF!,"AAAAAHrsfIE=")</f>
        <v>#REF!</v>
      </c>
      <c r="EA49" t="e">
        <f>AND(#REF!,"AAAAAHrsfII=")</f>
        <v>#REF!</v>
      </c>
      <c r="EB49" t="e">
        <f>AND(#REF!,"AAAAAHrsfIM=")</f>
        <v>#REF!</v>
      </c>
      <c r="EC49" t="e">
        <f>AND(#REF!,"AAAAAHrsfIQ=")</f>
        <v>#REF!</v>
      </c>
      <c r="ED49" t="e">
        <f>AND(#REF!,"AAAAAHrsfIU=")</f>
        <v>#REF!</v>
      </c>
      <c r="EE49" t="e">
        <f>AND(#REF!,"AAAAAHrsfIY=")</f>
        <v>#REF!</v>
      </c>
      <c r="EF49" t="e">
        <f>AND(#REF!,"AAAAAHrsfIc=")</f>
        <v>#REF!</v>
      </c>
      <c r="EG49" t="e">
        <f>AND(#REF!,"AAAAAHrsfIg=")</f>
        <v>#REF!</v>
      </c>
      <c r="EH49" t="e">
        <f>AND(#REF!,"AAAAAHrsfIk=")</f>
        <v>#REF!</v>
      </c>
      <c r="EI49" t="e">
        <f>AND(#REF!,"AAAAAHrsfIo=")</f>
        <v>#REF!</v>
      </c>
      <c r="EJ49" t="e">
        <f>AND(#REF!,"AAAAAHrsfIs=")</f>
        <v>#REF!</v>
      </c>
      <c r="EK49" t="e">
        <f>AND(#REF!,"AAAAAHrsfIw=")</f>
        <v>#REF!</v>
      </c>
      <c r="EL49" t="e">
        <f>AND(#REF!,"AAAAAHrsfI0=")</f>
        <v>#REF!</v>
      </c>
      <c r="EM49" t="e">
        <f>AND(#REF!,"AAAAAHrsfI4=")</f>
        <v>#REF!</v>
      </c>
      <c r="EN49" t="e">
        <f>AND(#REF!,"AAAAAHrsfI8=")</f>
        <v>#REF!</v>
      </c>
      <c r="EO49" t="e">
        <f>AND(#REF!,"AAAAAHrsfJA=")</f>
        <v>#REF!</v>
      </c>
      <c r="EP49" t="e">
        <f>AND(#REF!,"AAAAAHrsfJE=")</f>
        <v>#REF!</v>
      </c>
      <c r="EQ49" t="e">
        <f>AND(#REF!,"AAAAAHrsfJI=")</f>
        <v>#REF!</v>
      </c>
      <c r="ER49" t="e">
        <f>AND(#REF!,"AAAAAHrsfJM=")</f>
        <v>#REF!</v>
      </c>
      <c r="ES49" t="e">
        <f>AND(#REF!,"AAAAAHrsfJQ=")</f>
        <v>#REF!</v>
      </c>
      <c r="ET49" t="e">
        <f>AND(#REF!,"AAAAAHrsfJU=")</f>
        <v>#REF!</v>
      </c>
      <c r="EU49" t="e">
        <f>AND(#REF!,"AAAAAHrsfJY=")</f>
        <v>#REF!</v>
      </c>
      <c r="EV49" t="e">
        <f>AND(#REF!,"AAAAAHrsfJc=")</f>
        <v>#REF!</v>
      </c>
      <c r="EW49" t="e">
        <f>AND(#REF!,"AAAAAHrsfJg=")</f>
        <v>#REF!</v>
      </c>
      <c r="EX49" t="e">
        <f>AND(#REF!,"AAAAAHrsfJk=")</f>
        <v>#REF!</v>
      </c>
      <c r="EY49" t="e">
        <f>AND(#REF!,"AAAAAHrsfJo=")</f>
        <v>#REF!</v>
      </c>
      <c r="EZ49" t="e">
        <f>AND(#REF!,"AAAAAHrsfJs=")</f>
        <v>#REF!</v>
      </c>
      <c r="FA49" t="e">
        <f>AND(#REF!,"AAAAAHrsfJw=")</f>
        <v>#REF!</v>
      </c>
      <c r="FB49" t="e">
        <f>AND(#REF!,"AAAAAHrsfJ0=")</f>
        <v>#REF!</v>
      </c>
      <c r="FC49" t="e">
        <f>AND(#REF!,"AAAAAHrsfJ4=")</f>
        <v>#REF!</v>
      </c>
      <c r="FD49" t="e">
        <f>AND(#REF!,"AAAAAHrsfJ8=")</f>
        <v>#REF!</v>
      </c>
      <c r="FE49" t="e">
        <f>AND(#REF!,"AAAAAHrsfKA=")</f>
        <v>#REF!</v>
      </c>
      <c r="FF49" t="e">
        <f>AND(#REF!,"AAAAAHrsfKE=")</f>
        <v>#REF!</v>
      </c>
      <c r="FG49" t="e">
        <f>AND(#REF!,"AAAAAHrsfKI=")</f>
        <v>#REF!</v>
      </c>
      <c r="FH49" t="e">
        <f>AND(#REF!,"AAAAAHrsfKM=")</f>
        <v>#REF!</v>
      </c>
      <c r="FI49" t="e">
        <f>AND(#REF!,"AAAAAHrsfKQ=")</f>
        <v>#REF!</v>
      </c>
      <c r="FJ49" t="e">
        <f>AND(#REF!,"AAAAAHrsfKU=")</f>
        <v>#REF!</v>
      </c>
      <c r="FK49" t="e">
        <f>AND(#REF!,"AAAAAHrsfKY=")</f>
        <v>#REF!</v>
      </c>
      <c r="FL49" t="e">
        <f>AND(#REF!,"AAAAAHrsfKc=")</f>
        <v>#REF!</v>
      </c>
      <c r="FM49" t="e">
        <f>AND(#REF!,"AAAAAHrsfKg=")</f>
        <v>#REF!</v>
      </c>
      <c r="FN49" t="e">
        <f>AND(#REF!,"AAAAAHrsfKk=")</f>
        <v>#REF!</v>
      </c>
      <c r="FO49" t="e">
        <f>AND(#REF!,"AAAAAHrsfKo=")</f>
        <v>#REF!</v>
      </c>
      <c r="FP49" t="e">
        <f>AND(#REF!,"AAAAAHrsfKs=")</f>
        <v>#REF!</v>
      </c>
      <c r="FQ49" t="e">
        <f>AND(#REF!,"AAAAAHrsfKw=")</f>
        <v>#REF!</v>
      </c>
      <c r="FR49" t="e">
        <f>AND(#REF!,"AAAAAHrsfK0=")</f>
        <v>#REF!</v>
      </c>
      <c r="FS49" t="e">
        <f>AND(#REF!,"AAAAAHrsfK4=")</f>
        <v>#REF!</v>
      </c>
      <c r="FT49" t="e">
        <f>AND(#REF!,"AAAAAHrsfK8=")</f>
        <v>#REF!</v>
      </c>
      <c r="FU49" t="e">
        <f>AND(#REF!,"AAAAAHrsfLA=")</f>
        <v>#REF!</v>
      </c>
      <c r="FV49" t="e">
        <f>AND(#REF!,"AAAAAHrsfLE=")</f>
        <v>#REF!</v>
      </c>
      <c r="FW49" t="e">
        <f>AND(#REF!,"AAAAAHrsfLI=")</f>
        <v>#REF!</v>
      </c>
      <c r="FX49" t="e">
        <f>AND(#REF!,"AAAAAHrsfLM=")</f>
        <v>#REF!</v>
      </c>
      <c r="FY49" t="e">
        <f>AND(#REF!,"AAAAAHrsfLQ=")</f>
        <v>#REF!</v>
      </c>
      <c r="FZ49" t="e">
        <f>AND(#REF!,"AAAAAHrsfLU=")</f>
        <v>#REF!</v>
      </c>
      <c r="GA49" t="e">
        <f>AND(#REF!,"AAAAAHrsfLY=")</f>
        <v>#REF!</v>
      </c>
      <c r="GB49" t="e">
        <f>AND(#REF!,"AAAAAHrsfLc=")</f>
        <v>#REF!</v>
      </c>
      <c r="GC49" t="e">
        <f>AND(#REF!,"AAAAAHrsfLg=")</f>
        <v>#REF!</v>
      </c>
      <c r="GD49" t="e">
        <f>AND(#REF!,"AAAAAHrsfLk=")</f>
        <v>#REF!</v>
      </c>
      <c r="GE49" t="e">
        <f>AND(#REF!,"AAAAAHrsfLo=")</f>
        <v>#REF!</v>
      </c>
      <c r="GF49" t="e">
        <f>AND(#REF!,"AAAAAHrsfLs=")</f>
        <v>#REF!</v>
      </c>
      <c r="GG49" t="e">
        <f>AND(#REF!,"AAAAAHrsfLw=")</f>
        <v>#REF!</v>
      </c>
      <c r="GH49" t="e">
        <f>AND(#REF!,"AAAAAHrsfL0=")</f>
        <v>#REF!</v>
      </c>
      <c r="GI49" t="e">
        <f>AND(#REF!,"AAAAAHrsfL4=")</f>
        <v>#REF!</v>
      </c>
      <c r="GJ49" t="e">
        <f>AND(#REF!,"AAAAAHrsfL8=")</f>
        <v>#REF!</v>
      </c>
      <c r="GK49" t="e">
        <f>AND(#REF!,"AAAAAHrsfMA=")</f>
        <v>#REF!</v>
      </c>
      <c r="GL49" t="e">
        <f>AND(#REF!,"AAAAAHrsfME=")</f>
        <v>#REF!</v>
      </c>
      <c r="GM49" t="e">
        <f>AND(#REF!,"AAAAAHrsfMI=")</f>
        <v>#REF!</v>
      </c>
      <c r="GN49" t="e">
        <f>AND(#REF!,"AAAAAHrsfMM=")</f>
        <v>#REF!</v>
      </c>
      <c r="GO49" t="e">
        <f>AND(#REF!,"AAAAAHrsfMQ=")</f>
        <v>#REF!</v>
      </c>
      <c r="GP49" t="e">
        <f>AND(#REF!,"AAAAAHrsfMU=")</f>
        <v>#REF!</v>
      </c>
      <c r="GQ49" t="e">
        <f>AND(#REF!,"AAAAAHrsfMY=")</f>
        <v>#REF!</v>
      </c>
      <c r="GR49" t="e">
        <f>AND(#REF!,"AAAAAHrsfMc=")</f>
        <v>#REF!</v>
      </c>
      <c r="GS49" t="e">
        <f>AND(#REF!,"AAAAAHrsfMg=")</f>
        <v>#REF!</v>
      </c>
      <c r="GT49" t="e">
        <f>AND(#REF!,"AAAAAHrsfMk=")</f>
        <v>#REF!</v>
      </c>
      <c r="GU49" t="e">
        <f>AND(#REF!,"AAAAAHrsfMo=")</f>
        <v>#REF!</v>
      </c>
      <c r="GV49" t="e">
        <f>AND(#REF!,"AAAAAHrsfMs=")</f>
        <v>#REF!</v>
      </c>
      <c r="GW49" t="e">
        <f>AND(#REF!,"AAAAAHrsfMw=")</f>
        <v>#REF!</v>
      </c>
      <c r="GX49" t="e">
        <f>AND(#REF!,"AAAAAHrsfM0=")</f>
        <v>#REF!</v>
      </c>
      <c r="GY49" t="e">
        <f>AND(#REF!,"AAAAAHrsfM4=")</f>
        <v>#REF!</v>
      </c>
      <c r="GZ49" t="e">
        <f>AND(#REF!,"AAAAAHrsfM8=")</f>
        <v>#REF!</v>
      </c>
      <c r="HA49" t="e">
        <f>AND(#REF!,"AAAAAHrsfNA=")</f>
        <v>#REF!</v>
      </c>
      <c r="HB49" t="e">
        <f>AND(#REF!,"AAAAAHrsfNE=")</f>
        <v>#REF!</v>
      </c>
      <c r="HC49" t="e">
        <f>AND(#REF!,"AAAAAHrsfNI=")</f>
        <v>#REF!</v>
      </c>
      <c r="HD49" t="e">
        <f>AND(#REF!,"AAAAAHrsfNM=")</f>
        <v>#REF!</v>
      </c>
      <c r="HE49" t="e">
        <f>AND(#REF!,"AAAAAHrsfNQ=")</f>
        <v>#REF!</v>
      </c>
      <c r="HF49" t="e">
        <f>AND(#REF!,"AAAAAHrsfNU=")</f>
        <v>#REF!</v>
      </c>
      <c r="HG49" t="e">
        <f>AND(#REF!,"AAAAAHrsfNY=")</f>
        <v>#REF!</v>
      </c>
      <c r="HH49" t="e">
        <f>AND(#REF!,"AAAAAHrsfNc=")</f>
        <v>#REF!</v>
      </c>
      <c r="HI49" t="e">
        <f>AND(#REF!,"AAAAAHrsfNg=")</f>
        <v>#REF!</v>
      </c>
      <c r="HJ49" t="e">
        <f>AND(#REF!,"AAAAAHrsfNk=")</f>
        <v>#REF!</v>
      </c>
      <c r="HK49" t="e">
        <f>AND(#REF!,"AAAAAHrsfNo=")</f>
        <v>#REF!</v>
      </c>
      <c r="HL49" t="e">
        <f>AND(#REF!,"AAAAAHrsfNs=")</f>
        <v>#REF!</v>
      </c>
      <c r="HM49" t="e">
        <f>AND(#REF!,"AAAAAHrsfNw=")</f>
        <v>#REF!</v>
      </c>
      <c r="HN49" t="e">
        <f>AND(#REF!,"AAAAAHrsfN0=")</f>
        <v>#REF!</v>
      </c>
      <c r="HO49" t="e">
        <f>AND(#REF!,"AAAAAHrsfN4=")</f>
        <v>#REF!</v>
      </c>
      <c r="HP49" t="e">
        <f>AND(#REF!,"AAAAAHrsfN8=")</f>
        <v>#REF!</v>
      </c>
      <c r="HQ49" t="e">
        <f>AND(#REF!,"AAAAAHrsfOA=")</f>
        <v>#REF!</v>
      </c>
      <c r="HR49" t="e">
        <f>AND(#REF!,"AAAAAHrsfOE=")</f>
        <v>#REF!</v>
      </c>
      <c r="HS49" t="e">
        <f>AND(#REF!,"AAAAAHrsfOI=")</f>
        <v>#REF!</v>
      </c>
      <c r="HT49" t="e">
        <f>AND(#REF!,"AAAAAHrsfOM=")</f>
        <v>#REF!</v>
      </c>
      <c r="HU49" t="e">
        <f>AND(#REF!,"AAAAAHrsfOQ=")</f>
        <v>#REF!</v>
      </c>
      <c r="HV49" t="e">
        <f>AND(#REF!,"AAAAAHrsfOU=")</f>
        <v>#REF!</v>
      </c>
      <c r="HW49" t="e">
        <f>AND(#REF!,"AAAAAHrsfOY=")</f>
        <v>#REF!</v>
      </c>
      <c r="HX49" t="e">
        <f>AND(#REF!,"AAAAAHrsfOc=")</f>
        <v>#REF!</v>
      </c>
      <c r="HY49" t="e">
        <f>AND(#REF!,"AAAAAHrsfOg=")</f>
        <v>#REF!</v>
      </c>
      <c r="HZ49" t="e">
        <f>AND(#REF!,"AAAAAHrsfOk=")</f>
        <v>#REF!</v>
      </c>
      <c r="IA49" t="e">
        <f>AND(#REF!,"AAAAAHrsfOo=")</f>
        <v>#REF!</v>
      </c>
      <c r="IB49" t="e">
        <f>AND(#REF!,"AAAAAHrsfOs=")</f>
        <v>#REF!</v>
      </c>
      <c r="IC49" t="e">
        <f>AND(#REF!,"AAAAAHrsfOw=")</f>
        <v>#REF!</v>
      </c>
      <c r="ID49" t="e">
        <f>AND(#REF!,"AAAAAHrsfO0=")</f>
        <v>#REF!</v>
      </c>
      <c r="IE49" t="e">
        <f>AND(#REF!,"AAAAAHrsfO4=")</f>
        <v>#REF!</v>
      </c>
      <c r="IF49" t="e">
        <f>AND(#REF!,"AAAAAHrsfO8=")</f>
        <v>#REF!</v>
      </c>
      <c r="IG49" t="e">
        <f>AND(#REF!,"AAAAAHrsfPA=")</f>
        <v>#REF!</v>
      </c>
      <c r="IH49" t="e">
        <f>AND(#REF!,"AAAAAHrsfPE=")</f>
        <v>#REF!</v>
      </c>
      <c r="II49" t="e">
        <f>AND(#REF!,"AAAAAHrsfPI=")</f>
        <v>#REF!</v>
      </c>
      <c r="IJ49" t="e">
        <f>AND(#REF!,"AAAAAHrsfPM=")</f>
        <v>#REF!</v>
      </c>
      <c r="IK49" t="e">
        <f>AND(#REF!,"AAAAAHrsfPQ=")</f>
        <v>#REF!</v>
      </c>
      <c r="IL49" t="e">
        <f>AND(#REF!,"AAAAAHrsfPU=")</f>
        <v>#REF!</v>
      </c>
      <c r="IM49" t="e">
        <f>AND(#REF!,"AAAAAHrsfPY=")</f>
        <v>#REF!</v>
      </c>
      <c r="IN49" t="e">
        <f>AND(#REF!,"AAAAAHrsfPc=")</f>
        <v>#REF!</v>
      </c>
      <c r="IO49" t="e">
        <f>AND(#REF!,"AAAAAHrsfPg=")</f>
        <v>#REF!</v>
      </c>
      <c r="IP49" t="e">
        <f>AND(#REF!,"AAAAAHrsfPk=")</f>
        <v>#REF!</v>
      </c>
      <c r="IQ49" t="e">
        <f>AND(#REF!,"AAAAAHrsfPo=")</f>
        <v>#REF!</v>
      </c>
      <c r="IR49" t="e">
        <f>AND(#REF!,"AAAAAHrsfPs=")</f>
        <v>#REF!</v>
      </c>
      <c r="IS49" t="e">
        <f>AND(#REF!,"AAAAAHrsfPw=")</f>
        <v>#REF!</v>
      </c>
      <c r="IT49" t="e">
        <f>AND(#REF!,"AAAAAHrsfP0=")</f>
        <v>#REF!</v>
      </c>
      <c r="IU49" t="e">
        <f>AND(#REF!,"AAAAAHrsfP4=")</f>
        <v>#REF!</v>
      </c>
      <c r="IV49" t="e">
        <f>AND(#REF!,"AAAAAHrsfP8=")</f>
        <v>#REF!</v>
      </c>
    </row>
    <row r="50" spans="1:256" x14ac:dyDescent="0.25">
      <c r="A50" t="e">
        <f>AND(#REF!,"AAAAAEx//wA=")</f>
        <v>#REF!</v>
      </c>
      <c r="B50" t="e">
        <f>AND(#REF!,"AAAAAEx//wE=")</f>
        <v>#REF!</v>
      </c>
      <c r="C50" t="e">
        <f>AND(#REF!,"AAAAAEx//wI=")</f>
        <v>#REF!</v>
      </c>
      <c r="D50" t="e">
        <f>AND(#REF!,"AAAAAEx//wM=")</f>
        <v>#REF!</v>
      </c>
      <c r="E50" t="e">
        <f>AND(#REF!,"AAAAAEx//wQ=")</f>
        <v>#REF!</v>
      </c>
      <c r="F50" t="e">
        <f>AND(#REF!,"AAAAAEx//wU=")</f>
        <v>#REF!</v>
      </c>
      <c r="G50" t="e">
        <f>AND(#REF!,"AAAAAEx//wY=")</f>
        <v>#REF!</v>
      </c>
      <c r="H50" t="e">
        <f>AND(#REF!,"AAAAAEx//wc=")</f>
        <v>#REF!</v>
      </c>
      <c r="I50" t="e">
        <f>AND(#REF!,"AAAAAEx//wg=")</f>
        <v>#REF!</v>
      </c>
      <c r="J50" t="e">
        <f>AND(#REF!,"AAAAAEx//wk=")</f>
        <v>#REF!</v>
      </c>
      <c r="K50" t="e">
        <f>AND(#REF!,"AAAAAEx//wo=")</f>
        <v>#REF!</v>
      </c>
      <c r="L50" t="e">
        <f>AND(#REF!,"AAAAAEx//ws=")</f>
        <v>#REF!</v>
      </c>
      <c r="M50" t="e">
        <f>AND(#REF!,"AAAAAEx//ww=")</f>
        <v>#REF!</v>
      </c>
      <c r="N50" t="e">
        <f>AND(#REF!,"AAAAAEx//w0=")</f>
        <v>#REF!</v>
      </c>
      <c r="O50" t="e">
        <f>AND(#REF!,"AAAAAEx//w4=")</f>
        <v>#REF!</v>
      </c>
      <c r="P50" t="e">
        <f>AND(#REF!,"AAAAAEx//w8=")</f>
        <v>#REF!</v>
      </c>
      <c r="Q50" t="e">
        <f>AND(#REF!,"AAAAAEx//xA=")</f>
        <v>#REF!</v>
      </c>
      <c r="R50" t="e">
        <f>AND(#REF!,"AAAAAEx//xE=")</f>
        <v>#REF!</v>
      </c>
      <c r="S50" t="e">
        <f>AND(#REF!,"AAAAAEx//xI=")</f>
        <v>#REF!</v>
      </c>
      <c r="T50" t="e">
        <f>AND(#REF!,"AAAAAEx//xM=")</f>
        <v>#REF!</v>
      </c>
      <c r="U50" t="e">
        <f>AND(#REF!,"AAAAAEx//xQ=")</f>
        <v>#REF!</v>
      </c>
      <c r="V50" t="e">
        <f>AND(#REF!,"AAAAAEx//xU=")</f>
        <v>#REF!</v>
      </c>
      <c r="W50" t="e">
        <f>AND(#REF!,"AAAAAEx//xY=")</f>
        <v>#REF!</v>
      </c>
      <c r="X50" t="e">
        <f>AND(#REF!,"AAAAAEx//xc=")</f>
        <v>#REF!</v>
      </c>
      <c r="Y50" t="e">
        <f>AND(#REF!,"AAAAAEx//xg=")</f>
        <v>#REF!</v>
      </c>
      <c r="Z50" t="e">
        <f>AND(#REF!,"AAAAAEx//xk=")</f>
        <v>#REF!</v>
      </c>
      <c r="AA50" t="e">
        <f>AND(#REF!,"AAAAAEx//xo=")</f>
        <v>#REF!</v>
      </c>
      <c r="AB50" t="e">
        <f>AND(#REF!,"AAAAAEx//xs=")</f>
        <v>#REF!</v>
      </c>
      <c r="AC50" t="e">
        <f>AND(#REF!,"AAAAAEx//xw=")</f>
        <v>#REF!</v>
      </c>
      <c r="AD50" t="e">
        <f>AND(#REF!,"AAAAAEx//x0=")</f>
        <v>#REF!</v>
      </c>
      <c r="AE50" t="e">
        <f>AND(#REF!,"AAAAAEx//x4=")</f>
        <v>#REF!</v>
      </c>
      <c r="AF50" t="e">
        <f>AND(#REF!,"AAAAAEx//x8=")</f>
        <v>#REF!</v>
      </c>
      <c r="AG50" t="e">
        <f>AND(#REF!,"AAAAAEx//yA=")</f>
        <v>#REF!</v>
      </c>
      <c r="AH50" t="e">
        <f>AND(#REF!,"AAAAAEx//yE=")</f>
        <v>#REF!</v>
      </c>
      <c r="AI50" t="e">
        <f>AND(#REF!,"AAAAAEx//yI=")</f>
        <v>#REF!</v>
      </c>
      <c r="AJ50" t="e">
        <f>AND(#REF!,"AAAAAEx//yM=")</f>
        <v>#REF!</v>
      </c>
      <c r="AK50" t="e">
        <f>AND(#REF!,"AAAAAEx//yQ=")</f>
        <v>#REF!</v>
      </c>
      <c r="AL50" t="e">
        <f>AND(#REF!,"AAAAAEx//yU=")</f>
        <v>#REF!</v>
      </c>
      <c r="AM50" t="e">
        <f>AND(#REF!,"AAAAAEx//yY=")</f>
        <v>#REF!</v>
      </c>
      <c r="AN50" t="e">
        <f>AND(#REF!,"AAAAAEx//yc=")</f>
        <v>#REF!</v>
      </c>
      <c r="AO50" t="e">
        <f>AND(#REF!,"AAAAAEx//yg=")</f>
        <v>#REF!</v>
      </c>
      <c r="AP50" t="e">
        <f>AND(#REF!,"AAAAAEx//yk=")</f>
        <v>#REF!</v>
      </c>
      <c r="AQ50" t="e">
        <f>AND(#REF!,"AAAAAEx//yo=")</f>
        <v>#REF!</v>
      </c>
      <c r="AR50" t="e">
        <f>AND(#REF!,"AAAAAEx//ys=")</f>
        <v>#REF!</v>
      </c>
      <c r="AS50" t="e">
        <f>AND(#REF!,"AAAAAEx//yw=")</f>
        <v>#REF!</v>
      </c>
      <c r="AT50" t="e">
        <f>AND(#REF!,"AAAAAEx//y0=")</f>
        <v>#REF!</v>
      </c>
      <c r="AU50" t="e">
        <f>AND(#REF!,"AAAAAEx//y4=")</f>
        <v>#REF!</v>
      </c>
      <c r="AV50" t="e">
        <f>AND(#REF!,"AAAAAEx//y8=")</f>
        <v>#REF!</v>
      </c>
      <c r="AW50" t="e">
        <f>AND(#REF!,"AAAAAEx//zA=")</f>
        <v>#REF!</v>
      </c>
      <c r="AX50" t="e">
        <f>AND(#REF!,"AAAAAEx//zE=")</f>
        <v>#REF!</v>
      </c>
      <c r="AY50" t="e">
        <f>AND(#REF!,"AAAAAEx//zI=")</f>
        <v>#REF!</v>
      </c>
      <c r="AZ50" t="e">
        <f>AND(#REF!,"AAAAAEx//zM=")</f>
        <v>#REF!</v>
      </c>
      <c r="BA50" t="e">
        <f>AND(#REF!,"AAAAAEx//zQ=")</f>
        <v>#REF!</v>
      </c>
      <c r="BB50" t="e">
        <f>AND(#REF!,"AAAAAEx//zU=")</f>
        <v>#REF!</v>
      </c>
      <c r="BC50" t="e">
        <f>AND(#REF!,"AAAAAEx//zY=")</f>
        <v>#REF!</v>
      </c>
      <c r="BD50" t="e">
        <f>AND(#REF!,"AAAAAEx//zc=")</f>
        <v>#REF!</v>
      </c>
      <c r="BE50" t="e">
        <f>AND(#REF!,"AAAAAEx//zg=")</f>
        <v>#REF!</v>
      </c>
      <c r="BF50" t="e">
        <f>AND(#REF!,"AAAAAEx//zk=")</f>
        <v>#REF!</v>
      </c>
      <c r="BG50" t="e">
        <f>AND(#REF!,"AAAAAEx//zo=")</f>
        <v>#REF!</v>
      </c>
      <c r="BH50" t="e">
        <f>AND(#REF!,"AAAAAEx//zs=")</f>
        <v>#REF!</v>
      </c>
      <c r="BI50" t="e">
        <f>AND(#REF!,"AAAAAEx//zw=")</f>
        <v>#REF!</v>
      </c>
      <c r="BJ50" t="e">
        <f>AND(#REF!,"AAAAAEx//z0=")</f>
        <v>#REF!</v>
      </c>
      <c r="BK50" t="e">
        <f>AND(#REF!,"AAAAAEx//z4=")</f>
        <v>#REF!</v>
      </c>
      <c r="BL50" t="e">
        <f>AND(#REF!,"AAAAAEx//z8=")</f>
        <v>#REF!</v>
      </c>
      <c r="BM50" t="e">
        <f>AND(#REF!,"AAAAAEx//0A=")</f>
        <v>#REF!</v>
      </c>
      <c r="BN50" t="e">
        <f>AND(#REF!,"AAAAAEx//0E=")</f>
        <v>#REF!</v>
      </c>
      <c r="BO50" t="e">
        <f>AND(#REF!,"AAAAAEx//0I=")</f>
        <v>#REF!</v>
      </c>
      <c r="BP50" t="e">
        <f>AND(#REF!,"AAAAAEx//0M=")</f>
        <v>#REF!</v>
      </c>
      <c r="BQ50" t="e">
        <f>AND(#REF!,"AAAAAEx//0Q=")</f>
        <v>#REF!</v>
      </c>
      <c r="BR50" t="e">
        <f>AND(#REF!,"AAAAAEx//0U=")</f>
        <v>#REF!</v>
      </c>
      <c r="BS50" t="e">
        <f>AND(#REF!,"AAAAAEx//0Y=")</f>
        <v>#REF!</v>
      </c>
      <c r="BT50" t="e">
        <f>AND(#REF!,"AAAAAEx//0c=")</f>
        <v>#REF!</v>
      </c>
      <c r="BU50" t="e">
        <f>AND(#REF!,"AAAAAEx//0g=")</f>
        <v>#REF!</v>
      </c>
      <c r="BV50" t="e">
        <f>AND(#REF!,"AAAAAEx//0k=")</f>
        <v>#REF!</v>
      </c>
      <c r="BW50" t="e">
        <f>AND(#REF!,"AAAAAEx//0o=")</f>
        <v>#REF!</v>
      </c>
      <c r="BX50" t="e">
        <f>AND(#REF!,"AAAAAEx//0s=")</f>
        <v>#REF!</v>
      </c>
      <c r="BY50" t="e">
        <f>AND(#REF!,"AAAAAEx//0w=")</f>
        <v>#REF!</v>
      </c>
      <c r="BZ50" t="e">
        <f>AND(#REF!,"AAAAAEx//00=")</f>
        <v>#REF!</v>
      </c>
      <c r="CA50" t="e">
        <f>AND(#REF!,"AAAAAEx//04=")</f>
        <v>#REF!</v>
      </c>
      <c r="CB50" t="e">
        <f>AND(#REF!,"AAAAAEx//08=")</f>
        <v>#REF!</v>
      </c>
      <c r="CC50" t="e">
        <f>AND(#REF!,"AAAAAEx//1A=")</f>
        <v>#REF!</v>
      </c>
      <c r="CD50" t="e">
        <f>AND(#REF!,"AAAAAEx//1E=")</f>
        <v>#REF!</v>
      </c>
      <c r="CE50" t="e">
        <f>AND(#REF!,"AAAAAEx//1I=")</f>
        <v>#REF!</v>
      </c>
      <c r="CF50" t="e">
        <f>AND(#REF!,"AAAAAEx//1M=")</f>
        <v>#REF!</v>
      </c>
      <c r="CG50" t="e">
        <f>AND(#REF!,"AAAAAEx//1Q=")</f>
        <v>#REF!</v>
      </c>
      <c r="CH50" t="e">
        <f>AND(#REF!,"AAAAAEx//1U=")</f>
        <v>#REF!</v>
      </c>
      <c r="CI50" t="e">
        <f>AND(#REF!,"AAAAAEx//1Y=")</f>
        <v>#REF!</v>
      </c>
      <c r="CJ50" t="e">
        <f>AND(#REF!,"AAAAAEx//1c=")</f>
        <v>#REF!</v>
      </c>
      <c r="CK50" t="e">
        <f>AND(#REF!,"AAAAAEx//1g=")</f>
        <v>#REF!</v>
      </c>
      <c r="CL50" t="e">
        <f>AND(#REF!,"AAAAAEx//1k=")</f>
        <v>#REF!</v>
      </c>
      <c r="CM50" t="e">
        <f>AND(#REF!,"AAAAAEx//1o=")</f>
        <v>#REF!</v>
      </c>
      <c r="CN50" t="e">
        <f>AND(#REF!,"AAAAAEx//1s=")</f>
        <v>#REF!</v>
      </c>
      <c r="CO50" t="e">
        <f>AND(#REF!,"AAAAAEx//1w=")</f>
        <v>#REF!</v>
      </c>
      <c r="CP50" t="e">
        <f>AND(#REF!,"AAAAAEx//10=")</f>
        <v>#REF!</v>
      </c>
      <c r="CQ50" t="e">
        <f>AND(#REF!,"AAAAAEx//14=")</f>
        <v>#REF!</v>
      </c>
      <c r="CR50" t="e">
        <f>AND(#REF!,"AAAAAEx//18=")</f>
        <v>#REF!</v>
      </c>
      <c r="CS50" t="e">
        <f>AND(#REF!,"AAAAAEx//2A=")</f>
        <v>#REF!</v>
      </c>
      <c r="CT50" t="e">
        <f>AND(#REF!,"AAAAAEx//2E=")</f>
        <v>#REF!</v>
      </c>
      <c r="CU50" t="e">
        <f>AND(#REF!,"AAAAAEx//2I=")</f>
        <v>#REF!</v>
      </c>
      <c r="CV50" t="e">
        <f>AND(#REF!,"AAAAAEx//2M=")</f>
        <v>#REF!</v>
      </c>
      <c r="CW50" t="e">
        <f>AND(#REF!,"AAAAAEx//2Q=")</f>
        <v>#REF!</v>
      </c>
      <c r="CX50" t="e">
        <f>AND(#REF!,"AAAAAEx//2U=")</f>
        <v>#REF!</v>
      </c>
      <c r="CY50" t="e">
        <f>AND(#REF!,"AAAAAEx//2Y=")</f>
        <v>#REF!</v>
      </c>
      <c r="CZ50" t="e">
        <f>AND(#REF!,"AAAAAEx//2c=")</f>
        <v>#REF!</v>
      </c>
      <c r="DA50" t="e">
        <f>AND(#REF!,"AAAAAEx//2g=")</f>
        <v>#REF!</v>
      </c>
      <c r="DB50" t="e">
        <f>AND(#REF!,"AAAAAEx//2k=")</f>
        <v>#REF!</v>
      </c>
      <c r="DC50" t="e">
        <f>AND(#REF!,"AAAAAEx//2o=")</f>
        <v>#REF!</v>
      </c>
      <c r="DD50" t="e">
        <f>AND(#REF!,"AAAAAEx//2s=")</f>
        <v>#REF!</v>
      </c>
      <c r="DE50" t="e">
        <f>AND(#REF!,"AAAAAEx//2w=")</f>
        <v>#REF!</v>
      </c>
      <c r="DF50" t="e">
        <f>AND(#REF!,"AAAAAEx//20=")</f>
        <v>#REF!</v>
      </c>
      <c r="DG50" t="e">
        <f>AND(#REF!,"AAAAAEx//24=")</f>
        <v>#REF!</v>
      </c>
      <c r="DH50" t="e">
        <f>AND(#REF!,"AAAAAEx//28=")</f>
        <v>#REF!</v>
      </c>
      <c r="DI50" t="e">
        <f>AND(#REF!,"AAAAAEx//3A=")</f>
        <v>#REF!</v>
      </c>
      <c r="DJ50" t="e">
        <f>AND(#REF!,"AAAAAEx//3E=")</f>
        <v>#REF!</v>
      </c>
      <c r="DK50" t="e">
        <f>AND(#REF!,"AAAAAEx//3I=")</f>
        <v>#REF!</v>
      </c>
      <c r="DL50" t="e">
        <f>AND(#REF!,"AAAAAEx//3M=")</f>
        <v>#REF!</v>
      </c>
      <c r="DM50" t="e">
        <f>AND(#REF!,"AAAAAEx//3Q=")</f>
        <v>#REF!</v>
      </c>
      <c r="DN50" t="e">
        <f>AND(#REF!,"AAAAAEx//3U=")</f>
        <v>#REF!</v>
      </c>
      <c r="DO50" t="e">
        <f>AND(#REF!,"AAAAAEx//3Y=")</f>
        <v>#REF!</v>
      </c>
      <c r="DP50" t="e">
        <f>AND(#REF!,"AAAAAEx//3c=")</f>
        <v>#REF!</v>
      </c>
      <c r="DQ50" t="e">
        <f>AND(#REF!,"AAAAAEx//3g=")</f>
        <v>#REF!</v>
      </c>
      <c r="DR50" t="e">
        <f>AND(#REF!,"AAAAAEx//3k=")</f>
        <v>#REF!</v>
      </c>
      <c r="DS50" t="e">
        <f>AND(#REF!,"AAAAAEx//3o=")</f>
        <v>#REF!</v>
      </c>
      <c r="DT50" t="e">
        <f>AND(#REF!,"AAAAAEx//3s=")</f>
        <v>#REF!</v>
      </c>
      <c r="DU50" t="e">
        <f>AND(#REF!,"AAAAAEx//3w=")</f>
        <v>#REF!</v>
      </c>
      <c r="DV50" t="e">
        <f>AND(#REF!,"AAAAAEx//30=")</f>
        <v>#REF!</v>
      </c>
      <c r="DW50" t="e">
        <f>AND(#REF!,"AAAAAEx//34=")</f>
        <v>#REF!</v>
      </c>
      <c r="DX50" t="e">
        <f>AND(#REF!,"AAAAAEx//38=")</f>
        <v>#REF!</v>
      </c>
      <c r="DY50" t="e">
        <f>AND(#REF!,"AAAAAEx//4A=")</f>
        <v>#REF!</v>
      </c>
      <c r="DZ50" t="e">
        <f>AND(#REF!,"AAAAAEx//4E=")</f>
        <v>#REF!</v>
      </c>
      <c r="EA50" t="e">
        <f>AND(#REF!,"AAAAAEx//4I=")</f>
        <v>#REF!</v>
      </c>
      <c r="EB50" t="e">
        <f>AND(#REF!,"AAAAAEx//4M=")</f>
        <v>#REF!</v>
      </c>
      <c r="EC50" t="e">
        <f>AND(#REF!,"AAAAAEx//4Q=")</f>
        <v>#REF!</v>
      </c>
      <c r="ED50" t="e">
        <f>AND(#REF!,"AAAAAEx//4U=")</f>
        <v>#REF!</v>
      </c>
      <c r="EE50" t="e">
        <f>AND(#REF!,"AAAAAEx//4Y=")</f>
        <v>#REF!</v>
      </c>
      <c r="EF50" t="e">
        <f>AND(#REF!,"AAAAAEx//4c=")</f>
        <v>#REF!</v>
      </c>
      <c r="EG50" t="e">
        <f>AND(#REF!,"AAAAAEx//4g=")</f>
        <v>#REF!</v>
      </c>
      <c r="EH50" t="e">
        <f>AND(#REF!,"AAAAAEx//4k=")</f>
        <v>#REF!</v>
      </c>
      <c r="EI50" t="e">
        <f>AND(#REF!,"AAAAAEx//4o=")</f>
        <v>#REF!</v>
      </c>
      <c r="EJ50" t="e">
        <f>AND(#REF!,"AAAAAEx//4s=")</f>
        <v>#REF!</v>
      </c>
      <c r="EK50" t="e">
        <f>AND(#REF!,"AAAAAEx//4w=")</f>
        <v>#REF!</v>
      </c>
      <c r="EL50" t="e">
        <f>AND(#REF!,"AAAAAEx//40=")</f>
        <v>#REF!</v>
      </c>
      <c r="EM50" t="e">
        <f>AND(#REF!,"AAAAAEx//44=")</f>
        <v>#REF!</v>
      </c>
      <c r="EN50" t="e">
        <f>AND(#REF!,"AAAAAEx//48=")</f>
        <v>#REF!</v>
      </c>
      <c r="EO50" t="e">
        <f>AND(#REF!,"AAAAAEx//5A=")</f>
        <v>#REF!</v>
      </c>
      <c r="EP50" t="e">
        <f>AND(#REF!,"AAAAAEx//5E=")</f>
        <v>#REF!</v>
      </c>
      <c r="EQ50" t="e">
        <f>AND(#REF!,"AAAAAEx//5I=")</f>
        <v>#REF!</v>
      </c>
      <c r="ER50" t="e">
        <f>AND(#REF!,"AAAAAEx//5M=")</f>
        <v>#REF!</v>
      </c>
      <c r="ES50" t="e">
        <f>AND(#REF!,"AAAAAEx//5Q=")</f>
        <v>#REF!</v>
      </c>
      <c r="ET50" t="e">
        <f>AND(#REF!,"AAAAAEx//5U=")</f>
        <v>#REF!</v>
      </c>
      <c r="EU50" t="e">
        <f>AND(#REF!,"AAAAAEx//5Y=")</f>
        <v>#REF!</v>
      </c>
      <c r="EV50" t="e">
        <f>AND(#REF!,"AAAAAEx//5c=")</f>
        <v>#REF!</v>
      </c>
      <c r="EW50" t="e">
        <f>AND(#REF!,"AAAAAEx//5g=")</f>
        <v>#REF!</v>
      </c>
      <c r="EX50" t="e">
        <f>AND(#REF!,"AAAAAEx//5k=")</f>
        <v>#REF!</v>
      </c>
      <c r="EY50" t="e">
        <f>AND(#REF!,"AAAAAEx//5o=")</f>
        <v>#REF!</v>
      </c>
      <c r="EZ50" t="e">
        <f>AND(#REF!,"AAAAAEx//5s=")</f>
        <v>#REF!</v>
      </c>
      <c r="FA50" t="e">
        <f>AND(#REF!,"AAAAAEx//5w=")</f>
        <v>#REF!</v>
      </c>
      <c r="FB50" t="e">
        <f>AND(#REF!,"AAAAAEx//50=")</f>
        <v>#REF!</v>
      </c>
      <c r="FC50" t="e">
        <f>AND(#REF!,"AAAAAEx//54=")</f>
        <v>#REF!</v>
      </c>
      <c r="FD50" t="e">
        <f>AND(#REF!,"AAAAAEx//58=")</f>
        <v>#REF!</v>
      </c>
      <c r="FE50" t="e">
        <f>AND(#REF!,"AAAAAEx//6A=")</f>
        <v>#REF!</v>
      </c>
      <c r="FF50" t="e">
        <f>AND(#REF!,"AAAAAEx//6E=")</f>
        <v>#REF!</v>
      </c>
      <c r="FG50" t="e">
        <f>AND(#REF!,"AAAAAEx//6I=")</f>
        <v>#REF!</v>
      </c>
      <c r="FH50" t="e">
        <f>AND(#REF!,"AAAAAEx//6M=")</f>
        <v>#REF!</v>
      </c>
      <c r="FI50" t="e">
        <f>AND(#REF!,"AAAAAEx//6Q=")</f>
        <v>#REF!</v>
      </c>
      <c r="FJ50" t="e">
        <f>AND(#REF!,"AAAAAEx//6U=")</f>
        <v>#REF!</v>
      </c>
      <c r="FK50" t="e">
        <f>AND(#REF!,"AAAAAEx//6Y=")</f>
        <v>#REF!</v>
      </c>
      <c r="FL50" t="e">
        <f>AND(#REF!,"AAAAAEx//6c=")</f>
        <v>#REF!</v>
      </c>
      <c r="FM50" t="e">
        <f>AND(#REF!,"AAAAAEx//6g=")</f>
        <v>#REF!</v>
      </c>
      <c r="FN50" t="e">
        <f>AND(#REF!,"AAAAAEx//6k=")</f>
        <v>#REF!</v>
      </c>
      <c r="FO50" t="e">
        <f>AND(#REF!,"AAAAAEx//6o=")</f>
        <v>#REF!</v>
      </c>
      <c r="FP50" t="e">
        <f>AND(#REF!,"AAAAAEx//6s=")</f>
        <v>#REF!</v>
      </c>
      <c r="FQ50" t="e">
        <f>AND(#REF!,"AAAAAEx//6w=")</f>
        <v>#REF!</v>
      </c>
      <c r="FR50" t="e">
        <f>AND(#REF!,"AAAAAEx//60=")</f>
        <v>#REF!</v>
      </c>
      <c r="FS50" t="e">
        <f>AND(#REF!,"AAAAAEx//64=")</f>
        <v>#REF!</v>
      </c>
      <c r="FT50" t="e">
        <f>AND(#REF!,"AAAAAEx//68=")</f>
        <v>#REF!</v>
      </c>
      <c r="FU50" t="e">
        <f>AND(#REF!,"AAAAAEx//7A=")</f>
        <v>#REF!</v>
      </c>
      <c r="FV50" t="e">
        <f>AND(#REF!,"AAAAAEx//7E=")</f>
        <v>#REF!</v>
      </c>
      <c r="FW50" t="e">
        <f>AND(#REF!,"AAAAAEx//7I=")</f>
        <v>#REF!</v>
      </c>
      <c r="FX50" t="e">
        <f>AND(#REF!,"AAAAAEx//7M=")</f>
        <v>#REF!</v>
      </c>
      <c r="FY50" t="e">
        <f>AND(#REF!,"AAAAAEx//7Q=")</f>
        <v>#REF!</v>
      </c>
      <c r="FZ50" t="e">
        <f>AND(#REF!,"AAAAAEx//7U=")</f>
        <v>#REF!</v>
      </c>
      <c r="GA50" t="e">
        <f>AND(#REF!,"AAAAAEx//7Y=")</f>
        <v>#REF!</v>
      </c>
      <c r="GB50" t="e">
        <f>AND(#REF!,"AAAAAEx//7c=")</f>
        <v>#REF!</v>
      </c>
      <c r="GC50" t="e">
        <f>AND(#REF!,"AAAAAEx//7g=")</f>
        <v>#REF!</v>
      </c>
      <c r="GD50" t="e">
        <f>AND(#REF!,"AAAAAEx//7k=")</f>
        <v>#REF!</v>
      </c>
      <c r="GE50" t="e">
        <f>AND(#REF!,"AAAAAEx//7o=")</f>
        <v>#REF!</v>
      </c>
      <c r="GF50" t="e">
        <f>AND(#REF!,"AAAAAEx//7s=")</f>
        <v>#REF!</v>
      </c>
      <c r="GG50" t="e">
        <f>AND(#REF!,"AAAAAEx//7w=")</f>
        <v>#REF!</v>
      </c>
      <c r="GH50" t="e">
        <f>AND(#REF!,"AAAAAEx//70=")</f>
        <v>#REF!</v>
      </c>
      <c r="GI50" t="e">
        <f>AND(#REF!,"AAAAAEx//74=")</f>
        <v>#REF!</v>
      </c>
      <c r="GJ50" t="e">
        <f>AND(#REF!,"AAAAAEx//78=")</f>
        <v>#REF!</v>
      </c>
      <c r="GK50" t="e">
        <f>AND(#REF!,"AAAAAEx//8A=")</f>
        <v>#REF!</v>
      </c>
      <c r="GL50" t="e">
        <f>AND(#REF!,"AAAAAEx//8E=")</f>
        <v>#REF!</v>
      </c>
      <c r="GM50" t="e">
        <f>AND(#REF!,"AAAAAEx//8I=")</f>
        <v>#REF!</v>
      </c>
      <c r="GN50" t="e">
        <f>AND(#REF!,"AAAAAEx//8M=")</f>
        <v>#REF!</v>
      </c>
      <c r="GO50" t="e">
        <f>AND(#REF!,"AAAAAEx//8Q=")</f>
        <v>#REF!</v>
      </c>
      <c r="GP50" t="e">
        <f>AND(#REF!,"AAAAAEx//8U=")</f>
        <v>#REF!</v>
      </c>
      <c r="GQ50" t="e">
        <f>AND(#REF!,"AAAAAEx//8Y=")</f>
        <v>#REF!</v>
      </c>
      <c r="GR50" t="e">
        <f>AND(#REF!,"AAAAAEx//8c=")</f>
        <v>#REF!</v>
      </c>
      <c r="GS50" t="e">
        <f>AND(#REF!,"AAAAAEx//8g=")</f>
        <v>#REF!</v>
      </c>
      <c r="GT50" t="e">
        <f>AND(#REF!,"AAAAAEx//8k=")</f>
        <v>#REF!</v>
      </c>
      <c r="GU50" t="e">
        <f>AND(#REF!,"AAAAAEx//8o=")</f>
        <v>#REF!</v>
      </c>
      <c r="GV50" t="e">
        <f>AND(#REF!,"AAAAAEx//8s=")</f>
        <v>#REF!</v>
      </c>
      <c r="GW50" t="e">
        <f>AND(#REF!,"AAAAAEx//8w=")</f>
        <v>#REF!</v>
      </c>
      <c r="GX50" t="e">
        <f>AND(#REF!,"AAAAAEx//80=")</f>
        <v>#REF!</v>
      </c>
      <c r="GY50" t="e">
        <f>AND(#REF!,"AAAAAEx//84=")</f>
        <v>#REF!</v>
      </c>
      <c r="GZ50" t="e">
        <f>AND(#REF!,"AAAAAEx//88=")</f>
        <v>#REF!</v>
      </c>
      <c r="HA50" t="e">
        <f>AND(#REF!,"AAAAAEx//9A=")</f>
        <v>#REF!</v>
      </c>
      <c r="HB50" t="e">
        <f>AND(#REF!,"AAAAAEx//9E=")</f>
        <v>#REF!</v>
      </c>
      <c r="HC50" t="e">
        <f>AND(#REF!,"AAAAAEx//9I=")</f>
        <v>#REF!</v>
      </c>
      <c r="HD50" t="e">
        <f>AND(#REF!,"AAAAAEx//9M=")</f>
        <v>#REF!</v>
      </c>
      <c r="HE50" t="e">
        <f>AND(#REF!,"AAAAAEx//9Q=")</f>
        <v>#REF!</v>
      </c>
      <c r="HF50" t="e">
        <f>AND(#REF!,"AAAAAEx//9U=")</f>
        <v>#REF!</v>
      </c>
      <c r="HG50" t="e">
        <f>AND(#REF!,"AAAAAEx//9Y=")</f>
        <v>#REF!</v>
      </c>
      <c r="HH50" t="e">
        <f>AND(#REF!,"AAAAAEx//9c=")</f>
        <v>#REF!</v>
      </c>
      <c r="HI50" t="e">
        <f>AND(#REF!,"AAAAAEx//9g=")</f>
        <v>#REF!</v>
      </c>
      <c r="HJ50" t="e">
        <f>AND(#REF!,"AAAAAEx//9k=")</f>
        <v>#REF!</v>
      </c>
      <c r="HK50" t="e">
        <f>AND(#REF!,"AAAAAEx//9o=")</f>
        <v>#REF!</v>
      </c>
      <c r="HL50" t="e">
        <f>AND(#REF!,"AAAAAEx//9s=")</f>
        <v>#REF!</v>
      </c>
      <c r="HM50" t="e">
        <f>AND(#REF!,"AAAAAEx//9w=")</f>
        <v>#REF!</v>
      </c>
      <c r="HN50" t="e">
        <f>AND(#REF!,"AAAAAEx//90=")</f>
        <v>#REF!</v>
      </c>
      <c r="HO50" t="e">
        <f>AND(#REF!,"AAAAAEx//94=")</f>
        <v>#REF!</v>
      </c>
      <c r="HP50" t="e">
        <f>AND(#REF!,"AAAAAEx//98=")</f>
        <v>#REF!</v>
      </c>
      <c r="HQ50" t="e">
        <f>AND(#REF!,"AAAAAEx//+A=")</f>
        <v>#REF!</v>
      </c>
      <c r="HR50" t="e">
        <f>AND(#REF!,"AAAAAEx//+E=")</f>
        <v>#REF!</v>
      </c>
      <c r="HS50" t="e">
        <f>AND(#REF!,"AAAAAEx//+I=")</f>
        <v>#REF!</v>
      </c>
      <c r="HT50" t="e">
        <f>AND(#REF!,"AAAAAEx//+M=")</f>
        <v>#REF!</v>
      </c>
      <c r="HU50" t="e">
        <f>AND(#REF!,"AAAAAEx//+Q=")</f>
        <v>#REF!</v>
      </c>
      <c r="HV50" t="e">
        <f>AND(#REF!,"AAAAAEx//+U=")</f>
        <v>#REF!</v>
      </c>
      <c r="HW50" t="e">
        <f>AND(#REF!,"AAAAAEx//+Y=")</f>
        <v>#REF!</v>
      </c>
      <c r="HX50" t="e">
        <f>AND(#REF!,"AAAAAEx//+c=")</f>
        <v>#REF!</v>
      </c>
      <c r="HY50" t="e">
        <f>AND(#REF!,"AAAAAEx//+g=")</f>
        <v>#REF!</v>
      </c>
      <c r="HZ50" t="e">
        <f>AND(#REF!,"AAAAAEx//+k=")</f>
        <v>#REF!</v>
      </c>
      <c r="IA50" t="e">
        <f>AND(#REF!,"AAAAAEx//+o=")</f>
        <v>#REF!</v>
      </c>
      <c r="IB50" t="e">
        <f>AND(#REF!,"AAAAAEx//+s=")</f>
        <v>#REF!</v>
      </c>
      <c r="IC50" t="e">
        <f>AND(#REF!,"AAAAAEx//+w=")</f>
        <v>#REF!</v>
      </c>
      <c r="ID50" t="e">
        <f>AND(#REF!,"AAAAAEx//+0=")</f>
        <v>#REF!</v>
      </c>
      <c r="IE50" t="e">
        <f>AND(#REF!,"AAAAAEx//+4=")</f>
        <v>#REF!</v>
      </c>
      <c r="IF50" t="e">
        <f>AND(#REF!,"AAAAAEx//+8=")</f>
        <v>#REF!</v>
      </c>
      <c r="IG50" t="e">
        <f>AND(#REF!,"AAAAAEx///A=")</f>
        <v>#REF!</v>
      </c>
      <c r="IH50" t="e">
        <f>AND(#REF!,"AAAAAEx///E=")</f>
        <v>#REF!</v>
      </c>
      <c r="II50" t="e">
        <f>AND(#REF!,"AAAAAEx///I=")</f>
        <v>#REF!</v>
      </c>
      <c r="IJ50" t="e">
        <f>AND(#REF!,"AAAAAEx///M=")</f>
        <v>#REF!</v>
      </c>
      <c r="IK50" t="e">
        <f>AND(#REF!,"AAAAAEx///Q=")</f>
        <v>#REF!</v>
      </c>
      <c r="IL50" t="e">
        <f>AND(#REF!,"AAAAAEx///U=")</f>
        <v>#REF!</v>
      </c>
      <c r="IM50" t="e">
        <f>AND(#REF!,"AAAAAEx///Y=")</f>
        <v>#REF!</v>
      </c>
      <c r="IN50" t="e">
        <f>AND(#REF!,"AAAAAEx///c=")</f>
        <v>#REF!</v>
      </c>
      <c r="IO50" t="e">
        <f>AND(#REF!,"AAAAAEx///g=")</f>
        <v>#REF!</v>
      </c>
      <c r="IP50" t="e">
        <f>AND(#REF!,"AAAAAEx///k=")</f>
        <v>#REF!</v>
      </c>
      <c r="IQ50" t="e">
        <f>AND(#REF!,"AAAAAEx///o=")</f>
        <v>#REF!</v>
      </c>
      <c r="IR50" t="e">
        <f>AND(#REF!,"AAAAAEx///s=")</f>
        <v>#REF!</v>
      </c>
      <c r="IS50" t="e">
        <f>AND(#REF!,"AAAAAEx///w=")</f>
        <v>#REF!</v>
      </c>
      <c r="IT50" t="e">
        <f>AND(#REF!,"AAAAAEx///0=")</f>
        <v>#REF!</v>
      </c>
      <c r="IU50" t="e">
        <f>AND(#REF!,"AAAAAEx///4=")</f>
        <v>#REF!</v>
      </c>
      <c r="IV50" t="e">
        <f>AND(#REF!,"AAAAAEx///8=")</f>
        <v>#REF!</v>
      </c>
    </row>
    <row r="51" spans="1:256" x14ac:dyDescent="0.25">
      <c r="A51" t="e">
        <f>AND(#REF!,"AAAAAE0+bQA=")</f>
        <v>#REF!</v>
      </c>
      <c r="B51" t="e">
        <f>AND(#REF!,"AAAAAE0+bQE=")</f>
        <v>#REF!</v>
      </c>
      <c r="C51" t="e">
        <f>AND(#REF!,"AAAAAE0+bQI=")</f>
        <v>#REF!</v>
      </c>
      <c r="D51" t="e">
        <f>AND(#REF!,"AAAAAE0+bQM=")</f>
        <v>#REF!</v>
      </c>
      <c r="E51" t="e">
        <f>AND(#REF!,"AAAAAE0+bQQ=")</f>
        <v>#REF!</v>
      </c>
      <c r="F51" t="e">
        <f>AND(#REF!,"AAAAAE0+bQU=")</f>
        <v>#REF!</v>
      </c>
      <c r="G51" t="e">
        <f>AND(#REF!,"AAAAAE0+bQY=")</f>
        <v>#REF!</v>
      </c>
      <c r="H51" t="e">
        <f>AND(#REF!,"AAAAAE0+bQc=")</f>
        <v>#REF!</v>
      </c>
      <c r="I51" t="e">
        <f>AND(#REF!,"AAAAAE0+bQg=")</f>
        <v>#REF!</v>
      </c>
      <c r="J51" t="e">
        <f>AND(#REF!,"AAAAAE0+bQk=")</f>
        <v>#REF!</v>
      </c>
      <c r="K51" t="e">
        <f>AND(#REF!,"AAAAAE0+bQo=")</f>
        <v>#REF!</v>
      </c>
      <c r="L51" t="e">
        <f>AND(#REF!,"AAAAAE0+bQs=")</f>
        <v>#REF!</v>
      </c>
      <c r="M51" t="e">
        <f>AND(#REF!,"AAAAAE0+bQw=")</f>
        <v>#REF!</v>
      </c>
      <c r="N51" t="e">
        <f>AND(#REF!,"AAAAAE0+bQ0=")</f>
        <v>#REF!</v>
      </c>
      <c r="O51" t="e">
        <f>AND(#REF!,"AAAAAE0+bQ4=")</f>
        <v>#REF!</v>
      </c>
      <c r="P51" t="e">
        <f>AND(#REF!,"AAAAAE0+bQ8=")</f>
        <v>#REF!</v>
      </c>
      <c r="Q51" t="e">
        <f>IF(#REF!,"AAAAAE0+bRA=",0)</f>
        <v>#REF!</v>
      </c>
      <c r="R51" t="e">
        <f>AND(#REF!,"AAAAAE0+bRE=")</f>
        <v>#REF!</v>
      </c>
      <c r="S51" t="e">
        <f>AND(#REF!,"AAAAAE0+bRI=")</f>
        <v>#REF!</v>
      </c>
      <c r="T51" t="e">
        <f>AND(#REF!,"AAAAAE0+bRM=")</f>
        <v>#REF!</v>
      </c>
      <c r="U51" t="e">
        <f>AND(#REF!,"AAAAAE0+bRQ=")</f>
        <v>#REF!</v>
      </c>
      <c r="V51" t="e">
        <f>AND(#REF!,"AAAAAE0+bRU=")</f>
        <v>#REF!</v>
      </c>
      <c r="W51" t="e">
        <f>AND(#REF!,"AAAAAE0+bRY=")</f>
        <v>#REF!</v>
      </c>
      <c r="X51" t="e">
        <f>AND(#REF!,"AAAAAE0+bRc=")</f>
        <v>#REF!</v>
      </c>
      <c r="Y51" t="e">
        <f>AND(#REF!,"AAAAAE0+bRg=")</f>
        <v>#REF!</v>
      </c>
      <c r="Z51" t="e">
        <f>AND(#REF!,"AAAAAE0+bRk=")</f>
        <v>#REF!</v>
      </c>
      <c r="AA51" t="e">
        <f>AND(#REF!,"AAAAAE0+bRo=")</f>
        <v>#REF!</v>
      </c>
      <c r="AB51" t="e">
        <f>AND(#REF!,"AAAAAE0+bRs=")</f>
        <v>#REF!</v>
      </c>
      <c r="AC51" t="e">
        <f>AND(#REF!,"AAAAAE0+bRw=")</f>
        <v>#REF!</v>
      </c>
      <c r="AD51" t="e">
        <f>AND(#REF!,"AAAAAE0+bR0=")</f>
        <v>#REF!</v>
      </c>
      <c r="AE51" t="e">
        <f>AND(#REF!,"AAAAAE0+bR4=")</f>
        <v>#REF!</v>
      </c>
      <c r="AF51" t="e">
        <f>AND(#REF!,"AAAAAE0+bR8=")</f>
        <v>#REF!</v>
      </c>
      <c r="AG51" t="e">
        <f>AND(#REF!,"AAAAAE0+bSA=")</f>
        <v>#REF!</v>
      </c>
      <c r="AH51" t="e">
        <f>AND(#REF!,"AAAAAE0+bSE=")</f>
        <v>#REF!</v>
      </c>
      <c r="AI51" t="e">
        <f>AND(#REF!,"AAAAAE0+bSI=")</f>
        <v>#REF!</v>
      </c>
      <c r="AJ51" t="e">
        <f>AND(#REF!,"AAAAAE0+bSM=")</f>
        <v>#REF!</v>
      </c>
      <c r="AK51" t="e">
        <f>AND(#REF!,"AAAAAE0+bSQ=")</f>
        <v>#REF!</v>
      </c>
      <c r="AL51" t="e">
        <f>AND(#REF!,"AAAAAE0+bSU=")</f>
        <v>#REF!</v>
      </c>
      <c r="AM51" t="e">
        <f>AND(#REF!,"AAAAAE0+bSY=")</f>
        <v>#REF!</v>
      </c>
      <c r="AN51" t="e">
        <f>AND(#REF!,"AAAAAE0+bSc=")</f>
        <v>#REF!</v>
      </c>
      <c r="AO51" t="e">
        <f>AND(#REF!,"AAAAAE0+bSg=")</f>
        <v>#REF!</v>
      </c>
      <c r="AP51" t="e">
        <f>AND(#REF!,"AAAAAE0+bSk=")</f>
        <v>#REF!</v>
      </c>
      <c r="AQ51" t="e">
        <f>AND(#REF!,"AAAAAE0+bSo=")</f>
        <v>#REF!</v>
      </c>
      <c r="AR51" t="e">
        <f>AND(#REF!,"AAAAAE0+bSs=")</f>
        <v>#REF!</v>
      </c>
      <c r="AS51" t="e">
        <f>AND(#REF!,"AAAAAE0+bSw=")</f>
        <v>#REF!</v>
      </c>
      <c r="AT51" t="e">
        <f>AND(#REF!,"AAAAAE0+bS0=")</f>
        <v>#REF!</v>
      </c>
      <c r="AU51" t="e">
        <f>AND(#REF!,"AAAAAE0+bS4=")</f>
        <v>#REF!</v>
      </c>
      <c r="AV51" t="e">
        <f>AND(#REF!,"AAAAAE0+bS8=")</f>
        <v>#REF!</v>
      </c>
      <c r="AW51" t="e">
        <f>AND(#REF!,"AAAAAE0+bTA=")</f>
        <v>#REF!</v>
      </c>
      <c r="AX51" t="e">
        <f>AND(#REF!,"AAAAAE0+bTE=")</f>
        <v>#REF!</v>
      </c>
      <c r="AY51" t="e">
        <f>AND(#REF!,"AAAAAE0+bTI=")</f>
        <v>#REF!</v>
      </c>
      <c r="AZ51" t="e">
        <f>AND(#REF!,"AAAAAE0+bTM=")</f>
        <v>#REF!</v>
      </c>
      <c r="BA51" t="e">
        <f>AND(#REF!,"AAAAAE0+bTQ=")</f>
        <v>#REF!</v>
      </c>
      <c r="BB51" t="e">
        <f>AND(#REF!,"AAAAAE0+bTU=")</f>
        <v>#REF!</v>
      </c>
      <c r="BC51" t="e">
        <f>AND(#REF!,"AAAAAE0+bTY=")</f>
        <v>#REF!</v>
      </c>
      <c r="BD51" t="e">
        <f>AND(#REF!,"AAAAAE0+bTc=")</f>
        <v>#REF!</v>
      </c>
      <c r="BE51" t="e">
        <f>AND(#REF!,"AAAAAE0+bTg=")</f>
        <v>#REF!</v>
      </c>
      <c r="BF51" t="e">
        <f>AND(#REF!,"AAAAAE0+bTk=")</f>
        <v>#REF!</v>
      </c>
      <c r="BG51" t="e">
        <f>AND(#REF!,"AAAAAE0+bTo=")</f>
        <v>#REF!</v>
      </c>
      <c r="BH51" t="e">
        <f>AND(#REF!,"AAAAAE0+bTs=")</f>
        <v>#REF!</v>
      </c>
      <c r="BI51" t="e">
        <f>AND(#REF!,"AAAAAE0+bTw=")</f>
        <v>#REF!</v>
      </c>
      <c r="BJ51" t="e">
        <f>AND(#REF!,"AAAAAE0+bT0=")</f>
        <v>#REF!</v>
      </c>
      <c r="BK51" t="e">
        <f>AND(#REF!,"AAAAAE0+bT4=")</f>
        <v>#REF!</v>
      </c>
      <c r="BL51" t="e">
        <f>AND(#REF!,"AAAAAE0+bT8=")</f>
        <v>#REF!</v>
      </c>
      <c r="BM51" t="e">
        <f>AND(#REF!,"AAAAAE0+bUA=")</f>
        <v>#REF!</v>
      </c>
      <c r="BN51" t="e">
        <f>AND(#REF!,"AAAAAE0+bUE=")</f>
        <v>#REF!</v>
      </c>
      <c r="BO51" t="e">
        <f>AND(#REF!,"AAAAAE0+bUI=")</f>
        <v>#REF!</v>
      </c>
      <c r="BP51" t="e">
        <f>AND(#REF!,"AAAAAE0+bUM=")</f>
        <v>#REF!</v>
      </c>
      <c r="BQ51" t="e">
        <f>AND(#REF!,"AAAAAE0+bUQ=")</f>
        <v>#REF!</v>
      </c>
      <c r="BR51" t="e">
        <f>AND(#REF!,"AAAAAE0+bUU=")</f>
        <v>#REF!</v>
      </c>
      <c r="BS51" t="e">
        <f>AND(#REF!,"AAAAAE0+bUY=")</f>
        <v>#REF!</v>
      </c>
      <c r="BT51" t="e">
        <f>AND(#REF!,"AAAAAE0+bUc=")</f>
        <v>#REF!</v>
      </c>
      <c r="BU51" t="e">
        <f>AND(#REF!,"AAAAAE0+bUg=")</f>
        <v>#REF!</v>
      </c>
      <c r="BV51" t="e">
        <f>AND(#REF!,"AAAAAE0+bUk=")</f>
        <v>#REF!</v>
      </c>
      <c r="BW51" t="e">
        <f>AND(#REF!,"AAAAAE0+bUo=")</f>
        <v>#REF!</v>
      </c>
      <c r="BX51" t="e">
        <f>AND(#REF!,"AAAAAE0+bUs=")</f>
        <v>#REF!</v>
      </c>
      <c r="BY51" t="e">
        <f>AND(#REF!,"AAAAAE0+bUw=")</f>
        <v>#REF!</v>
      </c>
      <c r="BZ51" t="e">
        <f>AND(#REF!,"AAAAAE0+bU0=")</f>
        <v>#REF!</v>
      </c>
      <c r="CA51" t="e">
        <f>AND(#REF!,"AAAAAE0+bU4=")</f>
        <v>#REF!</v>
      </c>
      <c r="CB51" t="e">
        <f>AND(#REF!,"AAAAAE0+bU8=")</f>
        <v>#REF!</v>
      </c>
      <c r="CC51" t="e">
        <f>AND(#REF!,"AAAAAE0+bVA=")</f>
        <v>#REF!</v>
      </c>
      <c r="CD51" t="e">
        <f>AND(#REF!,"AAAAAE0+bVE=")</f>
        <v>#REF!</v>
      </c>
      <c r="CE51" t="e">
        <f>AND(#REF!,"AAAAAE0+bVI=")</f>
        <v>#REF!</v>
      </c>
      <c r="CF51" t="e">
        <f>AND(#REF!,"AAAAAE0+bVM=")</f>
        <v>#REF!</v>
      </c>
      <c r="CG51" t="e">
        <f>AND(#REF!,"AAAAAE0+bVQ=")</f>
        <v>#REF!</v>
      </c>
      <c r="CH51" t="e">
        <f>AND(#REF!,"AAAAAE0+bVU=")</f>
        <v>#REF!</v>
      </c>
      <c r="CI51" t="e">
        <f>AND(#REF!,"AAAAAE0+bVY=")</f>
        <v>#REF!</v>
      </c>
      <c r="CJ51" t="e">
        <f>AND(#REF!,"AAAAAE0+bVc=")</f>
        <v>#REF!</v>
      </c>
      <c r="CK51" t="e">
        <f>AND(#REF!,"AAAAAE0+bVg=")</f>
        <v>#REF!</v>
      </c>
      <c r="CL51" t="e">
        <f>AND(#REF!,"AAAAAE0+bVk=")</f>
        <v>#REF!</v>
      </c>
      <c r="CM51" t="e">
        <f>AND(#REF!,"AAAAAE0+bVo=")</f>
        <v>#REF!</v>
      </c>
      <c r="CN51" t="e">
        <f>AND(#REF!,"AAAAAE0+bVs=")</f>
        <v>#REF!</v>
      </c>
      <c r="CO51" t="e">
        <f>AND(#REF!,"AAAAAE0+bVw=")</f>
        <v>#REF!</v>
      </c>
      <c r="CP51" t="e">
        <f>AND(#REF!,"AAAAAE0+bV0=")</f>
        <v>#REF!</v>
      </c>
      <c r="CQ51" t="e">
        <f>AND(#REF!,"AAAAAE0+bV4=")</f>
        <v>#REF!</v>
      </c>
      <c r="CR51" t="e">
        <f>AND(#REF!,"AAAAAE0+bV8=")</f>
        <v>#REF!</v>
      </c>
      <c r="CS51" t="e">
        <f>AND(#REF!,"AAAAAE0+bWA=")</f>
        <v>#REF!</v>
      </c>
      <c r="CT51" t="e">
        <f>AND(#REF!,"AAAAAE0+bWE=")</f>
        <v>#REF!</v>
      </c>
      <c r="CU51" t="e">
        <f>AND(#REF!,"AAAAAE0+bWI=")</f>
        <v>#REF!</v>
      </c>
      <c r="CV51" t="e">
        <f>AND(#REF!,"AAAAAE0+bWM=")</f>
        <v>#REF!</v>
      </c>
      <c r="CW51" t="e">
        <f>AND(#REF!,"AAAAAE0+bWQ=")</f>
        <v>#REF!</v>
      </c>
      <c r="CX51" t="e">
        <f>AND(#REF!,"AAAAAE0+bWU=")</f>
        <v>#REF!</v>
      </c>
      <c r="CY51" t="e">
        <f>AND(#REF!,"AAAAAE0+bWY=")</f>
        <v>#REF!</v>
      </c>
      <c r="CZ51" t="e">
        <f>AND(#REF!,"AAAAAE0+bWc=")</f>
        <v>#REF!</v>
      </c>
      <c r="DA51" t="e">
        <f>AND(#REF!,"AAAAAE0+bWg=")</f>
        <v>#REF!</v>
      </c>
      <c r="DB51" t="e">
        <f>AND(#REF!,"AAAAAE0+bWk=")</f>
        <v>#REF!</v>
      </c>
      <c r="DC51" t="e">
        <f>AND(#REF!,"AAAAAE0+bWo=")</f>
        <v>#REF!</v>
      </c>
      <c r="DD51" t="e">
        <f>AND(#REF!,"AAAAAE0+bWs=")</f>
        <v>#REF!</v>
      </c>
      <c r="DE51" t="e">
        <f>AND(#REF!,"AAAAAE0+bWw=")</f>
        <v>#REF!</v>
      </c>
      <c r="DF51" t="e">
        <f>AND(#REF!,"AAAAAE0+bW0=")</f>
        <v>#REF!</v>
      </c>
      <c r="DG51" t="e">
        <f>AND(#REF!,"AAAAAE0+bW4=")</f>
        <v>#REF!</v>
      </c>
      <c r="DH51" t="e">
        <f>AND(#REF!,"AAAAAE0+bW8=")</f>
        <v>#REF!</v>
      </c>
      <c r="DI51" t="e">
        <f>AND(#REF!,"AAAAAE0+bXA=")</f>
        <v>#REF!</v>
      </c>
      <c r="DJ51" t="e">
        <f>AND(#REF!,"AAAAAE0+bXE=")</f>
        <v>#REF!</v>
      </c>
      <c r="DK51" t="e">
        <f>AND(#REF!,"AAAAAE0+bXI=")</f>
        <v>#REF!</v>
      </c>
      <c r="DL51" t="e">
        <f>AND(#REF!,"AAAAAE0+bXM=")</f>
        <v>#REF!</v>
      </c>
      <c r="DM51" t="e">
        <f>AND(#REF!,"AAAAAE0+bXQ=")</f>
        <v>#REF!</v>
      </c>
      <c r="DN51" t="e">
        <f>AND(#REF!,"AAAAAE0+bXU=")</f>
        <v>#REF!</v>
      </c>
      <c r="DO51" t="e">
        <f>AND(#REF!,"AAAAAE0+bXY=")</f>
        <v>#REF!</v>
      </c>
      <c r="DP51" t="e">
        <f>AND(#REF!,"AAAAAE0+bXc=")</f>
        <v>#REF!</v>
      </c>
      <c r="DQ51" t="e">
        <f>AND(#REF!,"AAAAAE0+bXg=")</f>
        <v>#REF!</v>
      </c>
      <c r="DR51" t="e">
        <f>AND(#REF!,"AAAAAE0+bXk=")</f>
        <v>#REF!</v>
      </c>
      <c r="DS51" t="e">
        <f>AND(#REF!,"AAAAAE0+bXo=")</f>
        <v>#REF!</v>
      </c>
      <c r="DT51" t="e">
        <f>AND(#REF!,"AAAAAE0+bXs=")</f>
        <v>#REF!</v>
      </c>
      <c r="DU51" t="e">
        <f>AND(#REF!,"AAAAAE0+bXw=")</f>
        <v>#REF!</v>
      </c>
      <c r="DV51" t="e">
        <f>AND(#REF!,"AAAAAE0+bX0=")</f>
        <v>#REF!</v>
      </c>
      <c r="DW51" t="e">
        <f>AND(#REF!,"AAAAAE0+bX4=")</f>
        <v>#REF!</v>
      </c>
      <c r="DX51" t="e">
        <f>AND(#REF!,"AAAAAE0+bX8=")</f>
        <v>#REF!</v>
      </c>
      <c r="DY51" t="e">
        <f>AND(#REF!,"AAAAAE0+bYA=")</f>
        <v>#REF!</v>
      </c>
      <c r="DZ51" t="e">
        <f>AND(#REF!,"AAAAAE0+bYE=")</f>
        <v>#REF!</v>
      </c>
      <c r="EA51" t="e">
        <f>AND(#REF!,"AAAAAE0+bYI=")</f>
        <v>#REF!</v>
      </c>
      <c r="EB51" t="e">
        <f>AND(#REF!,"AAAAAE0+bYM=")</f>
        <v>#REF!</v>
      </c>
      <c r="EC51" t="e">
        <f>AND(#REF!,"AAAAAE0+bYQ=")</f>
        <v>#REF!</v>
      </c>
      <c r="ED51" t="e">
        <f>AND(#REF!,"AAAAAE0+bYU=")</f>
        <v>#REF!</v>
      </c>
      <c r="EE51" t="e">
        <f>AND(#REF!,"AAAAAE0+bYY=")</f>
        <v>#REF!</v>
      </c>
      <c r="EF51" t="e">
        <f>AND(#REF!,"AAAAAE0+bYc=")</f>
        <v>#REF!</v>
      </c>
      <c r="EG51" t="e">
        <f>AND(#REF!,"AAAAAE0+bYg=")</f>
        <v>#REF!</v>
      </c>
      <c r="EH51" t="e">
        <f>AND(#REF!,"AAAAAE0+bYk=")</f>
        <v>#REF!</v>
      </c>
      <c r="EI51" t="e">
        <f>AND(#REF!,"AAAAAE0+bYo=")</f>
        <v>#REF!</v>
      </c>
      <c r="EJ51" t="e">
        <f>AND(#REF!,"AAAAAE0+bYs=")</f>
        <v>#REF!</v>
      </c>
      <c r="EK51" t="e">
        <f>AND(#REF!,"AAAAAE0+bYw=")</f>
        <v>#REF!</v>
      </c>
      <c r="EL51" t="e">
        <f>AND(#REF!,"AAAAAE0+bY0=")</f>
        <v>#REF!</v>
      </c>
      <c r="EM51" t="e">
        <f>AND(#REF!,"AAAAAE0+bY4=")</f>
        <v>#REF!</v>
      </c>
      <c r="EN51" t="e">
        <f>AND(#REF!,"AAAAAE0+bY8=")</f>
        <v>#REF!</v>
      </c>
      <c r="EO51" t="e">
        <f>AND(#REF!,"AAAAAE0+bZA=")</f>
        <v>#REF!</v>
      </c>
      <c r="EP51" t="e">
        <f>AND(#REF!,"AAAAAE0+bZE=")</f>
        <v>#REF!</v>
      </c>
      <c r="EQ51" t="e">
        <f>AND(#REF!,"AAAAAE0+bZI=")</f>
        <v>#REF!</v>
      </c>
      <c r="ER51" t="e">
        <f>AND(#REF!,"AAAAAE0+bZM=")</f>
        <v>#REF!</v>
      </c>
      <c r="ES51" t="e">
        <f>AND(#REF!,"AAAAAE0+bZQ=")</f>
        <v>#REF!</v>
      </c>
      <c r="ET51" t="e">
        <f>AND(#REF!,"AAAAAE0+bZU=")</f>
        <v>#REF!</v>
      </c>
      <c r="EU51" t="e">
        <f>AND(#REF!,"AAAAAE0+bZY=")</f>
        <v>#REF!</v>
      </c>
      <c r="EV51" t="e">
        <f>AND(#REF!,"AAAAAE0+bZc=")</f>
        <v>#REF!</v>
      </c>
      <c r="EW51" t="e">
        <f>AND(#REF!,"AAAAAE0+bZg=")</f>
        <v>#REF!</v>
      </c>
      <c r="EX51" t="e">
        <f>AND(#REF!,"AAAAAE0+bZk=")</f>
        <v>#REF!</v>
      </c>
      <c r="EY51" t="e">
        <f>AND(#REF!,"AAAAAE0+bZo=")</f>
        <v>#REF!</v>
      </c>
      <c r="EZ51" t="e">
        <f>AND(#REF!,"AAAAAE0+bZs=")</f>
        <v>#REF!</v>
      </c>
      <c r="FA51" t="e">
        <f>AND(#REF!,"AAAAAE0+bZw=")</f>
        <v>#REF!</v>
      </c>
      <c r="FB51" t="e">
        <f>AND(#REF!,"AAAAAE0+bZ0=")</f>
        <v>#REF!</v>
      </c>
      <c r="FC51" t="e">
        <f>AND(#REF!,"AAAAAE0+bZ4=")</f>
        <v>#REF!</v>
      </c>
      <c r="FD51" t="e">
        <f>AND(#REF!,"AAAAAE0+bZ8=")</f>
        <v>#REF!</v>
      </c>
      <c r="FE51" t="e">
        <f>AND(#REF!,"AAAAAE0+baA=")</f>
        <v>#REF!</v>
      </c>
      <c r="FF51" t="e">
        <f>AND(#REF!,"AAAAAE0+baE=")</f>
        <v>#REF!</v>
      </c>
      <c r="FG51" t="e">
        <f>AND(#REF!,"AAAAAE0+baI=")</f>
        <v>#REF!</v>
      </c>
      <c r="FH51" t="e">
        <f>AND(#REF!,"AAAAAE0+baM=")</f>
        <v>#REF!</v>
      </c>
      <c r="FI51" t="e">
        <f>AND(#REF!,"AAAAAE0+baQ=")</f>
        <v>#REF!</v>
      </c>
      <c r="FJ51" t="e">
        <f>AND(#REF!,"AAAAAE0+baU=")</f>
        <v>#REF!</v>
      </c>
      <c r="FK51" t="e">
        <f>AND(#REF!,"AAAAAE0+baY=")</f>
        <v>#REF!</v>
      </c>
      <c r="FL51" t="e">
        <f>AND(#REF!,"AAAAAE0+bac=")</f>
        <v>#REF!</v>
      </c>
      <c r="FM51" t="e">
        <f>AND(#REF!,"AAAAAE0+bag=")</f>
        <v>#REF!</v>
      </c>
      <c r="FN51" t="e">
        <f>AND(#REF!,"AAAAAE0+bak=")</f>
        <v>#REF!</v>
      </c>
      <c r="FO51" t="e">
        <f>AND(#REF!,"AAAAAE0+bao=")</f>
        <v>#REF!</v>
      </c>
      <c r="FP51" t="e">
        <f>AND(#REF!,"AAAAAE0+bas=")</f>
        <v>#REF!</v>
      </c>
      <c r="FQ51" t="e">
        <f>AND(#REF!,"AAAAAE0+baw=")</f>
        <v>#REF!</v>
      </c>
      <c r="FR51" t="e">
        <f>AND(#REF!,"AAAAAE0+ba0=")</f>
        <v>#REF!</v>
      </c>
      <c r="FS51" t="e">
        <f>AND(#REF!,"AAAAAE0+ba4=")</f>
        <v>#REF!</v>
      </c>
      <c r="FT51" t="e">
        <f>AND(#REF!,"AAAAAE0+ba8=")</f>
        <v>#REF!</v>
      </c>
      <c r="FU51" t="e">
        <f>AND(#REF!,"AAAAAE0+bbA=")</f>
        <v>#REF!</v>
      </c>
      <c r="FV51" t="e">
        <f>AND(#REF!,"AAAAAE0+bbE=")</f>
        <v>#REF!</v>
      </c>
      <c r="FW51" t="e">
        <f>AND(#REF!,"AAAAAE0+bbI=")</f>
        <v>#REF!</v>
      </c>
      <c r="FX51" t="e">
        <f>AND(#REF!,"AAAAAE0+bbM=")</f>
        <v>#REF!</v>
      </c>
      <c r="FY51" t="e">
        <f>AND(#REF!,"AAAAAE0+bbQ=")</f>
        <v>#REF!</v>
      </c>
      <c r="FZ51" t="e">
        <f>AND(#REF!,"AAAAAE0+bbU=")</f>
        <v>#REF!</v>
      </c>
      <c r="GA51" t="e">
        <f>AND(#REF!,"AAAAAE0+bbY=")</f>
        <v>#REF!</v>
      </c>
      <c r="GB51" t="e">
        <f>AND(#REF!,"AAAAAE0+bbc=")</f>
        <v>#REF!</v>
      </c>
      <c r="GC51" t="e">
        <f>AND(#REF!,"AAAAAE0+bbg=")</f>
        <v>#REF!</v>
      </c>
      <c r="GD51" t="e">
        <f>AND(#REF!,"AAAAAE0+bbk=")</f>
        <v>#REF!</v>
      </c>
      <c r="GE51" t="e">
        <f>AND(#REF!,"AAAAAE0+bbo=")</f>
        <v>#REF!</v>
      </c>
      <c r="GF51" t="e">
        <f>AND(#REF!,"AAAAAE0+bbs=")</f>
        <v>#REF!</v>
      </c>
      <c r="GG51" t="e">
        <f>AND(#REF!,"AAAAAE0+bbw=")</f>
        <v>#REF!</v>
      </c>
      <c r="GH51" t="e">
        <f>AND(#REF!,"AAAAAE0+bb0=")</f>
        <v>#REF!</v>
      </c>
      <c r="GI51" t="e">
        <f>AND(#REF!,"AAAAAE0+bb4=")</f>
        <v>#REF!</v>
      </c>
      <c r="GJ51" t="e">
        <f>AND(#REF!,"AAAAAE0+bb8=")</f>
        <v>#REF!</v>
      </c>
      <c r="GK51" t="e">
        <f>AND(#REF!,"AAAAAE0+bcA=")</f>
        <v>#REF!</v>
      </c>
      <c r="GL51" t="e">
        <f>AND(#REF!,"AAAAAE0+bcE=")</f>
        <v>#REF!</v>
      </c>
      <c r="GM51" t="e">
        <f>AND(#REF!,"AAAAAE0+bcI=")</f>
        <v>#REF!</v>
      </c>
      <c r="GN51" t="e">
        <f>AND(#REF!,"AAAAAE0+bcM=")</f>
        <v>#REF!</v>
      </c>
      <c r="GO51" t="e">
        <f>AND(#REF!,"AAAAAE0+bcQ=")</f>
        <v>#REF!</v>
      </c>
      <c r="GP51" t="e">
        <f>AND(#REF!,"AAAAAE0+bcU=")</f>
        <v>#REF!</v>
      </c>
      <c r="GQ51" t="e">
        <f>AND(#REF!,"AAAAAE0+bcY=")</f>
        <v>#REF!</v>
      </c>
      <c r="GR51" t="e">
        <f>AND(#REF!,"AAAAAE0+bcc=")</f>
        <v>#REF!</v>
      </c>
      <c r="GS51" t="e">
        <f>AND(#REF!,"AAAAAE0+bcg=")</f>
        <v>#REF!</v>
      </c>
      <c r="GT51" t="e">
        <f>AND(#REF!,"AAAAAE0+bck=")</f>
        <v>#REF!</v>
      </c>
      <c r="GU51" t="e">
        <f>AND(#REF!,"AAAAAE0+bco=")</f>
        <v>#REF!</v>
      </c>
      <c r="GV51" t="e">
        <f>AND(#REF!,"AAAAAE0+bcs=")</f>
        <v>#REF!</v>
      </c>
      <c r="GW51" t="e">
        <f>AND(#REF!,"AAAAAE0+bcw=")</f>
        <v>#REF!</v>
      </c>
      <c r="GX51" t="e">
        <f>IF(#REF!,"AAAAAE0+bc0=",0)</f>
        <v>#REF!</v>
      </c>
      <c r="GY51" t="e">
        <f>AND(#REF!,"AAAAAE0+bc4=")</f>
        <v>#REF!</v>
      </c>
      <c r="GZ51" t="e">
        <f>AND(#REF!,"AAAAAE0+bc8=")</f>
        <v>#REF!</v>
      </c>
      <c r="HA51" t="e">
        <f>AND(#REF!,"AAAAAE0+bdA=")</f>
        <v>#REF!</v>
      </c>
      <c r="HB51" t="e">
        <f>AND(#REF!,"AAAAAE0+bdE=")</f>
        <v>#REF!</v>
      </c>
      <c r="HC51" t="e">
        <f>AND(#REF!,"AAAAAE0+bdI=")</f>
        <v>#REF!</v>
      </c>
      <c r="HD51" t="e">
        <f>AND(#REF!,"AAAAAE0+bdM=")</f>
        <v>#REF!</v>
      </c>
      <c r="HE51" t="e">
        <f>AND(#REF!,"AAAAAE0+bdQ=")</f>
        <v>#REF!</v>
      </c>
      <c r="HF51" t="e">
        <f>AND(#REF!,"AAAAAE0+bdU=")</f>
        <v>#REF!</v>
      </c>
      <c r="HG51" t="e">
        <f>AND(#REF!,"AAAAAE0+bdY=")</f>
        <v>#REF!</v>
      </c>
      <c r="HH51" t="e">
        <f>AND(#REF!,"AAAAAE0+bdc=")</f>
        <v>#REF!</v>
      </c>
      <c r="HI51" t="e">
        <f>AND(#REF!,"AAAAAE0+bdg=")</f>
        <v>#REF!</v>
      </c>
      <c r="HJ51" t="e">
        <f>AND(#REF!,"AAAAAE0+bdk=")</f>
        <v>#REF!</v>
      </c>
      <c r="HK51" t="e">
        <f>AND(#REF!,"AAAAAE0+bdo=")</f>
        <v>#REF!</v>
      </c>
      <c r="HL51" t="e">
        <f>AND(#REF!,"AAAAAE0+bds=")</f>
        <v>#REF!</v>
      </c>
      <c r="HM51" t="e">
        <f>AND(#REF!,"AAAAAE0+bdw=")</f>
        <v>#REF!</v>
      </c>
      <c r="HN51" t="e">
        <f>AND(#REF!,"AAAAAE0+bd0=")</f>
        <v>#REF!</v>
      </c>
      <c r="HO51" t="e">
        <f>AND(#REF!,"AAAAAE0+bd4=")</f>
        <v>#REF!</v>
      </c>
      <c r="HP51" t="e">
        <f>AND(#REF!,"AAAAAE0+bd8=")</f>
        <v>#REF!</v>
      </c>
      <c r="HQ51" t="e">
        <f>AND(#REF!,"AAAAAE0+beA=")</f>
        <v>#REF!</v>
      </c>
      <c r="HR51" t="e">
        <f>AND(#REF!,"AAAAAE0+beE=")</f>
        <v>#REF!</v>
      </c>
      <c r="HS51" t="e">
        <f>AND(#REF!,"AAAAAE0+beI=")</f>
        <v>#REF!</v>
      </c>
      <c r="HT51" t="e">
        <f>AND(#REF!,"AAAAAE0+beM=")</f>
        <v>#REF!</v>
      </c>
      <c r="HU51" t="e">
        <f>AND(#REF!,"AAAAAE0+beQ=")</f>
        <v>#REF!</v>
      </c>
      <c r="HV51" t="e">
        <f>AND(#REF!,"AAAAAE0+beU=")</f>
        <v>#REF!</v>
      </c>
      <c r="HW51" t="e">
        <f>AND(#REF!,"AAAAAE0+beY=")</f>
        <v>#REF!</v>
      </c>
      <c r="HX51" t="e">
        <f>AND(#REF!,"AAAAAE0+bec=")</f>
        <v>#REF!</v>
      </c>
      <c r="HY51" t="e">
        <f>AND(#REF!,"AAAAAE0+beg=")</f>
        <v>#REF!</v>
      </c>
      <c r="HZ51" t="e">
        <f>AND(#REF!,"AAAAAE0+bek=")</f>
        <v>#REF!</v>
      </c>
      <c r="IA51" t="e">
        <f>AND(#REF!,"AAAAAE0+beo=")</f>
        <v>#REF!</v>
      </c>
      <c r="IB51" t="e">
        <f>AND(#REF!,"AAAAAE0+bes=")</f>
        <v>#REF!</v>
      </c>
      <c r="IC51" t="e">
        <f>AND(#REF!,"AAAAAE0+bew=")</f>
        <v>#REF!</v>
      </c>
      <c r="ID51" t="e">
        <f>AND(#REF!,"AAAAAE0+be0=")</f>
        <v>#REF!</v>
      </c>
      <c r="IE51" t="e">
        <f>AND(#REF!,"AAAAAE0+be4=")</f>
        <v>#REF!</v>
      </c>
      <c r="IF51" t="e">
        <f>AND(#REF!,"AAAAAE0+be8=")</f>
        <v>#REF!</v>
      </c>
      <c r="IG51" t="e">
        <f>AND(#REF!,"AAAAAE0+bfA=")</f>
        <v>#REF!</v>
      </c>
      <c r="IH51" t="e">
        <f>AND(#REF!,"AAAAAE0+bfE=")</f>
        <v>#REF!</v>
      </c>
      <c r="II51" t="e">
        <f>AND(#REF!,"AAAAAE0+bfI=")</f>
        <v>#REF!</v>
      </c>
      <c r="IJ51" t="e">
        <f>AND(#REF!,"AAAAAE0+bfM=")</f>
        <v>#REF!</v>
      </c>
      <c r="IK51" t="e">
        <f>AND(#REF!,"AAAAAE0+bfQ=")</f>
        <v>#REF!</v>
      </c>
      <c r="IL51" t="e">
        <f>AND(#REF!,"AAAAAE0+bfU=")</f>
        <v>#REF!</v>
      </c>
      <c r="IM51" t="e">
        <f>AND(#REF!,"AAAAAE0+bfY=")</f>
        <v>#REF!</v>
      </c>
      <c r="IN51" t="e">
        <f>AND(#REF!,"AAAAAE0+bfc=")</f>
        <v>#REF!</v>
      </c>
      <c r="IO51" t="e">
        <f>AND(#REF!,"AAAAAE0+bfg=")</f>
        <v>#REF!</v>
      </c>
      <c r="IP51" t="e">
        <f>AND(#REF!,"AAAAAE0+bfk=")</f>
        <v>#REF!</v>
      </c>
      <c r="IQ51" t="e">
        <f>AND(#REF!,"AAAAAE0+bfo=")</f>
        <v>#REF!</v>
      </c>
      <c r="IR51" t="e">
        <f>AND(#REF!,"AAAAAE0+bfs=")</f>
        <v>#REF!</v>
      </c>
      <c r="IS51" t="e">
        <f>AND(#REF!,"AAAAAE0+bfw=")</f>
        <v>#REF!</v>
      </c>
      <c r="IT51" t="e">
        <f>AND(#REF!,"AAAAAE0+bf0=")</f>
        <v>#REF!</v>
      </c>
      <c r="IU51" t="e">
        <f>AND(#REF!,"AAAAAE0+bf4=")</f>
        <v>#REF!</v>
      </c>
      <c r="IV51" t="e">
        <f>AND(#REF!,"AAAAAE0+bf8=")</f>
        <v>#REF!</v>
      </c>
    </row>
    <row r="52" spans="1:256" x14ac:dyDescent="0.25">
      <c r="A52" t="e">
        <f>AND(#REF!,"AAAAAGHFPwA=")</f>
        <v>#REF!</v>
      </c>
      <c r="B52" t="e">
        <f>AND(#REF!,"AAAAAGHFPwE=")</f>
        <v>#REF!</v>
      </c>
      <c r="C52" t="e">
        <f>AND(#REF!,"AAAAAGHFPwI=")</f>
        <v>#REF!</v>
      </c>
      <c r="D52" t="e">
        <f>AND(#REF!,"AAAAAGHFPwM=")</f>
        <v>#REF!</v>
      </c>
      <c r="E52" t="e">
        <f>AND(#REF!,"AAAAAGHFPwQ=")</f>
        <v>#REF!</v>
      </c>
      <c r="F52" t="e">
        <f>AND(#REF!,"AAAAAGHFPwU=")</f>
        <v>#REF!</v>
      </c>
      <c r="G52" t="e">
        <f>AND(#REF!,"AAAAAGHFPwY=")</f>
        <v>#REF!</v>
      </c>
      <c r="H52" t="e">
        <f>AND(#REF!,"AAAAAGHFPwc=")</f>
        <v>#REF!</v>
      </c>
      <c r="I52" t="e">
        <f>AND(#REF!,"AAAAAGHFPwg=")</f>
        <v>#REF!</v>
      </c>
      <c r="J52" t="e">
        <f>AND(#REF!,"AAAAAGHFPwk=")</f>
        <v>#REF!</v>
      </c>
      <c r="K52" t="e">
        <f>AND(#REF!,"AAAAAGHFPwo=")</f>
        <v>#REF!</v>
      </c>
      <c r="L52" t="e">
        <f>AND(#REF!,"AAAAAGHFPws=")</f>
        <v>#REF!</v>
      </c>
      <c r="M52" t="e">
        <f>AND(#REF!,"AAAAAGHFPww=")</f>
        <v>#REF!</v>
      </c>
      <c r="N52" t="e">
        <f>AND(#REF!,"AAAAAGHFPw0=")</f>
        <v>#REF!</v>
      </c>
      <c r="O52" t="e">
        <f>AND(#REF!,"AAAAAGHFPw4=")</f>
        <v>#REF!</v>
      </c>
      <c r="P52" t="e">
        <f>AND(#REF!,"AAAAAGHFPw8=")</f>
        <v>#REF!</v>
      </c>
      <c r="Q52" t="e">
        <f>AND(#REF!,"AAAAAGHFPxA=")</f>
        <v>#REF!</v>
      </c>
      <c r="R52" t="e">
        <f>AND(#REF!,"AAAAAGHFPxE=")</f>
        <v>#REF!</v>
      </c>
      <c r="S52" t="e">
        <f>AND(#REF!,"AAAAAGHFPxI=")</f>
        <v>#REF!</v>
      </c>
      <c r="T52" t="e">
        <f>AND(#REF!,"AAAAAGHFPxM=")</f>
        <v>#REF!</v>
      </c>
      <c r="U52" t="e">
        <f>AND(#REF!,"AAAAAGHFPxQ=")</f>
        <v>#REF!</v>
      </c>
      <c r="V52" t="e">
        <f>AND(#REF!,"AAAAAGHFPxU=")</f>
        <v>#REF!</v>
      </c>
      <c r="W52" t="e">
        <f>AND(#REF!,"AAAAAGHFPxY=")</f>
        <v>#REF!</v>
      </c>
      <c r="X52" t="e">
        <f>AND(#REF!,"AAAAAGHFPxc=")</f>
        <v>#REF!</v>
      </c>
      <c r="Y52" t="e">
        <f>AND(#REF!,"AAAAAGHFPxg=")</f>
        <v>#REF!</v>
      </c>
      <c r="Z52" t="e">
        <f>AND(#REF!,"AAAAAGHFPxk=")</f>
        <v>#REF!</v>
      </c>
      <c r="AA52" t="e">
        <f>AND(#REF!,"AAAAAGHFPxo=")</f>
        <v>#REF!</v>
      </c>
      <c r="AB52" t="e">
        <f>AND(#REF!,"AAAAAGHFPxs=")</f>
        <v>#REF!</v>
      </c>
      <c r="AC52" t="e">
        <f>AND(#REF!,"AAAAAGHFPxw=")</f>
        <v>#REF!</v>
      </c>
      <c r="AD52" t="e">
        <f>AND(#REF!,"AAAAAGHFPx0=")</f>
        <v>#REF!</v>
      </c>
      <c r="AE52" t="e">
        <f>AND(#REF!,"AAAAAGHFPx4=")</f>
        <v>#REF!</v>
      </c>
      <c r="AF52" t="e">
        <f>AND(#REF!,"AAAAAGHFPx8=")</f>
        <v>#REF!</v>
      </c>
      <c r="AG52" t="e">
        <f>AND(#REF!,"AAAAAGHFPyA=")</f>
        <v>#REF!</v>
      </c>
      <c r="AH52" t="e">
        <f>AND(#REF!,"AAAAAGHFPyE=")</f>
        <v>#REF!</v>
      </c>
      <c r="AI52" t="e">
        <f>AND(#REF!,"AAAAAGHFPyI=")</f>
        <v>#REF!</v>
      </c>
      <c r="AJ52" t="e">
        <f>AND(#REF!,"AAAAAGHFPyM=")</f>
        <v>#REF!</v>
      </c>
      <c r="AK52" t="e">
        <f>AND(#REF!,"AAAAAGHFPyQ=")</f>
        <v>#REF!</v>
      </c>
      <c r="AL52" t="e">
        <f>AND(#REF!,"AAAAAGHFPyU=")</f>
        <v>#REF!</v>
      </c>
      <c r="AM52" t="e">
        <f>AND(#REF!,"AAAAAGHFPyY=")</f>
        <v>#REF!</v>
      </c>
      <c r="AN52" t="e">
        <f>AND(#REF!,"AAAAAGHFPyc=")</f>
        <v>#REF!</v>
      </c>
      <c r="AO52" t="e">
        <f>AND(#REF!,"AAAAAGHFPyg=")</f>
        <v>#REF!</v>
      </c>
      <c r="AP52" t="e">
        <f>AND(#REF!,"AAAAAGHFPyk=")</f>
        <v>#REF!</v>
      </c>
      <c r="AQ52" t="e">
        <f>AND(#REF!,"AAAAAGHFPyo=")</f>
        <v>#REF!</v>
      </c>
      <c r="AR52" t="e">
        <f>AND(#REF!,"AAAAAGHFPys=")</f>
        <v>#REF!</v>
      </c>
      <c r="AS52" t="e">
        <f>AND(#REF!,"AAAAAGHFPyw=")</f>
        <v>#REF!</v>
      </c>
      <c r="AT52" t="e">
        <f>AND(#REF!,"AAAAAGHFPy0=")</f>
        <v>#REF!</v>
      </c>
      <c r="AU52" t="e">
        <f>AND(#REF!,"AAAAAGHFPy4=")</f>
        <v>#REF!</v>
      </c>
      <c r="AV52" t="e">
        <f>AND(#REF!,"AAAAAGHFPy8=")</f>
        <v>#REF!</v>
      </c>
      <c r="AW52" t="e">
        <f>AND(#REF!,"AAAAAGHFPzA=")</f>
        <v>#REF!</v>
      </c>
      <c r="AX52" t="e">
        <f>AND(#REF!,"AAAAAGHFPzE=")</f>
        <v>#REF!</v>
      </c>
      <c r="AY52" t="e">
        <f>AND(#REF!,"AAAAAGHFPzI=")</f>
        <v>#REF!</v>
      </c>
      <c r="AZ52" t="e">
        <f>AND(#REF!,"AAAAAGHFPzM=")</f>
        <v>#REF!</v>
      </c>
      <c r="BA52" t="e">
        <f>AND(#REF!,"AAAAAGHFPzQ=")</f>
        <v>#REF!</v>
      </c>
      <c r="BB52" t="e">
        <f>AND(#REF!,"AAAAAGHFPzU=")</f>
        <v>#REF!</v>
      </c>
      <c r="BC52" t="e">
        <f>AND(#REF!,"AAAAAGHFPzY=")</f>
        <v>#REF!</v>
      </c>
      <c r="BD52" t="e">
        <f>AND(#REF!,"AAAAAGHFPzc=")</f>
        <v>#REF!</v>
      </c>
      <c r="BE52" t="e">
        <f>AND(#REF!,"AAAAAGHFPzg=")</f>
        <v>#REF!</v>
      </c>
      <c r="BF52" t="e">
        <f>AND(#REF!,"AAAAAGHFPzk=")</f>
        <v>#REF!</v>
      </c>
      <c r="BG52" t="e">
        <f>AND(#REF!,"AAAAAGHFPzo=")</f>
        <v>#REF!</v>
      </c>
      <c r="BH52" t="e">
        <f>AND(#REF!,"AAAAAGHFPzs=")</f>
        <v>#REF!</v>
      </c>
      <c r="BI52" t="e">
        <f>AND(#REF!,"AAAAAGHFPzw=")</f>
        <v>#REF!</v>
      </c>
      <c r="BJ52" t="e">
        <f>AND(#REF!,"AAAAAGHFPz0=")</f>
        <v>#REF!</v>
      </c>
      <c r="BK52" t="e">
        <f>AND(#REF!,"AAAAAGHFPz4=")</f>
        <v>#REF!</v>
      </c>
      <c r="BL52" t="e">
        <f>AND(#REF!,"AAAAAGHFPz8=")</f>
        <v>#REF!</v>
      </c>
      <c r="BM52" t="e">
        <f>AND(#REF!,"AAAAAGHFP0A=")</f>
        <v>#REF!</v>
      </c>
      <c r="BN52" t="e">
        <f>AND(#REF!,"AAAAAGHFP0E=")</f>
        <v>#REF!</v>
      </c>
      <c r="BO52" t="e">
        <f>AND(#REF!,"AAAAAGHFP0I=")</f>
        <v>#REF!</v>
      </c>
      <c r="BP52" t="e">
        <f>AND(#REF!,"AAAAAGHFP0M=")</f>
        <v>#REF!</v>
      </c>
      <c r="BQ52" t="e">
        <f>AND(#REF!,"AAAAAGHFP0Q=")</f>
        <v>#REF!</v>
      </c>
      <c r="BR52" t="e">
        <f>AND(#REF!,"AAAAAGHFP0U=")</f>
        <v>#REF!</v>
      </c>
      <c r="BS52" t="e">
        <f>AND(#REF!,"AAAAAGHFP0Y=")</f>
        <v>#REF!</v>
      </c>
      <c r="BT52" t="e">
        <f>AND(#REF!,"AAAAAGHFP0c=")</f>
        <v>#REF!</v>
      </c>
      <c r="BU52" t="e">
        <f>AND(#REF!,"AAAAAGHFP0g=")</f>
        <v>#REF!</v>
      </c>
      <c r="BV52" t="e">
        <f>AND(#REF!,"AAAAAGHFP0k=")</f>
        <v>#REF!</v>
      </c>
      <c r="BW52" t="e">
        <f>AND(#REF!,"AAAAAGHFP0o=")</f>
        <v>#REF!</v>
      </c>
      <c r="BX52" t="e">
        <f>AND(#REF!,"AAAAAGHFP0s=")</f>
        <v>#REF!</v>
      </c>
      <c r="BY52" t="e">
        <f>AND(#REF!,"AAAAAGHFP0w=")</f>
        <v>#REF!</v>
      </c>
      <c r="BZ52" t="e">
        <f>AND(#REF!,"AAAAAGHFP00=")</f>
        <v>#REF!</v>
      </c>
      <c r="CA52" t="e">
        <f>AND(#REF!,"AAAAAGHFP04=")</f>
        <v>#REF!</v>
      </c>
      <c r="CB52" t="e">
        <f>AND(#REF!,"AAAAAGHFP08=")</f>
        <v>#REF!</v>
      </c>
      <c r="CC52" t="e">
        <f>AND(#REF!,"AAAAAGHFP1A=")</f>
        <v>#REF!</v>
      </c>
      <c r="CD52" t="e">
        <f>AND(#REF!,"AAAAAGHFP1E=")</f>
        <v>#REF!</v>
      </c>
      <c r="CE52" t="e">
        <f>AND(#REF!,"AAAAAGHFP1I=")</f>
        <v>#REF!</v>
      </c>
      <c r="CF52" t="e">
        <f>AND(#REF!,"AAAAAGHFP1M=")</f>
        <v>#REF!</v>
      </c>
      <c r="CG52" t="e">
        <f>AND(#REF!,"AAAAAGHFP1Q=")</f>
        <v>#REF!</v>
      </c>
      <c r="CH52" t="e">
        <f>AND(#REF!,"AAAAAGHFP1U=")</f>
        <v>#REF!</v>
      </c>
      <c r="CI52" t="e">
        <f>AND(#REF!,"AAAAAGHFP1Y=")</f>
        <v>#REF!</v>
      </c>
      <c r="CJ52" t="e">
        <f>AND(#REF!,"AAAAAGHFP1c=")</f>
        <v>#REF!</v>
      </c>
      <c r="CK52" t="e">
        <f>AND(#REF!,"AAAAAGHFP1g=")</f>
        <v>#REF!</v>
      </c>
      <c r="CL52" t="e">
        <f>AND(#REF!,"AAAAAGHFP1k=")</f>
        <v>#REF!</v>
      </c>
      <c r="CM52" t="e">
        <f>AND(#REF!,"AAAAAGHFP1o=")</f>
        <v>#REF!</v>
      </c>
      <c r="CN52" t="e">
        <f>AND(#REF!,"AAAAAGHFP1s=")</f>
        <v>#REF!</v>
      </c>
      <c r="CO52" t="e">
        <f>AND(#REF!,"AAAAAGHFP1w=")</f>
        <v>#REF!</v>
      </c>
      <c r="CP52" t="e">
        <f>AND(#REF!,"AAAAAGHFP10=")</f>
        <v>#REF!</v>
      </c>
      <c r="CQ52" t="e">
        <f>AND(#REF!,"AAAAAGHFP14=")</f>
        <v>#REF!</v>
      </c>
      <c r="CR52" t="e">
        <f>AND(#REF!,"AAAAAGHFP18=")</f>
        <v>#REF!</v>
      </c>
      <c r="CS52" t="e">
        <f>AND(#REF!,"AAAAAGHFP2A=")</f>
        <v>#REF!</v>
      </c>
      <c r="CT52" t="e">
        <f>AND(#REF!,"AAAAAGHFP2E=")</f>
        <v>#REF!</v>
      </c>
      <c r="CU52" t="e">
        <f>AND(#REF!,"AAAAAGHFP2I=")</f>
        <v>#REF!</v>
      </c>
      <c r="CV52" t="e">
        <f>AND(#REF!,"AAAAAGHFP2M=")</f>
        <v>#REF!</v>
      </c>
      <c r="CW52" t="e">
        <f>AND(#REF!,"AAAAAGHFP2Q=")</f>
        <v>#REF!</v>
      </c>
      <c r="CX52" t="e">
        <f>AND(#REF!,"AAAAAGHFP2U=")</f>
        <v>#REF!</v>
      </c>
      <c r="CY52" t="e">
        <f>AND(#REF!,"AAAAAGHFP2Y=")</f>
        <v>#REF!</v>
      </c>
      <c r="CZ52" t="e">
        <f>AND(#REF!,"AAAAAGHFP2c=")</f>
        <v>#REF!</v>
      </c>
      <c r="DA52" t="e">
        <f>AND(#REF!,"AAAAAGHFP2g=")</f>
        <v>#REF!</v>
      </c>
      <c r="DB52" t="e">
        <f>AND(#REF!,"AAAAAGHFP2k=")</f>
        <v>#REF!</v>
      </c>
      <c r="DC52" t="e">
        <f>AND(#REF!,"AAAAAGHFP2o=")</f>
        <v>#REF!</v>
      </c>
      <c r="DD52" t="e">
        <f>AND(#REF!,"AAAAAGHFP2s=")</f>
        <v>#REF!</v>
      </c>
      <c r="DE52" t="e">
        <f>AND(#REF!,"AAAAAGHFP2w=")</f>
        <v>#REF!</v>
      </c>
      <c r="DF52" t="e">
        <f>AND(#REF!,"AAAAAGHFP20=")</f>
        <v>#REF!</v>
      </c>
      <c r="DG52" t="e">
        <f>AND(#REF!,"AAAAAGHFP24=")</f>
        <v>#REF!</v>
      </c>
      <c r="DH52" t="e">
        <f>AND(#REF!,"AAAAAGHFP28=")</f>
        <v>#REF!</v>
      </c>
      <c r="DI52" t="e">
        <f>AND(#REF!,"AAAAAGHFP3A=")</f>
        <v>#REF!</v>
      </c>
      <c r="DJ52" t="e">
        <f>AND(#REF!,"AAAAAGHFP3E=")</f>
        <v>#REF!</v>
      </c>
      <c r="DK52" t="e">
        <f>AND(#REF!,"AAAAAGHFP3I=")</f>
        <v>#REF!</v>
      </c>
      <c r="DL52" t="e">
        <f>AND(#REF!,"AAAAAGHFP3M=")</f>
        <v>#REF!</v>
      </c>
      <c r="DM52" t="e">
        <f>AND(#REF!,"AAAAAGHFP3Q=")</f>
        <v>#REF!</v>
      </c>
      <c r="DN52" t="e">
        <f>AND(#REF!,"AAAAAGHFP3U=")</f>
        <v>#REF!</v>
      </c>
      <c r="DO52" t="e">
        <f>AND(#REF!,"AAAAAGHFP3Y=")</f>
        <v>#REF!</v>
      </c>
      <c r="DP52" t="e">
        <f>AND(#REF!,"AAAAAGHFP3c=")</f>
        <v>#REF!</v>
      </c>
      <c r="DQ52" t="e">
        <f>AND(#REF!,"AAAAAGHFP3g=")</f>
        <v>#REF!</v>
      </c>
      <c r="DR52" t="e">
        <f>AND(#REF!,"AAAAAGHFP3k=")</f>
        <v>#REF!</v>
      </c>
      <c r="DS52" t="e">
        <f>AND(#REF!,"AAAAAGHFP3o=")</f>
        <v>#REF!</v>
      </c>
      <c r="DT52" t="e">
        <f>AND(#REF!,"AAAAAGHFP3s=")</f>
        <v>#REF!</v>
      </c>
      <c r="DU52" t="e">
        <f>AND(#REF!,"AAAAAGHFP3w=")</f>
        <v>#REF!</v>
      </c>
      <c r="DV52" t="e">
        <f>AND(#REF!,"AAAAAGHFP30=")</f>
        <v>#REF!</v>
      </c>
      <c r="DW52" t="e">
        <f>AND(#REF!,"AAAAAGHFP34=")</f>
        <v>#REF!</v>
      </c>
      <c r="DX52" t="e">
        <f>AND(#REF!,"AAAAAGHFP38=")</f>
        <v>#REF!</v>
      </c>
      <c r="DY52" t="e">
        <f>AND(#REF!,"AAAAAGHFP4A=")</f>
        <v>#REF!</v>
      </c>
      <c r="DZ52" t="e">
        <f>AND(#REF!,"AAAAAGHFP4E=")</f>
        <v>#REF!</v>
      </c>
      <c r="EA52" t="e">
        <f>AND(#REF!,"AAAAAGHFP4I=")</f>
        <v>#REF!</v>
      </c>
      <c r="EB52" t="e">
        <f>AND(#REF!,"AAAAAGHFP4M=")</f>
        <v>#REF!</v>
      </c>
      <c r="EC52" t="e">
        <f>AND(#REF!,"AAAAAGHFP4Q=")</f>
        <v>#REF!</v>
      </c>
      <c r="ED52" t="e">
        <f>AND(#REF!,"AAAAAGHFP4U=")</f>
        <v>#REF!</v>
      </c>
      <c r="EE52" t="e">
        <f>AND(#REF!,"AAAAAGHFP4Y=")</f>
        <v>#REF!</v>
      </c>
      <c r="EF52" t="e">
        <f>AND(#REF!,"AAAAAGHFP4c=")</f>
        <v>#REF!</v>
      </c>
      <c r="EG52" t="e">
        <f>AND(#REF!,"AAAAAGHFP4g=")</f>
        <v>#REF!</v>
      </c>
      <c r="EH52" t="e">
        <f>AND(#REF!,"AAAAAGHFP4k=")</f>
        <v>#REF!</v>
      </c>
      <c r="EI52" t="e">
        <f>IF(#REF!,"AAAAAGHFP4o=",0)</f>
        <v>#REF!</v>
      </c>
      <c r="EJ52" t="e">
        <f>AND(#REF!,"AAAAAGHFP4s=")</f>
        <v>#REF!</v>
      </c>
      <c r="EK52" t="e">
        <f>AND(#REF!,"AAAAAGHFP4w=")</f>
        <v>#REF!</v>
      </c>
      <c r="EL52" t="e">
        <f>AND(#REF!,"AAAAAGHFP40=")</f>
        <v>#REF!</v>
      </c>
      <c r="EM52" t="e">
        <f>AND(#REF!,"AAAAAGHFP44=")</f>
        <v>#REF!</v>
      </c>
      <c r="EN52" t="e">
        <f>AND(#REF!,"AAAAAGHFP48=")</f>
        <v>#REF!</v>
      </c>
      <c r="EO52" t="e">
        <f>AND(#REF!,"AAAAAGHFP5A=")</f>
        <v>#REF!</v>
      </c>
      <c r="EP52" t="e">
        <f>AND(#REF!,"AAAAAGHFP5E=")</f>
        <v>#REF!</v>
      </c>
      <c r="EQ52" t="e">
        <f>AND(#REF!,"AAAAAGHFP5I=")</f>
        <v>#REF!</v>
      </c>
      <c r="ER52" t="e">
        <f>AND(#REF!,"AAAAAGHFP5M=")</f>
        <v>#REF!</v>
      </c>
      <c r="ES52" t="e">
        <f>AND(#REF!,"AAAAAGHFP5Q=")</f>
        <v>#REF!</v>
      </c>
      <c r="ET52" t="e">
        <f>AND(#REF!,"AAAAAGHFP5U=")</f>
        <v>#REF!</v>
      </c>
      <c r="EU52" t="e">
        <f>AND(#REF!,"AAAAAGHFP5Y=")</f>
        <v>#REF!</v>
      </c>
      <c r="EV52" t="e">
        <f>AND(#REF!,"AAAAAGHFP5c=")</f>
        <v>#REF!</v>
      </c>
      <c r="EW52" t="e">
        <f>AND(#REF!,"AAAAAGHFP5g=")</f>
        <v>#REF!</v>
      </c>
      <c r="EX52" t="e">
        <f>AND(#REF!,"AAAAAGHFP5k=")</f>
        <v>#REF!</v>
      </c>
      <c r="EY52" t="e">
        <f>AND(#REF!,"AAAAAGHFP5o=")</f>
        <v>#REF!</v>
      </c>
      <c r="EZ52" t="e">
        <f>AND(#REF!,"AAAAAGHFP5s=")</f>
        <v>#REF!</v>
      </c>
      <c r="FA52" t="e">
        <f>AND(#REF!,"AAAAAGHFP5w=")</f>
        <v>#REF!</v>
      </c>
      <c r="FB52" t="e">
        <f>AND(#REF!,"AAAAAGHFP50=")</f>
        <v>#REF!</v>
      </c>
      <c r="FC52" t="e">
        <f>AND(#REF!,"AAAAAGHFP54=")</f>
        <v>#REF!</v>
      </c>
      <c r="FD52" t="e">
        <f>AND(#REF!,"AAAAAGHFP58=")</f>
        <v>#REF!</v>
      </c>
      <c r="FE52" t="e">
        <f>AND(#REF!,"AAAAAGHFP6A=")</f>
        <v>#REF!</v>
      </c>
      <c r="FF52" t="e">
        <f>AND(#REF!,"AAAAAGHFP6E=")</f>
        <v>#REF!</v>
      </c>
      <c r="FG52" t="e">
        <f>AND(#REF!,"AAAAAGHFP6I=")</f>
        <v>#REF!</v>
      </c>
      <c r="FH52" t="e">
        <f>AND(#REF!,"AAAAAGHFP6M=")</f>
        <v>#REF!</v>
      </c>
      <c r="FI52" t="e">
        <f>AND(#REF!,"AAAAAGHFP6Q=")</f>
        <v>#REF!</v>
      </c>
      <c r="FJ52" t="e">
        <f>AND(#REF!,"AAAAAGHFP6U=")</f>
        <v>#REF!</v>
      </c>
      <c r="FK52" t="e">
        <f>AND(#REF!,"AAAAAGHFP6Y=")</f>
        <v>#REF!</v>
      </c>
      <c r="FL52" t="e">
        <f>AND(#REF!,"AAAAAGHFP6c=")</f>
        <v>#REF!</v>
      </c>
      <c r="FM52" t="e">
        <f>AND(#REF!,"AAAAAGHFP6g=")</f>
        <v>#REF!</v>
      </c>
      <c r="FN52" t="e">
        <f>AND(#REF!,"AAAAAGHFP6k=")</f>
        <v>#REF!</v>
      </c>
      <c r="FO52" t="e">
        <f>AND(#REF!,"AAAAAGHFP6o=")</f>
        <v>#REF!</v>
      </c>
      <c r="FP52" t="e">
        <f>AND(#REF!,"AAAAAGHFP6s=")</f>
        <v>#REF!</v>
      </c>
      <c r="FQ52" t="e">
        <f>AND(#REF!,"AAAAAGHFP6w=")</f>
        <v>#REF!</v>
      </c>
      <c r="FR52" t="e">
        <f>AND(#REF!,"AAAAAGHFP60=")</f>
        <v>#REF!</v>
      </c>
      <c r="FS52" t="e">
        <f>AND(#REF!,"AAAAAGHFP64=")</f>
        <v>#REF!</v>
      </c>
      <c r="FT52" t="e">
        <f>AND(#REF!,"AAAAAGHFP68=")</f>
        <v>#REF!</v>
      </c>
      <c r="FU52" t="e">
        <f>AND(#REF!,"AAAAAGHFP7A=")</f>
        <v>#REF!</v>
      </c>
      <c r="FV52" t="e">
        <f>AND(#REF!,"AAAAAGHFP7E=")</f>
        <v>#REF!</v>
      </c>
      <c r="FW52" t="e">
        <f>AND(#REF!,"AAAAAGHFP7I=")</f>
        <v>#REF!</v>
      </c>
      <c r="FX52" t="e">
        <f>AND(#REF!,"AAAAAGHFP7M=")</f>
        <v>#REF!</v>
      </c>
      <c r="FY52" t="e">
        <f>AND(#REF!,"AAAAAGHFP7Q=")</f>
        <v>#REF!</v>
      </c>
      <c r="FZ52" t="e">
        <f>AND(#REF!,"AAAAAGHFP7U=")</f>
        <v>#REF!</v>
      </c>
      <c r="GA52" t="e">
        <f>AND(#REF!,"AAAAAGHFP7Y=")</f>
        <v>#REF!</v>
      </c>
      <c r="GB52" t="e">
        <f>AND(#REF!,"AAAAAGHFP7c=")</f>
        <v>#REF!</v>
      </c>
      <c r="GC52" t="e">
        <f>AND(#REF!,"AAAAAGHFP7g=")</f>
        <v>#REF!</v>
      </c>
      <c r="GD52" t="e">
        <f>AND(#REF!,"AAAAAGHFP7k=")</f>
        <v>#REF!</v>
      </c>
      <c r="GE52" t="e">
        <f>AND(#REF!,"AAAAAGHFP7o=")</f>
        <v>#REF!</v>
      </c>
      <c r="GF52" t="e">
        <f>AND(#REF!,"AAAAAGHFP7s=")</f>
        <v>#REF!</v>
      </c>
      <c r="GG52" t="e">
        <f>AND(#REF!,"AAAAAGHFP7w=")</f>
        <v>#REF!</v>
      </c>
      <c r="GH52" t="e">
        <f>AND(#REF!,"AAAAAGHFP70=")</f>
        <v>#REF!</v>
      </c>
      <c r="GI52" t="e">
        <f>AND(#REF!,"AAAAAGHFP74=")</f>
        <v>#REF!</v>
      </c>
      <c r="GJ52" t="e">
        <f>AND(#REF!,"AAAAAGHFP78=")</f>
        <v>#REF!</v>
      </c>
      <c r="GK52" t="e">
        <f>AND(#REF!,"AAAAAGHFP8A=")</f>
        <v>#REF!</v>
      </c>
      <c r="GL52" t="e">
        <f>AND(#REF!,"AAAAAGHFP8E=")</f>
        <v>#REF!</v>
      </c>
      <c r="GM52" t="e">
        <f>AND(#REF!,"AAAAAGHFP8I=")</f>
        <v>#REF!</v>
      </c>
      <c r="GN52" t="e">
        <f>AND(#REF!,"AAAAAGHFP8M=")</f>
        <v>#REF!</v>
      </c>
      <c r="GO52" t="e">
        <f>AND(#REF!,"AAAAAGHFP8Q=")</f>
        <v>#REF!</v>
      </c>
      <c r="GP52" t="e">
        <f>AND(#REF!,"AAAAAGHFP8U=")</f>
        <v>#REF!</v>
      </c>
      <c r="GQ52" t="e">
        <f>AND(#REF!,"AAAAAGHFP8Y=")</f>
        <v>#REF!</v>
      </c>
      <c r="GR52" t="e">
        <f>AND(#REF!,"AAAAAGHFP8c=")</f>
        <v>#REF!</v>
      </c>
      <c r="GS52" t="e">
        <f>AND(#REF!,"AAAAAGHFP8g=")</f>
        <v>#REF!</v>
      </c>
      <c r="GT52" t="e">
        <f>AND(#REF!,"AAAAAGHFP8k=")</f>
        <v>#REF!</v>
      </c>
      <c r="GU52" t="e">
        <f>AND(#REF!,"AAAAAGHFP8o=")</f>
        <v>#REF!</v>
      </c>
      <c r="GV52" t="e">
        <f>AND(#REF!,"AAAAAGHFP8s=")</f>
        <v>#REF!</v>
      </c>
      <c r="GW52" t="e">
        <f>AND(#REF!,"AAAAAGHFP8w=")</f>
        <v>#REF!</v>
      </c>
      <c r="GX52" t="e">
        <f>AND(#REF!,"AAAAAGHFP80=")</f>
        <v>#REF!</v>
      </c>
      <c r="GY52" t="e">
        <f>AND(#REF!,"AAAAAGHFP84=")</f>
        <v>#REF!</v>
      </c>
      <c r="GZ52" t="e">
        <f>AND(#REF!,"AAAAAGHFP88=")</f>
        <v>#REF!</v>
      </c>
      <c r="HA52" t="e">
        <f>AND(#REF!,"AAAAAGHFP9A=")</f>
        <v>#REF!</v>
      </c>
      <c r="HB52" t="e">
        <f>AND(#REF!,"AAAAAGHFP9E=")</f>
        <v>#REF!</v>
      </c>
      <c r="HC52" t="e">
        <f>AND(#REF!,"AAAAAGHFP9I=")</f>
        <v>#REF!</v>
      </c>
      <c r="HD52" t="e">
        <f>AND(#REF!,"AAAAAGHFP9M=")</f>
        <v>#REF!</v>
      </c>
      <c r="HE52" t="e">
        <f>AND(#REF!,"AAAAAGHFP9Q=")</f>
        <v>#REF!</v>
      </c>
      <c r="HF52" t="e">
        <f>AND(#REF!,"AAAAAGHFP9U=")</f>
        <v>#REF!</v>
      </c>
      <c r="HG52" t="e">
        <f>AND(#REF!,"AAAAAGHFP9Y=")</f>
        <v>#REF!</v>
      </c>
      <c r="HH52" t="e">
        <f>AND(#REF!,"AAAAAGHFP9c=")</f>
        <v>#REF!</v>
      </c>
      <c r="HI52" t="e">
        <f>AND(#REF!,"AAAAAGHFP9g=")</f>
        <v>#REF!</v>
      </c>
      <c r="HJ52" t="e">
        <f>AND(#REF!,"AAAAAGHFP9k=")</f>
        <v>#REF!</v>
      </c>
      <c r="HK52" t="e">
        <f>AND(#REF!,"AAAAAGHFP9o=")</f>
        <v>#REF!</v>
      </c>
      <c r="HL52" t="e">
        <f>AND(#REF!,"AAAAAGHFP9s=")</f>
        <v>#REF!</v>
      </c>
      <c r="HM52" t="e">
        <f>AND(#REF!,"AAAAAGHFP9w=")</f>
        <v>#REF!</v>
      </c>
      <c r="HN52" t="e">
        <f>AND(#REF!,"AAAAAGHFP90=")</f>
        <v>#REF!</v>
      </c>
      <c r="HO52" t="e">
        <f>AND(#REF!,"AAAAAGHFP94=")</f>
        <v>#REF!</v>
      </c>
      <c r="HP52" t="e">
        <f>AND(#REF!,"AAAAAGHFP98=")</f>
        <v>#REF!</v>
      </c>
      <c r="HQ52" t="e">
        <f>AND(#REF!,"AAAAAGHFP+A=")</f>
        <v>#REF!</v>
      </c>
      <c r="HR52" t="e">
        <f>AND(#REF!,"AAAAAGHFP+E=")</f>
        <v>#REF!</v>
      </c>
      <c r="HS52" t="e">
        <f>AND(#REF!,"AAAAAGHFP+I=")</f>
        <v>#REF!</v>
      </c>
      <c r="HT52" t="e">
        <f>AND(#REF!,"AAAAAGHFP+M=")</f>
        <v>#REF!</v>
      </c>
      <c r="HU52" t="e">
        <f>AND(#REF!,"AAAAAGHFP+Q=")</f>
        <v>#REF!</v>
      </c>
      <c r="HV52" t="e">
        <f>AND(#REF!,"AAAAAGHFP+U=")</f>
        <v>#REF!</v>
      </c>
      <c r="HW52" t="e">
        <f>AND(#REF!,"AAAAAGHFP+Y=")</f>
        <v>#REF!</v>
      </c>
      <c r="HX52" t="e">
        <f>AND(#REF!,"AAAAAGHFP+c=")</f>
        <v>#REF!</v>
      </c>
      <c r="HY52" t="e">
        <f>AND(#REF!,"AAAAAGHFP+g=")</f>
        <v>#REF!</v>
      </c>
      <c r="HZ52" t="e">
        <f>AND(#REF!,"AAAAAGHFP+k=")</f>
        <v>#REF!</v>
      </c>
      <c r="IA52" t="e">
        <f>AND(#REF!,"AAAAAGHFP+o=")</f>
        <v>#REF!</v>
      </c>
      <c r="IB52" t="e">
        <f>AND(#REF!,"AAAAAGHFP+s=")</f>
        <v>#REF!</v>
      </c>
      <c r="IC52" t="e">
        <f>AND(#REF!,"AAAAAGHFP+w=")</f>
        <v>#REF!</v>
      </c>
      <c r="ID52" t="e">
        <f>AND(#REF!,"AAAAAGHFP+0=")</f>
        <v>#REF!</v>
      </c>
      <c r="IE52" t="e">
        <f>AND(#REF!,"AAAAAGHFP+4=")</f>
        <v>#REF!</v>
      </c>
      <c r="IF52" t="e">
        <f>AND(#REF!,"AAAAAGHFP+8=")</f>
        <v>#REF!</v>
      </c>
      <c r="IG52" t="e">
        <f>AND(#REF!,"AAAAAGHFP/A=")</f>
        <v>#REF!</v>
      </c>
      <c r="IH52" t="e">
        <f>AND(#REF!,"AAAAAGHFP/E=")</f>
        <v>#REF!</v>
      </c>
      <c r="II52" t="e">
        <f>AND(#REF!,"AAAAAGHFP/I=")</f>
        <v>#REF!</v>
      </c>
      <c r="IJ52" t="e">
        <f>AND(#REF!,"AAAAAGHFP/M=")</f>
        <v>#REF!</v>
      </c>
      <c r="IK52" t="e">
        <f>AND(#REF!,"AAAAAGHFP/Q=")</f>
        <v>#REF!</v>
      </c>
      <c r="IL52" t="e">
        <f>AND(#REF!,"AAAAAGHFP/U=")</f>
        <v>#REF!</v>
      </c>
      <c r="IM52" t="e">
        <f>AND(#REF!,"AAAAAGHFP/Y=")</f>
        <v>#REF!</v>
      </c>
      <c r="IN52" t="e">
        <f>AND(#REF!,"AAAAAGHFP/c=")</f>
        <v>#REF!</v>
      </c>
      <c r="IO52" t="e">
        <f>AND(#REF!,"AAAAAGHFP/g=")</f>
        <v>#REF!</v>
      </c>
      <c r="IP52" t="e">
        <f>AND(#REF!,"AAAAAGHFP/k=")</f>
        <v>#REF!</v>
      </c>
      <c r="IQ52" t="e">
        <f>AND(#REF!,"AAAAAGHFP/o=")</f>
        <v>#REF!</v>
      </c>
      <c r="IR52" t="e">
        <f>AND(#REF!,"AAAAAGHFP/s=")</f>
        <v>#REF!</v>
      </c>
      <c r="IS52" t="e">
        <f>AND(#REF!,"AAAAAGHFP/w=")</f>
        <v>#REF!</v>
      </c>
      <c r="IT52" t="e">
        <f>AND(#REF!,"AAAAAGHFP/0=")</f>
        <v>#REF!</v>
      </c>
      <c r="IU52" t="e">
        <f>AND(#REF!,"AAAAAGHFP/4=")</f>
        <v>#REF!</v>
      </c>
      <c r="IV52" t="e">
        <f>AND(#REF!,"AAAAAGHFP/8=")</f>
        <v>#REF!</v>
      </c>
    </row>
    <row r="53" spans="1:256" x14ac:dyDescent="0.25">
      <c r="A53" t="e">
        <f>AND(#REF!,"AAAAADZv3wA=")</f>
        <v>#REF!</v>
      </c>
      <c r="B53" t="e">
        <f>AND(#REF!,"AAAAADZv3wE=")</f>
        <v>#REF!</v>
      </c>
      <c r="C53" t="e">
        <f>AND(#REF!,"AAAAADZv3wI=")</f>
        <v>#REF!</v>
      </c>
      <c r="D53" t="e">
        <f>AND(#REF!,"AAAAADZv3wM=")</f>
        <v>#REF!</v>
      </c>
      <c r="E53" t="e">
        <f>AND(#REF!,"AAAAADZv3wQ=")</f>
        <v>#REF!</v>
      </c>
      <c r="F53" t="e">
        <f>AND(#REF!,"AAAAADZv3wU=")</f>
        <v>#REF!</v>
      </c>
      <c r="G53" t="e">
        <f>AND(#REF!,"AAAAADZv3wY=")</f>
        <v>#REF!</v>
      </c>
      <c r="H53" t="e">
        <f>AND(#REF!,"AAAAADZv3wc=")</f>
        <v>#REF!</v>
      </c>
      <c r="I53" t="e">
        <f>AND(#REF!,"AAAAADZv3wg=")</f>
        <v>#REF!</v>
      </c>
      <c r="J53" t="e">
        <f>AND(#REF!,"AAAAADZv3wk=")</f>
        <v>#REF!</v>
      </c>
      <c r="K53" t="e">
        <f>AND(#REF!,"AAAAADZv3wo=")</f>
        <v>#REF!</v>
      </c>
      <c r="L53" t="e">
        <f>AND(#REF!,"AAAAADZv3ws=")</f>
        <v>#REF!</v>
      </c>
      <c r="M53" t="e">
        <f>AND(#REF!,"AAAAADZv3ww=")</f>
        <v>#REF!</v>
      </c>
      <c r="N53" t="e">
        <f>AND(#REF!,"AAAAADZv3w0=")</f>
        <v>#REF!</v>
      </c>
      <c r="O53" t="e">
        <f>AND(#REF!,"AAAAADZv3w4=")</f>
        <v>#REF!</v>
      </c>
      <c r="P53" t="e">
        <f>AND(#REF!,"AAAAADZv3w8=")</f>
        <v>#REF!</v>
      </c>
      <c r="Q53" t="e">
        <f>AND(#REF!,"AAAAADZv3xA=")</f>
        <v>#REF!</v>
      </c>
      <c r="R53" t="e">
        <f>AND(#REF!,"AAAAADZv3xE=")</f>
        <v>#REF!</v>
      </c>
      <c r="S53" t="e">
        <f>AND(#REF!,"AAAAADZv3xI=")</f>
        <v>#REF!</v>
      </c>
      <c r="T53" t="e">
        <f>AND(#REF!,"AAAAADZv3xM=")</f>
        <v>#REF!</v>
      </c>
      <c r="U53" t="e">
        <f>AND(#REF!,"AAAAADZv3xQ=")</f>
        <v>#REF!</v>
      </c>
      <c r="V53" t="e">
        <f>AND(#REF!,"AAAAADZv3xU=")</f>
        <v>#REF!</v>
      </c>
      <c r="W53" t="e">
        <f>AND(#REF!,"AAAAADZv3xY=")</f>
        <v>#REF!</v>
      </c>
      <c r="X53" t="e">
        <f>AND(#REF!,"AAAAADZv3xc=")</f>
        <v>#REF!</v>
      </c>
      <c r="Y53" t="e">
        <f>AND(#REF!,"AAAAADZv3xg=")</f>
        <v>#REF!</v>
      </c>
      <c r="Z53" t="e">
        <f>AND(#REF!,"AAAAADZv3xk=")</f>
        <v>#REF!</v>
      </c>
      <c r="AA53" t="e">
        <f>AND(#REF!,"AAAAADZv3xo=")</f>
        <v>#REF!</v>
      </c>
      <c r="AB53" t="e">
        <f>AND(#REF!,"AAAAADZv3xs=")</f>
        <v>#REF!</v>
      </c>
      <c r="AC53" t="e">
        <f>AND(#REF!,"AAAAADZv3xw=")</f>
        <v>#REF!</v>
      </c>
      <c r="AD53" t="e">
        <f>AND(#REF!,"AAAAADZv3x0=")</f>
        <v>#REF!</v>
      </c>
      <c r="AE53" t="e">
        <f>AND(#REF!,"AAAAADZv3x4=")</f>
        <v>#REF!</v>
      </c>
      <c r="AF53" t="e">
        <f>AND(#REF!,"AAAAADZv3x8=")</f>
        <v>#REF!</v>
      </c>
      <c r="AG53" t="e">
        <f>AND(#REF!,"AAAAADZv3yA=")</f>
        <v>#REF!</v>
      </c>
      <c r="AH53" t="e">
        <f>AND(#REF!,"AAAAADZv3yE=")</f>
        <v>#REF!</v>
      </c>
      <c r="AI53" t="e">
        <f>AND(#REF!,"AAAAADZv3yI=")</f>
        <v>#REF!</v>
      </c>
      <c r="AJ53" t="e">
        <f>AND(#REF!,"AAAAADZv3yM=")</f>
        <v>#REF!</v>
      </c>
      <c r="AK53" t="e">
        <f>AND(#REF!,"AAAAADZv3yQ=")</f>
        <v>#REF!</v>
      </c>
      <c r="AL53" t="e">
        <f>AND(#REF!,"AAAAADZv3yU=")</f>
        <v>#REF!</v>
      </c>
      <c r="AM53" t="e">
        <f>AND(#REF!,"AAAAADZv3yY=")</f>
        <v>#REF!</v>
      </c>
      <c r="AN53" t="e">
        <f>AND(#REF!,"AAAAADZv3yc=")</f>
        <v>#REF!</v>
      </c>
      <c r="AO53" t="e">
        <f>AND(#REF!,"AAAAADZv3yg=")</f>
        <v>#REF!</v>
      </c>
      <c r="AP53" t="e">
        <f>AND(#REF!,"AAAAADZv3yk=")</f>
        <v>#REF!</v>
      </c>
      <c r="AQ53" t="e">
        <f>AND(#REF!,"AAAAADZv3yo=")</f>
        <v>#REF!</v>
      </c>
      <c r="AR53" t="e">
        <f>AND(#REF!,"AAAAADZv3ys=")</f>
        <v>#REF!</v>
      </c>
      <c r="AS53" t="e">
        <f>AND(#REF!,"AAAAADZv3yw=")</f>
        <v>#REF!</v>
      </c>
      <c r="AT53" t="e">
        <f>AND(#REF!,"AAAAADZv3y0=")</f>
        <v>#REF!</v>
      </c>
      <c r="AU53" t="e">
        <f>AND(#REF!,"AAAAADZv3y4=")</f>
        <v>#REF!</v>
      </c>
      <c r="AV53" t="e">
        <f>AND(#REF!,"AAAAADZv3y8=")</f>
        <v>#REF!</v>
      </c>
      <c r="AW53" t="e">
        <f>AND(#REF!,"AAAAADZv3zA=")</f>
        <v>#REF!</v>
      </c>
      <c r="AX53" t="e">
        <f>AND(#REF!,"AAAAADZv3zE=")</f>
        <v>#REF!</v>
      </c>
      <c r="AY53" t="e">
        <f>AND(#REF!,"AAAAADZv3zI=")</f>
        <v>#REF!</v>
      </c>
      <c r="AZ53" t="e">
        <f>AND(#REF!,"AAAAADZv3zM=")</f>
        <v>#REF!</v>
      </c>
      <c r="BA53" t="e">
        <f>AND(#REF!,"AAAAADZv3zQ=")</f>
        <v>#REF!</v>
      </c>
      <c r="BB53" t="e">
        <f>AND(#REF!,"AAAAADZv3zU=")</f>
        <v>#REF!</v>
      </c>
      <c r="BC53" t="e">
        <f>AND(#REF!,"AAAAADZv3zY=")</f>
        <v>#REF!</v>
      </c>
      <c r="BD53" t="e">
        <f>AND(#REF!,"AAAAADZv3zc=")</f>
        <v>#REF!</v>
      </c>
      <c r="BE53" t="e">
        <f>AND(#REF!,"AAAAADZv3zg=")</f>
        <v>#REF!</v>
      </c>
      <c r="BF53" t="e">
        <f>AND(#REF!,"AAAAADZv3zk=")</f>
        <v>#REF!</v>
      </c>
      <c r="BG53" t="e">
        <f>AND(#REF!,"AAAAADZv3zo=")</f>
        <v>#REF!</v>
      </c>
      <c r="BH53" t="e">
        <f>AND(#REF!,"AAAAADZv3zs=")</f>
        <v>#REF!</v>
      </c>
      <c r="BI53" t="e">
        <f>AND(#REF!,"AAAAADZv3zw=")</f>
        <v>#REF!</v>
      </c>
      <c r="BJ53" t="e">
        <f>AND(#REF!,"AAAAADZv3z0=")</f>
        <v>#REF!</v>
      </c>
      <c r="BK53" t="e">
        <f>AND(#REF!,"AAAAADZv3z4=")</f>
        <v>#REF!</v>
      </c>
      <c r="BL53" t="e">
        <f>AND(#REF!,"AAAAADZv3z8=")</f>
        <v>#REF!</v>
      </c>
      <c r="BM53" t="e">
        <f>AND(#REF!,"AAAAADZv30A=")</f>
        <v>#REF!</v>
      </c>
      <c r="BN53" t="e">
        <f>AND(#REF!,"AAAAADZv30E=")</f>
        <v>#REF!</v>
      </c>
      <c r="BO53" t="e">
        <f>AND(#REF!,"AAAAADZv30I=")</f>
        <v>#REF!</v>
      </c>
      <c r="BP53" t="e">
        <f>AND(#REF!,"AAAAADZv30M=")</f>
        <v>#REF!</v>
      </c>
      <c r="BQ53" t="e">
        <f>AND(#REF!,"AAAAADZv30Q=")</f>
        <v>#REF!</v>
      </c>
      <c r="BR53" t="e">
        <f>AND(#REF!,"AAAAADZv30U=")</f>
        <v>#REF!</v>
      </c>
      <c r="BS53" t="e">
        <f>AND(#REF!,"AAAAADZv30Y=")</f>
        <v>#REF!</v>
      </c>
      <c r="BT53" t="e">
        <f>IF(#REF!,"AAAAADZv30c=",0)</f>
        <v>#REF!</v>
      </c>
      <c r="BU53" t="e">
        <f>AND(#REF!,"AAAAADZv30g=")</f>
        <v>#REF!</v>
      </c>
      <c r="BV53" t="e">
        <f>AND(#REF!,"AAAAADZv30k=")</f>
        <v>#REF!</v>
      </c>
      <c r="BW53" t="e">
        <f>AND(#REF!,"AAAAADZv30o=")</f>
        <v>#REF!</v>
      </c>
      <c r="BX53" t="e">
        <f>AND(#REF!,"AAAAADZv30s=")</f>
        <v>#REF!</v>
      </c>
      <c r="BY53" t="e">
        <f>AND(#REF!,"AAAAADZv30w=")</f>
        <v>#REF!</v>
      </c>
      <c r="BZ53" t="e">
        <f>AND(#REF!,"AAAAADZv300=")</f>
        <v>#REF!</v>
      </c>
      <c r="CA53" t="e">
        <f>AND(#REF!,"AAAAADZv304=")</f>
        <v>#REF!</v>
      </c>
      <c r="CB53" t="e">
        <f>AND(#REF!,"AAAAADZv308=")</f>
        <v>#REF!</v>
      </c>
      <c r="CC53" t="e">
        <f>AND(#REF!,"AAAAADZv31A=")</f>
        <v>#REF!</v>
      </c>
      <c r="CD53" t="e">
        <f>AND(#REF!,"AAAAADZv31E=")</f>
        <v>#REF!</v>
      </c>
      <c r="CE53" t="e">
        <f>AND(#REF!,"AAAAADZv31I=")</f>
        <v>#REF!</v>
      </c>
      <c r="CF53" t="e">
        <f>AND(#REF!,"AAAAADZv31M=")</f>
        <v>#REF!</v>
      </c>
      <c r="CG53" t="e">
        <f>AND(#REF!,"AAAAADZv31Q=")</f>
        <v>#REF!</v>
      </c>
      <c r="CH53" t="e">
        <f>AND(#REF!,"AAAAADZv31U=")</f>
        <v>#REF!</v>
      </c>
      <c r="CI53" t="e">
        <f>AND(#REF!,"AAAAADZv31Y=")</f>
        <v>#REF!</v>
      </c>
      <c r="CJ53" t="e">
        <f>AND(#REF!,"AAAAADZv31c=")</f>
        <v>#REF!</v>
      </c>
      <c r="CK53" t="e">
        <f>AND(#REF!,"AAAAADZv31g=")</f>
        <v>#REF!</v>
      </c>
      <c r="CL53" t="e">
        <f>AND(#REF!,"AAAAADZv31k=")</f>
        <v>#REF!</v>
      </c>
      <c r="CM53" t="e">
        <f>AND(#REF!,"AAAAADZv31o=")</f>
        <v>#REF!</v>
      </c>
      <c r="CN53" t="e">
        <f>AND(#REF!,"AAAAADZv31s=")</f>
        <v>#REF!</v>
      </c>
      <c r="CO53" t="e">
        <f>AND(#REF!,"AAAAADZv31w=")</f>
        <v>#REF!</v>
      </c>
      <c r="CP53" t="e">
        <f>AND(#REF!,"AAAAADZv310=")</f>
        <v>#REF!</v>
      </c>
      <c r="CQ53" t="e">
        <f>AND(#REF!,"AAAAADZv314=")</f>
        <v>#REF!</v>
      </c>
      <c r="CR53" t="e">
        <f>AND(#REF!,"AAAAADZv318=")</f>
        <v>#REF!</v>
      </c>
      <c r="CS53" t="e">
        <f>AND(#REF!,"AAAAADZv32A=")</f>
        <v>#REF!</v>
      </c>
      <c r="CT53" t="e">
        <f>AND(#REF!,"AAAAADZv32E=")</f>
        <v>#REF!</v>
      </c>
      <c r="CU53" t="e">
        <f>AND(#REF!,"AAAAADZv32I=")</f>
        <v>#REF!</v>
      </c>
      <c r="CV53" t="e">
        <f>AND(#REF!,"AAAAADZv32M=")</f>
        <v>#REF!</v>
      </c>
      <c r="CW53" t="e">
        <f>AND(#REF!,"AAAAADZv32Q=")</f>
        <v>#REF!</v>
      </c>
      <c r="CX53" t="e">
        <f>AND(#REF!,"AAAAADZv32U=")</f>
        <v>#REF!</v>
      </c>
      <c r="CY53" t="e">
        <f>AND(#REF!,"AAAAADZv32Y=")</f>
        <v>#REF!</v>
      </c>
      <c r="CZ53" t="e">
        <f>AND(#REF!,"AAAAADZv32c=")</f>
        <v>#REF!</v>
      </c>
      <c r="DA53" t="e">
        <f>AND(#REF!,"AAAAADZv32g=")</f>
        <v>#REF!</v>
      </c>
      <c r="DB53" t="e">
        <f>AND(#REF!,"AAAAADZv32k=")</f>
        <v>#REF!</v>
      </c>
      <c r="DC53" t="e">
        <f>AND(#REF!,"AAAAADZv32o=")</f>
        <v>#REF!</v>
      </c>
      <c r="DD53" t="e">
        <f>AND(#REF!,"AAAAADZv32s=")</f>
        <v>#REF!</v>
      </c>
      <c r="DE53" t="e">
        <f>AND(#REF!,"AAAAADZv32w=")</f>
        <v>#REF!</v>
      </c>
      <c r="DF53" t="e">
        <f>AND(#REF!,"AAAAADZv320=")</f>
        <v>#REF!</v>
      </c>
      <c r="DG53" t="e">
        <f>AND(#REF!,"AAAAADZv324=")</f>
        <v>#REF!</v>
      </c>
      <c r="DH53" t="e">
        <f>AND(#REF!,"AAAAADZv328=")</f>
        <v>#REF!</v>
      </c>
      <c r="DI53" t="e">
        <f>AND(#REF!,"AAAAADZv33A=")</f>
        <v>#REF!</v>
      </c>
      <c r="DJ53" t="e">
        <f>AND(#REF!,"AAAAADZv33E=")</f>
        <v>#REF!</v>
      </c>
      <c r="DK53" t="e">
        <f>AND(#REF!,"AAAAADZv33I=")</f>
        <v>#REF!</v>
      </c>
      <c r="DL53" t="e">
        <f>AND(#REF!,"AAAAADZv33M=")</f>
        <v>#REF!</v>
      </c>
      <c r="DM53" t="e">
        <f>AND(#REF!,"AAAAADZv33Q=")</f>
        <v>#REF!</v>
      </c>
      <c r="DN53" t="e">
        <f>AND(#REF!,"AAAAADZv33U=")</f>
        <v>#REF!</v>
      </c>
      <c r="DO53" t="e">
        <f>AND(#REF!,"AAAAADZv33Y=")</f>
        <v>#REF!</v>
      </c>
      <c r="DP53" t="e">
        <f>AND(#REF!,"AAAAADZv33c=")</f>
        <v>#REF!</v>
      </c>
      <c r="DQ53" t="e">
        <f>AND(#REF!,"AAAAADZv33g=")</f>
        <v>#REF!</v>
      </c>
      <c r="DR53" t="e">
        <f>AND(#REF!,"AAAAADZv33k=")</f>
        <v>#REF!</v>
      </c>
      <c r="DS53" t="e">
        <f>AND(#REF!,"AAAAADZv33o=")</f>
        <v>#REF!</v>
      </c>
      <c r="DT53" t="e">
        <f>AND(#REF!,"AAAAADZv33s=")</f>
        <v>#REF!</v>
      </c>
      <c r="DU53" t="e">
        <f>AND(#REF!,"AAAAADZv33w=")</f>
        <v>#REF!</v>
      </c>
      <c r="DV53" t="e">
        <f>AND(#REF!,"AAAAADZv330=")</f>
        <v>#REF!</v>
      </c>
      <c r="DW53" t="e">
        <f>AND(#REF!,"AAAAADZv334=")</f>
        <v>#REF!</v>
      </c>
      <c r="DX53" t="e">
        <f>AND(#REF!,"AAAAADZv338=")</f>
        <v>#REF!</v>
      </c>
      <c r="DY53" t="e">
        <f>AND(#REF!,"AAAAADZv34A=")</f>
        <v>#REF!</v>
      </c>
      <c r="DZ53" t="e">
        <f>AND(#REF!,"AAAAADZv34E=")</f>
        <v>#REF!</v>
      </c>
      <c r="EA53" t="e">
        <f>AND(#REF!,"AAAAADZv34I=")</f>
        <v>#REF!</v>
      </c>
      <c r="EB53" t="e">
        <f>AND(#REF!,"AAAAADZv34M=")</f>
        <v>#REF!</v>
      </c>
      <c r="EC53" t="e">
        <f>AND(#REF!,"AAAAADZv34Q=")</f>
        <v>#REF!</v>
      </c>
      <c r="ED53" t="e">
        <f>AND(#REF!,"AAAAADZv34U=")</f>
        <v>#REF!</v>
      </c>
      <c r="EE53" t="e">
        <f>AND(#REF!,"AAAAADZv34Y=")</f>
        <v>#REF!</v>
      </c>
      <c r="EF53" t="e">
        <f>AND(#REF!,"AAAAADZv34c=")</f>
        <v>#REF!</v>
      </c>
      <c r="EG53" t="e">
        <f>AND(#REF!,"AAAAADZv34g=")</f>
        <v>#REF!</v>
      </c>
      <c r="EH53" t="e">
        <f>AND(#REF!,"AAAAADZv34k=")</f>
        <v>#REF!</v>
      </c>
      <c r="EI53" t="e">
        <f>AND(#REF!,"AAAAADZv34o=")</f>
        <v>#REF!</v>
      </c>
      <c r="EJ53" t="e">
        <f>AND(#REF!,"AAAAADZv34s=")</f>
        <v>#REF!</v>
      </c>
      <c r="EK53" t="e">
        <f>AND(#REF!,"AAAAADZv34w=")</f>
        <v>#REF!</v>
      </c>
      <c r="EL53" t="e">
        <f>AND(#REF!,"AAAAADZv340=")</f>
        <v>#REF!</v>
      </c>
      <c r="EM53" t="e">
        <f>AND(#REF!,"AAAAADZv344=")</f>
        <v>#REF!</v>
      </c>
      <c r="EN53" t="e">
        <f>AND(#REF!,"AAAAADZv348=")</f>
        <v>#REF!</v>
      </c>
      <c r="EO53" t="e">
        <f>AND(#REF!,"AAAAADZv35A=")</f>
        <v>#REF!</v>
      </c>
      <c r="EP53" t="e">
        <f>AND(#REF!,"AAAAADZv35E=")</f>
        <v>#REF!</v>
      </c>
      <c r="EQ53" t="e">
        <f>AND(#REF!,"AAAAADZv35I=")</f>
        <v>#REF!</v>
      </c>
      <c r="ER53" t="e">
        <f>AND(#REF!,"AAAAADZv35M=")</f>
        <v>#REF!</v>
      </c>
      <c r="ES53" t="e">
        <f>AND(#REF!,"AAAAADZv35Q=")</f>
        <v>#REF!</v>
      </c>
      <c r="ET53" t="e">
        <f>AND(#REF!,"AAAAADZv35U=")</f>
        <v>#REF!</v>
      </c>
      <c r="EU53" t="e">
        <f>AND(#REF!,"AAAAADZv35Y=")</f>
        <v>#REF!</v>
      </c>
      <c r="EV53" t="e">
        <f>AND(#REF!,"AAAAADZv35c=")</f>
        <v>#REF!</v>
      </c>
      <c r="EW53" t="e">
        <f>AND(#REF!,"AAAAADZv35g=")</f>
        <v>#REF!</v>
      </c>
      <c r="EX53" t="e">
        <f>AND(#REF!,"AAAAADZv35k=")</f>
        <v>#REF!</v>
      </c>
      <c r="EY53" t="e">
        <f>AND(#REF!,"AAAAADZv35o=")</f>
        <v>#REF!</v>
      </c>
      <c r="EZ53" t="e">
        <f>AND(#REF!,"AAAAADZv35s=")</f>
        <v>#REF!</v>
      </c>
      <c r="FA53" t="e">
        <f>AND(#REF!,"AAAAADZv35w=")</f>
        <v>#REF!</v>
      </c>
      <c r="FB53" t="e">
        <f>AND(#REF!,"AAAAADZv350=")</f>
        <v>#REF!</v>
      </c>
      <c r="FC53" t="e">
        <f>AND(#REF!,"AAAAADZv354=")</f>
        <v>#REF!</v>
      </c>
      <c r="FD53" t="e">
        <f>AND(#REF!,"AAAAADZv358=")</f>
        <v>#REF!</v>
      </c>
      <c r="FE53" t="e">
        <f>AND(#REF!,"AAAAADZv36A=")</f>
        <v>#REF!</v>
      </c>
      <c r="FF53" t="e">
        <f>AND(#REF!,"AAAAADZv36E=")</f>
        <v>#REF!</v>
      </c>
      <c r="FG53" t="e">
        <f>AND(#REF!,"AAAAADZv36I=")</f>
        <v>#REF!</v>
      </c>
      <c r="FH53" t="e">
        <f>AND(#REF!,"AAAAADZv36M=")</f>
        <v>#REF!</v>
      </c>
      <c r="FI53" t="e">
        <f>AND(#REF!,"AAAAADZv36Q=")</f>
        <v>#REF!</v>
      </c>
      <c r="FJ53" t="e">
        <f>AND(#REF!,"AAAAADZv36U=")</f>
        <v>#REF!</v>
      </c>
      <c r="FK53" t="e">
        <f>AND(#REF!,"AAAAADZv36Y=")</f>
        <v>#REF!</v>
      </c>
      <c r="FL53" t="e">
        <f>AND(#REF!,"AAAAADZv36c=")</f>
        <v>#REF!</v>
      </c>
      <c r="FM53" t="e">
        <f>AND(#REF!,"AAAAADZv36g=")</f>
        <v>#REF!</v>
      </c>
      <c r="FN53" t="e">
        <f>AND(#REF!,"AAAAADZv36k=")</f>
        <v>#REF!</v>
      </c>
      <c r="FO53" t="e">
        <f>AND(#REF!,"AAAAADZv36o=")</f>
        <v>#REF!</v>
      </c>
      <c r="FP53" t="e">
        <f>AND(#REF!,"AAAAADZv36s=")</f>
        <v>#REF!</v>
      </c>
      <c r="FQ53" t="e">
        <f>AND(#REF!,"AAAAADZv36w=")</f>
        <v>#REF!</v>
      </c>
      <c r="FR53" t="e">
        <f>AND(#REF!,"AAAAADZv360=")</f>
        <v>#REF!</v>
      </c>
      <c r="FS53" t="e">
        <f>AND(#REF!,"AAAAADZv364=")</f>
        <v>#REF!</v>
      </c>
      <c r="FT53" t="e">
        <f>AND(#REF!,"AAAAADZv368=")</f>
        <v>#REF!</v>
      </c>
      <c r="FU53" t="e">
        <f>AND(#REF!,"AAAAADZv37A=")</f>
        <v>#REF!</v>
      </c>
      <c r="FV53" t="e">
        <f>AND(#REF!,"AAAAADZv37E=")</f>
        <v>#REF!</v>
      </c>
      <c r="FW53" t="e">
        <f>AND(#REF!,"AAAAADZv37I=")</f>
        <v>#REF!</v>
      </c>
      <c r="FX53" t="e">
        <f>AND(#REF!,"AAAAADZv37M=")</f>
        <v>#REF!</v>
      </c>
      <c r="FY53" t="e">
        <f>AND(#REF!,"AAAAADZv37Q=")</f>
        <v>#REF!</v>
      </c>
      <c r="FZ53" t="e">
        <f>AND(#REF!,"AAAAADZv37U=")</f>
        <v>#REF!</v>
      </c>
      <c r="GA53" t="e">
        <f>AND(#REF!,"AAAAADZv37Y=")</f>
        <v>#REF!</v>
      </c>
      <c r="GB53" t="e">
        <f>AND(#REF!,"AAAAADZv37c=")</f>
        <v>#REF!</v>
      </c>
      <c r="GC53" t="e">
        <f>AND(#REF!,"AAAAADZv37g=")</f>
        <v>#REF!</v>
      </c>
      <c r="GD53" t="e">
        <f>AND(#REF!,"AAAAADZv37k=")</f>
        <v>#REF!</v>
      </c>
      <c r="GE53" t="e">
        <f>AND(#REF!,"AAAAADZv37o=")</f>
        <v>#REF!</v>
      </c>
      <c r="GF53" t="e">
        <f>AND(#REF!,"AAAAADZv37s=")</f>
        <v>#REF!</v>
      </c>
      <c r="GG53" t="e">
        <f>AND(#REF!,"AAAAADZv37w=")</f>
        <v>#REF!</v>
      </c>
      <c r="GH53" t="e">
        <f>AND(#REF!,"AAAAADZv370=")</f>
        <v>#REF!</v>
      </c>
      <c r="GI53" t="e">
        <f>AND(#REF!,"AAAAADZv374=")</f>
        <v>#REF!</v>
      </c>
      <c r="GJ53" t="e">
        <f>AND(#REF!,"AAAAADZv378=")</f>
        <v>#REF!</v>
      </c>
      <c r="GK53" t="e">
        <f>AND(#REF!,"AAAAADZv38A=")</f>
        <v>#REF!</v>
      </c>
      <c r="GL53" t="e">
        <f>AND(#REF!,"AAAAADZv38E=")</f>
        <v>#REF!</v>
      </c>
      <c r="GM53" t="e">
        <f>AND(#REF!,"AAAAADZv38I=")</f>
        <v>#REF!</v>
      </c>
      <c r="GN53" t="e">
        <f>AND(#REF!,"AAAAADZv38M=")</f>
        <v>#REF!</v>
      </c>
      <c r="GO53" t="e">
        <f>AND(#REF!,"AAAAADZv38Q=")</f>
        <v>#REF!</v>
      </c>
      <c r="GP53" t="e">
        <f>AND(#REF!,"AAAAADZv38U=")</f>
        <v>#REF!</v>
      </c>
      <c r="GQ53" t="e">
        <f>AND(#REF!,"AAAAADZv38Y=")</f>
        <v>#REF!</v>
      </c>
      <c r="GR53" t="e">
        <f>AND(#REF!,"AAAAADZv38c=")</f>
        <v>#REF!</v>
      </c>
      <c r="GS53" t="e">
        <f>AND(#REF!,"AAAAADZv38g=")</f>
        <v>#REF!</v>
      </c>
      <c r="GT53" t="e">
        <f>AND(#REF!,"AAAAADZv38k=")</f>
        <v>#REF!</v>
      </c>
      <c r="GU53" t="e">
        <f>AND(#REF!,"AAAAADZv38o=")</f>
        <v>#REF!</v>
      </c>
      <c r="GV53" t="e">
        <f>AND(#REF!,"AAAAADZv38s=")</f>
        <v>#REF!</v>
      </c>
      <c r="GW53" t="e">
        <f>AND(#REF!,"AAAAADZv38w=")</f>
        <v>#REF!</v>
      </c>
      <c r="GX53" t="e">
        <f>AND(#REF!,"AAAAADZv380=")</f>
        <v>#REF!</v>
      </c>
      <c r="GY53" t="e">
        <f>AND(#REF!,"AAAAADZv384=")</f>
        <v>#REF!</v>
      </c>
      <c r="GZ53" t="e">
        <f>AND(#REF!,"AAAAADZv388=")</f>
        <v>#REF!</v>
      </c>
      <c r="HA53" t="e">
        <f>AND(#REF!,"AAAAADZv39A=")</f>
        <v>#REF!</v>
      </c>
      <c r="HB53" t="e">
        <f>AND(#REF!,"AAAAADZv39E=")</f>
        <v>#REF!</v>
      </c>
      <c r="HC53" t="e">
        <f>AND(#REF!,"AAAAADZv39I=")</f>
        <v>#REF!</v>
      </c>
      <c r="HD53" t="e">
        <f>AND(#REF!,"AAAAADZv39M=")</f>
        <v>#REF!</v>
      </c>
      <c r="HE53" t="e">
        <f>AND(#REF!,"AAAAADZv39Q=")</f>
        <v>#REF!</v>
      </c>
      <c r="HF53" t="e">
        <f>AND(#REF!,"AAAAADZv39U=")</f>
        <v>#REF!</v>
      </c>
      <c r="HG53" t="e">
        <f>AND(#REF!,"AAAAADZv39Y=")</f>
        <v>#REF!</v>
      </c>
      <c r="HH53" t="e">
        <f>AND(#REF!,"AAAAADZv39c=")</f>
        <v>#REF!</v>
      </c>
      <c r="HI53" t="e">
        <f>AND(#REF!,"AAAAADZv39g=")</f>
        <v>#REF!</v>
      </c>
      <c r="HJ53" t="e">
        <f>AND(#REF!,"AAAAADZv39k=")</f>
        <v>#REF!</v>
      </c>
      <c r="HK53" t="e">
        <f>AND(#REF!,"AAAAADZv39o=")</f>
        <v>#REF!</v>
      </c>
      <c r="HL53" t="e">
        <f>AND(#REF!,"AAAAADZv39s=")</f>
        <v>#REF!</v>
      </c>
      <c r="HM53" t="e">
        <f>AND(#REF!,"AAAAADZv39w=")</f>
        <v>#REF!</v>
      </c>
      <c r="HN53" t="e">
        <f>AND(#REF!,"AAAAADZv390=")</f>
        <v>#REF!</v>
      </c>
      <c r="HO53" t="e">
        <f>AND(#REF!,"AAAAADZv394=")</f>
        <v>#REF!</v>
      </c>
      <c r="HP53" t="e">
        <f>AND(#REF!,"AAAAADZv398=")</f>
        <v>#REF!</v>
      </c>
      <c r="HQ53" t="e">
        <f>AND(#REF!,"AAAAADZv3+A=")</f>
        <v>#REF!</v>
      </c>
      <c r="HR53" t="e">
        <f>AND(#REF!,"AAAAADZv3+E=")</f>
        <v>#REF!</v>
      </c>
      <c r="HS53" t="e">
        <f>AND(#REF!,"AAAAADZv3+I=")</f>
        <v>#REF!</v>
      </c>
      <c r="HT53" t="e">
        <f>AND(#REF!,"AAAAADZv3+M=")</f>
        <v>#REF!</v>
      </c>
      <c r="HU53" t="e">
        <f>AND(#REF!,"AAAAADZv3+Q=")</f>
        <v>#REF!</v>
      </c>
      <c r="HV53" t="e">
        <f>AND(#REF!,"AAAAADZv3+U=")</f>
        <v>#REF!</v>
      </c>
      <c r="HW53" t="e">
        <f>AND(#REF!,"AAAAADZv3+Y=")</f>
        <v>#REF!</v>
      </c>
      <c r="HX53" t="e">
        <f>AND(#REF!,"AAAAADZv3+c=")</f>
        <v>#REF!</v>
      </c>
      <c r="HY53" t="e">
        <f>AND(#REF!,"AAAAADZv3+g=")</f>
        <v>#REF!</v>
      </c>
      <c r="HZ53" t="e">
        <f>AND(#REF!,"AAAAADZv3+k=")</f>
        <v>#REF!</v>
      </c>
      <c r="IA53" t="e">
        <f>AND(#REF!,"AAAAADZv3+o=")</f>
        <v>#REF!</v>
      </c>
      <c r="IB53" t="e">
        <f>AND(#REF!,"AAAAADZv3+s=")</f>
        <v>#REF!</v>
      </c>
      <c r="IC53" t="e">
        <f>AND(#REF!,"AAAAADZv3+w=")</f>
        <v>#REF!</v>
      </c>
      <c r="ID53" t="e">
        <f>AND(#REF!,"AAAAADZv3+0=")</f>
        <v>#REF!</v>
      </c>
      <c r="IE53" t="e">
        <f>AND(#REF!,"AAAAADZv3+4=")</f>
        <v>#REF!</v>
      </c>
      <c r="IF53" t="e">
        <f>AND(#REF!,"AAAAADZv3+8=")</f>
        <v>#REF!</v>
      </c>
      <c r="IG53" t="e">
        <f>AND(#REF!,"AAAAADZv3/A=")</f>
        <v>#REF!</v>
      </c>
      <c r="IH53" t="e">
        <f>AND(#REF!,"AAAAADZv3/E=")</f>
        <v>#REF!</v>
      </c>
      <c r="II53" t="e">
        <f>AND(#REF!,"AAAAADZv3/I=")</f>
        <v>#REF!</v>
      </c>
      <c r="IJ53" t="e">
        <f>AND(#REF!,"AAAAADZv3/M=")</f>
        <v>#REF!</v>
      </c>
      <c r="IK53" t="e">
        <f>AND(#REF!,"AAAAADZv3/Q=")</f>
        <v>#REF!</v>
      </c>
      <c r="IL53" t="e">
        <f>AND(#REF!,"AAAAADZv3/U=")</f>
        <v>#REF!</v>
      </c>
      <c r="IM53" t="e">
        <f>AND(#REF!,"AAAAADZv3/Y=")</f>
        <v>#REF!</v>
      </c>
      <c r="IN53" t="e">
        <f>AND(#REF!,"AAAAADZv3/c=")</f>
        <v>#REF!</v>
      </c>
      <c r="IO53" t="e">
        <f>AND(#REF!,"AAAAADZv3/g=")</f>
        <v>#REF!</v>
      </c>
      <c r="IP53" t="e">
        <f>AND(#REF!,"AAAAADZv3/k=")</f>
        <v>#REF!</v>
      </c>
      <c r="IQ53" t="e">
        <f>AND(#REF!,"AAAAADZv3/o=")</f>
        <v>#REF!</v>
      </c>
      <c r="IR53" t="e">
        <f>AND(#REF!,"AAAAADZv3/s=")</f>
        <v>#REF!</v>
      </c>
      <c r="IS53" t="e">
        <f>AND(#REF!,"AAAAADZv3/w=")</f>
        <v>#REF!</v>
      </c>
      <c r="IT53" t="e">
        <f>AND(#REF!,"AAAAADZv3/0=")</f>
        <v>#REF!</v>
      </c>
      <c r="IU53" t="e">
        <f>AND(#REF!,"AAAAADZv3/4=")</f>
        <v>#REF!</v>
      </c>
      <c r="IV53" t="e">
        <f>AND(#REF!,"AAAAADZv3/8=")</f>
        <v>#REF!</v>
      </c>
    </row>
    <row r="54" spans="1:256" x14ac:dyDescent="0.25">
      <c r="A54" t="e">
        <f>AND(#REF!,"AAAAAH//+wA=")</f>
        <v>#REF!</v>
      </c>
      <c r="B54" t="e">
        <f>AND(#REF!,"AAAAAH//+wE=")</f>
        <v>#REF!</v>
      </c>
      <c r="C54" t="e">
        <f>AND(#REF!,"AAAAAH//+wI=")</f>
        <v>#REF!</v>
      </c>
      <c r="D54" t="e">
        <f>AND(#REF!,"AAAAAH//+wM=")</f>
        <v>#REF!</v>
      </c>
      <c r="E54" t="e">
        <f>IF(#REF!,"AAAAAH//+wQ=",0)</f>
        <v>#REF!</v>
      </c>
      <c r="F54" t="e">
        <f>AND(#REF!,"AAAAAH//+wU=")</f>
        <v>#REF!</v>
      </c>
      <c r="G54" t="e">
        <f>AND(#REF!,"AAAAAH//+wY=")</f>
        <v>#REF!</v>
      </c>
      <c r="H54" t="e">
        <f>AND(#REF!,"AAAAAH//+wc=")</f>
        <v>#REF!</v>
      </c>
      <c r="I54" t="e">
        <f>AND(#REF!,"AAAAAH//+wg=")</f>
        <v>#REF!</v>
      </c>
      <c r="J54" t="e">
        <f>AND(#REF!,"AAAAAH//+wk=")</f>
        <v>#REF!</v>
      </c>
      <c r="K54" t="e">
        <f>AND(#REF!,"AAAAAH//+wo=")</f>
        <v>#REF!</v>
      </c>
      <c r="L54" t="e">
        <f>AND(#REF!,"AAAAAH//+ws=")</f>
        <v>#REF!</v>
      </c>
      <c r="M54" t="e">
        <f>AND(#REF!,"AAAAAH//+ww=")</f>
        <v>#REF!</v>
      </c>
      <c r="N54" t="e">
        <f>AND(#REF!,"AAAAAH//+w0=")</f>
        <v>#REF!</v>
      </c>
      <c r="O54" t="e">
        <f>AND(#REF!,"AAAAAH//+w4=")</f>
        <v>#REF!</v>
      </c>
      <c r="P54" t="e">
        <f>AND(#REF!,"AAAAAH//+w8=")</f>
        <v>#REF!</v>
      </c>
      <c r="Q54" t="e">
        <f>AND(#REF!,"AAAAAH//+xA=")</f>
        <v>#REF!</v>
      </c>
      <c r="R54" t="e">
        <f>AND(#REF!,"AAAAAH//+xE=")</f>
        <v>#REF!</v>
      </c>
      <c r="S54" t="e">
        <f>AND(#REF!,"AAAAAH//+xI=")</f>
        <v>#REF!</v>
      </c>
      <c r="T54" t="e">
        <f>AND(#REF!,"AAAAAH//+xM=")</f>
        <v>#REF!</v>
      </c>
      <c r="U54" t="e">
        <f>AND(#REF!,"AAAAAH//+xQ=")</f>
        <v>#REF!</v>
      </c>
      <c r="V54" t="e">
        <f>AND(#REF!,"AAAAAH//+xU=")</f>
        <v>#REF!</v>
      </c>
      <c r="W54" t="e">
        <f>AND(#REF!,"AAAAAH//+xY=")</f>
        <v>#REF!</v>
      </c>
      <c r="X54" t="e">
        <f>AND(#REF!,"AAAAAH//+xc=")</f>
        <v>#REF!</v>
      </c>
      <c r="Y54" t="e">
        <f>AND(#REF!,"AAAAAH//+xg=")</f>
        <v>#REF!</v>
      </c>
      <c r="Z54" t="e">
        <f>AND(#REF!,"AAAAAH//+xk=")</f>
        <v>#REF!</v>
      </c>
      <c r="AA54" t="e">
        <f>AND(#REF!,"AAAAAH//+xo=")</f>
        <v>#REF!</v>
      </c>
      <c r="AB54" t="e">
        <f>AND(#REF!,"AAAAAH//+xs=")</f>
        <v>#REF!</v>
      </c>
      <c r="AC54" t="e">
        <f>AND(#REF!,"AAAAAH//+xw=")</f>
        <v>#REF!</v>
      </c>
      <c r="AD54" t="e">
        <f>AND(#REF!,"AAAAAH//+x0=")</f>
        <v>#REF!</v>
      </c>
      <c r="AE54" t="e">
        <f>AND(#REF!,"AAAAAH//+x4=")</f>
        <v>#REF!</v>
      </c>
      <c r="AF54" t="e">
        <f>AND(#REF!,"AAAAAH//+x8=")</f>
        <v>#REF!</v>
      </c>
      <c r="AG54" t="e">
        <f>AND(#REF!,"AAAAAH//+yA=")</f>
        <v>#REF!</v>
      </c>
      <c r="AH54" t="e">
        <f>AND(#REF!,"AAAAAH//+yE=")</f>
        <v>#REF!</v>
      </c>
      <c r="AI54" t="e">
        <f>AND(#REF!,"AAAAAH//+yI=")</f>
        <v>#REF!</v>
      </c>
      <c r="AJ54" t="e">
        <f>AND(#REF!,"AAAAAH//+yM=")</f>
        <v>#REF!</v>
      </c>
      <c r="AK54" t="e">
        <f>AND(#REF!,"AAAAAH//+yQ=")</f>
        <v>#REF!</v>
      </c>
      <c r="AL54" t="e">
        <f>AND(#REF!,"AAAAAH//+yU=")</f>
        <v>#REF!</v>
      </c>
      <c r="AM54" t="e">
        <f>AND(#REF!,"AAAAAH//+yY=")</f>
        <v>#REF!</v>
      </c>
      <c r="AN54" t="e">
        <f>AND(#REF!,"AAAAAH//+yc=")</f>
        <v>#REF!</v>
      </c>
      <c r="AO54" t="e">
        <f>AND(#REF!,"AAAAAH//+yg=")</f>
        <v>#REF!</v>
      </c>
      <c r="AP54" t="e">
        <f>AND(#REF!,"AAAAAH//+yk=")</f>
        <v>#REF!</v>
      </c>
      <c r="AQ54" t="e">
        <f>AND(#REF!,"AAAAAH//+yo=")</f>
        <v>#REF!</v>
      </c>
      <c r="AR54" t="e">
        <f>AND(#REF!,"AAAAAH//+ys=")</f>
        <v>#REF!</v>
      </c>
      <c r="AS54" t="e">
        <f>AND(#REF!,"AAAAAH//+yw=")</f>
        <v>#REF!</v>
      </c>
      <c r="AT54" t="e">
        <f>AND(#REF!,"AAAAAH//+y0=")</f>
        <v>#REF!</v>
      </c>
      <c r="AU54" t="e">
        <f>AND(#REF!,"AAAAAH//+y4=")</f>
        <v>#REF!</v>
      </c>
      <c r="AV54" t="e">
        <f>AND(#REF!,"AAAAAH//+y8=")</f>
        <v>#REF!</v>
      </c>
      <c r="AW54" t="e">
        <f>AND(#REF!,"AAAAAH//+zA=")</f>
        <v>#REF!</v>
      </c>
      <c r="AX54" t="e">
        <f>AND(#REF!,"AAAAAH//+zE=")</f>
        <v>#REF!</v>
      </c>
      <c r="AY54" t="e">
        <f>AND(#REF!,"AAAAAH//+zI=")</f>
        <v>#REF!</v>
      </c>
      <c r="AZ54" t="e">
        <f>AND(#REF!,"AAAAAH//+zM=")</f>
        <v>#REF!</v>
      </c>
      <c r="BA54" t="e">
        <f>AND(#REF!,"AAAAAH//+zQ=")</f>
        <v>#REF!</v>
      </c>
      <c r="BB54" t="e">
        <f>AND(#REF!,"AAAAAH//+zU=")</f>
        <v>#REF!</v>
      </c>
      <c r="BC54" t="e">
        <f>AND(#REF!,"AAAAAH//+zY=")</f>
        <v>#REF!</v>
      </c>
      <c r="BD54" t="e">
        <f>AND(#REF!,"AAAAAH//+zc=")</f>
        <v>#REF!</v>
      </c>
      <c r="BE54" t="e">
        <f>AND(#REF!,"AAAAAH//+zg=")</f>
        <v>#REF!</v>
      </c>
      <c r="BF54" t="e">
        <f>AND(#REF!,"AAAAAH//+zk=")</f>
        <v>#REF!</v>
      </c>
      <c r="BG54" t="e">
        <f>AND(#REF!,"AAAAAH//+zo=")</f>
        <v>#REF!</v>
      </c>
      <c r="BH54" t="e">
        <f>AND(#REF!,"AAAAAH//+zs=")</f>
        <v>#REF!</v>
      </c>
      <c r="BI54" t="e">
        <f>AND(#REF!,"AAAAAH//+zw=")</f>
        <v>#REF!</v>
      </c>
      <c r="BJ54" t="e">
        <f>AND(#REF!,"AAAAAH//+z0=")</f>
        <v>#REF!</v>
      </c>
      <c r="BK54" t="e">
        <f>AND(#REF!,"AAAAAH//+z4=")</f>
        <v>#REF!</v>
      </c>
      <c r="BL54" t="e">
        <f>AND(#REF!,"AAAAAH//+z8=")</f>
        <v>#REF!</v>
      </c>
      <c r="BM54" t="e">
        <f>AND(#REF!,"AAAAAH//+0A=")</f>
        <v>#REF!</v>
      </c>
      <c r="BN54" t="e">
        <f>AND(#REF!,"AAAAAH//+0E=")</f>
        <v>#REF!</v>
      </c>
      <c r="BO54" t="e">
        <f>AND(#REF!,"AAAAAH//+0I=")</f>
        <v>#REF!</v>
      </c>
      <c r="BP54" t="e">
        <f>AND(#REF!,"AAAAAH//+0M=")</f>
        <v>#REF!</v>
      </c>
      <c r="BQ54" t="e">
        <f>AND(#REF!,"AAAAAH//+0Q=")</f>
        <v>#REF!</v>
      </c>
      <c r="BR54" t="e">
        <f>AND(#REF!,"AAAAAH//+0U=")</f>
        <v>#REF!</v>
      </c>
      <c r="BS54" t="e">
        <f>AND(#REF!,"AAAAAH//+0Y=")</f>
        <v>#REF!</v>
      </c>
      <c r="BT54" t="e">
        <f>AND(#REF!,"AAAAAH//+0c=")</f>
        <v>#REF!</v>
      </c>
      <c r="BU54" t="e">
        <f>AND(#REF!,"AAAAAH//+0g=")</f>
        <v>#REF!</v>
      </c>
      <c r="BV54" t="e">
        <f>AND(#REF!,"AAAAAH//+0k=")</f>
        <v>#REF!</v>
      </c>
      <c r="BW54" t="e">
        <f>AND(#REF!,"AAAAAH//+0o=")</f>
        <v>#REF!</v>
      </c>
      <c r="BX54" t="e">
        <f>AND(#REF!,"AAAAAH//+0s=")</f>
        <v>#REF!</v>
      </c>
      <c r="BY54" t="e">
        <f>AND(#REF!,"AAAAAH//+0w=")</f>
        <v>#REF!</v>
      </c>
      <c r="BZ54" t="e">
        <f>AND(#REF!,"AAAAAH//+00=")</f>
        <v>#REF!</v>
      </c>
      <c r="CA54" t="e">
        <f>AND(#REF!,"AAAAAH//+04=")</f>
        <v>#REF!</v>
      </c>
      <c r="CB54" t="e">
        <f>AND(#REF!,"AAAAAH//+08=")</f>
        <v>#REF!</v>
      </c>
      <c r="CC54" t="e">
        <f>AND(#REF!,"AAAAAH//+1A=")</f>
        <v>#REF!</v>
      </c>
      <c r="CD54" t="e">
        <f>AND(#REF!,"AAAAAH//+1E=")</f>
        <v>#REF!</v>
      </c>
      <c r="CE54" t="e">
        <f>AND(#REF!,"AAAAAH//+1I=")</f>
        <v>#REF!</v>
      </c>
      <c r="CF54" t="e">
        <f>AND(#REF!,"AAAAAH//+1M=")</f>
        <v>#REF!</v>
      </c>
      <c r="CG54" t="e">
        <f>AND(#REF!,"AAAAAH//+1Q=")</f>
        <v>#REF!</v>
      </c>
      <c r="CH54" t="e">
        <f>AND(#REF!,"AAAAAH//+1U=")</f>
        <v>#REF!</v>
      </c>
      <c r="CI54" t="e">
        <f>AND(#REF!,"AAAAAH//+1Y=")</f>
        <v>#REF!</v>
      </c>
      <c r="CJ54" t="e">
        <f>AND(#REF!,"AAAAAH//+1c=")</f>
        <v>#REF!</v>
      </c>
      <c r="CK54" t="e">
        <f>AND(#REF!,"AAAAAH//+1g=")</f>
        <v>#REF!</v>
      </c>
      <c r="CL54" t="e">
        <f>AND(#REF!,"AAAAAH//+1k=")</f>
        <v>#REF!</v>
      </c>
      <c r="CM54" t="e">
        <f>AND(#REF!,"AAAAAH//+1o=")</f>
        <v>#REF!</v>
      </c>
      <c r="CN54" t="e">
        <f>AND(#REF!,"AAAAAH//+1s=")</f>
        <v>#REF!</v>
      </c>
      <c r="CO54" t="e">
        <f>AND(#REF!,"AAAAAH//+1w=")</f>
        <v>#REF!</v>
      </c>
      <c r="CP54" t="e">
        <f>AND(#REF!,"AAAAAH//+10=")</f>
        <v>#REF!</v>
      </c>
      <c r="CQ54" t="e">
        <f>AND(#REF!,"AAAAAH//+14=")</f>
        <v>#REF!</v>
      </c>
      <c r="CR54" t="e">
        <f>AND(#REF!,"AAAAAH//+18=")</f>
        <v>#REF!</v>
      </c>
      <c r="CS54" t="e">
        <f>AND(#REF!,"AAAAAH//+2A=")</f>
        <v>#REF!</v>
      </c>
      <c r="CT54" t="e">
        <f>AND(#REF!,"AAAAAH//+2E=")</f>
        <v>#REF!</v>
      </c>
      <c r="CU54" t="e">
        <f>AND(#REF!,"AAAAAH//+2I=")</f>
        <v>#REF!</v>
      </c>
      <c r="CV54" t="e">
        <f>AND(#REF!,"AAAAAH//+2M=")</f>
        <v>#REF!</v>
      </c>
      <c r="CW54" t="e">
        <f>AND(#REF!,"AAAAAH//+2Q=")</f>
        <v>#REF!</v>
      </c>
      <c r="CX54" t="e">
        <f>AND(#REF!,"AAAAAH//+2U=")</f>
        <v>#REF!</v>
      </c>
      <c r="CY54" t="e">
        <f>AND(#REF!,"AAAAAH//+2Y=")</f>
        <v>#REF!</v>
      </c>
      <c r="CZ54" t="e">
        <f>AND(#REF!,"AAAAAH//+2c=")</f>
        <v>#REF!</v>
      </c>
      <c r="DA54" t="e">
        <f>AND(#REF!,"AAAAAH//+2g=")</f>
        <v>#REF!</v>
      </c>
      <c r="DB54" t="e">
        <f>AND(#REF!,"AAAAAH//+2k=")</f>
        <v>#REF!</v>
      </c>
      <c r="DC54" t="e">
        <f>AND(#REF!,"AAAAAH//+2o=")</f>
        <v>#REF!</v>
      </c>
      <c r="DD54" t="e">
        <f>AND(#REF!,"AAAAAH//+2s=")</f>
        <v>#REF!</v>
      </c>
      <c r="DE54" t="e">
        <f>AND(#REF!,"AAAAAH//+2w=")</f>
        <v>#REF!</v>
      </c>
      <c r="DF54" t="e">
        <f>AND(#REF!,"AAAAAH//+20=")</f>
        <v>#REF!</v>
      </c>
      <c r="DG54" t="e">
        <f>AND(#REF!,"AAAAAH//+24=")</f>
        <v>#REF!</v>
      </c>
      <c r="DH54" t="e">
        <f>AND(#REF!,"AAAAAH//+28=")</f>
        <v>#REF!</v>
      </c>
      <c r="DI54" t="e">
        <f>AND(#REF!,"AAAAAH//+3A=")</f>
        <v>#REF!</v>
      </c>
      <c r="DJ54" t="e">
        <f>AND(#REF!,"AAAAAH//+3E=")</f>
        <v>#REF!</v>
      </c>
      <c r="DK54" t="e">
        <f>AND(#REF!,"AAAAAH//+3I=")</f>
        <v>#REF!</v>
      </c>
      <c r="DL54" t="e">
        <f>AND(#REF!,"AAAAAH//+3M=")</f>
        <v>#REF!</v>
      </c>
      <c r="DM54" t="e">
        <f>AND(#REF!,"AAAAAH//+3Q=")</f>
        <v>#REF!</v>
      </c>
      <c r="DN54" t="e">
        <f>AND(#REF!,"AAAAAH//+3U=")</f>
        <v>#REF!</v>
      </c>
      <c r="DO54" t="e">
        <f>AND(#REF!,"AAAAAH//+3Y=")</f>
        <v>#REF!</v>
      </c>
      <c r="DP54" t="e">
        <f>AND(#REF!,"AAAAAH//+3c=")</f>
        <v>#REF!</v>
      </c>
      <c r="DQ54" t="e">
        <f>AND(#REF!,"AAAAAH//+3g=")</f>
        <v>#REF!</v>
      </c>
      <c r="DR54" t="e">
        <f>AND(#REF!,"AAAAAH//+3k=")</f>
        <v>#REF!</v>
      </c>
      <c r="DS54" t="e">
        <f>AND(#REF!,"AAAAAH//+3o=")</f>
        <v>#REF!</v>
      </c>
      <c r="DT54" t="e">
        <f>AND(#REF!,"AAAAAH//+3s=")</f>
        <v>#REF!</v>
      </c>
      <c r="DU54" t="e">
        <f>AND(#REF!,"AAAAAH//+3w=")</f>
        <v>#REF!</v>
      </c>
      <c r="DV54" t="e">
        <f>AND(#REF!,"AAAAAH//+30=")</f>
        <v>#REF!</v>
      </c>
      <c r="DW54" t="e">
        <f>AND(#REF!,"AAAAAH//+34=")</f>
        <v>#REF!</v>
      </c>
      <c r="DX54" t="e">
        <f>AND(#REF!,"AAAAAH//+38=")</f>
        <v>#REF!</v>
      </c>
      <c r="DY54" t="e">
        <f>AND(#REF!,"AAAAAH//+4A=")</f>
        <v>#REF!</v>
      </c>
      <c r="DZ54" t="e">
        <f>AND(#REF!,"AAAAAH//+4E=")</f>
        <v>#REF!</v>
      </c>
      <c r="EA54" t="e">
        <f>AND(#REF!,"AAAAAH//+4I=")</f>
        <v>#REF!</v>
      </c>
      <c r="EB54" t="e">
        <f>AND(#REF!,"AAAAAH//+4M=")</f>
        <v>#REF!</v>
      </c>
      <c r="EC54" t="e">
        <f>AND(#REF!,"AAAAAH//+4Q=")</f>
        <v>#REF!</v>
      </c>
      <c r="ED54" t="e">
        <f>AND(#REF!,"AAAAAH//+4U=")</f>
        <v>#REF!</v>
      </c>
      <c r="EE54" t="e">
        <f>AND(#REF!,"AAAAAH//+4Y=")</f>
        <v>#REF!</v>
      </c>
      <c r="EF54" t="e">
        <f>AND(#REF!,"AAAAAH//+4c=")</f>
        <v>#REF!</v>
      </c>
      <c r="EG54" t="e">
        <f>AND(#REF!,"AAAAAH//+4g=")</f>
        <v>#REF!</v>
      </c>
      <c r="EH54" t="e">
        <f>AND(#REF!,"AAAAAH//+4k=")</f>
        <v>#REF!</v>
      </c>
      <c r="EI54" t="e">
        <f>AND(#REF!,"AAAAAH//+4o=")</f>
        <v>#REF!</v>
      </c>
      <c r="EJ54" t="e">
        <f>AND(#REF!,"AAAAAH//+4s=")</f>
        <v>#REF!</v>
      </c>
      <c r="EK54" t="e">
        <f>AND(#REF!,"AAAAAH//+4w=")</f>
        <v>#REF!</v>
      </c>
      <c r="EL54" t="e">
        <f>AND(#REF!,"AAAAAH//+40=")</f>
        <v>#REF!</v>
      </c>
      <c r="EM54" t="e">
        <f>AND(#REF!,"AAAAAH//+44=")</f>
        <v>#REF!</v>
      </c>
      <c r="EN54" t="e">
        <f>AND(#REF!,"AAAAAH//+48=")</f>
        <v>#REF!</v>
      </c>
      <c r="EO54" t="e">
        <f>AND(#REF!,"AAAAAH//+5A=")</f>
        <v>#REF!</v>
      </c>
      <c r="EP54" t="e">
        <f>AND(#REF!,"AAAAAH//+5E=")</f>
        <v>#REF!</v>
      </c>
      <c r="EQ54" t="e">
        <f>AND(#REF!,"AAAAAH//+5I=")</f>
        <v>#REF!</v>
      </c>
      <c r="ER54" t="e">
        <f>AND(#REF!,"AAAAAH//+5M=")</f>
        <v>#REF!</v>
      </c>
      <c r="ES54" t="e">
        <f>AND(#REF!,"AAAAAH//+5Q=")</f>
        <v>#REF!</v>
      </c>
      <c r="ET54" t="e">
        <f>AND(#REF!,"AAAAAH//+5U=")</f>
        <v>#REF!</v>
      </c>
      <c r="EU54" t="e">
        <f>AND(#REF!,"AAAAAH//+5Y=")</f>
        <v>#REF!</v>
      </c>
      <c r="EV54" t="e">
        <f>AND(#REF!,"AAAAAH//+5c=")</f>
        <v>#REF!</v>
      </c>
      <c r="EW54" t="e">
        <f>AND(#REF!,"AAAAAH//+5g=")</f>
        <v>#REF!</v>
      </c>
      <c r="EX54" t="e">
        <f>AND(#REF!,"AAAAAH//+5k=")</f>
        <v>#REF!</v>
      </c>
      <c r="EY54" t="e">
        <f>AND(#REF!,"AAAAAH//+5o=")</f>
        <v>#REF!</v>
      </c>
      <c r="EZ54" t="e">
        <f>AND(#REF!,"AAAAAH//+5s=")</f>
        <v>#REF!</v>
      </c>
      <c r="FA54" t="e">
        <f>AND(#REF!,"AAAAAH//+5w=")</f>
        <v>#REF!</v>
      </c>
      <c r="FB54" t="e">
        <f>AND(#REF!,"AAAAAH//+50=")</f>
        <v>#REF!</v>
      </c>
      <c r="FC54" t="e">
        <f>AND(#REF!,"AAAAAH//+54=")</f>
        <v>#REF!</v>
      </c>
      <c r="FD54" t="e">
        <f>AND(#REF!,"AAAAAH//+58=")</f>
        <v>#REF!</v>
      </c>
      <c r="FE54" t="e">
        <f>AND(#REF!,"AAAAAH//+6A=")</f>
        <v>#REF!</v>
      </c>
      <c r="FF54" t="e">
        <f>AND(#REF!,"AAAAAH//+6E=")</f>
        <v>#REF!</v>
      </c>
      <c r="FG54" t="e">
        <f>AND(#REF!,"AAAAAH//+6I=")</f>
        <v>#REF!</v>
      </c>
      <c r="FH54" t="e">
        <f>AND(#REF!,"AAAAAH//+6M=")</f>
        <v>#REF!</v>
      </c>
      <c r="FI54" t="e">
        <f>AND(#REF!,"AAAAAH//+6Q=")</f>
        <v>#REF!</v>
      </c>
      <c r="FJ54" t="e">
        <f>AND(#REF!,"AAAAAH//+6U=")</f>
        <v>#REF!</v>
      </c>
      <c r="FK54" t="e">
        <f>AND(#REF!,"AAAAAH//+6Y=")</f>
        <v>#REF!</v>
      </c>
      <c r="FL54" t="e">
        <f>AND(#REF!,"AAAAAH//+6c=")</f>
        <v>#REF!</v>
      </c>
      <c r="FM54" t="e">
        <f>AND(#REF!,"AAAAAH//+6g=")</f>
        <v>#REF!</v>
      </c>
      <c r="FN54" t="e">
        <f>AND(#REF!,"AAAAAH//+6k=")</f>
        <v>#REF!</v>
      </c>
      <c r="FO54" t="e">
        <f>AND(#REF!,"AAAAAH//+6o=")</f>
        <v>#REF!</v>
      </c>
      <c r="FP54" t="e">
        <f>AND(#REF!,"AAAAAH//+6s=")</f>
        <v>#REF!</v>
      </c>
      <c r="FQ54" t="e">
        <f>AND(#REF!,"AAAAAH//+6w=")</f>
        <v>#REF!</v>
      </c>
      <c r="FR54" t="e">
        <f>AND(#REF!,"AAAAAH//+60=")</f>
        <v>#REF!</v>
      </c>
      <c r="FS54" t="e">
        <f>AND(#REF!,"AAAAAH//+64=")</f>
        <v>#REF!</v>
      </c>
      <c r="FT54" t="e">
        <f>AND(#REF!,"AAAAAH//+68=")</f>
        <v>#REF!</v>
      </c>
      <c r="FU54" t="e">
        <f>AND(#REF!,"AAAAAH//+7A=")</f>
        <v>#REF!</v>
      </c>
      <c r="FV54" t="e">
        <f>AND(#REF!,"AAAAAH//+7E=")</f>
        <v>#REF!</v>
      </c>
      <c r="FW54" t="e">
        <f>AND(#REF!,"AAAAAH//+7I=")</f>
        <v>#REF!</v>
      </c>
      <c r="FX54" t="e">
        <f>AND(#REF!,"AAAAAH//+7M=")</f>
        <v>#REF!</v>
      </c>
      <c r="FY54" t="e">
        <f>AND(#REF!,"AAAAAH//+7Q=")</f>
        <v>#REF!</v>
      </c>
      <c r="FZ54" t="e">
        <f>AND(#REF!,"AAAAAH//+7U=")</f>
        <v>#REF!</v>
      </c>
      <c r="GA54" t="e">
        <f>AND(#REF!,"AAAAAH//+7Y=")</f>
        <v>#REF!</v>
      </c>
      <c r="GB54" t="e">
        <f>AND(#REF!,"AAAAAH//+7c=")</f>
        <v>#REF!</v>
      </c>
      <c r="GC54" t="e">
        <f>AND(#REF!,"AAAAAH//+7g=")</f>
        <v>#REF!</v>
      </c>
      <c r="GD54" t="e">
        <f>AND(#REF!,"AAAAAH//+7k=")</f>
        <v>#REF!</v>
      </c>
      <c r="GE54" t="e">
        <f>AND(#REF!,"AAAAAH//+7o=")</f>
        <v>#REF!</v>
      </c>
      <c r="GF54" t="e">
        <f>AND(#REF!,"AAAAAH//+7s=")</f>
        <v>#REF!</v>
      </c>
      <c r="GG54" t="e">
        <f>AND(#REF!,"AAAAAH//+7w=")</f>
        <v>#REF!</v>
      </c>
      <c r="GH54" t="e">
        <f>AND(#REF!,"AAAAAH//+70=")</f>
        <v>#REF!</v>
      </c>
      <c r="GI54" t="e">
        <f>AND(#REF!,"AAAAAH//+74=")</f>
        <v>#REF!</v>
      </c>
      <c r="GJ54" t="e">
        <f>AND(#REF!,"AAAAAH//+78=")</f>
        <v>#REF!</v>
      </c>
      <c r="GK54" t="e">
        <f>AND(#REF!,"AAAAAH//+8A=")</f>
        <v>#REF!</v>
      </c>
      <c r="GL54" t="e">
        <f>IF(#REF!,"AAAAAH//+8E=",0)</f>
        <v>#REF!</v>
      </c>
      <c r="GM54" t="e">
        <f>AND(#REF!,"AAAAAH//+8I=")</f>
        <v>#REF!</v>
      </c>
      <c r="GN54" t="e">
        <f>AND(#REF!,"AAAAAH//+8M=")</f>
        <v>#REF!</v>
      </c>
      <c r="GO54" t="e">
        <f>AND(#REF!,"AAAAAH//+8Q=")</f>
        <v>#REF!</v>
      </c>
      <c r="GP54" t="e">
        <f>AND(#REF!,"AAAAAH//+8U=")</f>
        <v>#REF!</v>
      </c>
      <c r="GQ54" t="e">
        <f>AND(#REF!,"AAAAAH//+8Y=")</f>
        <v>#REF!</v>
      </c>
      <c r="GR54" t="e">
        <f>AND(#REF!,"AAAAAH//+8c=")</f>
        <v>#REF!</v>
      </c>
      <c r="GS54" t="e">
        <f>AND(#REF!,"AAAAAH//+8g=")</f>
        <v>#REF!</v>
      </c>
      <c r="GT54" t="e">
        <f>AND(#REF!,"AAAAAH//+8k=")</f>
        <v>#REF!</v>
      </c>
      <c r="GU54" t="e">
        <f>AND(#REF!,"AAAAAH//+8o=")</f>
        <v>#REF!</v>
      </c>
      <c r="GV54" t="e">
        <f>AND(#REF!,"AAAAAH//+8s=")</f>
        <v>#REF!</v>
      </c>
      <c r="GW54" t="e">
        <f>AND(#REF!,"AAAAAH//+8w=")</f>
        <v>#REF!</v>
      </c>
      <c r="GX54" t="e">
        <f>AND(#REF!,"AAAAAH//+80=")</f>
        <v>#REF!</v>
      </c>
      <c r="GY54" t="e">
        <f>AND(#REF!,"AAAAAH//+84=")</f>
        <v>#REF!</v>
      </c>
      <c r="GZ54" t="e">
        <f>AND(#REF!,"AAAAAH//+88=")</f>
        <v>#REF!</v>
      </c>
      <c r="HA54" t="e">
        <f>AND(#REF!,"AAAAAH//+9A=")</f>
        <v>#REF!</v>
      </c>
      <c r="HB54" t="e">
        <f>AND(#REF!,"AAAAAH//+9E=")</f>
        <v>#REF!</v>
      </c>
      <c r="HC54" t="e">
        <f>AND(#REF!,"AAAAAH//+9I=")</f>
        <v>#REF!</v>
      </c>
      <c r="HD54" t="e">
        <f>AND(#REF!,"AAAAAH//+9M=")</f>
        <v>#REF!</v>
      </c>
      <c r="HE54" t="e">
        <f>AND(#REF!,"AAAAAH//+9Q=")</f>
        <v>#REF!</v>
      </c>
      <c r="HF54" t="e">
        <f>AND(#REF!,"AAAAAH//+9U=")</f>
        <v>#REF!</v>
      </c>
      <c r="HG54" t="e">
        <f>AND(#REF!,"AAAAAH//+9Y=")</f>
        <v>#REF!</v>
      </c>
      <c r="HH54" t="e">
        <f>AND(#REF!,"AAAAAH//+9c=")</f>
        <v>#REF!</v>
      </c>
      <c r="HI54" t="e">
        <f>AND(#REF!,"AAAAAH//+9g=")</f>
        <v>#REF!</v>
      </c>
      <c r="HJ54" t="e">
        <f>AND(#REF!,"AAAAAH//+9k=")</f>
        <v>#REF!</v>
      </c>
      <c r="HK54" t="e">
        <f>AND(#REF!,"AAAAAH//+9o=")</f>
        <v>#REF!</v>
      </c>
      <c r="HL54" t="e">
        <f>AND(#REF!,"AAAAAH//+9s=")</f>
        <v>#REF!</v>
      </c>
      <c r="HM54" t="e">
        <f>AND(#REF!,"AAAAAH//+9w=")</f>
        <v>#REF!</v>
      </c>
      <c r="HN54" t="e">
        <f>AND(#REF!,"AAAAAH//+90=")</f>
        <v>#REF!</v>
      </c>
      <c r="HO54" t="e">
        <f>AND(#REF!,"AAAAAH//+94=")</f>
        <v>#REF!</v>
      </c>
      <c r="HP54" t="e">
        <f>AND(#REF!,"AAAAAH//+98=")</f>
        <v>#REF!</v>
      </c>
      <c r="HQ54" t="e">
        <f>AND(#REF!,"AAAAAH//++A=")</f>
        <v>#REF!</v>
      </c>
      <c r="HR54" t="e">
        <f>AND(#REF!,"AAAAAH//++E=")</f>
        <v>#REF!</v>
      </c>
      <c r="HS54" t="e">
        <f>AND(#REF!,"AAAAAH//++I=")</f>
        <v>#REF!</v>
      </c>
      <c r="HT54" t="e">
        <f>AND(#REF!,"AAAAAH//++M=")</f>
        <v>#REF!</v>
      </c>
      <c r="HU54" t="e">
        <f>AND(#REF!,"AAAAAH//++Q=")</f>
        <v>#REF!</v>
      </c>
      <c r="HV54" t="e">
        <f>AND(#REF!,"AAAAAH//++U=")</f>
        <v>#REF!</v>
      </c>
      <c r="HW54" t="e">
        <f>AND(#REF!,"AAAAAH//++Y=")</f>
        <v>#REF!</v>
      </c>
      <c r="HX54" t="e">
        <f>AND(#REF!,"AAAAAH//++c=")</f>
        <v>#REF!</v>
      </c>
      <c r="HY54" t="e">
        <f>AND(#REF!,"AAAAAH//++g=")</f>
        <v>#REF!</v>
      </c>
      <c r="HZ54" t="e">
        <f>AND(#REF!,"AAAAAH//++k=")</f>
        <v>#REF!</v>
      </c>
      <c r="IA54" t="e">
        <f>AND(#REF!,"AAAAAH//++o=")</f>
        <v>#REF!</v>
      </c>
      <c r="IB54" t="e">
        <f>AND(#REF!,"AAAAAH//++s=")</f>
        <v>#REF!</v>
      </c>
      <c r="IC54" t="e">
        <f>AND(#REF!,"AAAAAH//++w=")</f>
        <v>#REF!</v>
      </c>
      <c r="ID54" t="e">
        <f>AND(#REF!,"AAAAAH//++0=")</f>
        <v>#REF!</v>
      </c>
      <c r="IE54" t="e">
        <f>AND(#REF!,"AAAAAH//++4=")</f>
        <v>#REF!</v>
      </c>
      <c r="IF54" t="e">
        <f>AND(#REF!,"AAAAAH//++8=")</f>
        <v>#REF!</v>
      </c>
      <c r="IG54" t="e">
        <f>AND(#REF!,"AAAAAH//+/A=")</f>
        <v>#REF!</v>
      </c>
      <c r="IH54" t="e">
        <f>AND(#REF!,"AAAAAH//+/E=")</f>
        <v>#REF!</v>
      </c>
      <c r="II54" t="e">
        <f>AND(#REF!,"AAAAAH//+/I=")</f>
        <v>#REF!</v>
      </c>
      <c r="IJ54" t="e">
        <f>AND(#REF!,"AAAAAH//+/M=")</f>
        <v>#REF!</v>
      </c>
      <c r="IK54" t="e">
        <f>AND(#REF!,"AAAAAH//+/Q=")</f>
        <v>#REF!</v>
      </c>
      <c r="IL54" t="e">
        <f>AND(#REF!,"AAAAAH//+/U=")</f>
        <v>#REF!</v>
      </c>
      <c r="IM54" t="e">
        <f>AND(#REF!,"AAAAAH//+/Y=")</f>
        <v>#REF!</v>
      </c>
      <c r="IN54" t="e">
        <f>AND(#REF!,"AAAAAH//+/c=")</f>
        <v>#REF!</v>
      </c>
      <c r="IO54" t="e">
        <f>AND(#REF!,"AAAAAH//+/g=")</f>
        <v>#REF!</v>
      </c>
      <c r="IP54" t="e">
        <f>AND(#REF!,"AAAAAH//+/k=")</f>
        <v>#REF!</v>
      </c>
      <c r="IQ54" t="e">
        <f>AND(#REF!,"AAAAAH//+/o=")</f>
        <v>#REF!</v>
      </c>
      <c r="IR54" t="e">
        <f>AND(#REF!,"AAAAAH//+/s=")</f>
        <v>#REF!</v>
      </c>
      <c r="IS54" t="e">
        <f>AND(#REF!,"AAAAAH//+/w=")</f>
        <v>#REF!</v>
      </c>
      <c r="IT54" t="e">
        <f>AND(#REF!,"AAAAAH//+/0=")</f>
        <v>#REF!</v>
      </c>
      <c r="IU54" t="e">
        <f>AND(#REF!,"AAAAAH//+/4=")</f>
        <v>#REF!</v>
      </c>
      <c r="IV54" t="e">
        <f>AND(#REF!,"AAAAAH//+/8=")</f>
        <v>#REF!</v>
      </c>
    </row>
    <row r="55" spans="1:256" x14ac:dyDescent="0.25">
      <c r="A55" t="e">
        <f>AND(#REF!,"AAAAAHL39QA=")</f>
        <v>#REF!</v>
      </c>
      <c r="B55" t="e">
        <f>AND(#REF!,"AAAAAHL39QE=")</f>
        <v>#REF!</v>
      </c>
      <c r="C55" t="e">
        <f>AND(#REF!,"AAAAAHL39QI=")</f>
        <v>#REF!</v>
      </c>
      <c r="D55" t="e">
        <f>AND(#REF!,"AAAAAHL39QM=")</f>
        <v>#REF!</v>
      </c>
      <c r="E55" t="e">
        <f>AND(#REF!,"AAAAAHL39QQ=")</f>
        <v>#REF!</v>
      </c>
      <c r="F55" t="e">
        <f>AND(#REF!,"AAAAAHL39QU=")</f>
        <v>#REF!</v>
      </c>
      <c r="G55" t="e">
        <f>AND(#REF!,"AAAAAHL39QY=")</f>
        <v>#REF!</v>
      </c>
      <c r="H55" t="e">
        <f>AND(#REF!,"AAAAAHL39Qc=")</f>
        <v>#REF!</v>
      </c>
      <c r="I55" t="e">
        <f>AND(#REF!,"AAAAAHL39Qg=")</f>
        <v>#REF!</v>
      </c>
      <c r="J55" t="e">
        <f>AND(#REF!,"AAAAAHL39Qk=")</f>
        <v>#REF!</v>
      </c>
      <c r="K55" t="e">
        <f>AND(#REF!,"AAAAAHL39Qo=")</f>
        <v>#REF!</v>
      </c>
      <c r="L55" t="e">
        <f>AND(#REF!,"AAAAAHL39Qs=")</f>
        <v>#REF!</v>
      </c>
      <c r="M55" t="e">
        <f>AND(#REF!,"AAAAAHL39Qw=")</f>
        <v>#REF!</v>
      </c>
      <c r="N55" t="e">
        <f>AND(#REF!,"AAAAAHL39Q0=")</f>
        <v>#REF!</v>
      </c>
      <c r="O55" t="e">
        <f>AND(#REF!,"AAAAAHL39Q4=")</f>
        <v>#REF!</v>
      </c>
      <c r="P55" t="e">
        <f>AND(#REF!,"AAAAAHL39Q8=")</f>
        <v>#REF!</v>
      </c>
      <c r="Q55" t="e">
        <f>AND(#REF!,"AAAAAHL39RA=")</f>
        <v>#REF!</v>
      </c>
      <c r="R55" t="e">
        <f>AND(#REF!,"AAAAAHL39RE=")</f>
        <v>#REF!</v>
      </c>
      <c r="S55" t="e">
        <f>AND(#REF!,"AAAAAHL39RI=")</f>
        <v>#REF!</v>
      </c>
      <c r="T55" t="e">
        <f>AND(#REF!,"AAAAAHL39RM=")</f>
        <v>#REF!</v>
      </c>
      <c r="U55" t="e">
        <f>AND(#REF!,"AAAAAHL39RQ=")</f>
        <v>#REF!</v>
      </c>
      <c r="V55" t="e">
        <f>AND(#REF!,"AAAAAHL39RU=")</f>
        <v>#REF!</v>
      </c>
      <c r="W55" t="e">
        <f>AND(#REF!,"AAAAAHL39RY=")</f>
        <v>#REF!</v>
      </c>
      <c r="X55" t="e">
        <f>AND(#REF!,"AAAAAHL39Rc=")</f>
        <v>#REF!</v>
      </c>
      <c r="Y55" t="e">
        <f>AND(#REF!,"AAAAAHL39Rg=")</f>
        <v>#REF!</v>
      </c>
      <c r="Z55" t="e">
        <f>AND(#REF!,"AAAAAHL39Rk=")</f>
        <v>#REF!</v>
      </c>
      <c r="AA55" t="e">
        <f>AND(#REF!,"AAAAAHL39Ro=")</f>
        <v>#REF!</v>
      </c>
      <c r="AB55" t="e">
        <f>AND(#REF!,"AAAAAHL39Rs=")</f>
        <v>#REF!</v>
      </c>
      <c r="AC55" t="e">
        <f>AND(#REF!,"AAAAAHL39Rw=")</f>
        <v>#REF!</v>
      </c>
      <c r="AD55" t="e">
        <f>AND(#REF!,"AAAAAHL39R0=")</f>
        <v>#REF!</v>
      </c>
      <c r="AE55" t="e">
        <f>AND(#REF!,"AAAAAHL39R4=")</f>
        <v>#REF!</v>
      </c>
      <c r="AF55" t="e">
        <f>AND(#REF!,"AAAAAHL39R8=")</f>
        <v>#REF!</v>
      </c>
      <c r="AG55" t="e">
        <f>AND(#REF!,"AAAAAHL39SA=")</f>
        <v>#REF!</v>
      </c>
      <c r="AH55" t="e">
        <f>AND(#REF!,"AAAAAHL39SE=")</f>
        <v>#REF!</v>
      </c>
      <c r="AI55" t="e">
        <f>AND(#REF!,"AAAAAHL39SI=")</f>
        <v>#REF!</v>
      </c>
      <c r="AJ55" t="e">
        <f>AND(#REF!,"AAAAAHL39SM=")</f>
        <v>#REF!</v>
      </c>
      <c r="AK55" t="e">
        <f>AND(#REF!,"AAAAAHL39SQ=")</f>
        <v>#REF!</v>
      </c>
      <c r="AL55" t="e">
        <f>AND(#REF!,"AAAAAHL39SU=")</f>
        <v>#REF!</v>
      </c>
      <c r="AM55" t="e">
        <f>AND(#REF!,"AAAAAHL39SY=")</f>
        <v>#REF!</v>
      </c>
      <c r="AN55" t="e">
        <f>AND(#REF!,"AAAAAHL39Sc=")</f>
        <v>#REF!</v>
      </c>
      <c r="AO55" t="e">
        <f>AND(#REF!,"AAAAAHL39Sg=")</f>
        <v>#REF!</v>
      </c>
      <c r="AP55" t="e">
        <f>AND(#REF!,"AAAAAHL39Sk=")</f>
        <v>#REF!</v>
      </c>
      <c r="AQ55" t="e">
        <f>AND(#REF!,"AAAAAHL39So=")</f>
        <v>#REF!</v>
      </c>
      <c r="AR55" t="e">
        <f>AND(#REF!,"AAAAAHL39Ss=")</f>
        <v>#REF!</v>
      </c>
      <c r="AS55" t="e">
        <f>AND(#REF!,"AAAAAHL39Sw=")</f>
        <v>#REF!</v>
      </c>
      <c r="AT55" t="e">
        <f>AND(#REF!,"AAAAAHL39S0=")</f>
        <v>#REF!</v>
      </c>
      <c r="AU55" t="e">
        <f>AND(#REF!,"AAAAAHL39S4=")</f>
        <v>#REF!</v>
      </c>
      <c r="AV55" t="e">
        <f>AND(#REF!,"AAAAAHL39S8=")</f>
        <v>#REF!</v>
      </c>
      <c r="AW55" t="e">
        <f>AND(#REF!,"AAAAAHL39TA=")</f>
        <v>#REF!</v>
      </c>
      <c r="AX55" t="e">
        <f>AND(#REF!,"AAAAAHL39TE=")</f>
        <v>#REF!</v>
      </c>
      <c r="AY55" t="e">
        <f>AND(#REF!,"AAAAAHL39TI=")</f>
        <v>#REF!</v>
      </c>
      <c r="AZ55" t="e">
        <f>AND(#REF!,"AAAAAHL39TM=")</f>
        <v>#REF!</v>
      </c>
      <c r="BA55" t="e">
        <f>AND(#REF!,"AAAAAHL39TQ=")</f>
        <v>#REF!</v>
      </c>
      <c r="BB55" t="e">
        <f>AND(#REF!,"AAAAAHL39TU=")</f>
        <v>#REF!</v>
      </c>
      <c r="BC55" t="e">
        <f>AND(#REF!,"AAAAAHL39TY=")</f>
        <v>#REF!</v>
      </c>
      <c r="BD55" t="e">
        <f>AND(#REF!,"AAAAAHL39Tc=")</f>
        <v>#REF!</v>
      </c>
      <c r="BE55" t="e">
        <f>AND(#REF!,"AAAAAHL39Tg=")</f>
        <v>#REF!</v>
      </c>
      <c r="BF55" t="e">
        <f>AND(#REF!,"AAAAAHL39Tk=")</f>
        <v>#REF!</v>
      </c>
      <c r="BG55" t="e">
        <f>AND(#REF!,"AAAAAHL39To=")</f>
        <v>#REF!</v>
      </c>
      <c r="BH55" t="e">
        <f>AND(#REF!,"AAAAAHL39Ts=")</f>
        <v>#REF!</v>
      </c>
      <c r="BI55" t="e">
        <f>AND(#REF!,"AAAAAHL39Tw=")</f>
        <v>#REF!</v>
      </c>
      <c r="BJ55" t="e">
        <f>AND(#REF!,"AAAAAHL39T0=")</f>
        <v>#REF!</v>
      </c>
      <c r="BK55" t="e">
        <f>AND(#REF!,"AAAAAHL39T4=")</f>
        <v>#REF!</v>
      </c>
      <c r="BL55" t="e">
        <f>AND(#REF!,"AAAAAHL39T8=")</f>
        <v>#REF!</v>
      </c>
      <c r="BM55" t="e">
        <f>AND(#REF!,"AAAAAHL39UA=")</f>
        <v>#REF!</v>
      </c>
      <c r="BN55" t="e">
        <f>AND(#REF!,"AAAAAHL39UE=")</f>
        <v>#REF!</v>
      </c>
      <c r="BO55" t="e">
        <f>AND(#REF!,"AAAAAHL39UI=")</f>
        <v>#REF!</v>
      </c>
      <c r="BP55" t="e">
        <f>AND(#REF!,"AAAAAHL39UM=")</f>
        <v>#REF!</v>
      </c>
      <c r="BQ55" t="e">
        <f>AND(#REF!,"AAAAAHL39UQ=")</f>
        <v>#REF!</v>
      </c>
      <c r="BR55" t="e">
        <f>AND(#REF!,"AAAAAHL39UU=")</f>
        <v>#REF!</v>
      </c>
      <c r="BS55" t="e">
        <f>AND(#REF!,"AAAAAHL39UY=")</f>
        <v>#REF!</v>
      </c>
      <c r="BT55" t="e">
        <f>AND(#REF!,"AAAAAHL39Uc=")</f>
        <v>#REF!</v>
      </c>
      <c r="BU55" t="e">
        <f>AND(#REF!,"AAAAAHL39Ug=")</f>
        <v>#REF!</v>
      </c>
      <c r="BV55" t="e">
        <f>AND(#REF!,"AAAAAHL39Uk=")</f>
        <v>#REF!</v>
      </c>
      <c r="BW55" t="e">
        <f>AND(#REF!,"AAAAAHL39Uo=")</f>
        <v>#REF!</v>
      </c>
      <c r="BX55" t="e">
        <f>AND(#REF!,"AAAAAHL39Us=")</f>
        <v>#REF!</v>
      </c>
      <c r="BY55" t="e">
        <f>AND(#REF!,"AAAAAHL39Uw=")</f>
        <v>#REF!</v>
      </c>
      <c r="BZ55" t="e">
        <f>AND(#REF!,"AAAAAHL39U0=")</f>
        <v>#REF!</v>
      </c>
      <c r="CA55" t="e">
        <f>AND(#REF!,"AAAAAHL39U4=")</f>
        <v>#REF!</v>
      </c>
      <c r="CB55" t="e">
        <f>AND(#REF!,"AAAAAHL39U8=")</f>
        <v>#REF!</v>
      </c>
      <c r="CC55" t="e">
        <f>AND(#REF!,"AAAAAHL39VA=")</f>
        <v>#REF!</v>
      </c>
      <c r="CD55" t="e">
        <f>AND(#REF!,"AAAAAHL39VE=")</f>
        <v>#REF!</v>
      </c>
      <c r="CE55" t="e">
        <f>AND(#REF!,"AAAAAHL39VI=")</f>
        <v>#REF!</v>
      </c>
      <c r="CF55" t="e">
        <f>AND(#REF!,"AAAAAHL39VM=")</f>
        <v>#REF!</v>
      </c>
      <c r="CG55" t="e">
        <f>AND(#REF!,"AAAAAHL39VQ=")</f>
        <v>#REF!</v>
      </c>
      <c r="CH55" t="e">
        <f>AND(#REF!,"AAAAAHL39VU=")</f>
        <v>#REF!</v>
      </c>
      <c r="CI55" t="e">
        <f>AND(#REF!,"AAAAAHL39VY=")</f>
        <v>#REF!</v>
      </c>
      <c r="CJ55" t="e">
        <f>AND(#REF!,"AAAAAHL39Vc=")</f>
        <v>#REF!</v>
      </c>
      <c r="CK55" t="e">
        <f>AND(#REF!,"AAAAAHL39Vg=")</f>
        <v>#REF!</v>
      </c>
      <c r="CL55" t="e">
        <f>AND(#REF!,"AAAAAHL39Vk=")</f>
        <v>#REF!</v>
      </c>
      <c r="CM55" t="e">
        <f>AND(#REF!,"AAAAAHL39Vo=")</f>
        <v>#REF!</v>
      </c>
      <c r="CN55" t="e">
        <f>AND(#REF!,"AAAAAHL39Vs=")</f>
        <v>#REF!</v>
      </c>
      <c r="CO55" t="e">
        <f>AND(#REF!,"AAAAAHL39Vw=")</f>
        <v>#REF!</v>
      </c>
      <c r="CP55" t="e">
        <f>AND(#REF!,"AAAAAHL39V0=")</f>
        <v>#REF!</v>
      </c>
      <c r="CQ55" t="e">
        <f>AND(#REF!,"AAAAAHL39V4=")</f>
        <v>#REF!</v>
      </c>
      <c r="CR55" t="e">
        <f>AND(#REF!,"AAAAAHL39V8=")</f>
        <v>#REF!</v>
      </c>
      <c r="CS55" t="e">
        <f>AND(#REF!,"AAAAAHL39WA=")</f>
        <v>#REF!</v>
      </c>
      <c r="CT55" t="e">
        <f>AND(#REF!,"AAAAAHL39WE=")</f>
        <v>#REF!</v>
      </c>
      <c r="CU55" t="e">
        <f>AND(#REF!,"AAAAAHL39WI=")</f>
        <v>#REF!</v>
      </c>
      <c r="CV55" t="e">
        <f>AND(#REF!,"AAAAAHL39WM=")</f>
        <v>#REF!</v>
      </c>
      <c r="CW55" t="e">
        <f>AND(#REF!,"AAAAAHL39WQ=")</f>
        <v>#REF!</v>
      </c>
      <c r="CX55" t="e">
        <f>AND(#REF!,"AAAAAHL39WU=")</f>
        <v>#REF!</v>
      </c>
      <c r="CY55" t="e">
        <f>AND(#REF!,"AAAAAHL39WY=")</f>
        <v>#REF!</v>
      </c>
      <c r="CZ55" t="e">
        <f>AND(#REF!,"AAAAAHL39Wc=")</f>
        <v>#REF!</v>
      </c>
      <c r="DA55" t="e">
        <f>AND(#REF!,"AAAAAHL39Wg=")</f>
        <v>#REF!</v>
      </c>
      <c r="DB55" t="e">
        <f>AND(#REF!,"AAAAAHL39Wk=")</f>
        <v>#REF!</v>
      </c>
      <c r="DC55" t="e">
        <f>AND(#REF!,"AAAAAHL39Wo=")</f>
        <v>#REF!</v>
      </c>
      <c r="DD55" t="e">
        <f>AND(#REF!,"AAAAAHL39Ws=")</f>
        <v>#REF!</v>
      </c>
      <c r="DE55" t="e">
        <f>AND(#REF!,"AAAAAHL39Ww=")</f>
        <v>#REF!</v>
      </c>
      <c r="DF55" t="e">
        <f>AND(#REF!,"AAAAAHL39W0=")</f>
        <v>#REF!</v>
      </c>
      <c r="DG55" t="e">
        <f>AND(#REF!,"AAAAAHL39W4=")</f>
        <v>#REF!</v>
      </c>
      <c r="DH55" t="e">
        <f>AND(#REF!,"AAAAAHL39W8=")</f>
        <v>#REF!</v>
      </c>
      <c r="DI55" t="e">
        <f>AND(#REF!,"AAAAAHL39XA=")</f>
        <v>#REF!</v>
      </c>
      <c r="DJ55" t="e">
        <f>AND(#REF!,"AAAAAHL39XE=")</f>
        <v>#REF!</v>
      </c>
      <c r="DK55" t="e">
        <f>AND(#REF!,"AAAAAHL39XI=")</f>
        <v>#REF!</v>
      </c>
      <c r="DL55" t="e">
        <f>AND(#REF!,"AAAAAHL39XM=")</f>
        <v>#REF!</v>
      </c>
      <c r="DM55" t="e">
        <f>AND(#REF!,"AAAAAHL39XQ=")</f>
        <v>#REF!</v>
      </c>
      <c r="DN55" t="e">
        <f>AND(#REF!,"AAAAAHL39XU=")</f>
        <v>#REF!</v>
      </c>
      <c r="DO55" t="e">
        <f>AND(#REF!,"AAAAAHL39XY=")</f>
        <v>#REF!</v>
      </c>
      <c r="DP55" t="e">
        <f>AND(#REF!,"AAAAAHL39Xc=")</f>
        <v>#REF!</v>
      </c>
      <c r="DQ55" t="e">
        <f>AND(#REF!,"AAAAAHL39Xg=")</f>
        <v>#REF!</v>
      </c>
      <c r="DR55" t="e">
        <f>AND(#REF!,"AAAAAHL39Xk=")</f>
        <v>#REF!</v>
      </c>
      <c r="DS55" t="e">
        <f>AND(#REF!,"AAAAAHL39Xo=")</f>
        <v>#REF!</v>
      </c>
      <c r="DT55" t="e">
        <f>AND(#REF!,"AAAAAHL39Xs=")</f>
        <v>#REF!</v>
      </c>
      <c r="DU55" t="e">
        <f>AND(#REF!,"AAAAAHL39Xw=")</f>
        <v>#REF!</v>
      </c>
      <c r="DV55" t="e">
        <f>AND(#REF!,"AAAAAHL39X0=")</f>
        <v>#REF!</v>
      </c>
      <c r="DW55" t="e">
        <f>IF(#REF!,"AAAAAHL39X4=",0)</f>
        <v>#REF!</v>
      </c>
      <c r="DX55" t="e">
        <f>AND(#REF!,"AAAAAHL39X8=")</f>
        <v>#REF!</v>
      </c>
      <c r="DY55" t="e">
        <f>AND(#REF!,"AAAAAHL39YA=")</f>
        <v>#REF!</v>
      </c>
      <c r="DZ55" t="e">
        <f>AND(#REF!,"AAAAAHL39YE=")</f>
        <v>#REF!</v>
      </c>
      <c r="EA55" t="e">
        <f>AND(#REF!,"AAAAAHL39YI=")</f>
        <v>#REF!</v>
      </c>
      <c r="EB55" t="e">
        <f>AND(#REF!,"AAAAAHL39YM=")</f>
        <v>#REF!</v>
      </c>
      <c r="EC55" t="e">
        <f>AND(#REF!,"AAAAAHL39YQ=")</f>
        <v>#REF!</v>
      </c>
      <c r="ED55" t="e">
        <f>AND(#REF!,"AAAAAHL39YU=")</f>
        <v>#REF!</v>
      </c>
      <c r="EE55" t="e">
        <f>AND(#REF!,"AAAAAHL39YY=")</f>
        <v>#REF!</v>
      </c>
      <c r="EF55" t="e">
        <f>AND(#REF!,"AAAAAHL39Yc=")</f>
        <v>#REF!</v>
      </c>
      <c r="EG55" t="e">
        <f>AND(#REF!,"AAAAAHL39Yg=")</f>
        <v>#REF!</v>
      </c>
      <c r="EH55" t="e">
        <f>AND(#REF!,"AAAAAHL39Yk=")</f>
        <v>#REF!</v>
      </c>
      <c r="EI55" t="e">
        <f>AND(#REF!,"AAAAAHL39Yo=")</f>
        <v>#REF!</v>
      </c>
      <c r="EJ55" t="e">
        <f>AND(#REF!,"AAAAAHL39Ys=")</f>
        <v>#REF!</v>
      </c>
      <c r="EK55" t="e">
        <f>AND(#REF!,"AAAAAHL39Yw=")</f>
        <v>#REF!</v>
      </c>
      <c r="EL55" t="e">
        <f>AND(#REF!,"AAAAAHL39Y0=")</f>
        <v>#REF!</v>
      </c>
      <c r="EM55" t="e">
        <f>AND(#REF!,"AAAAAHL39Y4=")</f>
        <v>#REF!</v>
      </c>
      <c r="EN55" t="e">
        <f>AND(#REF!,"AAAAAHL39Y8=")</f>
        <v>#REF!</v>
      </c>
      <c r="EO55" t="e">
        <f>AND(#REF!,"AAAAAHL39ZA=")</f>
        <v>#REF!</v>
      </c>
      <c r="EP55" t="e">
        <f>AND(#REF!,"AAAAAHL39ZE=")</f>
        <v>#REF!</v>
      </c>
      <c r="EQ55" t="e">
        <f>AND(#REF!,"AAAAAHL39ZI=")</f>
        <v>#REF!</v>
      </c>
      <c r="ER55" t="e">
        <f>AND(#REF!,"AAAAAHL39ZM=")</f>
        <v>#REF!</v>
      </c>
      <c r="ES55" t="e">
        <f>AND(#REF!,"AAAAAHL39ZQ=")</f>
        <v>#REF!</v>
      </c>
      <c r="ET55" t="e">
        <f>AND(#REF!,"AAAAAHL39ZU=")</f>
        <v>#REF!</v>
      </c>
      <c r="EU55" t="e">
        <f>AND(#REF!,"AAAAAHL39ZY=")</f>
        <v>#REF!</v>
      </c>
      <c r="EV55" t="e">
        <f>AND(#REF!,"AAAAAHL39Zc=")</f>
        <v>#REF!</v>
      </c>
      <c r="EW55" t="e">
        <f>AND(#REF!,"AAAAAHL39Zg=")</f>
        <v>#REF!</v>
      </c>
      <c r="EX55" t="e">
        <f>AND(#REF!,"AAAAAHL39Zk=")</f>
        <v>#REF!</v>
      </c>
      <c r="EY55" t="e">
        <f>AND(#REF!,"AAAAAHL39Zo=")</f>
        <v>#REF!</v>
      </c>
      <c r="EZ55" t="e">
        <f>AND(#REF!,"AAAAAHL39Zs=")</f>
        <v>#REF!</v>
      </c>
      <c r="FA55" t="e">
        <f>AND(#REF!,"AAAAAHL39Zw=")</f>
        <v>#REF!</v>
      </c>
      <c r="FB55" t="e">
        <f>AND(#REF!,"AAAAAHL39Z0=")</f>
        <v>#REF!</v>
      </c>
      <c r="FC55" t="e">
        <f>AND(#REF!,"AAAAAHL39Z4=")</f>
        <v>#REF!</v>
      </c>
      <c r="FD55" t="e">
        <f>AND(#REF!,"AAAAAHL39Z8=")</f>
        <v>#REF!</v>
      </c>
      <c r="FE55" t="e">
        <f>AND(#REF!,"AAAAAHL39aA=")</f>
        <v>#REF!</v>
      </c>
      <c r="FF55" t="e">
        <f>AND(#REF!,"AAAAAHL39aE=")</f>
        <v>#REF!</v>
      </c>
      <c r="FG55" t="e">
        <f>AND(#REF!,"AAAAAHL39aI=")</f>
        <v>#REF!</v>
      </c>
      <c r="FH55" t="e">
        <f>AND(#REF!,"AAAAAHL39aM=")</f>
        <v>#REF!</v>
      </c>
      <c r="FI55" t="e">
        <f>AND(#REF!,"AAAAAHL39aQ=")</f>
        <v>#REF!</v>
      </c>
      <c r="FJ55" t="e">
        <f>AND(#REF!,"AAAAAHL39aU=")</f>
        <v>#REF!</v>
      </c>
      <c r="FK55" t="e">
        <f>AND(#REF!,"AAAAAHL39aY=")</f>
        <v>#REF!</v>
      </c>
      <c r="FL55" t="e">
        <f>AND(#REF!,"AAAAAHL39ac=")</f>
        <v>#REF!</v>
      </c>
      <c r="FM55" t="e">
        <f>AND(#REF!,"AAAAAHL39ag=")</f>
        <v>#REF!</v>
      </c>
      <c r="FN55" t="e">
        <f>AND(#REF!,"AAAAAHL39ak=")</f>
        <v>#REF!</v>
      </c>
      <c r="FO55" t="e">
        <f>AND(#REF!,"AAAAAHL39ao=")</f>
        <v>#REF!</v>
      </c>
      <c r="FP55" t="e">
        <f>AND(#REF!,"AAAAAHL39as=")</f>
        <v>#REF!</v>
      </c>
      <c r="FQ55" t="e">
        <f>AND(#REF!,"AAAAAHL39aw=")</f>
        <v>#REF!</v>
      </c>
      <c r="FR55" t="e">
        <f>AND(#REF!,"AAAAAHL39a0=")</f>
        <v>#REF!</v>
      </c>
      <c r="FS55" t="e">
        <f>AND(#REF!,"AAAAAHL39a4=")</f>
        <v>#REF!</v>
      </c>
      <c r="FT55" t="e">
        <f>AND(#REF!,"AAAAAHL39a8=")</f>
        <v>#REF!</v>
      </c>
      <c r="FU55" t="e">
        <f>AND(#REF!,"AAAAAHL39bA=")</f>
        <v>#REF!</v>
      </c>
      <c r="FV55" t="e">
        <f>AND(#REF!,"AAAAAHL39bE=")</f>
        <v>#REF!</v>
      </c>
      <c r="FW55" t="e">
        <f>AND(#REF!,"AAAAAHL39bI=")</f>
        <v>#REF!</v>
      </c>
      <c r="FX55" t="e">
        <f>AND(#REF!,"AAAAAHL39bM=")</f>
        <v>#REF!</v>
      </c>
      <c r="FY55" t="e">
        <f>AND(#REF!,"AAAAAHL39bQ=")</f>
        <v>#REF!</v>
      </c>
      <c r="FZ55" t="e">
        <f>AND(#REF!,"AAAAAHL39bU=")</f>
        <v>#REF!</v>
      </c>
      <c r="GA55" t="e">
        <f>AND(#REF!,"AAAAAHL39bY=")</f>
        <v>#REF!</v>
      </c>
      <c r="GB55" t="e">
        <f>AND(#REF!,"AAAAAHL39bc=")</f>
        <v>#REF!</v>
      </c>
      <c r="GC55" t="e">
        <f>AND(#REF!,"AAAAAHL39bg=")</f>
        <v>#REF!</v>
      </c>
      <c r="GD55" t="e">
        <f>AND(#REF!,"AAAAAHL39bk=")</f>
        <v>#REF!</v>
      </c>
      <c r="GE55" t="e">
        <f>AND(#REF!,"AAAAAHL39bo=")</f>
        <v>#REF!</v>
      </c>
      <c r="GF55" t="e">
        <f>AND(#REF!,"AAAAAHL39bs=")</f>
        <v>#REF!</v>
      </c>
      <c r="GG55" t="e">
        <f>AND(#REF!,"AAAAAHL39bw=")</f>
        <v>#REF!</v>
      </c>
      <c r="GH55" t="e">
        <f>AND(#REF!,"AAAAAHL39b0=")</f>
        <v>#REF!</v>
      </c>
      <c r="GI55" t="e">
        <f>AND(#REF!,"AAAAAHL39b4=")</f>
        <v>#REF!</v>
      </c>
      <c r="GJ55" t="e">
        <f>AND(#REF!,"AAAAAHL39b8=")</f>
        <v>#REF!</v>
      </c>
      <c r="GK55" t="e">
        <f>AND(#REF!,"AAAAAHL39cA=")</f>
        <v>#REF!</v>
      </c>
      <c r="GL55" t="e">
        <f>AND(#REF!,"AAAAAHL39cE=")</f>
        <v>#REF!</v>
      </c>
      <c r="GM55" t="e">
        <f>AND(#REF!,"AAAAAHL39cI=")</f>
        <v>#REF!</v>
      </c>
      <c r="GN55" t="e">
        <f>AND(#REF!,"AAAAAHL39cM=")</f>
        <v>#REF!</v>
      </c>
      <c r="GO55" t="e">
        <f>AND(#REF!,"AAAAAHL39cQ=")</f>
        <v>#REF!</v>
      </c>
      <c r="GP55" t="e">
        <f>AND(#REF!,"AAAAAHL39cU=")</f>
        <v>#REF!</v>
      </c>
      <c r="GQ55" t="e">
        <f>AND(#REF!,"AAAAAHL39cY=")</f>
        <v>#REF!</v>
      </c>
      <c r="GR55" t="e">
        <f>AND(#REF!,"AAAAAHL39cc=")</f>
        <v>#REF!</v>
      </c>
      <c r="GS55" t="e">
        <f>AND(#REF!,"AAAAAHL39cg=")</f>
        <v>#REF!</v>
      </c>
      <c r="GT55" t="e">
        <f>AND(#REF!,"AAAAAHL39ck=")</f>
        <v>#REF!</v>
      </c>
      <c r="GU55" t="e">
        <f>AND(#REF!,"AAAAAHL39co=")</f>
        <v>#REF!</v>
      </c>
      <c r="GV55" t="e">
        <f>AND(#REF!,"AAAAAHL39cs=")</f>
        <v>#REF!</v>
      </c>
      <c r="GW55" t="e">
        <f>AND(#REF!,"AAAAAHL39cw=")</f>
        <v>#REF!</v>
      </c>
      <c r="GX55" t="e">
        <f>AND(#REF!,"AAAAAHL39c0=")</f>
        <v>#REF!</v>
      </c>
      <c r="GY55" t="e">
        <f>AND(#REF!,"AAAAAHL39c4=")</f>
        <v>#REF!</v>
      </c>
      <c r="GZ55" t="e">
        <f>AND(#REF!,"AAAAAHL39c8=")</f>
        <v>#REF!</v>
      </c>
      <c r="HA55" t="e">
        <f>AND(#REF!,"AAAAAHL39dA=")</f>
        <v>#REF!</v>
      </c>
      <c r="HB55" t="e">
        <f>AND(#REF!,"AAAAAHL39dE=")</f>
        <v>#REF!</v>
      </c>
      <c r="HC55" t="e">
        <f>AND(#REF!,"AAAAAHL39dI=")</f>
        <v>#REF!</v>
      </c>
      <c r="HD55" t="e">
        <f>AND(#REF!,"AAAAAHL39dM=")</f>
        <v>#REF!</v>
      </c>
      <c r="HE55" t="e">
        <f>AND(#REF!,"AAAAAHL39dQ=")</f>
        <v>#REF!</v>
      </c>
      <c r="HF55" t="e">
        <f>AND(#REF!,"AAAAAHL39dU=")</f>
        <v>#REF!</v>
      </c>
      <c r="HG55" t="e">
        <f>AND(#REF!,"AAAAAHL39dY=")</f>
        <v>#REF!</v>
      </c>
      <c r="HH55" t="e">
        <f>AND(#REF!,"AAAAAHL39dc=")</f>
        <v>#REF!</v>
      </c>
      <c r="HI55" t="e">
        <f>AND(#REF!,"AAAAAHL39dg=")</f>
        <v>#REF!</v>
      </c>
      <c r="HJ55" t="e">
        <f>AND(#REF!,"AAAAAHL39dk=")</f>
        <v>#REF!</v>
      </c>
      <c r="HK55" t="e">
        <f>AND(#REF!,"AAAAAHL39do=")</f>
        <v>#REF!</v>
      </c>
      <c r="HL55" t="e">
        <f>AND(#REF!,"AAAAAHL39ds=")</f>
        <v>#REF!</v>
      </c>
      <c r="HM55" t="e">
        <f>AND(#REF!,"AAAAAHL39dw=")</f>
        <v>#REF!</v>
      </c>
      <c r="HN55" t="e">
        <f>AND(#REF!,"AAAAAHL39d0=")</f>
        <v>#REF!</v>
      </c>
      <c r="HO55" t="e">
        <f>AND(#REF!,"AAAAAHL39d4=")</f>
        <v>#REF!</v>
      </c>
      <c r="HP55" t="e">
        <f>AND(#REF!,"AAAAAHL39d8=")</f>
        <v>#REF!</v>
      </c>
      <c r="HQ55" t="e">
        <f>AND(#REF!,"AAAAAHL39eA=")</f>
        <v>#REF!</v>
      </c>
      <c r="HR55" t="e">
        <f>AND(#REF!,"AAAAAHL39eE=")</f>
        <v>#REF!</v>
      </c>
      <c r="HS55" t="e">
        <f>AND(#REF!,"AAAAAHL39eI=")</f>
        <v>#REF!</v>
      </c>
      <c r="HT55" t="e">
        <f>AND(#REF!,"AAAAAHL39eM=")</f>
        <v>#REF!</v>
      </c>
      <c r="HU55" t="e">
        <f>AND(#REF!,"AAAAAHL39eQ=")</f>
        <v>#REF!</v>
      </c>
      <c r="HV55" t="e">
        <f>AND(#REF!,"AAAAAHL39eU=")</f>
        <v>#REF!</v>
      </c>
      <c r="HW55" t="e">
        <f>AND(#REF!,"AAAAAHL39eY=")</f>
        <v>#REF!</v>
      </c>
      <c r="HX55" t="e">
        <f>AND(#REF!,"AAAAAHL39ec=")</f>
        <v>#REF!</v>
      </c>
      <c r="HY55" t="e">
        <f>AND(#REF!,"AAAAAHL39eg=")</f>
        <v>#REF!</v>
      </c>
      <c r="HZ55" t="e">
        <f>AND(#REF!,"AAAAAHL39ek=")</f>
        <v>#REF!</v>
      </c>
      <c r="IA55" t="e">
        <f>AND(#REF!,"AAAAAHL39eo=")</f>
        <v>#REF!</v>
      </c>
      <c r="IB55" t="e">
        <f>AND(#REF!,"AAAAAHL39es=")</f>
        <v>#REF!</v>
      </c>
      <c r="IC55" t="e">
        <f>AND(#REF!,"AAAAAHL39ew=")</f>
        <v>#REF!</v>
      </c>
      <c r="ID55" t="e">
        <f>AND(#REF!,"AAAAAHL39e0=")</f>
        <v>#REF!</v>
      </c>
      <c r="IE55" t="e">
        <f>AND(#REF!,"AAAAAHL39e4=")</f>
        <v>#REF!</v>
      </c>
      <c r="IF55" t="e">
        <f>AND(#REF!,"AAAAAHL39e8=")</f>
        <v>#REF!</v>
      </c>
      <c r="IG55" t="e">
        <f>AND(#REF!,"AAAAAHL39fA=")</f>
        <v>#REF!</v>
      </c>
      <c r="IH55" t="e">
        <f>AND(#REF!,"AAAAAHL39fE=")</f>
        <v>#REF!</v>
      </c>
      <c r="II55" t="e">
        <f>AND(#REF!,"AAAAAHL39fI=")</f>
        <v>#REF!</v>
      </c>
      <c r="IJ55" t="e">
        <f>AND(#REF!,"AAAAAHL39fM=")</f>
        <v>#REF!</v>
      </c>
      <c r="IK55" t="e">
        <f>AND(#REF!,"AAAAAHL39fQ=")</f>
        <v>#REF!</v>
      </c>
      <c r="IL55" t="e">
        <f>AND(#REF!,"AAAAAHL39fU=")</f>
        <v>#REF!</v>
      </c>
      <c r="IM55" t="e">
        <f>AND(#REF!,"AAAAAHL39fY=")</f>
        <v>#REF!</v>
      </c>
      <c r="IN55" t="e">
        <f>AND(#REF!,"AAAAAHL39fc=")</f>
        <v>#REF!</v>
      </c>
      <c r="IO55" t="e">
        <f>AND(#REF!,"AAAAAHL39fg=")</f>
        <v>#REF!</v>
      </c>
      <c r="IP55" t="e">
        <f>AND(#REF!,"AAAAAHL39fk=")</f>
        <v>#REF!</v>
      </c>
      <c r="IQ55" t="e">
        <f>AND(#REF!,"AAAAAHL39fo=")</f>
        <v>#REF!</v>
      </c>
      <c r="IR55" t="e">
        <f>AND(#REF!,"AAAAAHL39fs=")</f>
        <v>#REF!</v>
      </c>
      <c r="IS55" t="e">
        <f>AND(#REF!,"AAAAAHL39fw=")</f>
        <v>#REF!</v>
      </c>
      <c r="IT55" t="e">
        <f>AND(#REF!,"AAAAAHL39f0=")</f>
        <v>#REF!</v>
      </c>
      <c r="IU55" t="e">
        <f>AND(#REF!,"AAAAAHL39f4=")</f>
        <v>#REF!</v>
      </c>
      <c r="IV55" t="e">
        <f>AND(#REF!,"AAAAAHL39f8=")</f>
        <v>#REF!</v>
      </c>
    </row>
    <row r="56" spans="1:256" x14ac:dyDescent="0.25">
      <c r="A56" t="e">
        <f>AND(#REF!,"AAAAAD9/vwA=")</f>
        <v>#REF!</v>
      </c>
      <c r="B56" t="e">
        <f>AND(#REF!,"AAAAAD9/vwE=")</f>
        <v>#REF!</v>
      </c>
      <c r="C56" t="e">
        <f>AND(#REF!,"AAAAAD9/vwI=")</f>
        <v>#REF!</v>
      </c>
      <c r="D56" t="e">
        <f>AND(#REF!,"AAAAAD9/vwM=")</f>
        <v>#REF!</v>
      </c>
      <c r="E56" t="e">
        <f>AND(#REF!,"AAAAAD9/vwQ=")</f>
        <v>#REF!</v>
      </c>
      <c r="F56" t="e">
        <f>AND(#REF!,"AAAAAD9/vwU=")</f>
        <v>#REF!</v>
      </c>
      <c r="G56" t="e">
        <f>AND(#REF!,"AAAAAD9/vwY=")</f>
        <v>#REF!</v>
      </c>
      <c r="H56" t="e">
        <f>AND(#REF!,"AAAAAD9/vwc=")</f>
        <v>#REF!</v>
      </c>
      <c r="I56" t="e">
        <f>AND(#REF!,"AAAAAD9/vwg=")</f>
        <v>#REF!</v>
      </c>
      <c r="J56" t="e">
        <f>AND(#REF!,"AAAAAD9/vwk=")</f>
        <v>#REF!</v>
      </c>
      <c r="K56" t="e">
        <f>AND(#REF!,"AAAAAD9/vwo=")</f>
        <v>#REF!</v>
      </c>
      <c r="L56" t="e">
        <f>AND(#REF!,"AAAAAD9/vws=")</f>
        <v>#REF!</v>
      </c>
      <c r="M56" t="e">
        <f>AND(#REF!,"AAAAAD9/vww=")</f>
        <v>#REF!</v>
      </c>
      <c r="N56" t="e">
        <f>AND(#REF!,"AAAAAD9/vw0=")</f>
        <v>#REF!</v>
      </c>
      <c r="O56" t="e">
        <f>AND(#REF!,"AAAAAD9/vw4=")</f>
        <v>#REF!</v>
      </c>
      <c r="P56" t="e">
        <f>AND(#REF!,"AAAAAD9/vw8=")</f>
        <v>#REF!</v>
      </c>
      <c r="Q56" t="e">
        <f>AND(#REF!,"AAAAAD9/vxA=")</f>
        <v>#REF!</v>
      </c>
      <c r="R56" t="e">
        <f>AND(#REF!,"AAAAAD9/vxE=")</f>
        <v>#REF!</v>
      </c>
      <c r="S56" t="e">
        <f>AND(#REF!,"AAAAAD9/vxI=")</f>
        <v>#REF!</v>
      </c>
      <c r="T56" t="e">
        <f>AND(#REF!,"AAAAAD9/vxM=")</f>
        <v>#REF!</v>
      </c>
      <c r="U56" t="e">
        <f>AND(#REF!,"AAAAAD9/vxQ=")</f>
        <v>#REF!</v>
      </c>
      <c r="V56" t="e">
        <f>AND(#REF!,"AAAAAD9/vxU=")</f>
        <v>#REF!</v>
      </c>
      <c r="W56" t="e">
        <f>AND(#REF!,"AAAAAD9/vxY=")</f>
        <v>#REF!</v>
      </c>
      <c r="X56" t="e">
        <f>AND(#REF!,"AAAAAD9/vxc=")</f>
        <v>#REF!</v>
      </c>
      <c r="Y56" t="e">
        <f>AND(#REF!,"AAAAAD9/vxg=")</f>
        <v>#REF!</v>
      </c>
      <c r="Z56" t="e">
        <f>AND(#REF!,"AAAAAD9/vxk=")</f>
        <v>#REF!</v>
      </c>
      <c r="AA56" t="e">
        <f>AND(#REF!,"AAAAAD9/vxo=")</f>
        <v>#REF!</v>
      </c>
      <c r="AB56" t="e">
        <f>AND(#REF!,"AAAAAD9/vxs=")</f>
        <v>#REF!</v>
      </c>
      <c r="AC56" t="e">
        <f>AND(#REF!,"AAAAAD9/vxw=")</f>
        <v>#REF!</v>
      </c>
      <c r="AD56" t="e">
        <f>AND(#REF!,"AAAAAD9/vx0=")</f>
        <v>#REF!</v>
      </c>
      <c r="AE56" t="e">
        <f>AND(#REF!,"AAAAAD9/vx4=")</f>
        <v>#REF!</v>
      </c>
      <c r="AF56" t="e">
        <f>AND(#REF!,"AAAAAD9/vx8=")</f>
        <v>#REF!</v>
      </c>
      <c r="AG56" t="e">
        <f>AND(#REF!,"AAAAAD9/vyA=")</f>
        <v>#REF!</v>
      </c>
      <c r="AH56" t="e">
        <f>AND(#REF!,"AAAAAD9/vyE=")</f>
        <v>#REF!</v>
      </c>
      <c r="AI56" t="e">
        <f>AND(#REF!,"AAAAAD9/vyI=")</f>
        <v>#REF!</v>
      </c>
      <c r="AJ56" t="e">
        <f>AND(#REF!,"AAAAAD9/vyM=")</f>
        <v>#REF!</v>
      </c>
      <c r="AK56" t="e">
        <f>AND(#REF!,"AAAAAD9/vyQ=")</f>
        <v>#REF!</v>
      </c>
      <c r="AL56" t="e">
        <f>AND(#REF!,"AAAAAD9/vyU=")</f>
        <v>#REF!</v>
      </c>
      <c r="AM56" t="e">
        <f>AND(#REF!,"AAAAAD9/vyY=")</f>
        <v>#REF!</v>
      </c>
      <c r="AN56" t="e">
        <f>AND(#REF!,"AAAAAD9/vyc=")</f>
        <v>#REF!</v>
      </c>
      <c r="AO56" t="e">
        <f>AND(#REF!,"AAAAAD9/vyg=")</f>
        <v>#REF!</v>
      </c>
      <c r="AP56" t="e">
        <f>AND(#REF!,"AAAAAD9/vyk=")</f>
        <v>#REF!</v>
      </c>
      <c r="AQ56" t="e">
        <f>AND(#REF!,"AAAAAD9/vyo=")</f>
        <v>#REF!</v>
      </c>
      <c r="AR56" t="e">
        <f>AND(#REF!,"AAAAAD9/vys=")</f>
        <v>#REF!</v>
      </c>
      <c r="AS56" t="e">
        <f>AND(#REF!,"AAAAAD9/vyw=")</f>
        <v>#REF!</v>
      </c>
      <c r="AT56" t="e">
        <f>AND(#REF!,"AAAAAD9/vy0=")</f>
        <v>#REF!</v>
      </c>
      <c r="AU56" t="e">
        <f>AND(#REF!,"AAAAAD9/vy4=")</f>
        <v>#REF!</v>
      </c>
      <c r="AV56" t="e">
        <f>AND(#REF!,"AAAAAD9/vy8=")</f>
        <v>#REF!</v>
      </c>
      <c r="AW56" t="e">
        <f>IF(#REF!,"AAAAAD9/vzA=",0)</f>
        <v>#REF!</v>
      </c>
      <c r="AX56" t="e">
        <f>AND(#REF!,"AAAAAD9/vzE=")</f>
        <v>#REF!</v>
      </c>
      <c r="AY56" t="e">
        <f>AND(#REF!,"AAAAAD9/vzI=")</f>
        <v>#REF!</v>
      </c>
      <c r="AZ56" t="e">
        <f>AND(#REF!,"AAAAAD9/vzM=")</f>
        <v>#REF!</v>
      </c>
      <c r="BA56" t="e">
        <f>AND(#REF!,"AAAAAD9/vzQ=")</f>
        <v>#REF!</v>
      </c>
      <c r="BB56" t="e">
        <f>AND(#REF!,"AAAAAD9/vzU=")</f>
        <v>#REF!</v>
      </c>
      <c r="BC56" t="e">
        <f>AND(#REF!,"AAAAAD9/vzY=")</f>
        <v>#REF!</v>
      </c>
      <c r="BD56" t="e">
        <f>AND(#REF!,"AAAAAD9/vzc=")</f>
        <v>#REF!</v>
      </c>
      <c r="BE56" t="e">
        <f>AND(#REF!,"AAAAAD9/vzg=")</f>
        <v>#REF!</v>
      </c>
      <c r="BF56" t="e">
        <f>AND(#REF!,"AAAAAD9/vzk=")</f>
        <v>#REF!</v>
      </c>
      <c r="BG56" t="e">
        <f>AND(#REF!,"AAAAAD9/vzo=")</f>
        <v>#REF!</v>
      </c>
      <c r="BH56" t="e">
        <f>AND(#REF!,"AAAAAD9/vzs=")</f>
        <v>#REF!</v>
      </c>
      <c r="BI56" t="e">
        <f>AND(#REF!,"AAAAAD9/vzw=")</f>
        <v>#REF!</v>
      </c>
      <c r="BJ56" t="e">
        <f>AND(#REF!,"AAAAAD9/vz0=")</f>
        <v>#REF!</v>
      </c>
      <c r="BK56" t="e">
        <f>AND(#REF!,"AAAAAD9/vz4=")</f>
        <v>#REF!</v>
      </c>
      <c r="BL56" t="e">
        <f>AND(#REF!,"AAAAAD9/vz8=")</f>
        <v>#REF!</v>
      </c>
      <c r="BM56" t="e">
        <f>AND(#REF!,"AAAAAD9/v0A=")</f>
        <v>#REF!</v>
      </c>
      <c r="BN56" t="e">
        <f>AND(#REF!,"AAAAAD9/v0E=")</f>
        <v>#REF!</v>
      </c>
      <c r="BO56" t="e">
        <f>AND(#REF!,"AAAAAD9/v0I=")</f>
        <v>#REF!</v>
      </c>
      <c r="BP56" t="e">
        <f>AND(#REF!,"AAAAAD9/v0M=")</f>
        <v>#REF!</v>
      </c>
      <c r="BQ56" t="e">
        <f>AND(#REF!,"AAAAAD9/v0Q=")</f>
        <v>#REF!</v>
      </c>
      <c r="BR56" t="e">
        <f>AND(#REF!,"AAAAAD9/v0U=")</f>
        <v>#REF!</v>
      </c>
      <c r="BS56" t="e">
        <f>AND(#REF!,"AAAAAD9/v0Y=")</f>
        <v>#REF!</v>
      </c>
      <c r="BT56" t="e">
        <f>AND(#REF!,"AAAAAD9/v0c=")</f>
        <v>#REF!</v>
      </c>
      <c r="BU56" t="e">
        <f>AND(#REF!,"AAAAAD9/v0g=")</f>
        <v>#REF!</v>
      </c>
      <c r="BV56" t="e">
        <f>AND(#REF!,"AAAAAD9/v0k=")</f>
        <v>#REF!</v>
      </c>
      <c r="BW56" t="e">
        <f>AND(#REF!,"AAAAAD9/v0o=")</f>
        <v>#REF!</v>
      </c>
      <c r="BX56" t="e">
        <f>AND(#REF!,"AAAAAD9/v0s=")</f>
        <v>#REF!</v>
      </c>
      <c r="BY56" t="e">
        <f>AND(#REF!,"AAAAAD9/v0w=")</f>
        <v>#REF!</v>
      </c>
      <c r="BZ56" t="e">
        <f>AND(#REF!,"AAAAAD9/v00=")</f>
        <v>#REF!</v>
      </c>
      <c r="CA56" t="e">
        <f>AND(#REF!,"AAAAAD9/v04=")</f>
        <v>#REF!</v>
      </c>
      <c r="CB56" t="e">
        <f>AND(#REF!,"AAAAAD9/v08=")</f>
        <v>#REF!</v>
      </c>
      <c r="CC56" t="e">
        <f>AND(#REF!,"AAAAAD9/v1A=")</f>
        <v>#REF!</v>
      </c>
      <c r="CD56" t="e">
        <f>AND(#REF!,"AAAAAD9/v1E=")</f>
        <v>#REF!</v>
      </c>
      <c r="CE56" t="e">
        <f>AND(#REF!,"AAAAAD9/v1I=")</f>
        <v>#REF!</v>
      </c>
      <c r="CF56" t="e">
        <f>AND(#REF!,"AAAAAD9/v1M=")</f>
        <v>#REF!</v>
      </c>
      <c r="CG56" t="e">
        <f>AND(#REF!,"AAAAAD9/v1Q=")</f>
        <v>#REF!</v>
      </c>
      <c r="CH56" t="e">
        <f>AND(#REF!,"AAAAAD9/v1U=")</f>
        <v>#REF!</v>
      </c>
      <c r="CI56" t="e">
        <f>AND(#REF!,"AAAAAD9/v1Y=")</f>
        <v>#REF!</v>
      </c>
      <c r="CJ56" t="e">
        <f>AND(#REF!,"AAAAAD9/v1c=")</f>
        <v>#REF!</v>
      </c>
      <c r="CK56" t="e">
        <f>AND(#REF!,"AAAAAD9/v1g=")</f>
        <v>#REF!</v>
      </c>
      <c r="CL56" t="e">
        <f>AND(#REF!,"AAAAAD9/v1k=")</f>
        <v>#REF!</v>
      </c>
      <c r="CM56" t="e">
        <f>AND(#REF!,"AAAAAD9/v1o=")</f>
        <v>#REF!</v>
      </c>
      <c r="CN56" t="e">
        <f>AND(#REF!,"AAAAAD9/v1s=")</f>
        <v>#REF!</v>
      </c>
      <c r="CO56" t="e">
        <f>AND(#REF!,"AAAAAD9/v1w=")</f>
        <v>#REF!</v>
      </c>
      <c r="CP56" t="e">
        <f>AND(#REF!,"AAAAAD9/v10=")</f>
        <v>#REF!</v>
      </c>
      <c r="CQ56" t="e">
        <f>AND(#REF!,"AAAAAD9/v14=")</f>
        <v>#REF!</v>
      </c>
      <c r="CR56" t="e">
        <f>AND(#REF!,"AAAAAD9/v18=")</f>
        <v>#REF!</v>
      </c>
      <c r="CS56" t="e">
        <f>AND(#REF!,"AAAAAD9/v2A=")</f>
        <v>#REF!</v>
      </c>
      <c r="CT56" t="e">
        <f>AND(#REF!,"AAAAAD9/v2E=")</f>
        <v>#REF!</v>
      </c>
      <c r="CU56" t="e">
        <f>AND(#REF!,"AAAAAD9/v2I=")</f>
        <v>#REF!</v>
      </c>
      <c r="CV56" t="e">
        <f>AND(#REF!,"AAAAAD9/v2M=")</f>
        <v>#REF!</v>
      </c>
      <c r="CW56" t="e">
        <f>AND(#REF!,"AAAAAD9/v2Q=")</f>
        <v>#REF!</v>
      </c>
      <c r="CX56" t="e">
        <f>AND(#REF!,"AAAAAD9/v2U=")</f>
        <v>#REF!</v>
      </c>
      <c r="CY56" t="e">
        <f>AND(#REF!,"AAAAAD9/v2Y=")</f>
        <v>#REF!</v>
      </c>
      <c r="CZ56" t="e">
        <f>AND(#REF!,"AAAAAD9/v2c=")</f>
        <v>#REF!</v>
      </c>
      <c r="DA56" t="e">
        <f>AND(#REF!,"AAAAAD9/v2g=")</f>
        <v>#REF!</v>
      </c>
      <c r="DB56" t="e">
        <f>AND(#REF!,"AAAAAD9/v2k=")</f>
        <v>#REF!</v>
      </c>
      <c r="DC56" t="e">
        <f>AND(#REF!,"AAAAAD9/v2o=")</f>
        <v>#REF!</v>
      </c>
      <c r="DD56" t="e">
        <f>AND(#REF!,"AAAAAD9/v2s=")</f>
        <v>#REF!</v>
      </c>
      <c r="DE56" t="e">
        <f>AND(#REF!,"AAAAAD9/v2w=")</f>
        <v>#REF!</v>
      </c>
      <c r="DF56" t="e">
        <f>AND(#REF!,"AAAAAD9/v20=")</f>
        <v>#REF!</v>
      </c>
      <c r="DG56" t="e">
        <f>AND(#REF!,"AAAAAD9/v24=")</f>
        <v>#REF!</v>
      </c>
      <c r="DH56" t="e">
        <f>AND(#REF!,"AAAAAD9/v28=")</f>
        <v>#REF!</v>
      </c>
      <c r="DI56" t="e">
        <f>AND(#REF!,"AAAAAD9/v3A=")</f>
        <v>#REF!</v>
      </c>
      <c r="DJ56" t="e">
        <f>AND(#REF!,"AAAAAD9/v3E=")</f>
        <v>#REF!</v>
      </c>
      <c r="DK56" t="e">
        <f>AND(#REF!,"AAAAAD9/v3I=")</f>
        <v>#REF!</v>
      </c>
      <c r="DL56" t="e">
        <f>AND(#REF!,"AAAAAD9/v3M=")</f>
        <v>#REF!</v>
      </c>
      <c r="DM56" t="e">
        <f>AND(#REF!,"AAAAAD9/v3Q=")</f>
        <v>#REF!</v>
      </c>
      <c r="DN56" t="e">
        <f>AND(#REF!,"AAAAAD9/v3U=")</f>
        <v>#REF!</v>
      </c>
      <c r="DO56" t="e">
        <f>AND(#REF!,"AAAAAD9/v3Y=")</f>
        <v>#REF!</v>
      </c>
      <c r="DP56" t="e">
        <f>AND(#REF!,"AAAAAD9/v3c=")</f>
        <v>#REF!</v>
      </c>
      <c r="DQ56" t="e">
        <f>AND(#REF!,"AAAAAD9/v3g=")</f>
        <v>#REF!</v>
      </c>
      <c r="DR56" t="e">
        <f>AND(#REF!,"AAAAAD9/v3k=")</f>
        <v>#REF!</v>
      </c>
      <c r="DS56" t="e">
        <f>AND(#REF!,"AAAAAD9/v3o=")</f>
        <v>#REF!</v>
      </c>
      <c r="DT56" t="e">
        <f>AND(#REF!,"AAAAAD9/v3s=")</f>
        <v>#REF!</v>
      </c>
      <c r="DU56" t="e">
        <f>AND(#REF!,"AAAAAD9/v3w=")</f>
        <v>#REF!</v>
      </c>
      <c r="DV56" t="e">
        <f>AND(#REF!,"AAAAAD9/v30=")</f>
        <v>#REF!</v>
      </c>
      <c r="DW56" t="e">
        <f>AND(#REF!,"AAAAAD9/v34=")</f>
        <v>#REF!</v>
      </c>
      <c r="DX56" t="e">
        <f>AND(#REF!,"AAAAAD9/v38=")</f>
        <v>#REF!</v>
      </c>
      <c r="DY56" t="e">
        <f>AND(#REF!,"AAAAAD9/v4A=")</f>
        <v>#REF!</v>
      </c>
      <c r="DZ56" t="e">
        <f>AND(#REF!,"AAAAAD9/v4E=")</f>
        <v>#REF!</v>
      </c>
      <c r="EA56" t="e">
        <f>AND(#REF!,"AAAAAD9/v4I=")</f>
        <v>#REF!</v>
      </c>
      <c r="EB56" t="e">
        <f>AND(#REF!,"AAAAAD9/v4M=")</f>
        <v>#REF!</v>
      </c>
      <c r="EC56" t="e">
        <f>AND(#REF!,"AAAAAD9/v4Q=")</f>
        <v>#REF!</v>
      </c>
      <c r="ED56" t="e">
        <f>AND(#REF!,"AAAAAD9/v4U=")</f>
        <v>#REF!</v>
      </c>
      <c r="EE56" t="e">
        <f>AND(#REF!,"AAAAAD9/v4Y=")</f>
        <v>#REF!</v>
      </c>
      <c r="EF56" t="e">
        <f>AND(#REF!,"AAAAAD9/v4c=")</f>
        <v>#REF!</v>
      </c>
      <c r="EG56" t="e">
        <f>AND(#REF!,"AAAAAD9/v4g=")</f>
        <v>#REF!</v>
      </c>
      <c r="EH56" t="e">
        <f>AND(#REF!,"AAAAAD9/v4k=")</f>
        <v>#REF!</v>
      </c>
      <c r="EI56" t="e">
        <f>AND(#REF!,"AAAAAD9/v4o=")</f>
        <v>#REF!</v>
      </c>
      <c r="EJ56" t="e">
        <f>AND(#REF!,"AAAAAD9/v4s=")</f>
        <v>#REF!</v>
      </c>
      <c r="EK56" t="e">
        <f>AND(#REF!,"AAAAAD9/v4w=")</f>
        <v>#REF!</v>
      </c>
      <c r="EL56" t="e">
        <f>AND(#REF!,"AAAAAD9/v40=")</f>
        <v>#REF!</v>
      </c>
      <c r="EM56" t="e">
        <f>AND(#REF!,"AAAAAD9/v44=")</f>
        <v>#REF!</v>
      </c>
      <c r="EN56" t="e">
        <f>AND(#REF!,"AAAAAD9/v48=")</f>
        <v>#REF!</v>
      </c>
      <c r="EO56" t="e">
        <f>AND(#REF!,"AAAAAD9/v5A=")</f>
        <v>#REF!</v>
      </c>
      <c r="EP56" t="e">
        <f>AND(#REF!,"AAAAAD9/v5E=")</f>
        <v>#REF!</v>
      </c>
      <c r="EQ56" t="e">
        <f>AND(#REF!,"AAAAAD9/v5I=")</f>
        <v>#REF!</v>
      </c>
      <c r="ER56" t="e">
        <f>AND(#REF!,"AAAAAD9/v5M=")</f>
        <v>#REF!</v>
      </c>
      <c r="ES56" t="e">
        <f>AND(#REF!,"AAAAAD9/v5Q=")</f>
        <v>#REF!</v>
      </c>
      <c r="ET56" t="e">
        <f>AND(#REF!,"AAAAAD9/v5U=")</f>
        <v>#REF!</v>
      </c>
      <c r="EU56" t="e">
        <f>AND(#REF!,"AAAAAD9/v5Y=")</f>
        <v>#REF!</v>
      </c>
      <c r="EV56" t="e">
        <f>AND(#REF!,"AAAAAD9/v5c=")</f>
        <v>#REF!</v>
      </c>
      <c r="EW56" t="e">
        <f>AND(#REF!,"AAAAAD9/v5g=")</f>
        <v>#REF!</v>
      </c>
      <c r="EX56" t="e">
        <f>AND(#REF!,"AAAAAD9/v5k=")</f>
        <v>#REF!</v>
      </c>
      <c r="EY56" t="e">
        <f>AND(#REF!,"AAAAAD9/v5o=")</f>
        <v>#REF!</v>
      </c>
      <c r="EZ56" t="e">
        <f>AND(#REF!,"AAAAAD9/v5s=")</f>
        <v>#REF!</v>
      </c>
      <c r="FA56" t="e">
        <f>AND(#REF!,"AAAAAD9/v5w=")</f>
        <v>#REF!</v>
      </c>
      <c r="FB56" t="e">
        <f>AND(#REF!,"AAAAAD9/v50=")</f>
        <v>#REF!</v>
      </c>
      <c r="FC56" t="e">
        <f>AND(#REF!,"AAAAAD9/v54=")</f>
        <v>#REF!</v>
      </c>
      <c r="FD56" t="e">
        <f>AND(#REF!,"AAAAAD9/v58=")</f>
        <v>#REF!</v>
      </c>
      <c r="FE56" t="e">
        <f>AND(#REF!,"AAAAAD9/v6A=")</f>
        <v>#REF!</v>
      </c>
      <c r="FF56" t="e">
        <f>AND(#REF!,"AAAAAD9/v6E=")</f>
        <v>#REF!</v>
      </c>
      <c r="FG56" t="e">
        <f>AND(#REF!,"AAAAAD9/v6I=")</f>
        <v>#REF!</v>
      </c>
      <c r="FH56" t="e">
        <f>AND(#REF!,"AAAAAD9/v6M=")</f>
        <v>#REF!</v>
      </c>
      <c r="FI56" t="e">
        <f>AND(#REF!,"AAAAAD9/v6Q=")</f>
        <v>#REF!</v>
      </c>
      <c r="FJ56" t="e">
        <f>AND(#REF!,"AAAAAD9/v6U=")</f>
        <v>#REF!</v>
      </c>
      <c r="FK56" t="e">
        <f>AND(#REF!,"AAAAAD9/v6Y=")</f>
        <v>#REF!</v>
      </c>
      <c r="FL56" t="e">
        <f>AND(#REF!,"AAAAAD9/v6c=")</f>
        <v>#REF!</v>
      </c>
      <c r="FM56" t="e">
        <f>AND(#REF!,"AAAAAD9/v6g=")</f>
        <v>#REF!</v>
      </c>
      <c r="FN56" t="e">
        <f>AND(#REF!,"AAAAAD9/v6k=")</f>
        <v>#REF!</v>
      </c>
      <c r="FO56" t="e">
        <f>AND(#REF!,"AAAAAD9/v6o=")</f>
        <v>#REF!</v>
      </c>
      <c r="FP56" t="e">
        <f>AND(#REF!,"AAAAAD9/v6s=")</f>
        <v>#REF!</v>
      </c>
      <c r="FQ56" t="e">
        <f>AND(#REF!,"AAAAAD9/v6w=")</f>
        <v>#REF!</v>
      </c>
      <c r="FR56" t="e">
        <f>AND(#REF!,"AAAAAD9/v60=")</f>
        <v>#REF!</v>
      </c>
      <c r="FS56" t="e">
        <f>AND(#REF!,"AAAAAD9/v64=")</f>
        <v>#REF!</v>
      </c>
      <c r="FT56" t="e">
        <f>AND(#REF!,"AAAAAD9/v68=")</f>
        <v>#REF!</v>
      </c>
      <c r="FU56" t="e">
        <f>AND(#REF!,"AAAAAD9/v7A=")</f>
        <v>#REF!</v>
      </c>
      <c r="FV56" t="e">
        <f>AND(#REF!,"AAAAAD9/v7E=")</f>
        <v>#REF!</v>
      </c>
      <c r="FW56" t="e">
        <f>AND(#REF!,"AAAAAD9/v7I=")</f>
        <v>#REF!</v>
      </c>
      <c r="FX56" t="e">
        <f>AND(#REF!,"AAAAAD9/v7M=")</f>
        <v>#REF!</v>
      </c>
      <c r="FY56" t="e">
        <f>AND(#REF!,"AAAAAD9/v7Q=")</f>
        <v>#REF!</v>
      </c>
      <c r="FZ56" t="e">
        <f>AND(#REF!,"AAAAAD9/v7U=")</f>
        <v>#REF!</v>
      </c>
      <c r="GA56" t="e">
        <f>AND(#REF!,"AAAAAD9/v7Y=")</f>
        <v>#REF!</v>
      </c>
      <c r="GB56" t="e">
        <f>AND(#REF!,"AAAAAD9/v7c=")</f>
        <v>#REF!</v>
      </c>
      <c r="GC56" t="e">
        <f>AND(#REF!,"AAAAAD9/v7g=")</f>
        <v>#REF!</v>
      </c>
      <c r="GD56" t="e">
        <f>AND(#REF!,"AAAAAD9/v7k=")</f>
        <v>#REF!</v>
      </c>
      <c r="GE56" t="e">
        <f>AND(#REF!,"AAAAAD9/v7o=")</f>
        <v>#REF!</v>
      </c>
      <c r="GF56" t="e">
        <f>AND(#REF!,"AAAAAD9/v7s=")</f>
        <v>#REF!</v>
      </c>
      <c r="GG56" t="e">
        <f>AND(#REF!,"AAAAAD9/v7w=")</f>
        <v>#REF!</v>
      </c>
      <c r="GH56" t="e">
        <f>AND(#REF!,"AAAAAD9/v70=")</f>
        <v>#REF!</v>
      </c>
      <c r="GI56" t="e">
        <f>AND(#REF!,"AAAAAD9/v74=")</f>
        <v>#REF!</v>
      </c>
      <c r="GJ56" t="e">
        <f>AND(#REF!,"AAAAAD9/v78=")</f>
        <v>#REF!</v>
      </c>
      <c r="GK56" t="e">
        <f>AND(#REF!,"AAAAAD9/v8A=")</f>
        <v>#REF!</v>
      </c>
      <c r="GL56" t="e">
        <f>AND(#REF!,"AAAAAD9/v8E=")</f>
        <v>#REF!</v>
      </c>
      <c r="GM56" t="e">
        <f>AND(#REF!,"AAAAAD9/v8I=")</f>
        <v>#REF!</v>
      </c>
      <c r="GN56" t="e">
        <f>AND(#REF!,"AAAAAD9/v8M=")</f>
        <v>#REF!</v>
      </c>
      <c r="GO56" t="e">
        <f>AND(#REF!,"AAAAAD9/v8Q=")</f>
        <v>#REF!</v>
      </c>
      <c r="GP56" t="e">
        <f>AND(#REF!,"AAAAAD9/v8U=")</f>
        <v>#REF!</v>
      </c>
      <c r="GQ56" t="e">
        <f>AND(#REF!,"AAAAAD9/v8Y=")</f>
        <v>#REF!</v>
      </c>
      <c r="GR56" t="e">
        <f>AND(#REF!,"AAAAAD9/v8c=")</f>
        <v>#REF!</v>
      </c>
      <c r="GS56" t="e">
        <f>AND(#REF!,"AAAAAD9/v8g=")</f>
        <v>#REF!</v>
      </c>
      <c r="GT56" t="e">
        <f>AND(#REF!,"AAAAAD9/v8k=")</f>
        <v>#REF!</v>
      </c>
      <c r="GU56" t="e">
        <f>AND(#REF!,"AAAAAD9/v8o=")</f>
        <v>#REF!</v>
      </c>
      <c r="GV56" t="e">
        <f>AND(#REF!,"AAAAAD9/v8s=")</f>
        <v>#REF!</v>
      </c>
      <c r="GW56" t="e">
        <f>AND(#REF!,"AAAAAD9/v8w=")</f>
        <v>#REF!</v>
      </c>
      <c r="GX56" t="e">
        <f>AND(#REF!,"AAAAAD9/v80=")</f>
        <v>#REF!</v>
      </c>
      <c r="GY56" t="e">
        <f>AND(#REF!,"AAAAAD9/v84=")</f>
        <v>#REF!</v>
      </c>
      <c r="GZ56" t="e">
        <f>AND(#REF!,"AAAAAD9/v88=")</f>
        <v>#REF!</v>
      </c>
      <c r="HA56" t="e">
        <f>AND(#REF!,"AAAAAD9/v9A=")</f>
        <v>#REF!</v>
      </c>
      <c r="HB56" t="e">
        <f>AND(#REF!,"AAAAAD9/v9E=")</f>
        <v>#REF!</v>
      </c>
      <c r="HC56" t="e">
        <f>AND(#REF!,"AAAAAD9/v9I=")</f>
        <v>#REF!</v>
      </c>
      <c r="HD56" t="e">
        <f>AND(#REF!,"AAAAAD9/v9M=")</f>
        <v>#REF!</v>
      </c>
      <c r="HE56" t="e">
        <f>AND(#REF!,"AAAAAD9/v9Q=")</f>
        <v>#REF!</v>
      </c>
      <c r="HF56" t="e">
        <f>AND(#REF!,"AAAAAD9/v9U=")</f>
        <v>#REF!</v>
      </c>
      <c r="HG56" t="e">
        <f>AND(#REF!,"AAAAAD9/v9Y=")</f>
        <v>#REF!</v>
      </c>
      <c r="HH56" t="e">
        <f>AND(#REF!,"AAAAAD9/v9c=")</f>
        <v>#REF!</v>
      </c>
      <c r="HI56" t="e">
        <f>AND(#REF!,"AAAAAD9/v9g=")</f>
        <v>#REF!</v>
      </c>
      <c r="HJ56" t="e">
        <f>AND(#REF!,"AAAAAD9/v9k=")</f>
        <v>#REF!</v>
      </c>
      <c r="HK56" t="e">
        <f>AND(#REF!,"AAAAAD9/v9o=")</f>
        <v>#REF!</v>
      </c>
      <c r="HL56" t="e">
        <f>AND(#REF!,"AAAAAD9/v9s=")</f>
        <v>#REF!</v>
      </c>
      <c r="HM56" t="e">
        <f>AND(#REF!,"AAAAAD9/v9w=")</f>
        <v>#REF!</v>
      </c>
      <c r="HN56" t="e">
        <f>AND(#REF!,"AAAAAD9/v90=")</f>
        <v>#REF!</v>
      </c>
      <c r="HO56" t="e">
        <f>AND(#REF!,"AAAAAD9/v94=")</f>
        <v>#REF!</v>
      </c>
      <c r="HP56" t="e">
        <f>AND(#REF!,"AAAAAD9/v98=")</f>
        <v>#REF!</v>
      </c>
      <c r="HQ56" t="e">
        <f>AND(#REF!,"AAAAAD9/v+A=")</f>
        <v>#REF!</v>
      </c>
      <c r="HR56" t="e">
        <f>AND(#REF!,"AAAAAD9/v+E=")</f>
        <v>#REF!</v>
      </c>
      <c r="HS56" t="e">
        <f>AND(#REF!,"AAAAAD9/v+I=")</f>
        <v>#REF!</v>
      </c>
      <c r="HT56" t="e">
        <f>AND(#REF!,"AAAAAD9/v+M=")</f>
        <v>#REF!</v>
      </c>
      <c r="HU56" t="e">
        <f>AND(#REF!,"AAAAAD9/v+Q=")</f>
        <v>#REF!</v>
      </c>
      <c r="HV56" t="e">
        <f>AND(#REF!,"AAAAAD9/v+U=")</f>
        <v>#REF!</v>
      </c>
      <c r="HW56" t="e">
        <f>IF(#REF!,"AAAAAD9/v+Y=",0)</f>
        <v>#REF!</v>
      </c>
      <c r="HX56" t="e">
        <f>AND(#REF!,"AAAAAD9/v+c=")</f>
        <v>#REF!</v>
      </c>
      <c r="HY56" t="e">
        <f>AND(#REF!,"AAAAAD9/v+g=")</f>
        <v>#REF!</v>
      </c>
      <c r="HZ56" t="e">
        <f>AND(#REF!,"AAAAAD9/v+k=")</f>
        <v>#REF!</v>
      </c>
      <c r="IA56" t="e">
        <f>AND(#REF!,"AAAAAD9/v+o=")</f>
        <v>#REF!</v>
      </c>
      <c r="IB56" t="e">
        <f>AND(#REF!,"AAAAAD9/v+s=")</f>
        <v>#REF!</v>
      </c>
      <c r="IC56" t="e">
        <f>AND(#REF!,"AAAAAD9/v+w=")</f>
        <v>#REF!</v>
      </c>
      <c r="ID56" t="e">
        <f>AND(#REF!,"AAAAAD9/v+0=")</f>
        <v>#REF!</v>
      </c>
      <c r="IE56" t="e">
        <f>AND(#REF!,"AAAAAD9/v+4=")</f>
        <v>#REF!</v>
      </c>
      <c r="IF56" t="e">
        <f>AND(#REF!,"AAAAAD9/v+8=")</f>
        <v>#REF!</v>
      </c>
      <c r="IG56" t="e">
        <f>AND(#REF!,"AAAAAD9/v/A=")</f>
        <v>#REF!</v>
      </c>
      <c r="IH56" t="e">
        <f>AND(#REF!,"AAAAAD9/v/E=")</f>
        <v>#REF!</v>
      </c>
      <c r="II56" t="e">
        <f>AND(#REF!,"AAAAAD9/v/I=")</f>
        <v>#REF!</v>
      </c>
      <c r="IJ56" t="e">
        <f>AND(#REF!,"AAAAAD9/v/M=")</f>
        <v>#REF!</v>
      </c>
      <c r="IK56" t="e">
        <f>AND(#REF!,"AAAAAD9/v/Q=")</f>
        <v>#REF!</v>
      </c>
      <c r="IL56" t="e">
        <f>AND(#REF!,"AAAAAD9/v/U=")</f>
        <v>#REF!</v>
      </c>
      <c r="IM56" t="e">
        <f>AND(#REF!,"AAAAAD9/v/Y=")</f>
        <v>#REF!</v>
      </c>
      <c r="IN56" t="e">
        <f>AND(#REF!,"AAAAAD9/v/c=")</f>
        <v>#REF!</v>
      </c>
      <c r="IO56" t="e">
        <f>AND(#REF!,"AAAAAD9/v/g=")</f>
        <v>#REF!</v>
      </c>
      <c r="IP56" t="e">
        <f>AND(#REF!,"AAAAAD9/v/k=")</f>
        <v>#REF!</v>
      </c>
      <c r="IQ56" t="e">
        <f>AND(#REF!,"AAAAAD9/v/o=")</f>
        <v>#REF!</v>
      </c>
      <c r="IR56" t="e">
        <f>AND(#REF!,"AAAAAD9/v/s=")</f>
        <v>#REF!</v>
      </c>
      <c r="IS56" t="e">
        <f>AND(#REF!,"AAAAAD9/v/w=")</f>
        <v>#REF!</v>
      </c>
      <c r="IT56" t="e">
        <f>AND(#REF!,"AAAAAD9/v/0=")</f>
        <v>#REF!</v>
      </c>
      <c r="IU56" t="e">
        <f>AND(#REF!,"AAAAAD9/v/4=")</f>
        <v>#REF!</v>
      </c>
      <c r="IV56" t="e">
        <f>AND(#REF!,"AAAAAD9/v/8=")</f>
        <v>#REF!</v>
      </c>
    </row>
    <row r="57" spans="1:256" x14ac:dyDescent="0.25">
      <c r="A57" t="e">
        <f>AND(#REF!,"AAAAAH33ewA=")</f>
        <v>#REF!</v>
      </c>
      <c r="B57" t="e">
        <f>AND(#REF!,"AAAAAH33ewE=")</f>
        <v>#REF!</v>
      </c>
      <c r="C57" t="e">
        <f>AND(#REF!,"AAAAAH33ewI=")</f>
        <v>#REF!</v>
      </c>
      <c r="D57" t="e">
        <f>AND(#REF!,"AAAAAH33ewM=")</f>
        <v>#REF!</v>
      </c>
      <c r="E57" t="e">
        <f>AND(#REF!,"AAAAAH33ewQ=")</f>
        <v>#REF!</v>
      </c>
      <c r="F57" t="e">
        <f>AND(#REF!,"AAAAAH33ewU=")</f>
        <v>#REF!</v>
      </c>
      <c r="G57" t="e">
        <f>AND(#REF!,"AAAAAH33ewY=")</f>
        <v>#REF!</v>
      </c>
      <c r="H57" t="e">
        <f>AND(#REF!,"AAAAAH33ewc=")</f>
        <v>#REF!</v>
      </c>
      <c r="I57" t="e">
        <f>AND(#REF!,"AAAAAH33ewg=")</f>
        <v>#REF!</v>
      </c>
      <c r="J57" t="e">
        <f>AND(#REF!,"AAAAAH33ewk=")</f>
        <v>#REF!</v>
      </c>
      <c r="K57" t="e">
        <f>AND(#REF!,"AAAAAH33ewo=")</f>
        <v>#REF!</v>
      </c>
      <c r="L57" t="e">
        <f>AND(#REF!,"AAAAAH33ews=")</f>
        <v>#REF!</v>
      </c>
      <c r="M57" t="e">
        <f>AND(#REF!,"AAAAAH33eww=")</f>
        <v>#REF!</v>
      </c>
      <c r="N57" t="e">
        <f>AND(#REF!,"AAAAAH33ew0=")</f>
        <v>#REF!</v>
      </c>
      <c r="O57" t="e">
        <f>AND(#REF!,"AAAAAH33ew4=")</f>
        <v>#REF!</v>
      </c>
      <c r="P57" t="e">
        <f>AND(#REF!,"AAAAAH33ew8=")</f>
        <v>#REF!</v>
      </c>
      <c r="Q57" t="e">
        <f>AND(#REF!,"AAAAAH33exA=")</f>
        <v>#REF!</v>
      </c>
      <c r="R57" t="e">
        <f>AND(#REF!,"AAAAAH33exE=")</f>
        <v>#REF!</v>
      </c>
      <c r="S57" t="e">
        <f>AND(#REF!,"AAAAAH33exI=")</f>
        <v>#REF!</v>
      </c>
      <c r="T57" t="e">
        <f>AND(#REF!,"AAAAAH33exM=")</f>
        <v>#REF!</v>
      </c>
      <c r="U57" t="e">
        <f>AND(#REF!,"AAAAAH33exQ=")</f>
        <v>#REF!</v>
      </c>
      <c r="V57" t="e">
        <f>AND(#REF!,"AAAAAH33exU=")</f>
        <v>#REF!</v>
      </c>
      <c r="W57" t="e">
        <f>AND(#REF!,"AAAAAH33exY=")</f>
        <v>#REF!</v>
      </c>
      <c r="X57" t="e">
        <f>AND(#REF!,"AAAAAH33exc=")</f>
        <v>#REF!</v>
      </c>
      <c r="Y57" t="e">
        <f>AND(#REF!,"AAAAAH33exg=")</f>
        <v>#REF!</v>
      </c>
      <c r="Z57" t="e">
        <f>AND(#REF!,"AAAAAH33exk=")</f>
        <v>#REF!</v>
      </c>
      <c r="AA57" t="e">
        <f>AND(#REF!,"AAAAAH33exo=")</f>
        <v>#REF!</v>
      </c>
      <c r="AB57" t="e">
        <f>AND(#REF!,"AAAAAH33exs=")</f>
        <v>#REF!</v>
      </c>
      <c r="AC57" t="e">
        <f>AND(#REF!,"AAAAAH33exw=")</f>
        <v>#REF!</v>
      </c>
      <c r="AD57" t="e">
        <f>AND(#REF!,"AAAAAH33ex0=")</f>
        <v>#REF!</v>
      </c>
      <c r="AE57" t="e">
        <f>AND(#REF!,"AAAAAH33ex4=")</f>
        <v>#REF!</v>
      </c>
      <c r="AF57" t="e">
        <f>AND(#REF!,"AAAAAH33ex8=")</f>
        <v>#REF!</v>
      </c>
      <c r="AG57" t="e">
        <f>AND(#REF!,"AAAAAH33eyA=")</f>
        <v>#REF!</v>
      </c>
      <c r="AH57" t="e">
        <f>AND(#REF!,"AAAAAH33eyE=")</f>
        <v>#REF!</v>
      </c>
      <c r="AI57" t="e">
        <f>AND(#REF!,"AAAAAH33eyI=")</f>
        <v>#REF!</v>
      </c>
      <c r="AJ57" t="e">
        <f>AND(#REF!,"AAAAAH33eyM=")</f>
        <v>#REF!</v>
      </c>
      <c r="AK57" t="e">
        <f>AND(#REF!,"AAAAAH33eyQ=")</f>
        <v>#REF!</v>
      </c>
      <c r="AL57" t="e">
        <f>AND(#REF!,"AAAAAH33eyU=")</f>
        <v>#REF!</v>
      </c>
      <c r="AM57" t="e">
        <f>AND(#REF!,"AAAAAH33eyY=")</f>
        <v>#REF!</v>
      </c>
      <c r="AN57" t="e">
        <f>AND(#REF!,"AAAAAH33eyc=")</f>
        <v>#REF!</v>
      </c>
      <c r="AO57" t="e">
        <f>AND(#REF!,"AAAAAH33eyg=")</f>
        <v>#REF!</v>
      </c>
      <c r="AP57" t="e">
        <f>AND(#REF!,"AAAAAH33eyk=")</f>
        <v>#REF!</v>
      </c>
      <c r="AQ57" t="e">
        <f>AND(#REF!,"AAAAAH33eyo=")</f>
        <v>#REF!</v>
      </c>
      <c r="AR57" t="e">
        <f>AND(#REF!,"AAAAAH33eys=")</f>
        <v>#REF!</v>
      </c>
      <c r="AS57" t="e">
        <f>AND(#REF!,"AAAAAH33eyw=")</f>
        <v>#REF!</v>
      </c>
      <c r="AT57" t="e">
        <f>AND(#REF!,"AAAAAH33ey0=")</f>
        <v>#REF!</v>
      </c>
      <c r="AU57" t="e">
        <f>AND(#REF!,"AAAAAH33ey4=")</f>
        <v>#REF!</v>
      </c>
      <c r="AV57" t="e">
        <f>AND(#REF!,"AAAAAH33ey8=")</f>
        <v>#REF!</v>
      </c>
      <c r="AW57" t="e">
        <f>AND(#REF!,"AAAAAH33ezA=")</f>
        <v>#REF!</v>
      </c>
      <c r="AX57" t="e">
        <f>AND(#REF!,"AAAAAH33ezE=")</f>
        <v>#REF!</v>
      </c>
      <c r="AY57" t="e">
        <f>AND(#REF!,"AAAAAH33ezI=")</f>
        <v>#REF!</v>
      </c>
      <c r="AZ57" t="e">
        <f>AND(#REF!,"AAAAAH33ezM=")</f>
        <v>#REF!</v>
      </c>
      <c r="BA57" t="e">
        <f>AND(#REF!,"AAAAAH33ezQ=")</f>
        <v>#REF!</v>
      </c>
      <c r="BB57" t="e">
        <f>AND(#REF!,"AAAAAH33ezU=")</f>
        <v>#REF!</v>
      </c>
      <c r="BC57" t="e">
        <f>AND(#REF!,"AAAAAH33ezY=")</f>
        <v>#REF!</v>
      </c>
      <c r="BD57" t="e">
        <f>AND(#REF!,"AAAAAH33ezc=")</f>
        <v>#REF!</v>
      </c>
      <c r="BE57" t="e">
        <f>AND(#REF!,"AAAAAH33ezg=")</f>
        <v>#REF!</v>
      </c>
      <c r="BF57" t="e">
        <f>AND(#REF!,"AAAAAH33ezk=")</f>
        <v>#REF!</v>
      </c>
      <c r="BG57" t="e">
        <f>AND(#REF!,"AAAAAH33ezo=")</f>
        <v>#REF!</v>
      </c>
      <c r="BH57" t="e">
        <f>AND(#REF!,"AAAAAH33ezs=")</f>
        <v>#REF!</v>
      </c>
      <c r="BI57" t="e">
        <f>AND(#REF!,"AAAAAH33ezw=")</f>
        <v>#REF!</v>
      </c>
      <c r="BJ57" t="e">
        <f>AND(#REF!,"AAAAAH33ez0=")</f>
        <v>#REF!</v>
      </c>
      <c r="BK57" t="e">
        <f>AND(#REF!,"AAAAAH33ez4=")</f>
        <v>#REF!</v>
      </c>
      <c r="BL57" t="e">
        <f>AND(#REF!,"AAAAAH33ez8=")</f>
        <v>#REF!</v>
      </c>
      <c r="BM57" t="e">
        <f>AND(#REF!,"AAAAAH33e0A=")</f>
        <v>#REF!</v>
      </c>
      <c r="BN57" t="e">
        <f>AND(#REF!,"AAAAAH33e0E=")</f>
        <v>#REF!</v>
      </c>
      <c r="BO57" t="e">
        <f>AND(#REF!,"AAAAAH33e0I=")</f>
        <v>#REF!</v>
      </c>
      <c r="BP57" t="e">
        <f>AND(#REF!,"AAAAAH33e0M=")</f>
        <v>#REF!</v>
      </c>
      <c r="BQ57" t="e">
        <f>AND(#REF!,"AAAAAH33e0Q=")</f>
        <v>#REF!</v>
      </c>
      <c r="BR57" t="e">
        <f>AND(#REF!,"AAAAAH33e0U=")</f>
        <v>#REF!</v>
      </c>
      <c r="BS57" t="e">
        <f>AND(#REF!,"AAAAAH33e0Y=")</f>
        <v>#REF!</v>
      </c>
      <c r="BT57" t="e">
        <f>AND(#REF!,"AAAAAH33e0c=")</f>
        <v>#REF!</v>
      </c>
      <c r="BU57" t="e">
        <f>AND(#REF!,"AAAAAH33e0g=")</f>
        <v>#REF!</v>
      </c>
      <c r="BV57" t="e">
        <f>AND(#REF!,"AAAAAH33e0k=")</f>
        <v>#REF!</v>
      </c>
      <c r="BW57" t="e">
        <f>AND(#REF!,"AAAAAH33e0o=")</f>
        <v>#REF!</v>
      </c>
      <c r="BX57" t="e">
        <f>AND(#REF!,"AAAAAH33e0s=")</f>
        <v>#REF!</v>
      </c>
      <c r="BY57" t="e">
        <f>AND(#REF!,"AAAAAH33e0w=")</f>
        <v>#REF!</v>
      </c>
      <c r="BZ57" t="e">
        <f>AND(#REF!,"AAAAAH33e00=")</f>
        <v>#REF!</v>
      </c>
      <c r="CA57" t="e">
        <f>AND(#REF!,"AAAAAH33e04=")</f>
        <v>#REF!</v>
      </c>
      <c r="CB57" t="e">
        <f>AND(#REF!,"AAAAAH33e08=")</f>
        <v>#REF!</v>
      </c>
      <c r="CC57" t="e">
        <f>AND(#REF!,"AAAAAH33e1A=")</f>
        <v>#REF!</v>
      </c>
      <c r="CD57" t="e">
        <f>AND(#REF!,"AAAAAH33e1E=")</f>
        <v>#REF!</v>
      </c>
      <c r="CE57" t="e">
        <f>AND(#REF!,"AAAAAH33e1I=")</f>
        <v>#REF!</v>
      </c>
      <c r="CF57" t="e">
        <f>AND(#REF!,"AAAAAH33e1M=")</f>
        <v>#REF!</v>
      </c>
      <c r="CG57" t="e">
        <f>AND(#REF!,"AAAAAH33e1Q=")</f>
        <v>#REF!</v>
      </c>
      <c r="CH57" t="e">
        <f>AND(#REF!,"AAAAAH33e1U=")</f>
        <v>#REF!</v>
      </c>
      <c r="CI57" t="e">
        <f>AND(#REF!,"AAAAAH33e1Y=")</f>
        <v>#REF!</v>
      </c>
      <c r="CJ57" t="e">
        <f>AND(#REF!,"AAAAAH33e1c=")</f>
        <v>#REF!</v>
      </c>
      <c r="CK57" t="e">
        <f>AND(#REF!,"AAAAAH33e1g=")</f>
        <v>#REF!</v>
      </c>
      <c r="CL57" t="e">
        <f>AND(#REF!,"AAAAAH33e1k=")</f>
        <v>#REF!</v>
      </c>
      <c r="CM57" t="e">
        <f>AND(#REF!,"AAAAAH33e1o=")</f>
        <v>#REF!</v>
      </c>
      <c r="CN57" t="e">
        <f>AND(#REF!,"AAAAAH33e1s=")</f>
        <v>#REF!</v>
      </c>
      <c r="CO57" t="e">
        <f>AND(#REF!,"AAAAAH33e1w=")</f>
        <v>#REF!</v>
      </c>
      <c r="CP57" t="e">
        <f>AND(#REF!,"AAAAAH33e10=")</f>
        <v>#REF!</v>
      </c>
      <c r="CQ57" t="e">
        <f>AND(#REF!,"AAAAAH33e14=")</f>
        <v>#REF!</v>
      </c>
      <c r="CR57" t="e">
        <f>AND(#REF!,"AAAAAH33e18=")</f>
        <v>#REF!</v>
      </c>
      <c r="CS57" t="e">
        <f>AND(#REF!,"AAAAAH33e2A=")</f>
        <v>#REF!</v>
      </c>
      <c r="CT57" t="e">
        <f>AND(#REF!,"AAAAAH33e2E=")</f>
        <v>#REF!</v>
      </c>
      <c r="CU57" t="e">
        <f>AND(#REF!,"AAAAAH33e2I=")</f>
        <v>#REF!</v>
      </c>
      <c r="CV57" t="e">
        <f>AND(#REF!,"AAAAAH33e2M=")</f>
        <v>#REF!</v>
      </c>
      <c r="CW57" t="e">
        <f>AND(#REF!,"AAAAAH33e2Q=")</f>
        <v>#REF!</v>
      </c>
      <c r="CX57" t="e">
        <f>AND(#REF!,"AAAAAH33e2U=")</f>
        <v>#REF!</v>
      </c>
      <c r="CY57" t="e">
        <f>AND(#REF!,"AAAAAH33e2Y=")</f>
        <v>#REF!</v>
      </c>
      <c r="CZ57" t="e">
        <f>AND(#REF!,"AAAAAH33e2c=")</f>
        <v>#REF!</v>
      </c>
      <c r="DA57" t="e">
        <f>AND(#REF!,"AAAAAH33e2g=")</f>
        <v>#REF!</v>
      </c>
      <c r="DB57" t="e">
        <f>AND(#REF!,"AAAAAH33e2k=")</f>
        <v>#REF!</v>
      </c>
      <c r="DC57" t="e">
        <f>AND(#REF!,"AAAAAH33e2o=")</f>
        <v>#REF!</v>
      </c>
      <c r="DD57" t="e">
        <f>AND(#REF!,"AAAAAH33e2s=")</f>
        <v>#REF!</v>
      </c>
      <c r="DE57" t="e">
        <f>AND(#REF!,"AAAAAH33e2w=")</f>
        <v>#REF!</v>
      </c>
      <c r="DF57" t="e">
        <f>AND(#REF!,"AAAAAH33e20=")</f>
        <v>#REF!</v>
      </c>
      <c r="DG57" t="e">
        <f>AND(#REF!,"AAAAAH33e24=")</f>
        <v>#REF!</v>
      </c>
      <c r="DH57" t="e">
        <f>AND(#REF!,"AAAAAH33e28=")</f>
        <v>#REF!</v>
      </c>
      <c r="DI57" t="e">
        <f>AND(#REF!,"AAAAAH33e3A=")</f>
        <v>#REF!</v>
      </c>
      <c r="DJ57" t="e">
        <f>AND(#REF!,"AAAAAH33e3E=")</f>
        <v>#REF!</v>
      </c>
      <c r="DK57" t="e">
        <f>AND(#REF!,"AAAAAH33e3I=")</f>
        <v>#REF!</v>
      </c>
      <c r="DL57" t="e">
        <f>AND(#REF!,"AAAAAH33e3M=")</f>
        <v>#REF!</v>
      </c>
      <c r="DM57" t="e">
        <f>AND(#REF!,"AAAAAH33e3Q=")</f>
        <v>#REF!</v>
      </c>
      <c r="DN57" t="e">
        <f>AND(#REF!,"AAAAAH33e3U=")</f>
        <v>#REF!</v>
      </c>
      <c r="DO57" t="e">
        <f>AND(#REF!,"AAAAAH33e3Y=")</f>
        <v>#REF!</v>
      </c>
      <c r="DP57" t="e">
        <f>AND(#REF!,"AAAAAH33e3c=")</f>
        <v>#REF!</v>
      </c>
      <c r="DQ57" t="e">
        <f>AND(#REF!,"AAAAAH33e3g=")</f>
        <v>#REF!</v>
      </c>
      <c r="DR57" t="e">
        <f>AND(#REF!,"AAAAAH33e3k=")</f>
        <v>#REF!</v>
      </c>
      <c r="DS57" t="e">
        <f>AND(#REF!,"AAAAAH33e3o=")</f>
        <v>#REF!</v>
      </c>
      <c r="DT57" t="e">
        <f>AND(#REF!,"AAAAAH33e3s=")</f>
        <v>#REF!</v>
      </c>
      <c r="DU57" t="e">
        <f>AND(#REF!,"AAAAAH33e3w=")</f>
        <v>#REF!</v>
      </c>
      <c r="DV57" t="e">
        <f>AND(#REF!,"AAAAAH33e30=")</f>
        <v>#REF!</v>
      </c>
      <c r="DW57" t="e">
        <f>AND(#REF!,"AAAAAH33e34=")</f>
        <v>#REF!</v>
      </c>
      <c r="DX57" t="e">
        <f>AND(#REF!,"AAAAAH33e38=")</f>
        <v>#REF!</v>
      </c>
      <c r="DY57" t="e">
        <f>AND(#REF!,"AAAAAH33e4A=")</f>
        <v>#REF!</v>
      </c>
      <c r="DZ57" t="e">
        <f>AND(#REF!,"AAAAAH33e4E=")</f>
        <v>#REF!</v>
      </c>
      <c r="EA57" t="e">
        <f>AND(#REF!,"AAAAAH33e4I=")</f>
        <v>#REF!</v>
      </c>
      <c r="EB57" t="e">
        <f>AND(#REF!,"AAAAAH33e4M=")</f>
        <v>#REF!</v>
      </c>
      <c r="EC57" t="e">
        <f>AND(#REF!,"AAAAAH33e4Q=")</f>
        <v>#REF!</v>
      </c>
      <c r="ED57" t="e">
        <f>AND(#REF!,"AAAAAH33e4U=")</f>
        <v>#REF!</v>
      </c>
      <c r="EE57" t="e">
        <f>AND(#REF!,"AAAAAH33e4Y=")</f>
        <v>#REF!</v>
      </c>
      <c r="EF57" t="e">
        <f>AND(#REF!,"AAAAAH33e4c=")</f>
        <v>#REF!</v>
      </c>
      <c r="EG57" t="e">
        <f>AND(#REF!,"AAAAAH33e4g=")</f>
        <v>#REF!</v>
      </c>
      <c r="EH57" t="e">
        <f>AND(#REF!,"AAAAAH33e4k=")</f>
        <v>#REF!</v>
      </c>
      <c r="EI57" t="e">
        <f>AND(#REF!,"AAAAAH33e4o=")</f>
        <v>#REF!</v>
      </c>
      <c r="EJ57" t="e">
        <f>AND(#REF!,"AAAAAH33e4s=")</f>
        <v>#REF!</v>
      </c>
      <c r="EK57" t="e">
        <f>AND(#REF!,"AAAAAH33e4w=")</f>
        <v>#REF!</v>
      </c>
      <c r="EL57" t="e">
        <f>AND(#REF!,"AAAAAH33e40=")</f>
        <v>#REF!</v>
      </c>
      <c r="EM57" t="e">
        <f>AND(#REF!,"AAAAAH33e44=")</f>
        <v>#REF!</v>
      </c>
      <c r="EN57" t="e">
        <f>AND(#REF!,"AAAAAH33e48=")</f>
        <v>#REF!</v>
      </c>
      <c r="EO57" t="e">
        <f>AND(#REF!,"AAAAAH33e5A=")</f>
        <v>#REF!</v>
      </c>
      <c r="EP57" t="e">
        <f>AND(#REF!,"AAAAAH33e5E=")</f>
        <v>#REF!</v>
      </c>
      <c r="EQ57" t="e">
        <f>AND(#REF!,"AAAAAH33e5I=")</f>
        <v>#REF!</v>
      </c>
      <c r="ER57" t="e">
        <f>AND(#REF!,"AAAAAH33e5M=")</f>
        <v>#REF!</v>
      </c>
      <c r="ES57" t="e">
        <f>AND(#REF!,"AAAAAH33e5Q=")</f>
        <v>#REF!</v>
      </c>
      <c r="ET57" t="e">
        <f>AND(#REF!,"AAAAAH33e5U=")</f>
        <v>#REF!</v>
      </c>
      <c r="EU57" t="e">
        <f>AND(#REF!,"AAAAAH33e5Y=")</f>
        <v>#REF!</v>
      </c>
      <c r="EV57" t="e">
        <f>AND(#REF!,"AAAAAH33e5c=")</f>
        <v>#REF!</v>
      </c>
      <c r="EW57" t="e">
        <f>IF(#REF!,"AAAAAH33e5g=",0)</f>
        <v>#REF!</v>
      </c>
      <c r="EX57" t="e">
        <f>AND(#REF!,"AAAAAH33e5k=")</f>
        <v>#REF!</v>
      </c>
      <c r="EY57" t="e">
        <f>AND(#REF!,"AAAAAH33e5o=")</f>
        <v>#REF!</v>
      </c>
      <c r="EZ57" t="e">
        <f>AND(#REF!,"AAAAAH33e5s=")</f>
        <v>#REF!</v>
      </c>
      <c r="FA57" t="e">
        <f>AND(#REF!,"AAAAAH33e5w=")</f>
        <v>#REF!</v>
      </c>
      <c r="FB57" t="e">
        <f>AND(#REF!,"AAAAAH33e50=")</f>
        <v>#REF!</v>
      </c>
      <c r="FC57" t="e">
        <f>AND(#REF!,"AAAAAH33e54=")</f>
        <v>#REF!</v>
      </c>
      <c r="FD57" t="e">
        <f>AND(#REF!,"AAAAAH33e58=")</f>
        <v>#REF!</v>
      </c>
      <c r="FE57" t="e">
        <f>AND(#REF!,"AAAAAH33e6A=")</f>
        <v>#REF!</v>
      </c>
      <c r="FF57" t="e">
        <f>AND(#REF!,"AAAAAH33e6E=")</f>
        <v>#REF!</v>
      </c>
      <c r="FG57" t="e">
        <f>AND(#REF!,"AAAAAH33e6I=")</f>
        <v>#REF!</v>
      </c>
      <c r="FH57" t="e">
        <f>AND(#REF!,"AAAAAH33e6M=")</f>
        <v>#REF!</v>
      </c>
      <c r="FI57" t="e">
        <f>AND(#REF!,"AAAAAH33e6Q=")</f>
        <v>#REF!</v>
      </c>
      <c r="FJ57" t="e">
        <f>AND(#REF!,"AAAAAH33e6U=")</f>
        <v>#REF!</v>
      </c>
      <c r="FK57" t="e">
        <f>AND(#REF!,"AAAAAH33e6Y=")</f>
        <v>#REF!</v>
      </c>
      <c r="FL57" t="e">
        <f>AND(#REF!,"AAAAAH33e6c=")</f>
        <v>#REF!</v>
      </c>
      <c r="FM57" t="e">
        <f>AND(#REF!,"AAAAAH33e6g=")</f>
        <v>#REF!</v>
      </c>
      <c r="FN57" t="e">
        <f>AND(#REF!,"AAAAAH33e6k=")</f>
        <v>#REF!</v>
      </c>
      <c r="FO57" t="e">
        <f>AND(#REF!,"AAAAAH33e6o=")</f>
        <v>#REF!</v>
      </c>
      <c r="FP57" t="e">
        <f>AND(#REF!,"AAAAAH33e6s=")</f>
        <v>#REF!</v>
      </c>
      <c r="FQ57" t="e">
        <f>AND(#REF!,"AAAAAH33e6w=")</f>
        <v>#REF!</v>
      </c>
      <c r="FR57" t="e">
        <f>AND(#REF!,"AAAAAH33e60=")</f>
        <v>#REF!</v>
      </c>
      <c r="FS57" t="e">
        <f>AND(#REF!,"AAAAAH33e64=")</f>
        <v>#REF!</v>
      </c>
      <c r="FT57" t="e">
        <f>AND(#REF!,"AAAAAH33e68=")</f>
        <v>#REF!</v>
      </c>
      <c r="FU57" t="e">
        <f>AND(#REF!,"AAAAAH33e7A=")</f>
        <v>#REF!</v>
      </c>
      <c r="FV57" t="e">
        <f>AND(#REF!,"AAAAAH33e7E=")</f>
        <v>#REF!</v>
      </c>
      <c r="FW57" t="e">
        <f>AND(#REF!,"AAAAAH33e7I=")</f>
        <v>#REF!</v>
      </c>
      <c r="FX57" t="e">
        <f>AND(#REF!,"AAAAAH33e7M=")</f>
        <v>#REF!</v>
      </c>
      <c r="FY57" t="e">
        <f>AND(#REF!,"AAAAAH33e7Q=")</f>
        <v>#REF!</v>
      </c>
      <c r="FZ57" t="e">
        <f>AND(#REF!,"AAAAAH33e7U=")</f>
        <v>#REF!</v>
      </c>
      <c r="GA57" t="e">
        <f>AND(#REF!,"AAAAAH33e7Y=")</f>
        <v>#REF!</v>
      </c>
      <c r="GB57" t="e">
        <f>AND(#REF!,"AAAAAH33e7c=")</f>
        <v>#REF!</v>
      </c>
      <c r="GC57" t="e">
        <f>AND(#REF!,"AAAAAH33e7g=")</f>
        <v>#REF!</v>
      </c>
      <c r="GD57" t="e">
        <f>AND(#REF!,"AAAAAH33e7k=")</f>
        <v>#REF!</v>
      </c>
      <c r="GE57" t="e">
        <f>AND(#REF!,"AAAAAH33e7o=")</f>
        <v>#REF!</v>
      </c>
      <c r="GF57" t="e">
        <f>AND(#REF!,"AAAAAH33e7s=")</f>
        <v>#REF!</v>
      </c>
      <c r="GG57" t="e">
        <f>AND(#REF!,"AAAAAH33e7w=")</f>
        <v>#REF!</v>
      </c>
      <c r="GH57" t="e">
        <f>AND(#REF!,"AAAAAH33e70=")</f>
        <v>#REF!</v>
      </c>
      <c r="GI57" t="e">
        <f>AND(#REF!,"AAAAAH33e74=")</f>
        <v>#REF!</v>
      </c>
      <c r="GJ57" t="e">
        <f>AND(#REF!,"AAAAAH33e78=")</f>
        <v>#REF!</v>
      </c>
      <c r="GK57" t="e">
        <f>AND(#REF!,"AAAAAH33e8A=")</f>
        <v>#REF!</v>
      </c>
      <c r="GL57" t="e">
        <f>AND(#REF!,"AAAAAH33e8E=")</f>
        <v>#REF!</v>
      </c>
      <c r="GM57" t="e">
        <f>AND(#REF!,"AAAAAH33e8I=")</f>
        <v>#REF!</v>
      </c>
      <c r="GN57" t="e">
        <f>AND(#REF!,"AAAAAH33e8M=")</f>
        <v>#REF!</v>
      </c>
      <c r="GO57" t="e">
        <f>AND(#REF!,"AAAAAH33e8Q=")</f>
        <v>#REF!</v>
      </c>
      <c r="GP57" t="e">
        <f>AND(#REF!,"AAAAAH33e8U=")</f>
        <v>#REF!</v>
      </c>
      <c r="GQ57" t="e">
        <f>AND(#REF!,"AAAAAH33e8Y=")</f>
        <v>#REF!</v>
      </c>
      <c r="GR57" t="e">
        <f>AND(#REF!,"AAAAAH33e8c=")</f>
        <v>#REF!</v>
      </c>
      <c r="GS57" t="e">
        <f>AND(#REF!,"AAAAAH33e8g=")</f>
        <v>#REF!</v>
      </c>
      <c r="GT57" t="e">
        <f>AND(#REF!,"AAAAAH33e8k=")</f>
        <v>#REF!</v>
      </c>
      <c r="GU57" t="e">
        <f>AND(#REF!,"AAAAAH33e8o=")</f>
        <v>#REF!</v>
      </c>
      <c r="GV57" t="e">
        <f>AND(#REF!,"AAAAAH33e8s=")</f>
        <v>#REF!</v>
      </c>
      <c r="GW57" t="e">
        <f>AND(#REF!,"AAAAAH33e8w=")</f>
        <v>#REF!</v>
      </c>
      <c r="GX57" t="e">
        <f>AND(#REF!,"AAAAAH33e80=")</f>
        <v>#REF!</v>
      </c>
      <c r="GY57" t="e">
        <f>AND(#REF!,"AAAAAH33e84=")</f>
        <v>#REF!</v>
      </c>
      <c r="GZ57" t="e">
        <f>AND(#REF!,"AAAAAH33e88=")</f>
        <v>#REF!</v>
      </c>
      <c r="HA57" t="e">
        <f>AND(#REF!,"AAAAAH33e9A=")</f>
        <v>#REF!</v>
      </c>
      <c r="HB57" t="e">
        <f>AND(#REF!,"AAAAAH33e9E=")</f>
        <v>#REF!</v>
      </c>
      <c r="HC57" t="e">
        <f>AND(#REF!,"AAAAAH33e9I=")</f>
        <v>#REF!</v>
      </c>
      <c r="HD57" t="e">
        <f>AND(#REF!,"AAAAAH33e9M=")</f>
        <v>#REF!</v>
      </c>
      <c r="HE57" t="e">
        <f>AND(#REF!,"AAAAAH33e9Q=")</f>
        <v>#REF!</v>
      </c>
      <c r="HF57" t="e">
        <f>AND(#REF!,"AAAAAH33e9U=")</f>
        <v>#REF!</v>
      </c>
      <c r="HG57" t="e">
        <f>AND(#REF!,"AAAAAH33e9Y=")</f>
        <v>#REF!</v>
      </c>
      <c r="HH57" t="e">
        <f>AND(#REF!,"AAAAAH33e9c=")</f>
        <v>#REF!</v>
      </c>
      <c r="HI57" t="e">
        <f>AND(#REF!,"AAAAAH33e9g=")</f>
        <v>#REF!</v>
      </c>
      <c r="HJ57" t="e">
        <f>AND(#REF!,"AAAAAH33e9k=")</f>
        <v>#REF!</v>
      </c>
      <c r="HK57" t="e">
        <f>AND(#REF!,"AAAAAH33e9o=")</f>
        <v>#REF!</v>
      </c>
      <c r="HL57" t="e">
        <f>AND(#REF!,"AAAAAH33e9s=")</f>
        <v>#REF!</v>
      </c>
      <c r="HM57" t="e">
        <f>AND(#REF!,"AAAAAH33e9w=")</f>
        <v>#REF!</v>
      </c>
      <c r="HN57" t="e">
        <f>AND(#REF!,"AAAAAH33e90=")</f>
        <v>#REF!</v>
      </c>
      <c r="HO57" t="e">
        <f>AND(#REF!,"AAAAAH33e94=")</f>
        <v>#REF!</v>
      </c>
      <c r="HP57" t="e">
        <f>AND(#REF!,"AAAAAH33e98=")</f>
        <v>#REF!</v>
      </c>
      <c r="HQ57" t="e">
        <f>AND(#REF!,"AAAAAH33e+A=")</f>
        <v>#REF!</v>
      </c>
      <c r="HR57" t="e">
        <f>AND(#REF!,"AAAAAH33e+E=")</f>
        <v>#REF!</v>
      </c>
      <c r="HS57" t="e">
        <f>AND(#REF!,"AAAAAH33e+I=")</f>
        <v>#REF!</v>
      </c>
      <c r="HT57" t="e">
        <f>AND(#REF!,"AAAAAH33e+M=")</f>
        <v>#REF!</v>
      </c>
      <c r="HU57" t="e">
        <f>AND(#REF!,"AAAAAH33e+Q=")</f>
        <v>#REF!</v>
      </c>
      <c r="HV57" t="e">
        <f>AND(#REF!,"AAAAAH33e+U=")</f>
        <v>#REF!</v>
      </c>
      <c r="HW57" t="e">
        <f>AND(#REF!,"AAAAAH33e+Y=")</f>
        <v>#REF!</v>
      </c>
      <c r="HX57" t="e">
        <f>AND(#REF!,"AAAAAH33e+c=")</f>
        <v>#REF!</v>
      </c>
      <c r="HY57" t="e">
        <f>AND(#REF!,"AAAAAH33e+g=")</f>
        <v>#REF!</v>
      </c>
      <c r="HZ57" t="e">
        <f>AND(#REF!,"AAAAAH33e+k=")</f>
        <v>#REF!</v>
      </c>
      <c r="IA57" t="e">
        <f>AND(#REF!,"AAAAAH33e+o=")</f>
        <v>#REF!</v>
      </c>
      <c r="IB57" t="e">
        <f>AND(#REF!,"AAAAAH33e+s=")</f>
        <v>#REF!</v>
      </c>
      <c r="IC57" t="e">
        <f>AND(#REF!,"AAAAAH33e+w=")</f>
        <v>#REF!</v>
      </c>
      <c r="ID57" t="e">
        <f>AND(#REF!,"AAAAAH33e+0=")</f>
        <v>#REF!</v>
      </c>
      <c r="IE57" t="e">
        <f>AND(#REF!,"AAAAAH33e+4=")</f>
        <v>#REF!</v>
      </c>
      <c r="IF57" t="e">
        <f>AND(#REF!,"AAAAAH33e+8=")</f>
        <v>#REF!</v>
      </c>
      <c r="IG57" t="e">
        <f>AND(#REF!,"AAAAAH33e/A=")</f>
        <v>#REF!</v>
      </c>
      <c r="IH57" t="e">
        <f>AND(#REF!,"AAAAAH33e/E=")</f>
        <v>#REF!</v>
      </c>
      <c r="II57" t="e">
        <f>AND(#REF!,"AAAAAH33e/I=")</f>
        <v>#REF!</v>
      </c>
      <c r="IJ57" t="e">
        <f>AND(#REF!,"AAAAAH33e/M=")</f>
        <v>#REF!</v>
      </c>
      <c r="IK57" t="e">
        <f>AND(#REF!,"AAAAAH33e/Q=")</f>
        <v>#REF!</v>
      </c>
      <c r="IL57" t="e">
        <f>AND(#REF!,"AAAAAH33e/U=")</f>
        <v>#REF!</v>
      </c>
      <c r="IM57" t="e">
        <f>AND(#REF!,"AAAAAH33e/Y=")</f>
        <v>#REF!</v>
      </c>
      <c r="IN57" t="e">
        <f>AND(#REF!,"AAAAAH33e/c=")</f>
        <v>#REF!</v>
      </c>
      <c r="IO57" t="e">
        <f>AND(#REF!,"AAAAAH33e/g=")</f>
        <v>#REF!</v>
      </c>
      <c r="IP57" t="e">
        <f>AND(#REF!,"AAAAAH33e/k=")</f>
        <v>#REF!</v>
      </c>
      <c r="IQ57" t="e">
        <f>AND(#REF!,"AAAAAH33e/o=")</f>
        <v>#REF!</v>
      </c>
      <c r="IR57" t="e">
        <f>AND(#REF!,"AAAAAH33e/s=")</f>
        <v>#REF!</v>
      </c>
      <c r="IS57" t="e">
        <f>AND(#REF!,"AAAAAH33e/w=")</f>
        <v>#REF!</v>
      </c>
      <c r="IT57" t="e">
        <f>AND(#REF!,"AAAAAH33e/0=")</f>
        <v>#REF!</v>
      </c>
      <c r="IU57" t="e">
        <f>AND(#REF!,"AAAAAH33e/4=")</f>
        <v>#REF!</v>
      </c>
      <c r="IV57" t="e">
        <f>AND(#REF!,"AAAAAH33e/8=")</f>
        <v>#REF!</v>
      </c>
    </row>
    <row r="58" spans="1:256" x14ac:dyDescent="0.25">
      <c r="A58" t="e">
        <f>AND(#REF!,"AAAAADXsvQA=")</f>
        <v>#REF!</v>
      </c>
      <c r="B58" t="e">
        <f>AND(#REF!,"AAAAADXsvQE=")</f>
        <v>#REF!</v>
      </c>
      <c r="C58" t="e">
        <f>AND(#REF!,"AAAAADXsvQI=")</f>
        <v>#REF!</v>
      </c>
      <c r="D58" t="e">
        <f>AND(#REF!,"AAAAADXsvQM=")</f>
        <v>#REF!</v>
      </c>
      <c r="E58" t="e">
        <f>AND(#REF!,"AAAAADXsvQQ=")</f>
        <v>#REF!</v>
      </c>
      <c r="F58" t="e">
        <f>AND(#REF!,"AAAAADXsvQU=")</f>
        <v>#REF!</v>
      </c>
      <c r="G58" t="e">
        <f>AND(#REF!,"AAAAADXsvQY=")</f>
        <v>#REF!</v>
      </c>
      <c r="H58" t="e">
        <f>AND(#REF!,"AAAAADXsvQc=")</f>
        <v>#REF!</v>
      </c>
      <c r="I58" t="e">
        <f>AND(#REF!,"AAAAADXsvQg=")</f>
        <v>#REF!</v>
      </c>
      <c r="J58" t="e">
        <f>AND(#REF!,"AAAAADXsvQk=")</f>
        <v>#REF!</v>
      </c>
      <c r="K58" t="e">
        <f>AND(#REF!,"AAAAADXsvQo=")</f>
        <v>#REF!</v>
      </c>
      <c r="L58" t="e">
        <f>AND(#REF!,"AAAAADXsvQs=")</f>
        <v>#REF!</v>
      </c>
      <c r="M58" t="e">
        <f>AND(#REF!,"AAAAADXsvQw=")</f>
        <v>#REF!</v>
      </c>
      <c r="N58" t="e">
        <f>AND(#REF!,"AAAAADXsvQ0=")</f>
        <v>#REF!</v>
      </c>
      <c r="O58" t="e">
        <f>AND(#REF!,"AAAAADXsvQ4=")</f>
        <v>#REF!</v>
      </c>
      <c r="P58" t="e">
        <f>AND(#REF!,"AAAAADXsvQ8=")</f>
        <v>#REF!</v>
      </c>
      <c r="Q58" t="e">
        <f>AND(#REF!,"AAAAADXsvRA=")</f>
        <v>#REF!</v>
      </c>
      <c r="R58" t="e">
        <f>AND(#REF!,"AAAAADXsvRE=")</f>
        <v>#REF!</v>
      </c>
      <c r="S58" t="e">
        <f>AND(#REF!,"AAAAADXsvRI=")</f>
        <v>#REF!</v>
      </c>
      <c r="T58" t="e">
        <f>AND(#REF!,"AAAAADXsvRM=")</f>
        <v>#REF!</v>
      </c>
      <c r="U58" t="e">
        <f>AND(#REF!,"AAAAADXsvRQ=")</f>
        <v>#REF!</v>
      </c>
      <c r="V58" t="e">
        <f>AND(#REF!,"AAAAADXsvRU=")</f>
        <v>#REF!</v>
      </c>
      <c r="W58" t="e">
        <f>AND(#REF!,"AAAAADXsvRY=")</f>
        <v>#REF!</v>
      </c>
      <c r="X58" t="e">
        <f>AND(#REF!,"AAAAADXsvRc=")</f>
        <v>#REF!</v>
      </c>
      <c r="Y58" t="e">
        <f>AND(#REF!,"AAAAADXsvRg=")</f>
        <v>#REF!</v>
      </c>
      <c r="Z58" t="e">
        <f>AND(#REF!,"AAAAADXsvRk=")</f>
        <v>#REF!</v>
      </c>
      <c r="AA58" t="e">
        <f>AND(#REF!,"AAAAADXsvRo=")</f>
        <v>#REF!</v>
      </c>
      <c r="AB58" t="e">
        <f>AND(#REF!,"AAAAADXsvRs=")</f>
        <v>#REF!</v>
      </c>
      <c r="AC58" t="e">
        <f>AND(#REF!,"AAAAADXsvRw=")</f>
        <v>#REF!</v>
      </c>
      <c r="AD58" t="e">
        <f>AND(#REF!,"AAAAADXsvR0=")</f>
        <v>#REF!</v>
      </c>
      <c r="AE58" t="e">
        <f>AND(#REF!,"AAAAADXsvR4=")</f>
        <v>#REF!</v>
      </c>
      <c r="AF58" t="e">
        <f>AND(#REF!,"AAAAADXsvR8=")</f>
        <v>#REF!</v>
      </c>
      <c r="AG58" t="e">
        <f>AND(#REF!,"AAAAADXsvSA=")</f>
        <v>#REF!</v>
      </c>
      <c r="AH58" t="e">
        <f>AND(#REF!,"AAAAADXsvSE=")</f>
        <v>#REF!</v>
      </c>
      <c r="AI58" t="e">
        <f>AND(#REF!,"AAAAADXsvSI=")</f>
        <v>#REF!</v>
      </c>
      <c r="AJ58" t="e">
        <f>AND(#REF!,"AAAAADXsvSM=")</f>
        <v>#REF!</v>
      </c>
      <c r="AK58" t="e">
        <f>AND(#REF!,"AAAAADXsvSQ=")</f>
        <v>#REF!</v>
      </c>
      <c r="AL58" t="e">
        <f>AND(#REF!,"AAAAADXsvSU=")</f>
        <v>#REF!</v>
      </c>
      <c r="AM58" t="e">
        <f>AND(#REF!,"AAAAADXsvSY=")</f>
        <v>#REF!</v>
      </c>
      <c r="AN58" t="e">
        <f>AND(#REF!,"AAAAADXsvSc=")</f>
        <v>#REF!</v>
      </c>
      <c r="AO58" t="e">
        <f>AND(#REF!,"AAAAADXsvSg=")</f>
        <v>#REF!</v>
      </c>
      <c r="AP58" t="e">
        <f>AND(#REF!,"AAAAADXsvSk=")</f>
        <v>#REF!</v>
      </c>
      <c r="AQ58" t="e">
        <f>AND(#REF!,"AAAAADXsvSo=")</f>
        <v>#REF!</v>
      </c>
      <c r="AR58" t="e">
        <f>AND(#REF!,"AAAAADXsvSs=")</f>
        <v>#REF!</v>
      </c>
      <c r="AS58" t="e">
        <f>AND(#REF!,"AAAAADXsvSw=")</f>
        <v>#REF!</v>
      </c>
      <c r="AT58" t="e">
        <f>AND(#REF!,"AAAAADXsvS0=")</f>
        <v>#REF!</v>
      </c>
      <c r="AU58" t="e">
        <f>AND(#REF!,"AAAAADXsvS4=")</f>
        <v>#REF!</v>
      </c>
      <c r="AV58" t="e">
        <f>AND(#REF!,"AAAAADXsvS8=")</f>
        <v>#REF!</v>
      </c>
      <c r="AW58" t="e">
        <f>AND(#REF!,"AAAAADXsvTA=")</f>
        <v>#REF!</v>
      </c>
      <c r="AX58" t="e">
        <f>AND(#REF!,"AAAAADXsvTE=")</f>
        <v>#REF!</v>
      </c>
      <c r="AY58" t="e">
        <f>AND(#REF!,"AAAAADXsvTI=")</f>
        <v>#REF!</v>
      </c>
      <c r="AZ58" t="e">
        <f>AND(#REF!,"AAAAADXsvTM=")</f>
        <v>#REF!</v>
      </c>
      <c r="BA58" t="e">
        <f>AND(#REF!,"AAAAADXsvTQ=")</f>
        <v>#REF!</v>
      </c>
      <c r="BB58" t="e">
        <f>AND(#REF!,"AAAAADXsvTU=")</f>
        <v>#REF!</v>
      </c>
      <c r="BC58" t="e">
        <f>AND(#REF!,"AAAAADXsvTY=")</f>
        <v>#REF!</v>
      </c>
      <c r="BD58" t="e">
        <f>AND(#REF!,"AAAAADXsvTc=")</f>
        <v>#REF!</v>
      </c>
      <c r="BE58" t="e">
        <f>AND(#REF!,"AAAAADXsvTg=")</f>
        <v>#REF!</v>
      </c>
      <c r="BF58" t="e">
        <f>AND(#REF!,"AAAAADXsvTk=")</f>
        <v>#REF!</v>
      </c>
      <c r="BG58" t="e">
        <f>AND(#REF!,"AAAAADXsvTo=")</f>
        <v>#REF!</v>
      </c>
      <c r="BH58" t="e">
        <f>AND(#REF!,"AAAAADXsvTs=")</f>
        <v>#REF!</v>
      </c>
      <c r="BI58" t="e">
        <f>AND(#REF!,"AAAAADXsvTw=")</f>
        <v>#REF!</v>
      </c>
      <c r="BJ58" t="e">
        <f>AND(#REF!,"AAAAADXsvT0=")</f>
        <v>#REF!</v>
      </c>
      <c r="BK58" t="e">
        <f>AND(#REF!,"AAAAADXsvT4=")</f>
        <v>#REF!</v>
      </c>
      <c r="BL58" t="e">
        <f>AND(#REF!,"AAAAADXsvT8=")</f>
        <v>#REF!</v>
      </c>
      <c r="BM58" t="e">
        <f>AND(#REF!,"AAAAADXsvUA=")</f>
        <v>#REF!</v>
      </c>
      <c r="BN58" t="e">
        <f>AND(#REF!,"AAAAADXsvUE=")</f>
        <v>#REF!</v>
      </c>
      <c r="BO58" t="e">
        <f>AND(#REF!,"AAAAADXsvUI=")</f>
        <v>#REF!</v>
      </c>
      <c r="BP58" t="e">
        <f>AND(#REF!,"AAAAADXsvUM=")</f>
        <v>#REF!</v>
      </c>
      <c r="BQ58" t="e">
        <f>AND(#REF!,"AAAAADXsvUQ=")</f>
        <v>#REF!</v>
      </c>
      <c r="BR58" t="e">
        <f>AND(#REF!,"AAAAADXsvUU=")</f>
        <v>#REF!</v>
      </c>
      <c r="BS58" t="e">
        <f>AND(#REF!,"AAAAADXsvUY=")</f>
        <v>#REF!</v>
      </c>
      <c r="BT58" t="e">
        <f>AND(#REF!,"AAAAADXsvUc=")</f>
        <v>#REF!</v>
      </c>
      <c r="BU58" t="e">
        <f>AND(#REF!,"AAAAADXsvUg=")</f>
        <v>#REF!</v>
      </c>
      <c r="BV58" t="e">
        <f>AND(#REF!,"AAAAADXsvUk=")</f>
        <v>#REF!</v>
      </c>
      <c r="BW58" t="e">
        <f>AND(#REF!,"AAAAADXsvUo=")</f>
        <v>#REF!</v>
      </c>
      <c r="BX58" t="e">
        <f>AND(#REF!,"AAAAADXsvUs=")</f>
        <v>#REF!</v>
      </c>
      <c r="BY58" t="e">
        <f>AND(#REF!,"AAAAADXsvUw=")</f>
        <v>#REF!</v>
      </c>
      <c r="BZ58" t="e">
        <f>IF(#REF!,"AAAAADXsvU0=",0)</f>
        <v>#REF!</v>
      </c>
      <c r="CA58" t="e">
        <f>AND(#REF!,"AAAAADXsvU4=")</f>
        <v>#REF!</v>
      </c>
      <c r="CB58" t="e">
        <f>AND(#REF!,"AAAAADXsvU8=")</f>
        <v>#REF!</v>
      </c>
      <c r="CC58" t="e">
        <f>AND(#REF!,"AAAAADXsvVA=")</f>
        <v>#REF!</v>
      </c>
      <c r="CD58" t="e">
        <f>AND(#REF!,"AAAAADXsvVE=")</f>
        <v>#REF!</v>
      </c>
      <c r="CE58" t="e">
        <f>AND(#REF!,"AAAAADXsvVI=")</f>
        <v>#REF!</v>
      </c>
      <c r="CF58" t="e">
        <f>AND(#REF!,"AAAAADXsvVM=")</f>
        <v>#REF!</v>
      </c>
      <c r="CG58" t="e">
        <f>AND(#REF!,"AAAAADXsvVQ=")</f>
        <v>#REF!</v>
      </c>
      <c r="CH58" t="e">
        <f>AND(#REF!,"AAAAADXsvVU=")</f>
        <v>#REF!</v>
      </c>
      <c r="CI58" t="e">
        <f>AND(#REF!,"AAAAADXsvVY=")</f>
        <v>#REF!</v>
      </c>
      <c r="CJ58" t="e">
        <f>AND(#REF!,"AAAAADXsvVc=")</f>
        <v>#REF!</v>
      </c>
      <c r="CK58" t="e">
        <f>AND(#REF!,"AAAAADXsvVg=")</f>
        <v>#REF!</v>
      </c>
      <c r="CL58" t="e">
        <f>AND(#REF!,"AAAAADXsvVk=")</f>
        <v>#REF!</v>
      </c>
      <c r="CM58" t="e">
        <f>AND(#REF!,"AAAAADXsvVo=")</f>
        <v>#REF!</v>
      </c>
      <c r="CN58" t="e">
        <f>AND(#REF!,"AAAAADXsvVs=")</f>
        <v>#REF!</v>
      </c>
      <c r="CO58" t="e">
        <f>AND(#REF!,"AAAAADXsvVw=")</f>
        <v>#REF!</v>
      </c>
      <c r="CP58" t="e">
        <f>AND(#REF!,"AAAAADXsvV0=")</f>
        <v>#REF!</v>
      </c>
      <c r="CQ58" t="e">
        <f>AND(#REF!,"AAAAADXsvV4=")</f>
        <v>#REF!</v>
      </c>
      <c r="CR58" t="e">
        <f>AND(#REF!,"AAAAADXsvV8=")</f>
        <v>#REF!</v>
      </c>
      <c r="CS58" t="e">
        <f>AND(#REF!,"AAAAADXsvWA=")</f>
        <v>#REF!</v>
      </c>
      <c r="CT58" t="e">
        <f>AND(#REF!,"AAAAADXsvWE=")</f>
        <v>#REF!</v>
      </c>
      <c r="CU58" t="e">
        <f>AND(#REF!,"AAAAADXsvWI=")</f>
        <v>#REF!</v>
      </c>
      <c r="CV58" t="e">
        <f>AND(#REF!,"AAAAADXsvWM=")</f>
        <v>#REF!</v>
      </c>
      <c r="CW58" t="e">
        <f>AND(#REF!,"AAAAADXsvWQ=")</f>
        <v>#REF!</v>
      </c>
      <c r="CX58" t="e">
        <f>AND(#REF!,"AAAAADXsvWU=")</f>
        <v>#REF!</v>
      </c>
      <c r="CY58" t="e">
        <f>AND(#REF!,"AAAAADXsvWY=")</f>
        <v>#REF!</v>
      </c>
      <c r="CZ58" t="e">
        <f>AND(#REF!,"AAAAADXsvWc=")</f>
        <v>#REF!</v>
      </c>
      <c r="DA58" t="e">
        <f>AND(#REF!,"AAAAADXsvWg=")</f>
        <v>#REF!</v>
      </c>
      <c r="DB58" t="e">
        <f>AND(#REF!,"AAAAADXsvWk=")</f>
        <v>#REF!</v>
      </c>
      <c r="DC58" t="e">
        <f>AND(#REF!,"AAAAADXsvWo=")</f>
        <v>#REF!</v>
      </c>
      <c r="DD58" t="e">
        <f>AND(#REF!,"AAAAADXsvWs=")</f>
        <v>#REF!</v>
      </c>
      <c r="DE58" t="e">
        <f>AND(#REF!,"AAAAADXsvWw=")</f>
        <v>#REF!</v>
      </c>
      <c r="DF58" t="e">
        <f>AND(#REF!,"AAAAADXsvW0=")</f>
        <v>#REF!</v>
      </c>
      <c r="DG58" t="e">
        <f>AND(#REF!,"AAAAADXsvW4=")</f>
        <v>#REF!</v>
      </c>
      <c r="DH58" t="e">
        <f>AND(#REF!,"AAAAADXsvW8=")</f>
        <v>#REF!</v>
      </c>
      <c r="DI58" t="e">
        <f>AND(#REF!,"AAAAADXsvXA=")</f>
        <v>#REF!</v>
      </c>
      <c r="DJ58" t="e">
        <f>AND(#REF!,"AAAAADXsvXE=")</f>
        <v>#REF!</v>
      </c>
      <c r="DK58" t="e">
        <f>AND(#REF!,"AAAAADXsvXI=")</f>
        <v>#REF!</v>
      </c>
      <c r="DL58" t="e">
        <f>AND(#REF!,"AAAAADXsvXM=")</f>
        <v>#REF!</v>
      </c>
      <c r="DM58" t="e">
        <f>AND(#REF!,"AAAAADXsvXQ=")</f>
        <v>#REF!</v>
      </c>
      <c r="DN58" t="e">
        <f>AND(#REF!,"AAAAADXsvXU=")</f>
        <v>#REF!</v>
      </c>
      <c r="DO58" t="e">
        <f>AND(#REF!,"AAAAADXsvXY=")</f>
        <v>#REF!</v>
      </c>
      <c r="DP58" t="e">
        <f>AND(#REF!,"AAAAADXsvXc=")</f>
        <v>#REF!</v>
      </c>
      <c r="DQ58" t="e">
        <f>AND(#REF!,"AAAAADXsvXg=")</f>
        <v>#REF!</v>
      </c>
      <c r="DR58" t="e">
        <f>AND(#REF!,"AAAAADXsvXk=")</f>
        <v>#REF!</v>
      </c>
      <c r="DS58" t="e">
        <f>AND(#REF!,"AAAAADXsvXo=")</f>
        <v>#REF!</v>
      </c>
      <c r="DT58" t="e">
        <f>AND(#REF!,"AAAAADXsvXs=")</f>
        <v>#REF!</v>
      </c>
      <c r="DU58" t="e">
        <f>AND(#REF!,"AAAAADXsvXw=")</f>
        <v>#REF!</v>
      </c>
      <c r="DV58" t="e">
        <f>AND(#REF!,"AAAAADXsvX0=")</f>
        <v>#REF!</v>
      </c>
      <c r="DW58" t="e">
        <f>AND(#REF!,"AAAAADXsvX4=")</f>
        <v>#REF!</v>
      </c>
      <c r="DX58" t="e">
        <f>AND(#REF!,"AAAAADXsvX8=")</f>
        <v>#REF!</v>
      </c>
      <c r="DY58" t="e">
        <f>AND(#REF!,"AAAAADXsvYA=")</f>
        <v>#REF!</v>
      </c>
      <c r="DZ58" t="e">
        <f>AND(#REF!,"AAAAADXsvYE=")</f>
        <v>#REF!</v>
      </c>
      <c r="EA58" t="e">
        <f>AND(#REF!,"AAAAADXsvYI=")</f>
        <v>#REF!</v>
      </c>
      <c r="EB58" t="e">
        <f>AND(#REF!,"AAAAADXsvYM=")</f>
        <v>#REF!</v>
      </c>
      <c r="EC58" t="e">
        <f>AND(#REF!,"AAAAADXsvYQ=")</f>
        <v>#REF!</v>
      </c>
      <c r="ED58" t="e">
        <f>AND(#REF!,"AAAAADXsvYU=")</f>
        <v>#REF!</v>
      </c>
      <c r="EE58" t="e">
        <f>AND(#REF!,"AAAAADXsvYY=")</f>
        <v>#REF!</v>
      </c>
      <c r="EF58" t="e">
        <f>AND(#REF!,"AAAAADXsvYc=")</f>
        <v>#REF!</v>
      </c>
      <c r="EG58" t="e">
        <f>AND(#REF!,"AAAAADXsvYg=")</f>
        <v>#REF!</v>
      </c>
      <c r="EH58" t="e">
        <f>AND(#REF!,"AAAAADXsvYk=")</f>
        <v>#REF!</v>
      </c>
      <c r="EI58" t="e">
        <f>AND(#REF!,"AAAAADXsvYo=")</f>
        <v>#REF!</v>
      </c>
      <c r="EJ58" t="e">
        <f>AND(#REF!,"AAAAADXsvYs=")</f>
        <v>#REF!</v>
      </c>
      <c r="EK58" t="e">
        <f>AND(#REF!,"AAAAADXsvYw=")</f>
        <v>#REF!</v>
      </c>
      <c r="EL58" t="e">
        <f>AND(#REF!,"AAAAADXsvY0=")</f>
        <v>#REF!</v>
      </c>
      <c r="EM58" t="e">
        <f>AND(#REF!,"AAAAADXsvY4=")</f>
        <v>#REF!</v>
      </c>
      <c r="EN58" t="e">
        <f>AND(#REF!,"AAAAADXsvY8=")</f>
        <v>#REF!</v>
      </c>
      <c r="EO58" t="e">
        <f>AND(#REF!,"AAAAADXsvZA=")</f>
        <v>#REF!</v>
      </c>
      <c r="EP58" t="e">
        <f>AND(#REF!,"AAAAADXsvZE=")</f>
        <v>#REF!</v>
      </c>
      <c r="EQ58" t="e">
        <f>AND(#REF!,"AAAAADXsvZI=")</f>
        <v>#REF!</v>
      </c>
      <c r="ER58" t="e">
        <f>AND(#REF!,"AAAAADXsvZM=")</f>
        <v>#REF!</v>
      </c>
      <c r="ES58" t="e">
        <f>AND(#REF!,"AAAAADXsvZQ=")</f>
        <v>#REF!</v>
      </c>
      <c r="ET58" t="e">
        <f>AND(#REF!,"AAAAADXsvZU=")</f>
        <v>#REF!</v>
      </c>
      <c r="EU58" t="e">
        <f>AND(#REF!,"AAAAADXsvZY=")</f>
        <v>#REF!</v>
      </c>
      <c r="EV58" t="e">
        <f>AND(#REF!,"AAAAADXsvZc=")</f>
        <v>#REF!</v>
      </c>
      <c r="EW58" t="e">
        <f>AND(#REF!,"AAAAADXsvZg=")</f>
        <v>#REF!</v>
      </c>
      <c r="EX58" t="e">
        <f>AND(#REF!,"AAAAADXsvZk=")</f>
        <v>#REF!</v>
      </c>
      <c r="EY58" t="e">
        <f>AND(#REF!,"AAAAADXsvZo=")</f>
        <v>#REF!</v>
      </c>
      <c r="EZ58" t="e">
        <f>AND(#REF!,"AAAAADXsvZs=")</f>
        <v>#REF!</v>
      </c>
      <c r="FA58" t="e">
        <f>AND(#REF!,"AAAAADXsvZw=")</f>
        <v>#REF!</v>
      </c>
      <c r="FB58" t="e">
        <f>AND(#REF!,"AAAAADXsvZ0=")</f>
        <v>#REF!</v>
      </c>
      <c r="FC58" t="e">
        <f>AND(#REF!,"AAAAADXsvZ4=")</f>
        <v>#REF!</v>
      </c>
      <c r="FD58" t="e">
        <f>AND(#REF!,"AAAAADXsvZ8=")</f>
        <v>#REF!</v>
      </c>
      <c r="FE58" t="e">
        <f>AND(#REF!,"AAAAADXsvaA=")</f>
        <v>#REF!</v>
      </c>
      <c r="FF58" t="e">
        <f>AND(#REF!,"AAAAADXsvaE=")</f>
        <v>#REF!</v>
      </c>
      <c r="FG58" t="e">
        <f>AND(#REF!,"AAAAADXsvaI=")</f>
        <v>#REF!</v>
      </c>
      <c r="FH58" t="e">
        <f>AND(#REF!,"AAAAADXsvaM=")</f>
        <v>#REF!</v>
      </c>
      <c r="FI58" t="e">
        <f>AND(#REF!,"AAAAADXsvaQ=")</f>
        <v>#REF!</v>
      </c>
      <c r="FJ58" t="e">
        <f>AND(#REF!,"AAAAADXsvaU=")</f>
        <v>#REF!</v>
      </c>
      <c r="FK58" t="e">
        <f>AND(#REF!,"AAAAADXsvaY=")</f>
        <v>#REF!</v>
      </c>
      <c r="FL58" t="e">
        <f>AND(#REF!,"AAAAADXsvac=")</f>
        <v>#REF!</v>
      </c>
      <c r="FM58" t="e">
        <f>AND(#REF!,"AAAAADXsvag=")</f>
        <v>#REF!</v>
      </c>
      <c r="FN58" t="e">
        <f>AND(#REF!,"AAAAADXsvak=")</f>
        <v>#REF!</v>
      </c>
      <c r="FO58" t="e">
        <f>AND(#REF!,"AAAAADXsvao=")</f>
        <v>#REF!</v>
      </c>
      <c r="FP58" t="e">
        <f>AND(#REF!,"AAAAADXsvas=")</f>
        <v>#REF!</v>
      </c>
      <c r="FQ58" t="e">
        <f>AND(#REF!,"AAAAADXsvaw=")</f>
        <v>#REF!</v>
      </c>
      <c r="FR58" t="e">
        <f>AND(#REF!,"AAAAADXsva0=")</f>
        <v>#REF!</v>
      </c>
      <c r="FS58" t="e">
        <f>AND(#REF!,"AAAAADXsva4=")</f>
        <v>#REF!</v>
      </c>
      <c r="FT58" t="e">
        <f>AND(#REF!,"AAAAADXsva8=")</f>
        <v>#REF!</v>
      </c>
      <c r="FU58" t="e">
        <f>AND(#REF!,"AAAAADXsvbA=")</f>
        <v>#REF!</v>
      </c>
      <c r="FV58" t="e">
        <f>AND(#REF!,"AAAAADXsvbE=")</f>
        <v>#REF!</v>
      </c>
      <c r="FW58" t="e">
        <f>AND(#REF!,"AAAAADXsvbI=")</f>
        <v>#REF!</v>
      </c>
      <c r="FX58" t="e">
        <f>AND(#REF!,"AAAAADXsvbM=")</f>
        <v>#REF!</v>
      </c>
      <c r="FY58" t="e">
        <f>AND(#REF!,"AAAAADXsvbQ=")</f>
        <v>#REF!</v>
      </c>
      <c r="FZ58" t="e">
        <f>AND(#REF!,"AAAAADXsvbU=")</f>
        <v>#REF!</v>
      </c>
      <c r="GA58" t="e">
        <f>AND(#REF!,"AAAAADXsvbY=")</f>
        <v>#REF!</v>
      </c>
      <c r="GB58" t="e">
        <f>AND(#REF!,"AAAAADXsvbc=")</f>
        <v>#REF!</v>
      </c>
      <c r="GC58" t="e">
        <f>AND(#REF!,"AAAAADXsvbg=")</f>
        <v>#REF!</v>
      </c>
      <c r="GD58" t="e">
        <f>AND(#REF!,"AAAAADXsvbk=")</f>
        <v>#REF!</v>
      </c>
      <c r="GE58" t="e">
        <f>AND(#REF!,"AAAAADXsvbo=")</f>
        <v>#REF!</v>
      </c>
      <c r="GF58" t="e">
        <f>AND(#REF!,"AAAAADXsvbs=")</f>
        <v>#REF!</v>
      </c>
      <c r="GG58" t="e">
        <f>AND(#REF!,"AAAAADXsvbw=")</f>
        <v>#REF!</v>
      </c>
      <c r="GH58" t="e">
        <f>AND(#REF!,"AAAAADXsvb0=")</f>
        <v>#REF!</v>
      </c>
      <c r="GI58" t="e">
        <f>AND(#REF!,"AAAAADXsvb4=")</f>
        <v>#REF!</v>
      </c>
      <c r="GJ58" t="e">
        <f>AND(#REF!,"AAAAADXsvb8=")</f>
        <v>#REF!</v>
      </c>
      <c r="GK58" t="e">
        <f>AND(#REF!,"AAAAADXsvcA=")</f>
        <v>#REF!</v>
      </c>
      <c r="GL58" t="e">
        <f>AND(#REF!,"AAAAADXsvcE=")</f>
        <v>#REF!</v>
      </c>
      <c r="GM58" t="e">
        <f>AND(#REF!,"AAAAADXsvcI=")</f>
        <v>#REF!</v>
      </c>
      <c r="GN58" t="e">
        <f>AND(#REF!,"AAAAADXsvcM=")</f>
        <v>#REF!</v>
      </c>
      <c r="GO58" t="e">
        <f>AND(#REF!,"AAAAADXsvcQ=")</f>
        <v>#REF!</v>
      </c>
      <c r="GP58" t="e">
        <f>AND(#REF!,"AAAAADXsvcU=")</f>
        <v>#REF!</v>
      </c>
      <c r="GQ58" t="e">
        <f>AND(#REF!,"AAAAADXsvcY=")</f>
        <v>#REF!</v>
      </c>
      <c r="GR58" t="e">
        <f>AND(#REF!,"AAAAADXsvcc=")</f>
        <v>#REF!</v>
      </c>
      <c r="GS58" t="e">
        <f>AND(#REF!,"AAAAADXsvcg=")</f>
        <v>#REF!</v>
      </c>
      <c r="GT58" t="e">
        <f>AND(#REF!,"AAAAADXsvck=")</f>
        <v>#REF!</v>
      </c>
      <c r="GU58" t="e">
        <f>AND(#REF!,"AAAAADXsvco=")</f>
        <v>#REF!</v>
      </c>
      <c r="GV58" t="e">
        <f>AND(#REF!,"AAAAADXsvcs=")</f>
        <v>#REF!</v>
      </c>
      <c r="GW58" t="e">
        <f>AND(#REF!,"AAAAADXsvcw=")</f>
        <v>#REF!</v>
      </c>
      <c r="GX58" t="e">
        <f>AND(#REF!,"AAAAADXsvc0=")</f>
        <v>#REF!</v>
      </c>
      <c r="GY58" t="e">
        <f>AND(#REF!,"AAAAADXsvc4=")</f>
        <v>#REF!</v>
      </c>
      <c r="GZ58" t="e">
        <f>AND(#REF!,"AAAAADXsvc8=")</f>
        <v>#REF!</v>
      </c>
      <c r="HA58" t="e">
        <f>AND(#REF!,"AAAAADXsvdA=")</f>
        <v>#REF!</v>
      </c>
      <c r="HB58" t="e">
        <f>AND(#REF!,"AAAAADXsvdE=")</f>
        <v>#REF!</v>
      </c>
      <c r="HC58" t="e">
        <f>AND(#REF!,"AAAAADXsvdI=")</f>
        <v>#REF!</v>
      </c>
      <c r="HD58" t="e">
        <f>AND(#REF!,"AAAAADXsvdM=")</f>
        <v>#REF!</v>
      </c>
      <c r="HE58" t="e">
        <f>AND(#REF!,"AAAAADXsvdQ=")</f>
        <v>#REF!</v>
      </c>
      <c r="HF58" t="e">
        <f>AND(#REF!,"AAAAADXsvdU=")</f>
        <v>#REF!</v>
      </c>
      <c r="HG58" t="e">
        <f>AND(#REF!,"AAAAADXsvdY=")</f>
        <v>#REF!</v>
      </c>
      <c r="HH58" t="e">
        <f>AND(#REF!,"AAAAADXsvdc=")</f>
        <v>#REF!</v>
      </c>
      <c r="HI58" t="e">
        <f>AND(#REF!,"AAAAADXsvdg=")</f>
        <v>#REF!</v>
      </c>
      <c r="HJ58" t="e">
        <f>AND(#REF!,"AAAAADXsvdk=")</f>
        <v>#REF!</v>
      </c>
      <c r="HK58" t="e">
        <f>AND(#REF!,"AAAAADXsvdo=")</f>
        <v>#REF!</v>
      </c>
      <c r="HL58" t="e">
        <f>AND(#REF!,"AAAAADXsvds=")</f>
        <v>#REF!</v>
      </c>
      <c r="HM58" t="e">
        <f>AND(#REF!,"AAAAADXsvdw=")</f>
        <v>#REF!</v>
      </c>
      <c r="HN58" t="e">
        <f>AND(#REF!,"AAAAADXsvd0=")</f>
        <v>#REF!</v>
      </c>
      <c r="HO58" t="e">
        <f>AND(#REF!,"AAAAADXsvd4=")</f>
        <v>#REF!</v>
      </c>
      <c r="HP58" t="e">
        <f>AND(#REF!,"AAAAADXsvd8=")</f>
        <v>#REF!</v>
      </c>
      <c r="HQ58" t="e">
        <f>AND(#REF!,"AAAAADXsveA=")</f>
        <v>#REF!</v>
      </c>
      <c r="HR58" t="e">
        <f>AND(#REF!,"AAAAADXsveE=")</f>
        <v>#REF!</v>
      </c>
      <c r="HS58" t="e">
        <f>AND(#REF!,"AAAAADXsveI=")</f>
        <v>#REF!</v>
      </c>
      <c r="HT58" t="e">
        <f>AND(#REF!,"AAAAADXsveM=")</f>
        <v>#REF!</v>
      </c>
      <c r="HU58" t="e">
        <f>AND(#REF!,"AAAAADXsveQ=")</f>
        <v>#REF!</v>
      </c>
      <c r="HV58" t="e">
        <f>AND(#REF!,"AAAAADXsveU=")</f>
        <v>#REF!</v>
      </c>
      <c r="HW58" t="e">
        <f>AND(#REF!,"AAAAADXsveY=")</f>
        <v>#REF!</v>
      </c>
      <c r="HX58" t="e">
        <f>AND(#REF!,"AAAAADXsvec=")</f>
        <v>#REF!</v>
      </c>
      <c r="HY58" t="e">
        <f>AND(#REF!,"AAAAADXsveg=")</f>
        <v>#REF!</v>
      </c>
      <c r="HZ58" t="e">
        <f>AND(#REF!,"AAAAADXsvek=")</f>
        <v>#REF!</v>
      </c>
      <c r="IA58" t="e">
        <f>AND(#REF!,"AAAAADXsveo=")</f>
        <v>#REF!</v>
      </c>
      <c r="IB58" t="e">
        <f>AND(#REF!,"AAAAADXsves=")</f>
        <v>#REF!</v>
      </c>
      <c r="IC58" t="e">
        <f>AND(#REF!,"AAAAADXsvew=")</f>
        <v>#REF!</v>
      </c>
      <c r="ID58" t="e">
        <f>AND(#REF!,"AAAAADXsve0=")</f>
        <v>#REF!</v>
      </c>
      <c r="IE58" t="e">
        <f>AND(#REF!,"AAAAADXsve4=")</f>
        <v>#REF!</v>
      </c>
      <c r="IF58" t="e">
        <f>AND(#REF!,"AAAAADXsve8=")</f>
        <v>#REF!</v>
      </c>
      <c r="IG58" t="e">
        <f>AND(#REF!,"AAAAADXsvfA=")</f>
        <v>#REF!</v>
      </c>
      <c r="IH58" t="e">
        <f>AND(#REF!,"AAAAADXsvfE=")</f>
        <v>#REF!</v>
      </c>
      <c r="II58" t="e">
        <f>AND(#REF!,"AAAAADXsvfI=")</f>
        <v>#REF!</v>
      </c>
      <c r="IJ58" t="e">
        <f>AND(#REF!,"AAAAADXsvfM=")</f>
        <v>#REF!</v>
      </c>
      <c r="IK58" t="e">
        <f>AND(#REF!,"AAAAADXsvfQ=")</f>
        <v>#REF!</v>
      </c>
      <c r="IL58" t="e">
        <f>AND(#REF!,"AAAAADXsvfU=")</f>
        <v>#REF!</v>
      </c>
      <c r="IM58" t="e">
        <f>AND(#REF!,"AAAAADXsvfY=")</f>
        <v>#REF!</v>
      </c>
      <c r="IN58" t="e">
        <f>AND(#REF!,"AAAAADXsvfc=")</f>
        <v>#REF!</v>
      </c>
      <c r="IO58" t="e">
        <f>AND(#REF!,"AAAAADXsvfg=")</f>
        <v>#REF!</v>
      </c>
      <c r="IP58" t="e">
        <f>AND(#REF!,"AAAAADXsvfk=")</f>
        <v>#REF!</v>
      </c>
      <c r="IQ58" t="e">
        <f>AND(#REF!,"AAAAADXsvfo=")</f>
        <v>#REF!</v>
      </c>
      <c r="IR58" t="e">
        <f>AND(#REF!,"AAAAADXsvfs=")</f>
        <v>#REF!</v>
      </c>
      <c r="IS58" t="e">
        <f>AND(#REF!,"AAAAADXsvfw=")</f>
        <v>#REF!</v>
      </c>
      <c r="IT58" t="e">
        <f>AND(#REF!,"AAAAADXsvf0=")</f>
        <v>#REF!</v>
      </c>
      <c r="IU58" t="e">
        <f>AND(#REF!,"AAAAADXsvf4=")</f>
        <v>#REF!</v>
      </c>
      <c r="IV58" t="e">
        <f>AND(#REF!,"AAAAADXsvf8=")</f>
        <v>#REF!</v>
      </c>
    </row>
    <row r="59" spans="1:256" x14ac:dyDescent="0.25">
      <c r="A59" t="e">
        <f>AND(#REF!,"AAAAAH/7/wA=")</f>
        <v>#REF!</v>
      </c>
      <c r="B59" t="e">
        <f>AND(#REF!,"AAAAAH/7/wE=")</f>
        <v>#REF!</v>
      </c>
      <c r="C59" t="e">
        <f>AND(#REF!,"AAAAAH/7/wI=")</f>
        <v>#REF!</v>
      </c>
      <c r="D59" t="e">
        <f>AND(#REF!,"AAAAAH/7/wM=")</f>
        <v>#REF!</v>
      </c>
      <c r="E59" t="e">
        <f>AND(#REF!,"AAAAAH/7/wQ=")</f>
        <v>#REF!</v>
      </c>
      <c r="F59" t="e">
        <f>AND(#REF!,"AAAAAH/7/wU=")</f>
        <v>#REF!</v>
      </c>
      <c r="G59" t="e">
        <f>AND(#REF!,"AAAAAH/7/wY=")</f>
        <v>#REF!</v>
      </c>
      <c r="H59" t="e">
        <f>IF(#REF!,"AAAAAH/7/wc=",0)</f>
        <v>#REF!</v>
      </c>
      <c r="I59" t="e">
        <f>AND(#REF!,"AAAAAH/7/wg=")</f>
        <v>#REF!</v>
      </c>
      <c r="J59" t="e">
        <f>AND(#REF!,"AAAAAH/7/wk=")</f>
        <v>#REF!</v>
      </c>
      <c r="K59" t="e">
        <f>AND(#REF!,"AAAAAH/7/wo=")</f>
        <v>#REF!</v>
      </c>
      <c r="L59" t="e">
        <f>AND(#REF!,"AAAAAH/7/ws=")</f>
        <v>#REF!</v>
      </c>
      <c r="M59" t="e">
        <f>AND(#REF!,"AAAAAH/7/ww=")</f>
        <v>#REF!</v>
      </c>
      <c r="N59" t="e">
        <f>AND(#REF!,"AAAAAH/7/w0=")</f>
        <v>#REF!</v>
      </c>
      <c r="O59" t="e">
        <f>AND(#REF!,"AAAAAH/7/w4=")</f>
        <v>#REF!</v>
      </c>
      <c r="P59" t="e">
        <f>AND(#REF!,"AAAAAH/7/w8=")</f>
        <v>#REF!</v>
      </c>
      <c r="Q59" t="e">
        <f>AND(#REF!,"AAAAAH/7/xA=")</f>
        <v>#REF!</v>
      </c>
      <c r="R59" t="e">
        <f>AND(#REF!,"AAAAAH/7/xE=")</f>
        <v>#REF!</v>
      </c>
      <c r="S59" t="e">
        <f>AND(#REF!,"AAAAAH/7/xI=")</f>
        <v>#REF!</v>
      </c>
      <c r="T59" t="e">
        <f>AND(#REF!,"AAAAAH/7/xM=")</f>
        <v>#REF!</v>
      </c>
      <c r="U59" t="e">
        <f>AND(#REF!,"AAAAAH/7/xQ=")</f>
        <v>#REF!</v>
      </c>
      <c r="V59" t="e">
        <f>AND(#REF!,"AAAAAH/7/xU=")</f>
        <v>#REF!</v>
      </c>
      <c r="W59" t="e">
        <f>AND(#REF!,"AAAAAH/7/xY=")</f>
        <v>#REF!</v>
      </c>
      <c r="X59" t="e">
        <f>AND(#REF!,"AAAAAH/7/xc=")</f>
        <v>#REF!</v>
      </c>
      <c r="Y59" t="e">
        <f>AND(#REF!,"AAAAAH/7/xg=")</f>
        <v>#REF!</v>
      </c>
      <c r="Z59" t="e">
        <f>AND(#REF!,"AAAAAH/7/xk=")</f>
        <v>#REF!</v>
      </c>
      <c r="AA59" t="e">
        <f>AND(#REF!,"AAAAAH/7/xo=")</f>
        <v>#REF!</v>
      </c>
      <c r="AB59" t="e">
        <f>AND(#REF!,"AAAAAH/7/xs=")</f>
        <v>#REF!</v>
      </c>
      <c r="AC59" t="e">
        <f>AND(#REF!,"AAAAAH/7/xw=")</f>
        <v>#REF!</v>
      </c>
      <c r="AD59" t="e">
        <f>AND(#REF!,"AAAAAH/7/x0=")</f>
        <v>#REF!</v>
      </c>
      <c r="AE59" t="e">
        <f>AND(#REF!,"AAAAAH/7/x4=")</f>
        <v>#REF!</v>
      </c>
      <c r="AF59" t="e">
        <f>AND(#REF!,"AAAAAH/7/x8=")</f>
        <v>#REF!</v>
      </c>
      <c r="AG59" t="e">
        <f>AND(#REF!,"AAAAAH/7/yA=")</f>
        <v>#REF!</v>
      </c>
      <c r="AH59" t="e">
        <f>AND(#REF!,"AAAAAH/7/yE=")</f>
        <v>#REF!</v>
      </c>
      <c r="AI59" t="e">
        <f>AND(#REF!,"AAAAAH/7/yI=")</f>
        <v>#REF!</v>
      </c>
      <c r="AJ59" t="e">
        <f>AND(#REF!,"AAAAAH/7/yM=")</f>
        <v>#REF!</v>
      </c>
      <c r="AK59" t="e">
        <f>AND(#REF!,"AAAAAH/7/yQ=")</f>
        <v>#REF!</v>
      </c>
      <c r="AL59" t="e">
        <f>AND(#REF!,"AAAAAH/7/yU=")</f>
        <v>#REF!</v>
      </c>
      <c r="AM59" t="e">
        <f>AND(#REF!,"AAAAAH/7/yY=")</f>
        <v>#REF!</v>
      </c>
      <c r="AN59" t="e">
        <f>AND(#REF!,"AAAAAH/7/yc=")</f>
        <v>#REF!</v>
      </c>
      <c r="AO59" t="e">
        <f>AND(#REF!,"AAAAAH/7/yg=")</f>
        <v>#REF!</v>
      </c>
      <c r="AP59" t="e">
        <f>AND(#REF!,"AAAAAH/7/yk=")</f>
        <v>#REF!</v>
      </c>
      <c r="AQ59" t="e">
        <f>AND(#REF!,"AAAAAH/7/yo=")</f>
        <v>#REF!</v>
      </c>
      <c r="AR59" t="e">
        <f>AND(#REF!,"AAAAAH/7/ys=")</f>
        <v>#REF!</v>
      </c>
      <c r="AS59" t="e">
        <f>AND(#REF!,"AAAAAH/7/yw=")</f>
        <v>#REF!</v>
      </c>
      <c r="AT59" t="e">
        <f>AND(#REF!,"AAAAAH/7/y0=")</f>
        <v>#REF!</v>
      </c>
      <c r="AU59" t="e">
        <f>AND(#REF!,"AAAAAH/7/y4=")</f>
        <v>#REF!</v>
      </c>
      <c r="AV59" t="e">
        <f>AND(#REF!,"AAAAAH/7/y8=")</f>
        <v>#REF!</v>
      </c>
      <c r="AW59" t="e">
        <f>AND(#REF!,"AAAAAH/7/zA=")</f>
        <v>#REF!</v>
      </c>
      <c r="AX59" t="e">
        <f>AND(#REF!,"AAAAAH/7/zE=")</f>
        <v>#REF!</v>
      </c>
      <c r="AY59" t="e">
        <f>AND(#REF!,"AAAAAH/7/zI=")</f>
        <v>#REF!</v>
      </c>
      <c r="AZ59" t="e">
        <f>AND(#REF!,"AAAAAH/7/zM=")</f>
        <v>#REF!</v>
      </c>
      <c r="BA59" t="e">
        <f>AND(#REF!,"AAAAAH/7/zQ=")</f>
        <v>#REF!</v>
      </c>
      <c r="BB59" t="e">
        <f>AND(#REF!,"AAAAAH/7/zU=")</f>
        <v>#REF!</v>
      </c>
      <c r="BC59" t="e">
        <f>AND(#REF!,"AAAAAH/7/zY=")</f>
        <v>#REF!</v>
      </c>
      <c r="BD59" t="e">
        <f>AND(#REF!,"AAAAAH/7/zc=")</f>
        <v>#REF!</v>
      </c>
      <c r="BE59" t="e">
        <f>AND(#REF!,"AAAAAH/7/zg=")</f>
        <v>#REF!</v>
      </c>
      <c r="BF59" t="e">
        <f>AND(#REF!,"AAAAAH/7/zk=")</f>
        <v>#REF!</v>
      </c>
      <c r="BG59" t="e">
        <f>AND(#REF!,"AAAAAH/7/zo=")</f>
        <v>#REF!</v>
      </c>
      <c r="BH59" t="e">
        <f>AND(#REF!,"AAAAAH/7/zs=")</f>
        <v>#REF!</v>
      </c>
      <c r="BI59" t="e">
        <f>AND(#REF!,"AAAAAH/7/zw=")</f>
        <v>#REF!</v>
      </c>
      <c r="BJ59" t="e">
        <f>AND(#REF!,"AAAAAH/7/z0=")</f>
        <v>#REF!</v>
      </c>
      <c r="BK59" t="e">
        <f>AND(#REF!,"AAAAAH/7/z4=")</f>
        <v>#REF!</v>
      </c>
      <c r="BL59" t="e">
        <f>AND(#REF!,"AAAAAH/7/z8=")</f>
        <v>#REF!</v>
      </c>
      <c r="BM59" t="e">
        <f>AND(#REF!,"AAAAAH/7/0A=")</f>
        <v>#REF!</v>
      </c>
      <c r="BN59" t="e">
        <f>AND(#REF!,"AAAAAH/7/0E=")</f>
        <v>#REF!</v>
      </c>
      <c r="BO59" t="e">
        <f>AND(#REF!,"AAAAAH/7/0I=")</f>
        <v>#REF!</v>
      </c>
      <c r="BP59" t="e">
        <f>AND(#REF!,"AAAAAH/7/0M=")</f>
        <v>#REF!</v>
      </c>
      <c r="BQ59" t="e">
        <f>AND(#REF!,"AAAAAH/7/0Q=")</f>
        <v>#REF!</v>
      </c>
      <c r="BR59" t="e">
        <f>AND(#REF!,"AAAAAH/7/0U=")</f>
        <v>#REF!</v>
      </c>
      <c r="BS59" t="e">
        <f>AND(#REF!,"AAAAAH/7/0Y=")</f>
        <v>#REF!</v>
      </c>
      <c r="BT59" t="e">
        <f>AND(#REF!,"AAAAAH/7/0c=")</f>
        <v>#REF!</v>
      </c>
      <c r="BU59" t="e">
        <f>AND(#REF!,"AAAAAH/7/0g=")</f>
        <v>#REF!</v>
      </c>
      <c r="BV59" t="e">
        <f>AND(#REF!,"AAAAAH/7/0k=")</f>
        <v>#REF!</v>
      </c>
      <c r="BW59" t="e">
        <f>AND(#REF!,"AAAAAH/7/0o=")</f>
        <v>#REF!</v>
      </c>
      <c r="BX59" t="e">
        <f>AND(#REF!,"AAAAAH/7/0s=")</f>
        <v>#REF!</v>
      </c>
      <c r="BY59" t="e">
        <f>AND(#REF!,"AAAAAH/7/0w=")</f>
        <v>#REF!</v>
      </c>
      <c r="BZ59" t="e">
        <f>AND(#REF!,"AAAAAH/7/00=")</f>
        <v>#REF!</v>
      </c>
      <c r="CA59" t="e">
        <f>AND(#REF!,"AAAAAH/7/04=")</f>
        <v>#REF!</v>
      </c>
      <c r="CB59" t="e">
        <f>AND(#REF!,"AAAAAH/7/08=")</f>
        <v>#REF!</v>
      </c>
      <c r="CC59" t="e">
        <f>AND(#REF!,"AAAAAH/7/1A=")</f>
        <v>#REF!</v>
      </c>
      <c r="CD59" t="e">
        <f>AND(#REF!,"AAAAAH/7/1E=")</f>
        <v>#REF!</v>
      </c>
      <c r="CE59" t="e">
        <f>AND(#REF!,"AAAAAH/7/1I=")</f>
        <v>#REF!</v>
      </c>
      <c r="CF59" t="e">
        <f>AND(#REF!,"AAAAAH/7/1M=")</f>
        <v>#REF!</v>
      </c>
      <c r="CG59" t="e">
        <f>AND(#REF!,"AAAAAH/7/1Q=")</f>
        <v>#REF!</v>
      </c>
      <c r="CH59" t="e">
        <f>AND(#REF!,"AAAAAH/7/1U=")</f>
        <v>#REF!</v>
      </c>
      <c r="CI59" t="e">
        <f>AND(#REF!,"AAAAAH/7/1Y=")</f>
        <v>#REF!</v>
      </c>
      <c r="CJ59" t="e">
        <f>AND(#REF!,"AAAAAH/7/1c=")</f>
        <v>#REF!</v>
      </c>
      <c r="CK59" t="e">
        <f>AND(#REF!,"AAAAAH/7/1g=")</f>
        <v>#REF!</v>
      </c>
      <c r="CL59" t="e">
        <f>AND(#REF!,"AAAAAH/7/1k=")</f>
        <v>#REF!</v>
      </c>
      <c r="CM59" t="e">
        <f>AND(#REF!,"AAAAAH/7/1o=")</f>
        <v>#REF!</v>
      </c>
      <c r="CN59" t="e">
        <f>AND(#REF!,"AAAAAH/7/1s=")</f>
        <v>#REF!</v>
      </c>
      <c r="CO59" t="e">
        <f>AND(#REF!,"AAAAAH/7/1w=")</f>
        <v>#REF!</v>
      </c>
      <c r="CP59" t="e">
        <f>AND(#REF!,"AAAAAH/7/10=")</f>
        <v>#REF!</v>
      </c>
      <c r="CQ59" t="e">
        <f>AND(#REF!,"AAAAAH/7/14=")</f>
        <v>#REF!</v>
      </c>
      <c r="CR59" t="e">
        <f>AND(#REF!,"AAAAAH/7/18=")</f>
        <v>#REF!</v>
      </c>
      <c r="CS59" t="e">
        <f>AND(#REF!,"AAAAAH/7/2A=")</f>
        <v>#REF!</v>
      </c>
      <c r="CT59" t="e">
        <f>AND(#REF!,"AAAAAH/7/2E=")</f>
        <v>#REF!</v>
      </c>
      <c r="CU59" t="e">
        <f>AND(#REF!,"AAAAAH/7/2I=")</f>
        <v>#REF!</v>
      </c>
      <c r="CV59" t="e">
        <f>AND(#REF!,"AAAAAH/7/2M=")</f>
        <v>#REF!</v>
      </c>
      <c r="CW59" t="e">
        <f>AND(#REF!,"AAAAAH/7/2Q=")</f>
        <v>#REF!</v>
      </c>
      <c r="CX59" t="e">
        <f>AND(#REF!,"AAAAAH/7/2U=")</f>
        <v>#REF!</v>
      </c>
      <c r="CY59" t="e">
        <f>AND(#REF!,"AAAAAH/7/2Y=")</f>
        <v>#REF!</v>
      </c>
      <c r="CZ59" t="e">
        <f>AND(#REF!,"AAAAAH/7/2c=")</f>
        <v>#REF!</v>
      </c>
      <c r="DA59" t="e">
        <f>AND(#REF!,"AAAAAH/7/2g=")</f>
        <v>#REF!</v>
      </c>
      <c r="DB59" t="e">
        <f>AND(#REF!,"AAAAAH/7/2k=")</f>
        <v>#REF!</v>
      </c>
      <c r="DC59" t="e">
        <f>AND(#REF!,"AAAAAH/7/2o=")</f>
        <v>#REF!</v>
      </c>
      <c r="DD59" t="e">
        <f>AND(#REF!,"AAAAAH/7/2s=")</f>
        <v>#REF!</v>
      </c>
      <c r="DE59" t="e">
        <f>AND(#REF!,"AAAAAH/7/2w=")</f>
        <v>#REF!</v>
      </c>
      <c r="DF59" t="e">
        <f>AND(#REF!,"AAAAAH/7/20=")</f>
        <v>#REF!</v>
      </c>
      <c r="DG59" t="e">
        <f>AND(#REF!,"AAAAAH/7/24=")</f>
        <v>#REF!</v>
      </c>
      <c r="DH59" t="e">
        <f>AND(#REF!,"AAAAAH/7/28=")</f>
        <v>#REF!</v>
      </c>
      <c r="DI59" t="e">
        <f>AND(#REF!,"AAAAAH/7/3A=")</f>
        <v>#REF!</v>
      </c>
      <c r="DJ59" t="e">
        <f>AND(#REF!,"AAAAAH/7/3E=")</f>
        <v>#REF!</v>
      </c>
      <c r="DK59" t="e">
        <f>AND(#REF!,"AAAAAH/7/3I=")</f>
        <v>#REF!</v>
      </c>
      <c r="DL59" t="e">
        <f>AND(#REF!,"AAAAAH/7/3M=")</f>
        <v>#REF!</v>
      </c>
      <c r="DM59" t="e">
        <f>AND(#REF!,"AAAAAH/7/3Q=")</f>
        <v>#REF!</v>
      </c>
      <c r="DN59" t="e">
        <f>AND(#REF!,"AAAAAH/7/3U=")</f>
        <v>#REF!</v>
      </c>
      <c r="DO59" t="e">
        <f>AND(#REF!,"AAAAAH/7/3Y=")</f>
        <v>#REF!</v>
      </c>
      <c r="DP59" t="e">
        <f>AND(#REF!,"AAAAAH/7/3c=")</f>
        <v>#REF!</v>
      </c>
      <c r="DQ59" t="e">
        <f>AND(#REF!,"AAAAAH/7/3g=")</f>
        <v>#REF!</v>
      </c>
      <c r="DR59" t="e">
        <f>AND(#REF!,"AAAAAH/7/3k=")</f>
        <v>#REF!</v>
      </c>
      <c r="DS59" t="e">
        <f>AND(#REF!,"AAAAAH/7/3o=")</f>
        <v>#REF!</v>
      </c>
      <c r="DT59" t="e">
        <f>AND(#REF!,"AAAAAH/7/3s=")</f>
        <v>#REF!</v>
      </c>
      <c r="DU59" t="e">
        <f>AND(#REF!,"AAAAAH/7/3w=")</f>
        <v>#REF!</v>
      </c>
      <c r="DV59" t="e">
        <f>AND(#REF!,"AAAAAH/7/30=")</f>
        <v>#REF!</v>
      </c>
      <c r="DW59" t="e">
        <f>AND(#REF!,"AAAAAH/7/34=")</f>
        <v>#REF!</v>
      </c>
      <c r="DX59" t="e">
        <f>AND(#REF!,"AAAAAH/7/38=")</f>
        <v>#REF!</v>
      </c>
      <c r="DY59" t="e">
        <f>AND(#REF!,"AAAAAH/7/4A=")</f>
        <v>#REF!</v>
      </c>
      <c r="DZ59" t="e">
        <f>AND(#REF!,"AAAAAH/7/4E=")</f>
        <v>#REF!</v>
      </c>
      <c r="EA59" t="e">
        <f>AND(#REF!,"AAAAAH/7/4I=")</f>
        <v>#REF!</v>
      </c>
      <c r="EB59" t="e">
        <f>AND(#REF!,"AAAAAH/7/4M=")</f>
        <v>#REF!</v>
      </c>
      <c r="EC59" t="e">
        <f>AND(#REF!,"AAAAAH/7/4Q=")</f>
        <v>#REF!</v>
      </c>
      <c r="ED59" t="e">
        <f>AND(#REF!,"AAAAAH/7/4U=")</f>
        <v>#REF!</v>
      </c>
      <c r="EE59" t="e">
        <f>AND(#REF!,"AAAAAH/7/4Y=")</f>
        <v>#REF!</v>
      </c>
      <c r="EF59" t="e">
        <f>AND(#REF!,"AAAAAH/7/4c=")</f>
        <v>#REF!</v>
      </c>
      <c r="EG59" t="e">
        <f>AND(#REF!,"AAAAAH/7/4g=")</f>
        <v>#REF!</v>
      </c>
      <c r="EH59" t="e">
        <f>AND(#REF!,"AAAAAH/7/4k=")</f>
        <v>#REF!</v>
      </c>
      <c r="EI59" t="e">
        <f>AND(#REF!,"AAAAAH/7/4o=")</f>
        <v>#REF!</v>
      </c>
      <c r="EJ59" t="e">
        <f>AND(#REF!,"AAAAAH/7/4s=")</f>
        <v>#REF!</v>
      </c>
      <c r="EK59" t="e">
        <f>AND(#REF!,"AAAAAH/7/4w=")</f>
        <v>#REF!</v>
      </c>
      <c r="EL59" t="e">
        <f>AND(#REF!,"AAAAAH/7/40=")</f>
        <v>#REF!</v>
      </c>
      <c r="EM59" t="e">
        <f>AND(#REF!,"AAAAAH/7/44=")</f>
        <v>#REF!</v>
      </c>
      <c r="EN59" t="e">
        <f>AND(#REF!,"AAAAAH/7/48=")</f>
        <v>#REF!</v>
      </c>
      <c r="EO59" t="e">
        <f>AND(#REF!,"AAAAAH/7/5A=")</f>
        <v>#REF!</v>
      </c>
      <c r="EP59" t="e">
        <f>AND(#REF!,"AAAAAH/7/5E=")</f>
        <v>#REF!</v>
      </c>
      <c r="EQ59" t="e">
        <f>AND(#REF!,"AAAAAH/7/5I=")</f>
        <v>#REF!</v>
      </c>
      <c r="ER59" t="e">
        <f>AND(#REF!,"AAAAAH/7/5M=")</f>
        <v>#REF!</v>
      </c>
      <c r="ES59" t="e">
        <f>AND(#REF!,"AAAAAH/7/5Q=")</f>
        <v>#REF!</v>
      </c>
      <c r="ET59" t="e">
        <f>AND(#REF!,"AAAAAH/7/5U=")</f>
        <v>#REF!</v>
      </c>
      <c r="EU59" t="e">
        <f>AND(#REF!,"AAAAAH/7/5Y=")</f>
        <v>#REF!</v>
      </c>
      <c r="EV59" t="e">
        <f>AND(#REF!,"AAAAAH/7/5c=")</f>
        <v>#REF!</v>
      </c>
      <c r="EW59" t="e">
        <f>AND(#REF!,"AAAAAH/7/5g=")</f>
        <v>#REF!</v>
      </c>
      <c r="EX59" t="e">
        <f>AND(#REF!,"AAAAAH/7/5k=")</f>
        <v>#REF!</v>
      </c>
      <c r="EY59" t="e">
        <f>AND(#REF!,"AAAAAH/7/5o=")</f>
        <v>#REF!</v>
      </c>
      <c r="EZ59" t="e">
        <f>AND(#REF!,"AAAAAH/7/5s=")</f>
        <v>#REF!</v>
      </c>
      <c r="FA59" t="e">
        <f>AND(#REF!,"AAAAAH/7/5w=")</f>
        <v>#REF!</v>
      </c>
      <c r="FB59" t="e">
        <f>AND(#REF!,"AAAAAH/7/50=")</f>
        <v>#REF!</v>
      </c>
      <c r="FC59" t="e">
        <f>AND(#REF!,"AAAAAH/7/54=")</f>
        <v>#REF!</v>
      </c>
      <c r="FD59" t="e">
        <f>AND(#REF!,"AAAAAH/7/58=")</f>
        <v>#REF!</v>
      </c>
      <c r="FE59" t="e">
        <f>AND(#REF!,"AAAAAH/7/6A=")</f>
        <v>#REF!</v>
      </c>
      <c r="FF59" t="e">
        <f>AND(#REF!,"AAAAAH/7/6E=")</f>
        <v>#REF!</v>
      </c>
      <c r="FG59" t="e">
        <f>AND(#REF!,"AAAAAH/7/6I=")</f>
        <v>#REF!</v>
      </c>
      <c r="FH59" t="e">
        <f>AND(#REF!,"AAAAAH/7/6M=")</f>
        <v>#REF!</v>
      </c>
      <c r="FI59" t="e">
        <f>AND(#REF!,"AAAAAH/7/6Q=")</f>
        <v>#REF!</v>
      </c>
      <c r="FJ59" t="e">
        <f>AND(#REF!,"AAAAAH/7/6U=")</f>
        <v>#REF!</v>
      </c>
      <c r="FK59" t="e">
        <f>AND(#REF!,"AAAAAH/7/6Y=")</f>
        <v>#REF!</v>
      </c>
      <c r="FL59" t="e">
        <f>AND(#REF!,"AAAAAH/7/6c=")</f>
        <v>#REF!</v>
      </c>
      <c r="FM59" t="e">
        <f>AND(#REF!,"AAAAAH/7/6g=")</f>
        <v>#REF!</v>
      </c>
      <c r="FN59" t="e">
        <f>AND(#REF!,"AAAAAH/7/6k=")</f>
        <v>#REF!</v>
      </c>
      <c r="FO59" t="e">
        <f>AND(#REF!,"AAAAAH/7/6o=")</f>
        <v>#REF!</v>
      </c>
      <c r="FP59" t="e">
        <f>AND(#REF!,"AAAAAH/7/6s=")</f>
        <v>#REF!</v>
      </c>
      <c r="FQ59" t="e">
        <f>AND(#REF!,"AAAAAH/7/6w=")</f>
        <v>#REF!</v>
      </c>
      <c r="FR59" t="e">
        <f>AND(#REF!,"AAAAAH/7/60=")</f>
        <v>#REF!</v>
      </c>
      <c r="FS59" t="e">
        <f>AND(#REF!,"AAAAAH/7/64=")</f>
        <v>#REF!</v>
      </c>
      <c r="FT59" t="e">
        <f>AND(#REF!,"AAAAAH/7/68=")</f>
        <v>#REF!</v>
      </c>
      <c r="FU59" t="e">
        <f>AND(#REF!,"AAAAAH/7/7A=")</f>
        <v>#REF!</v>
      </c>
      <c r="FV59" t="e">
        <f>AND(#REF!,"AAAAAH/7/7E=")</f>
        <v>#REF!</v>
      </c>
      <c r="FW59" t="e">
        <f>AND(#REF!,"AAAAAH/7/7I=")</f>
        <v>#REF!</v>
      </c>
      <c r="FX59" t="e">
        <f>AND(#REF!,"AAAAAH/7/7M=")</f>
        <v>#REF!</v>
      </c>
      <c r="FY59" t="e">
        <f>AND(#REF!,"AAAAAH/7/7Q=")</f>
        <v>#REF!</v>
      </c>
      <c r="FZ59" t="e">
        <f>AND(#REF!,"AAAAAH/7/7U=")</f>
        <v>#REF!</v>
      </c>
      <c r="GA59" t="e">
        <f>AND(#REF!,"AAAAAH/7/7Y=")</f>
        <v>#REF!</v>
      </c>
      <c r="GB59" t="e">
        <f>AND(#REF!,"AAAAAH/7/7c=")</f>
        <v>#REF!</v>
      </c>
      <c r="GC59" t="e">
        <f>AND(#REF!,"AAAAAH/7/7g=")</f>
        <v>#REF!</v>
      </c>
      <c r="GD59" t="e">
        <f>AND(#REF!,"AAAAAH/7/7k=")</f>
        <v>#REF!</v>
      </c>
      <c r="GE59" t="e">
        <f>AND(#REF!,"AAAAAH/7/7o=")</f>
        <v>#REF!</v>
      </c>
      <c r="GF59" t="e">
        <f>AND(#REF!,"AAAAAH/7/7s=")</f>
        <v>#REF!</v>
      </c>
      <c r="GG59" t="e">
        <f>AND(#REF!,"AAAAAH/7/7w=")</f>
        <v>#REF!</v>
      </c>
      <c r="GH59" t="e">
        <f>AND(#REF!,"AAAAAH/7/70=")</f>
        <v>#REF!</v>
      </c>
      <c r="GI59" t="e">
        <f>AND(#REF!,"AAAAAH/7/74=")</f>
        <v>#REF!</v>
      </c>
      <c r="GJ59" t="e">
        <f>AND(#REF!,"AAAAAH/7/78=")</f>
        <v>#REF!</v>
      </c>
      <c r="GK59" t="e">
        <f>IF(#REF!,"AAAAAH/7/8A=",0)</f>
        <v>#REF!</v>
      </c>
      <c r="GL59" t="e">
        <f>AND(#REF!,"AAAAAH/7/8E=")</f>
        <v>#REF!</v>
      </c>
      <c r="GM59" t="e">
        <f>AND(#REF!,"AAAAAH/7/8I=")</f>
        <v>#REF!</v>
      </c>
      <c r="GN59" t="e">
        <f>AND(#REF!,"AAAAAH/7/8M=")</f>
        <v>#REF!</v>
      </c>
      <c r="GO59" t="e">
        <f>AND(#REF!,"AAAAAH/7/8Q=")</f>
        <v>#REF!</v>
      </c>
      <c r="GP59" t="e">
        <f>AND(#REF!,"AAAAAH/7/8U=")</f>
        <v>#REF!</v>
      </c>
      <c r="GQ59" t="e">
        <f>AND(#REF!,"AAAAAH/7/8Y=")</f>
        <v>#REF!</v>
      </c>
      <c r="GR59" t="e">
        <f>AND(#REF!,"AAAAAH/7/8c=")</f>
        <v>#REF!</v>
      </c>
      <c r="GS59" t="e">
        <f>AND(#REF!,"AAAAAH/7/8g=")</f>
        <v>#REF!</v>
      </c>
      <c r="GT59" t="e">
        <f>AND(#REF!,"AAAAAH/7/8k=")</f>
        <v>#REF!</v>
      </c>
      <c r="GU59" t="e">
        <f>AND(#REF!,"AAAAAH/7/8o=")</f>
        <v>#REF!</v>
      </c>
      <c r="GV59" t="e">
        <f>AND(#REF!,"AAAAAH/7/8s=")</f>
        <v>#REF!</v>
      </c>
      <c r="GW59" t="e">
        <f>AND(#REF!,"AAAAAH/7/8w=")</f>
        <v>#REF!</v>
      </c>
      <c r="GX59" t="e">
        <f>AND(#REF!,"AAAAAH/7/80=")</f>
        <v>#REF!</v>
      </c>
      <c r="GY59" t="e">
        <f>AND(#REF!,"AAAAAH/7/84=")</f>
        <v>#REF!</v>
      </c>
      <c r="GZ59" t="e">
        <f>AND(#REF!,"AAAAAH/7/88=")</f>
        <v>#REF!</v>
      </c>
      <c r="HA59" t="e">
        <f>AND(#REF!,"AAAAAH/7/9A=")</f>
        <v>#REF!</v>
      </c>
      <c r="HB59" t="e">
        <f>AND(#REF!,"AAAAAH/7/9E=")</f>
        <v>#REF!</v>
      </c>
      <c r="HC59" t="e">
        <f>AND(#REF!,"AAAAAH/7/9I=")</f>
        <v>#REF!</v>
      </c>
      <c r="HD59" t="e">
        <f>AND(#REF!,"AAAAAH/7/9M=")</f>
        <v>#REF!</v>
      </c>
      <c r="HE59" t="e">
        <f>AND(#REF!,"AAAAAH/7/9Q=")</f>
        <v>#REF!</v>
      </c>
      <c r="HF59" t="e">
        <f>AND(#REF!,"AAAAAH/7/9U=")</f>
        <v>#REF!</v>
      </c>
      <c r="HG59" t="e">
        <f>AND(#REF!,"AAAAAH/7/9Y=")</f>
        <v>#REF!</v>
      </c>
      <c r="HH59" t="e">
        <f>AND(#REF!,"AAAAAH/7/9c=")</f>
        <v>#REF!</v>
      </c>
      <c r="HI59" t="e">
        <f>AND(#REF!,"AAAAAH/7/9g=")</f>
        <v>#REF!</v>
      </c>
      <c r="HJ59" t="e">
        <f>AND(#REF!,"AAAAAH/7/9k=")</f>
        <v>#REF!</v>
      </c>
      <c r="HK59" t="e">
        <f>AND(#REF!,"AAAAAH/7/9o=")</f>
        <v>#REF!</v>
      </c>
      <c r="HL59" t="e">
        <f>AND(#REF!,"AAAAAH/7/9s=")</f>
        <v>#REF!</v>
      </c>
      <c r="HM59" t="e">
        <f>AND(#REF!,"AAAAAH/7/9w=")</f>
        <v>#REF!</v>
      </c>
      <c r="HN59" t="e">
        <f>AND(#REF!,"AAAAAH/7/90=")</f>
        <v>#REF!</v>
      </c>
      <c r="HO59" t="e">
        <f>AND(#REF!,"AAAAAH/7/94=")</f>
        <v>#REF!</v>
      </c>
      <c r="HP59" t="e">
        <f>AND(#REF!,"AAAAAH/7/98=")</f>
        <v>#REF!</v>
      </c>
      <c r="HQ59" t="e">
        <f>AND(#REF!,"AAAAAH/7/+A=")</f>
        <v>#REF!</v>
      </c>
      <c r="HR59" t="e">
        <f>AND(#REF!,"AAAAAH/7/+E=")</f>
        <v>#REF!</v>
      </c>
      <c r="HS59" t="e">
        <f>AND(#REF!,"AAAAAH/7/+I=")</f>
        <v>#REF!</v>
      </c>
      <c r="HT59" t="e">
        <f>AND(#REF!,"AAAAAH/7/+M=")</f>
        <v>#REF!</v>
      </c>
      <c r="HU59" t="e">
        <f>AND(#REF!,"AAAAAH/7/+Q=")</f>
        <v>#REF!</v>
      </c>
      <c r="HV59" t="e">
        <f>AND(#REF!,"AAAAAH/7/+U=")</f>
        <v>#REF!</v>
      </c>
      <c r="HW59" t="e">
        <f>AND(#REF!,"AAAAAH/7/+Y=")</f>
        <v>#REF!</v>
      </c>
      <c r="HX59" t="e">
        <f>AND(#REF!,"AAAAAH/7/+c=")</f>
        <v>#REF!</v>
      </c>
      <c r="HY59" t="e">
        <f>AND(#REF!,"AAAAAH/7/+g=")</f>
        <v>#REF!</v>
      </c>
      <c r="HZ59" t="e">
        <f>AND(#REF!,"AAAAAH/7/+k=")</f>
        <v>#REF!</v>
      </c>
      <c r="IA59" t="e">
        <f>AND(#REF!,"AAAAAH/7/+o=")</f>
        <v>#REF!</v>
      </c>
      <c r="IB59" t="e">
        <f>AND(#REF!,"AAAAAH/7/+s=")</f>
        <v>#REF!</v>
      </c>
      <c r="IC59" t="e">
        <f>AND(#REF!,"AAAAAH/7/+w=")</f>
        <v>#REF!</v>
      </c>
      <c r="ID59" t="e">
        <f>AND(#REF!,"AAAAAH/7/+0=")</f>
        <v>#REF!</v>
      </c>
      <c r="IE59" t="e">
        <f>AND(#REF!,"AAAAAH/7/+4=")</f>
        <v>#REF!</v>
      </c>
      <c r="IF59" t="e">
        <f>AND(#REF!,"AAAAAH/7/+8=")</f>
        <v>#REF!</v>
      </c>
      <c r="IG59" t="e">
        <f>AND(#REF!,"AAAAAH/7//A=")</f>
        <v>#REF!</v>
      </c>
      <c r="IH59" t="e">
        <f>AND(#REF!,"AAAAAH/7//E=")</f>
        <v>#REF!</v>
      </c>
      <c r="II59" t="e">
        <f>AND(#REF!,"AAAAAH/7//I=")</f>
        <v>#REF!</v>
      </c>
      <c r="IJ59" t="e">
        <f>AND(#REF!,"AAAAAH/7//M=")</f>
        <v>#REF!</v>
      </c>
      <c r="IK59" t="e">
        <f>AND(#REF!,"AAAAAH/7//Q=")</f>
        <v>#REF!</v>
      </c>
      <c r="IL59" t="e">
        <f>AND(#REF!,"AAAAAH/7//U=")</f>
        <v>#REF!</v>
      </c>
      <c r="IM59" t="e">
        <f>AND(#REF!,"AAAAAH/7//Y=")</f>
        <v>#REF!</v>
      </c>
      <c r="IN59" t="e">
        <f>AND(#REF!,"AAAAAH/7//c=")</f>
        <v>#REF!</v>
      </c>
      <c r="IO59" t="e">
        <f>AND(#REF!,"AAAAAH/7//g=")</f>
        <v>#REF!</v>
      </c>
      <c r="IP59" t="e">
        <f>AND(#REF!,"AAAAAH/7//k=")</f>
        <v>#REF!</v>
      </c>
      <c r="IQ59" t="e">
        <f>AND(#REF!,"AAAAAH/7//o=")</f>
        <v>#REF!</v>
      </c>
      <c r="IR59" t="e">
        <f>AND(#REF!,"AAAAAH/7//s=")</f>
        <v>#REF!</v>
      </c>
      <c r="IS59" t="e">
        <f>AND(#REF!,"AAAAAH/7//w=")</f>
        <v>#REF!</v>
      </c>
      <c r="IT59" t="e">
        <f>AND(#REF!,"AAAAAH/7//0=")</f>
        <v>#REF!</v>
      </c>
      <c r="IU59" t="e">
        <f>AND(#REF!,"AAAAAH/7//4=")</f>
        <v>#REF!</v>
      </c>
      <c r="IV59" t="e">
        <f>AND(#REF!,"AAAAAH/7//8=")</f>
        <v>#REF!</v>
      </c>
    </row>
    <row r="60" spans="1:256" x14ac:dyDescent="0.25">
      <c r="A60" t="e">
        <f>AND(#REF!,"AAAAAFev1wA=")</f>
        <v>#REF!</v>
      </c>
      <c r="B60" t="e">
        <f>AND(#REF!,"AAAAAFev1wE=")</f>
        <v>#REF!</v>
      </c>
      <c r="C60" t="e">
        <f>AND(#REF!,"AAAAAFev1wI=")</f>
        <v>#REF!</v>
      </c>
      <c r="D60" t="e">
        <f>AND(#REF!,"AAAAAFev1wM=")</f>
        <v>#REF!</v>
      </c>
      <c r="E60" t="e">
        <f>AND(#REF!,"AAAAAFev1wQ=")</f>
        <v>#REF!</v>
      </c>
      <c r="F60" t="e">
        <f>AND(#REF!,"AAAAAFev1wU=")</f>
        <v>#REF!</v>
      </c>
      <c r="G60" t="e">
        <f>AND(#REF!,"AAAAAFev1wY=")</f>
        <v>#REF!</v>
      </c>
      <c r="H60" t="e">
        <f>AND(#REF!,"AAAAAFev1wc=")</f>
        <v>#REF!</v>
      </c>
      <c r="I60" t="e">
        <f>AND(#REF!,"AAAAAFev1wg=")</f>
        <v>#REF!</v>
      </c>
      <c r="J60" t="e">
        <f>AND(#REF!,"AAAAAFev1wk=")</f>
        <v>#REF!</v>
      </c>
      <c r="K60" t="e">
        <f>AND(#REF!,"AAAAAFev1wo=")</f>
        <v>#REF!</v>
      </c>
      <c r="L60" t="e">
        <f>AND(#REF!,"AAAAAFev1ws=")</f>
        <v>#REF!</v>
      </c>
      <c r="M60" t="e">
        <f>AND(#REF!,"AAAAAFev1ww=")</f>
        <v>#REF!</v>
      </c>
      <c r="N60" t="e">
        <f>AND(#REF!,"AAAAAFev1w0=")</f>
        <v>#REF!</v>
      </c>
      <c r="O60" t="e">
        <f>AND(#REF!,"AAAAAFev1w4=")</f>
        <v>#REF!</v>
      </c>
      <c r="P60" t="e">
        <f>AND(#REF!,"AAAAAFev1w8=")</f>
        <v>#REF!</v>
      </c>
      <c r="Q60" t="e">
        <f>AND(#REF!,"AAAAAFev1xA=")</f>
        <v>#REF!</v>
      </c>
      <c r="R60" t="e">
        <f>AND(#REF!,"AAAAAFev1xE=")</f>
        <v>#REF!</v>
      </c>
      <c r="S60" t="e">
        <f>AND(#REF!,"AAAAAFev1xI=")</f>
        <v>#REF!</v>
      </c>
      <c r="T60" t="e">
        <f>AND(#REF!,"AAAAAFev1xM=")</f>
        <v>#REF!</v>
      </c>
      <c r="U60" t="e">
        <f>AND(#REF!,"AAAAAFev1xQ=")</f>
        <v>#REF!</v>
      </c>
      <c r="V60" t="e">
        <f>AND(#REF!,"AAAAAFev1xU=")</f>
        <v>#REF!</v>
      </c>
      <c r="W60" t="e">
        <f>AND(#REF!,"AAAAAFev1xY=")</f>
        <v>#REF!</v>
      </c>
      <c r="X60" t="e">
        <f>AND(#REF!,"AAAAAFev1xc=")</f>
        <v>#REF!</v>
      </c>
      <c r="Y60" t="e">
        <f>AND(#REF!,"AAAAAFev1xg=")</f>
        <v>#REF!</v>
      </c>
      <c r="Z60" t="e">
        <f>AND(#REF!,"AAAAAFev1xk=")</f>
        <v>#REF!</v>
      </c>
      <c r="AA60" t="e">
        <f>AND(#REF!,"AAAAAFev1xo=")</f>
        <v>#REF!</v>
      </c>
      <c r="AB60" t="e">
        <f>AND(#REF!,"AAAAAFev1xs=")</f>
        <v>#REF!</v>
      </c>
      <c r="AC60" t="e">
        <f>AND(#REF!,"AAAAAFev1xw=")</f>
        <v>#REF!</v>
      </c>
      <c r="AD60" t="e">
        <f>AND(#REF!,"AAAAAFev1x0=")</f>
        <v>#REF!</v>
      </c>
      <c r="AE60" t="e">
        <f>AND(#REF!,"AAAAAFev1x4=")</f>
        <v>#REF!</v>
      </c>
      <c r="AF60" t="e">
        <f>AND(#REF!,"AAAAAFev1x8=")</f>
        <v>#REF!</v>
      </c>
      <c r="AG60" t="e">
        <f>AND(#REF!,"AAAAAFev1yA=")</f>
        <v>#REF!</v>
      </c>
      <c r="AH60" t="e">
        <f>AND(#REF!,"AAAAAFev1yE=")</f>
        <v>#REF!</v>
      </c>
      <c r="AI60" t="e">
        <f>AND(#REF!,"AAAAAFev1yI=")</f>
        <v>#REF!</v>
      </c>
      <c r="AJ60" t="e">
        <f>AND(#REF!,"AAAAAFev1yM=")</f>
        <v>#REF!</v>
      </c>
      <c r="AK60" t="e">
        <f>AND(#REF!,"AAAAAFev1yQ=")</f>
        <v>#REF!</v>
      </c>
      <c r="AL60" t="e">
        <f>AND(#REF!,"AAAAAFev1yU=")</f>
        <v>#REF!</v>
      </c>
      <c r="AM60" t="e">
        <f>AND(#REF!,"AAAAAFev1yY=")</f>
        <v>#REF!</v>
      </c>
      <c r="AN60" t="e">
        <f>AND(#REF!,"AAAAAFev1yc=")</f>
        <v>#REF!</v>
      </c>
      <c r="AO60" t="e">
        <f>AND(#REF!,"AAAAAFev1yg=")</f>
        <v>#REF!</v>
      </c>
      <c r="AP60" t="e">
        <f>AND(#REF!,"AAAAAFev1yk=")</f>
        <v>#REF!</v>
      </c>
      <c r="AQ60" t="e">
        <f>AND(#REF!,"AAAAAFev1yo=")</f>
        <v>#REF!</v>
      </c>
      <c r="AR60" t="e">
        <f>AND(#REF!,"AAAAAFev1ys=")</f>
        <v>#REF!</v>
      </c>
      <c r="AS60" t="e">
        <f>AND(#REF!,"AAAAAFev1yw=")</f>
        <v>#REF!</v>
      </c>
      <c r="AT60" t="e">
        <f>AND(#REF!,"AAAAAFev1y0=")</f>
        <v>#REF!</v>
      </c>
      <c r="AU60" t="e">
        <f>AND(#REF!,"AAAAAFev1y4=")</f>
        <v>#REF!</v>
      </c>
      <c r="AV60" t="e">
        <f>AND(#REF!,"AAAAAFev1y8=")</f>
        <v>#REF!</v>
      </c>
      <c r="AW60" t="e">
        <f>AND(#REF!,"AAAAAFev1zA=")</f>
        <v>#REF!</v>
      </c>
      <c r="AX60" t="e">
        <f>AND(#REF!,"AAAAAFev1zE=")</f>
        <v>#REF!</v>
      </c>
      <c r="AY60" t="e">
        <f>AND(#REF!,"AAAAAFev1zI=")</f>
        <v>#REF!</v>
      </c>
      <c r="AZ60" t="e">
        <f>AND(#REF!,"AAAAAFev1zM=")</f>
        <v>#REF!</v>
      </c>
      <c r="BA60" t="e">
        <f>AND(#REF!,"AAAAAFev1zQ=")</f>
        <v>#REF!</v>
      </c>
      <c r="BB60" t="e">
        <f>AND(#REF!,"AAAAAFev1zU=")</f>
        <v>#REF!</v>
      </c>
      <c r="BC60" t="e">
        <f>AND(#REF!,"AAAAAFev1zY=")</f>
        <v>#REF!</v>
      </c>
      <c r="BD60" t="e">
        <f>AND(#REF!,"AAAAAFev1zc=")</f>
        <v>#REF!</v>
      </c>
      <c r="BE60" t="e">
        <f>AND(#REF!,"AAAAAFev1zg=")</f>
        <v>#REF!</v>
      </c>
      <c r="BF60" t="e">
        <f>AND(#REF!,"AAAAAFev1zk=")</f>
        <v>#REF!</v>
      </c>
      <c r="BG60" t="e">
        <f>AND(#REF!,"AAAAAFev1zo=")</f>
        <v>#REF!</v>
      </c>
      <c r="BH60" t="e">
        <f>AND(#REF!,"AAAAAFev1zs=")</f>
        <v>#REF!</v>
      </c>
      <c r="BI60" t="e">
        <f>AND(#REF!,"AAAAAFev1zw=")</f>
        <v>#REF!</v>
      </c>
      <c r="BJ60" t="e">
        <f>AND(#REF!,"AAAAAFev1z0=")</f>
        <v>#REF!</v>
      </c>
      <c r="BK60" t="e">
        <f>AND(#REF!,"AAAAAFev1z4=")</f>
        <v>#REF!</v>
      </c>
      <c r="BL60" t="e">
        <f>AND(#REF!,"AAAAAFev1z8=")</f>
        <v>#REF!</v>
      </c>
      <c r="BM60" t="e">
        <f>AND(#REF!,"AAAAAFev10A=")</f>
        <v>#REF!</v>
      </c>
      <c r="BN60" t="e">
        <f>AND(#REF!,"AAAAAFev10E=")</f>
        <v>#REF!</v>
      </c>
      <c r="BO60" t="e">
        <f>AND(#REF!,"AAAAAFev10I=")</f>
        <v>#REF!</v>
      </c>
      <c r="BP60" t="e">
        <f>AND(#REF!,"AAAAAFev10M=")</f>
        <v>#REF!</v>
      </c>
      <c r="BQ60" t="e">
        <f>AND(#REF!,"AAAAAFev10Q=")</f>
        <v>#REF!</v>
      </c>
      <c r="BR60" t="e">
        <f>AND(#REF!,"AAAAAFev10U=")</f>
        <v>#REF!</v>
      </c>
      <c r="BS60" t="e">
        <f>AND(#REF!,"AAAAAFev10Y=")</f>
        <v>#REF!</v>
      </c>
      <c r="BT60" t="e">
        <f>AND(#REF!,"AAAAAFev10c=")</f>
        <v>#REF!</v>
      </c>
      <c r="BU60" t="e">
        <f>AND(#REF!,"AAAAAFev10g=")</f>
        <v>#REF!</v>
      </c>
      <c r="BV60" t="e">
        <f>AND(#REF!,"AAAAAFev10k=")</f>
        <v>#REF!</v>
      </c>
      <c r="BW60" t="e">
        <f>AND(#REF!,"AAAAAFev10o=")</f>
        <v>#REF!</v>
      </c>
      <c r="BX60" t="e">
        <f>AND(#REF!,"AAAAAFev10s=")</f>
        <v>#REF!</v>
      </c>
      <c r="BY60" t="e">
        <f>AND(#REF!,"AAAAAFev10w=")</f>
        <v>#REF!</v>
      </c>
      <c r="BZ60" t="e">
        <f>AND(#REF!,"AAAAAFev100=")</f>
        <v>#REF!</v>
      </c>
      <c r="CA60" t="e">
        <f>AND(#REF!,"AAAAAFev104=")</f>
        <v>#REF!</v>
      </c>
      <c r="CB60" t="e">
        <f>AND(#REF!,"AAAAAFev108=")</f>
        <v>#REF!</v>
      </c>
      <c r="CC60" t="e">
        <f>AND(#REF!,"AAAAAFev11A=")</f>
        <v>#REF!</v>
      </c>
      <c r="CD60" t="e">
        <f>AND(#REF!,"AAAAAFev11E=")</f>
        <v>#REF!</v>
      </c>
      <c r="CE60" t="e">
        <f>AND(#REF!,"AAAAAFev11I=")</f>
        <v>#REF!</v>
      </c>
      <c r="CF60" t="e">
        <f>AND(#REF!,"AAAAAFev11M=")</f>
        <v>#REF!</v>
      </c>
      <c r="CG60" t="e">
        <f>AND(#REF!,"AAAAAFev11Q=")</f>
        <v>#REF!</v>
      </c>
      <c r="CH60" t="e">
        <f>AND(#REF!,"AAAAAFev11U=")</f>
        <v>#REF!</v>
      </c>
      <c r="CI60" t="e">
        <f>AND(#REF!,"AAAAAFev11Y=")</f>
        <v>#REF!</v>
      </c>
      <c r="CJ60" t="e">
        <f>AND(#REF!,"AAAAAFev11c=")</f>
        <v>#REF!</v>
      </c>
      <c r="CK60" t="e">
        <f>AND(#REF!,"AAAAAFev11g=")</f>
        <v>#REF!</v>
      </c>
      <c r="CL60" t="e">
        <f>AND(#REF!,"AAAAAFev11k=")</f>
        <v>#REF!</v>
      </c>
      <c r="CM60" t="e">
        <f>AND(#REF!,"AAAAAFev11o=")</f>
        <v>#REF!</v>
      </c>
      <c r="CN60" t="e">
        <f>AND(#REF!,"AAAAAFev11s=")</f>
        <v>#REF!</v>
      </c>
      <c r="CO60" t="e">
        <f>AND(#REF!,"AAAAAFev11w=")</f>
        <v>#REF!</v>
      </c>
      <c r="CP60" t="e">
        <f>AND(#REF!,"AAAAAFev110=")</f>
        <v>#REF!</v>
      </c>
      <c r="CQ60" t="e">
        <f>AND(#REF!,"AAAAAFev114=")</f>
        <v>#REF!</v>
      </c>
      <c r="CR60" t="e">
        <f>AND(#REF!,"AAAAAFev118=")</f>
        <v>#REF!</v>
      </c>
      <c r="CS60" t="e">
        <f>AND(#REF!,"AAAAAFev12A=")</f>
        <v>#REF!</v>
      </c>
      <c r="CT60" t="e">
        <f>AND(#REF!,"AAAAAFev12E=")</f>
        <v>#REF!</v>
      </c>
      <c r="CU60" t="e">
        <f>AND(#REF!,"AAAAAFev12I=")</f>
        <v>#REF!</v>
      </c>
      <c r="CV60" t="e">
        <f>AND(#REF!,"AAAAAFev12M=")</f>
        <v>#REF!</v>
      </c>
      <c r="CW60" t="e">
        <f>AND(#REF!,"AAAAAFev12Q=")</f>
        <v>#REF!</v>
      </c>
      <c r="CX60" t="e">
        <f>AND(#REF!,"AAAAAFev12U=")</f>
        <v>#REF!</v>
      </c>
      <c r="CY60" t="e">
        <f>AND(#REF!,"AAAAAFev12Y=")</f>
        <v>#REF!</v>
      </c>
      <c r="CZ60" t="e">
        <f>AND(#REF!,"AAAAAFev12c=")</f>
        <v>#REF!</v>
      </c>
      <c r="DA60" t="e">
        <f>AND(#REF!,"AAAAAFev12g=")</f>
        <v>#REF!</v>
      </c>
      <c r="DB60" t="e">
        <f>AND(#REF!,"AAAAAFev12k=")</f>
        <v>#REF!</v>
      </c>
      <c r="DC60" t="e">
        <f>AND(#REF!,"AAAAAFev12o=")</f>
        <v>#REF!</v>
      </c>
      <c r="DD60" t="e">
        <f>AND(#REF!,"AAAAAFev12s=")</f>
        <v>#REF!</v>
      </c>
      <c r="DE60" t="e">
        <f>AND(#REF!,"AAAAAFev12w=")</f>
        <v>#REF!</v>
      </c>
      <c r="DF60" t="e">
        <f>AND(#REF!,"AAAAAFev120=")</f>
        <v>#REF!</v>
      </c>
      <c r="DG60" t="e">
        <f>AND(#REF!,"AAAAAFev124=")</f>
        <v>#REF!</v>
      </c>
      <c r="DH60" t="e">
        <f>AND(#REF!,"AAAAAFev128=")</f>
        <v>#REF!</v>
      </c>
      <c r="DI60" t="e">
        <f>AND(#REF!,"AAAAAFev13A=")</f>
        <v>#REF!</v>
      </c>
      <c r="DJ60" t="e">
        <f>AND(#REF!,"AAAAAFev13E=")</f>
        <v>#REF!</v>
      </c>
      <c r="DK60" t="e">
        <f>AND(#REF!,"AAAAAFev13I=")</f>
        <v>#REF!</v>
      </c>
      <c r="DL60" t="e">
        <f>AND(#REF!,"AAAAAFev13M=")</f>
        <v>#REF!</v>
      </c>
      <c r="DM60" t="e">
        <f>AND(#REF!,"AAAAAFev13Q=")</f>
        <v>#REF!</v>
      </c>
      <c r="DN60" t="e">
        <f>AND(#REF!,"AAAAAFev13U=")</f>
        <v>#REF!</v>
      </c>
      <c r="DO60" t="e">
        <f>AND(#REF!,"AAAAAFev13Y=")</f>
        <v>#REF!</v>
      </c>
      <c r="DP60" t="e">
        <f>IF(#REF!,"AAAAAFev13c=",0)</f>
        <v>#REF!</v>
      </c>
      <c r="DQ60" t="e">
        <f>AND(#REF!,"AAAAAFev13g=")</f>
        <v>#REF!</v>
      </c>
      <c r="DR60" t="e">
        <f>AND(#REF!,"AAAAAFev13k=")</f>
        <v>#REF!</v>
      </c>
      <c r="DS60" t="e">
        <f>AND(#REF!,"AAAAAFev13o=")</f>
        <v>#REF!</v>
      </c>
      <c r="DT60" t="e">
        <f>AND(#REF!,"AAAAAFev13s=")</f>
        <v>#REF!</v>
      </c>
      <c r="DU60" t="e">
        <f>AND(#REF!,"AAAAAFev13w=")</f>
        <v>#REF!</v>
      </c>
      <c r="DV60" t="e">
        <f>AND(#REF!,"AAAAAFev130=")</f>
        <v>#REF!</v>
      </c>
      <c r="DW60" t="e">
        <f>AND(#REF!,"AAAAAFev134=")</f>
        <v>#REF!</v>
      </c>
      <c r="DX60" t="e">
        <f>AND(#REF!,"AAAAAFev138=")</f>
        <v>#REF!</v>
      </c>
      <c r="DY60" t="e">
        <f>AND(#REF!,"AAAAAFev14A=")</f>
        <v>#REF!</v>
      </c>
      <c r="DZ60" t="e">
        <f>AND(#REF!,"AAAAAFev14E=")</f>
        <v>#REF!</v>
      </c>
      <c r="EA60" t="e">
        <f>AND(#REF!,"AAAAAFev14I=")</f>
        <v>#REF!</v>
      </c>
      <c r="EB60" t="e">
        <f>AND(#REF!,"AAAAAFev14M=")</f>
        <v>#REF!</v>
      </c>
      <c r="EC60" t="e">
        <f>AND(#REF!,"AAAAAFev14Q=")</f>
        <v>#REF!</v>
      </c>
      <c r="ED60" t="e">
        <f>AND(#REF!,"AAAAAFev14U=")</f>
        <v>#REF!</v>
      </c>
      <c r="EE60" t="e">
        <f>AND(#REF!,"AAAAAFev14Y=")</f>
        <v>#REF!</v>
      </c>
      <c r="EF60" t="e">
        <f>AND(#REF!,"AAAAAFev14c=")</f>
        <v>#REF!</v>
      </c>
      <c r="EG60" t="e">
        <f>AND(#REF!,"AAAAAFev14g=")</f>
        <v>#REF!</v>
      </c>
      <c r="EH60" t="e">
        <f>AND(#REF!,"AAAAAFev14k=")</f>
        <v>#REF!</v>
      </c>
      <c r="EI60" t="e">
        <f>AND(#REF!,"AAAAAFev14o=")</f>
        <v>#REF!</v>
      </c>
      <c r="EJ60" t="e">
        <f>AND(#REF!,"AAAAAFev14s=")</f>
        <v>#REF!</v>
      </c>
      <c r="EK60" t="e">
        <f>AND(#REF!,"AAAAAFev14w=")</f>
        <v>#REF!</v>
      </c>
      <c r="EL60" t="e">
        <f>AND(#REF!,"AAAAAFev140=")</f>
        <v>#REF!</v>
      </c>
      <c r="EM60" t="e">
        <f>AND(#REF!,"AAAAAFev144=")</f>
        <v>#REF!</v>
      </c>
      <c r="EN60" t="e">
        <f>AND(#REF!,"AAAAAFev148=")</f>
        <v>#REF!</v>
      </c>
      <c r="EO60" t="e">
        <f>AND(#REF!,"AAAAAFev15A=")</f>
        <v>#REF!</v>
      </c>
      <c r="EP60" t="e">
        <f>AND(#REF!,"AAAAAFev15E=")</f>
        <v>#REF!</v>
      </c>
      <c r="EQ60" t="e">
        <f>AND(#REF!,"AAAAAFev15I=")</f>
        <v>#REF!</v>
      </c>
      <c r="ER60" t="e">
        <f>AND(#REF!,"AAAAAFev15M=")</f>
        <v>#REF!</v>
      </c>
      <c r="ES60" t="e">
        <f>AND(#REF!,"AAAAAFev15Q=")</f>
        <v>#REF!</v>
      </c>
      <c r="ET60" t="e">
        <f>AND(#REF!,"AAAAAFev15U=")</f>
        <v>#REF!</v>
      </c>
      <c r="EU60" t="e">
        <f>AND(#REF!,"AAAAAFev15Y=")</f>
        <v>#REF!</v>
      </c>
      <c r="EV60" t="e">
        <f>AND(#REF!,"AAAAAFev15c=")</f>
        <v>#REF!</v>
      </c>
      <c r="EW60" t="e">
        <f>AND(#REF!,"AAAAAFev15g=")</f>
        <v>#REF!</v>
      </c>
      <c r="EX60" t="e">
        <f>AND(#REF!,"AAAAAFev15k=")</f>
        <v>#REF!</v>
      </c>
      <c r="EY60" t="e">
        <f>AND(#REF!,"AAAAAFev15o=")</f>
        <v>#REF!</v>
      </c>
      <c r="EZ60" t="e">
        <f>AND(#REF!,"AAAAAFev15s=")</f>
        <v>#REF!</v>
      </c>
      <c r="FA60" t="e">
        <f>AND(#REF!,"AAAAAFev15w=")</f>
        <v>#REF!</v>
      </c>
      <c r="FB60" t="e">
        <f>AND(#REF!,"AAAAAFev150=")</f>
        <v>#REF!</v>
      </c>
      <c r="FC60" t="e">
        <f>AND(#REF!,"AAAAAFev154=")</f>
        <v>#REF!</v>
      </c>
      <c r="FD60" t="e">
        <f>AND(#REF!,"AAAAAFev158=")</f>
        <v>#REF!</v>
      </c>
      <c r="FE60" t="e">
        <f>AND(#REF!,"AAAAAFev16A=")</f>
        <v>#REF!</v>
      </c>
      <c r="FF60" t="e">
        <f>AND(#REF!,"AAAAAFev16E=")</f>
        <v>#REF!</v>
      </c>
      <c r="FG60" t="e">
        <f>AND(#REF!,"AAAAAFev16I=")</f>
        <v>#REF!</v>
      </c>
      <c r="FH60" t="e">
        <f>AND(#REF!,"AAAAAFev16M=")</f>
        <v>#REF!</v>
      </c>
      <c r="FI60" t="e">
        <f>AND(#REF!,"AAAAAFev16Q=")</f>
        <v>#REF!</v>
      </c>
      <c r="FJ60" t="e">
        <f>AND(#REF!,"AAAAAFev16U=")</f>
        <v>#REF!</v>
      </c>
      <c r="FK60" t="e">
        <f>AND(#REF!,"AAAAAFev16Y=")</f>
        <v>#REF!</v>
      </c>
      <c r="FL60" t="e">
        <f>AND(#REF!,"AAAAAFev16c=")</f>
        <v>#REF!</v>
      </c>
      <c r="FM60" t="e">
        <f>AND(#REF!,"AAAAAFev16g=")</f>
        <v>#REF!</v>
      </c>
      <c r="FN60" t="e">
        <f>AND(#REF!,"AAAAAFev16k=")</f>
        <v>#REF!</v>
      </c>
      <c r="FO60" t="e">
        <f>AND(#REF!,"AAAAAFev16o=")</f>
        <v>#REF!</v>
      </c>
      <c r="FP60" t="e">
        <f>AND(#REF!,"AAAAAFev16s=")</f>
        <v>#REF!</v>
      </c>
      <c r="FQ60" t="e">
        <f>AND(#REF!,"AAAAAFev16w=")</f>
        <v>#REF!</v>
      </c>
      <c r="FR60" t="e">
        <f>AND(#REF!,"AAAAAFev160=")</f>
        <v>#REF!</v>
      </c>
      <c r="FS60" t="e">
        <f>AND(#REF!,"AAAAAFev164=")</f>
        <v>#REF!</v>
      </c>
      <c r="FT60" t="e">
        <f>AND(#REF!,"AAAAAFev168=")</f>
        <v>#REF!</v>
      </c>
      <c r="FU60" t="e">
        <f>AND(#REF!,"AAAAAFev17A=")</f>
        <v>#REF!</v>
      </c>
      <c r="FV60" t="e">
        <f>AND(#REF!,"AAAAAFev17E=")</f>
        <v>#REF!</v>
      </c>
      <c r="FW60" t="e">
        <f>AND(#REF!,"AAAAAFev17I=")</f>
        <v>#REF!</v>
      </c>
      <c r="FX60" t="e">
        <f>AND(#REF!,"AAAAAFev17M=")</f>
        <v>#REF!</v>
      </c>
      <c r="FY60" t="e">
        <f>AND(#REF!,"AAAAAFev17Q=")</f>
        <v>#REF!</v>
      </c>
      <c r="FZ60" t="e">
        <f>AND(#REF!,"AAAAAFev17U=")</f>
        <v>#REF!</v>
      </c>
      <c r="GA60" t="e">
        <f>AND(#REF!,"AAAAAFev17Y=")</f>
        <v>#REF!</v>
      </c>
      <c r="GB60" t="e">
        <f>AND(#REF!,"AAAAAFev17c=")</f>
        <v>#REF!</v>
      </c>
      <c r="GC60" t="e">
        <f>AND(#REF!,"AAAAAFev17g=")</f>
        <v>#REF!</v>
      </c>
      <c r="GD60" t="e">
        <f>AND(#REF!,"AAAAAFev17k=")</f>
        <v>#REF!</v>
      </c>
      <c r="GE60" t="e">
        <f>AND(#REF!,"AAAAAFev17o=")</f>
        <v>#REF!</v>
      </c>
      <c r="GF60" t="e">
        <f>AND(#REF!,"AAAAAFev17s=")</f>
        <v>#REF!</v>
      </c>
      <c r="GG60" t="e">
        <f>AND(#REF!,"AAAAAFev17w=")</f>
        <v>#REF!</v>
      </c>
      <c r="GH60" t="e">
        <f>AND(#REF!,"AAAAAFev170=")</f>
        <v>#REF!</v>
      </c>
      <c r="GI60" t="e">
        <f>AND(#REF!,"AAAAAFev174=")</f>
        <v>#REF!</v>
      </c>
      <c r="GJ60" t="e">
        <f>AND(#REF!,"AAAAAFev178=")</f>
        <v>#REF!</v>
      </c>
      <c r="GK60" t="e">
        <f>AND(#REF!,"AAAAAFev18A=")</f>
        <v>#REF!</v>
      </c>
      <c r="GL60" t="e">
        <f>AND(#REF!,"AAAAAFev18E=")</f>
        <v>#REF!</v>
      </c>
      <c r="GM60" t="e">
        <f>AND(#REF!,"AAAAAFev18I=")</f>
        <v>#REF!</v>
      </c>
      <c r="GN60" t="e">
        <f>AND(#REF!,"AAAAAFev18M=")</f>
        <v>#REF!</v>
      </c>
      <c r="GO60" t="e">
        <f>AND(#REF!,"AAAAAFev18Q=")</f>
        <v>#REF!</v>
      </c>
      <c r="GP60" t="e">
        <f>AND(#REF!,"AAAAAFev18U=")</f>
        <v>#REF!</v>
      </c>
      <c r="GQ60" t="e">
        <f>AND(#REF!,"AAAAAFev18Y=")</f>
        <v>#REF!</v>
      </c>
      <c r="GR60" t="e">
        <f>AND(#REF!,"AAAAAFev18c=")</f>
        <v>#REF!</v>
      </c>
      <c r="GS60" t="e">
        <f>AND(#REF!,"AAAAAFev18g=")</f>
        <v>#REF!</v>
      </c>
      <c r="GT60" t="e">
        <f>AND(#REF!,"AAAAAFev18k=")</f>
        <v>#REF!</v>
      </c>
      <c r="GU60" t="e">
        <f>AND(#REF!,"AAAAAFev18o=")</f>
        <v>#REF!</v>
      </c>
      <c r="GV60" t="e">
        <f>AND(#REF!,"AAAAAFev18s=")</f>
        <v>#REF!</v>
      </c>
      <c r="GW60" t="e">
        <f>AND(#REF!,"AAAAAFev18w=")</f>
        <v>#REF!</v>
      </c>
      <c r="GX60" t="e">
        <f>AND(#REF!,"AAAAAFev180=")</f>
        <v>#REF!</v>
      </c>
      <c r="GY60" t="e">
        <f>AND(#REF!,"AAAAAFev184=")</f>
        <v>#REF!</v>
      </c>
      <c r="GZ60" t="e">
        <f>AND(#REF!,"AAAAAFev188=")</f>
        <v>#REF!</v>
      </c>
      <c r="HA60" t="e">
        <f>AND(#REF!,"AAAAAFev19A=")</f>
        <v>#REF!</v>
      </c>
      <c r="HB60" t="e">
        <f>AND(#REF!,"AAAAAFev19E=")</f>
        <v>#REF!</v>
      </c>
      <c r="HC60" t="e">
        <f>AND(#REF!,"AAAAAFev19I=")</f>
        <v>#REF!</v>
      </c>
      <c r="HD60" t="e">
        <f>AND(#REF!,"AAAAAFev19M=")</f>
        <v>#REF!</v>
      </c>
      <c r="HE60" t="e">
        <f>AND(#REF!,"AAAAAFev19Q=")</f>
        <v>#REF!</v>
      </c>
      <c r="HF60" t="e">
        <f>AND(#REF!,"AAAAAFev19U=")</f>
        <v>#REF!</v>
      </c>
      <c r="HG60" t="e">
        <f>AND(#REF!,"AAAAAFev19Y=")</f>
        <v>#REF!</v>
      </c>
      <c r="HH60" t="e">
        <f>AND(#REF!,"AAAAAFev19c=")</f>
        <v>#REF!</v>
      </c>
      <c r="HI60" t="e">
        <f>AND(#REF!,"AAAAAFev19g=")</f>
        <v>#REF!</v>
      </c>
      <c r="HJ60" t="e">
        <f>AND(#REF!,"AAAAAFev19k=")</f>
        <v>#REF!</v>
      </c>
      <c r="HK60" t="e">
        <f>AND(#REF!,"AAAAAFev19o=")</f>
        <v>#REF!</v>
      </c>
      <c r="HL60" t="e">
        <f>AND(#REF!,"AAAAAFev19s=")</f>
        <v>#REF!</v>
      </c>
      <c r="HM60" t="e">
        <f>AND(#REF!,"AAAAAFev19w=")</f>
        <v>#REF!</v>
      </c>
      <c r="HN60" t="e">
        <f>AND(#REF!,"AAAAAFev190=")</f>
        <v>#REF!</v>
      </c>
      <c r="HO60" t="e">
        <f>AND(#REF!,"AAAAAFev194=")</f>
        <v>#REF!</v>
      </c>
      <c r="HP60" t="e">
        <f>AND(#REF!,"AAAAAFev198=")</f>
        <v>#REF!</v>
      </c>
      <c r="HQ60" t="e">
        <f>AND(#REF!,"AAAAAFev1+A=")</f>
        <v>#REF!</v>
      </c>
      <c r="HR60" t="e">
        <f>AND(#REF!,"AAAAAFev1+E=")</f>
        <v>#REF!</v>
      </c>
      <c r="HS60" t="e">
        <f>AND(#REF!,"AAAAAFev1+I=")</f>
        <v>#REF!</v>
      </c>
      <c r="HT60" t="e">
        <f>AND(#REF!,"AAAAAFev1+M=")</f>
        <v>#REF!</v>
      </c>
      <c r="HU60" t="e">
        <f>AND(#REF!,"AAAAAFev1+Q=")</f>
        <v>#REF!</v>
      </c>
      <c r="HV60" t="e">
        <f>AND(#REF!,"AAAAAFev1+U=")</f>
        <v>#REF!</v>
      </c>
      <c r="HW60" t="e">
        <f>AND(#REF!,"AAAAAFev1+Y=")</f>
        <v>#REF!</v>
      </c>
      <c r="HX60" t="e">
        <f>AND(#REF!,"AAAAAFev1+c=")</f>
        <v>#REF!</v>
      </c>
      <c r="HY60" t="e">
        <f>AND(#REF!,"AAAAAFev1+g=")</f>
        <v>#REF!</v>
      </c>
      <c r="HZ60" t="e">
        <f>AND(#REF!,"AAAAAFev1+k=")</f>
        <v>#REF!</v>
      </c>
      <c r="IA60" t="e">
        <f>AND(#REF!,"AAAAAFev1+o=")</f>
        <v>#REF!</v>
      </c>
      <c r="IB60" t="e">
        <f>AND(#REF!,"AAAAAFev1+s=")</f>
        <v>#REF!</v>
      </c>
      <c r="IC60" t="e">
        <f>AND(#REF!,"AAAAAFev1+w=")</f>
        <v>#REF!</v>
      </c>
      <c r="ID60" t="e">
        <f>AND(#REF!,"AAAAAFev1+0=")</f>
        <v>#REF!</v>
      </c>
      <c r="IE60" t="e">
        <f>AND(#REF!,"AAAAAFev1+4=")</f>
        <v>#REF!</v>
      </c>
      <c r="IF60" t="e">
        <f>AND(#REF!,"AAAAAFev1+8=")</f>
        <v>#REF!</v>
      </c>
      <c r="IG60" t="e">
        <f>AND(#REF!,"AAAAAFev1/A=")</f>
        <v>#REF!</v>
      </c>
      <c r="IH60" t="e">
        <f>AND(#REF!,"AAAAAFev1/E=")</f>
        <v>#REF!</v>
      </c>
      <c r="II60" t="e">
        <f>AND(#REF!,"AAAAAFev1/I=")</f>
        <v>#REF!</v>
      </c>
      <c r="IJ60" t="e">
        <f>AND(#REF!,"AAAAAFev1/M=")</f>
        <v>#REF!</v>
      </c>
      <c r="IK60" t="e">
        <f>AND(#REF!,"AAAAAFev1/Q=")</f>
        <v>#REF!</v>
      </c>
      <c r="IL60" t="e">
        <f>AND(#REF!,"AAAAAFev1/U=")</f>
        <v>#REF!</v>
      </c>
      <c r="IM60" t="e">
        <f>AND(#REF!,"AAAAAFev1/Y=")</f>
        <v>#REF!</v>
      </c>
      <c r="IN60" t="e">
        <f>AND(#REF!,"AAAAAFev1/c=")</f>
        <v>#REF!</v>
      </c>
      <c r="IO60" t="e">
        <f>AND(#REF!,"AAAAAFev1/g=")</f>
        <v>#REF!</v>
      </c>
      <c r="IP60" t="e">
        <f>AND(#REF!,"AAAAAFev1/k=")</f>
        <v>#REF!</v>
      </c>
      <c r="IQ60" t="e">
        <f>AND(#REF!,"AAAAAFev1/o=")</f>
        <v>#REF!</v>
      </c>
      <c r="IR60" t="e">
        <f>AND(#REF!,"AAAAAFev1/s=")</f>
        <v>#REF!</v>
      </c>
      <c r="IS60" t="e">
        <f>AND(#REF!,"AAAAAFev1/w=")</f>
        <v>#REF!</v>
      </c>
      <c r="IT60" t="e">
        <f>AND(#REF!,"AAAAAFev1/0=")</f>
        <v>#REF!</v>
      </c>
      <c r="IU60" t="e">
        <f>AND(#REF!,"AAAAAFev1/4=")</f>
        <v>#REF!</v>
      </c>
      <c r="IV60" t="e">
        <f>AND(#REF!,"AAAAAFev1/8=")</f>
        <v>#REF!</v>
      </c>
    </row>
    <row r="61" spans="1:256" x14ac:dyDescent="0.25">
      <c r="A61" t="e">
        <f>AND(#REF!,"AAAAAGz//gA=")</f>
        <v>#REF!</v>
      </c>
      <c r="B61" t="e">
        <f>AND(#REF!,"AAAAAGz//gE=")</f>
        <v>#REF!</v>
      </c>
      <c r="C61" t="e">
        <f>AND(#REF!,"AAAAAGz//gI=")</f>
        <v>#REF!</v>
      </c>
      <c r="D61" t="e">
        <f>AND(#REF!,"AAAAAGz//gM=")</f>
        <v>#REF!</v>
      </c>
      <c r="E61" t="e">
        <f>AND(#REF!,"AAAAAGz//gQ=")</f>
        <v>#REF!</v>
      </c>
      <c r="F61" t="e">
        <f>AND(#REF!,"AAAAAGz//gU=")</f>
        <v>#REF!</v>
      </c>
      <c r="G61" t="e">
        <f>AND(#REF!,"AAAAAGz//gY=")</f>
        <v>#REF!</v>
      </c>
      <c r="H61" t="e">
        <f>AND(#REF!,"AAAAAGz//gc=")</f>
        <v>#REF!</v>
      </c>
      <c r="I61" t="e">
        <f>AND(#REF!,"AAAAAGz//gg=")</f>
        <v>#REF!</v>
      </c>
      <c r="J61" t="e">
        <f>AND(#REF!,"AAAAAGz//gk=")</f>
        <v>#REF!</v>
      </c>
      <c r="K61" t="e">
        <f>AND(#REF!,"AAAAAGz//go=")</f>
        <v>#REF!</v>
      </c>
      <c r="L61" t="e">
        <f>AND(#REF!,"AAAAAGz//gs=")</f>
        <v>#REF!</v>
      </c>
      <c r="M61" t="e">
        <f>AND(#REF!,"AAAAAGz//gw=")</f>
        <v>#REF!</v>
      </c>
      <c r="N61" t="e">
        <f>AND(#REF!,"AAAAAGz//g0=")</f>
        <v>#REF!</v>
      </c>
      <c r="O61" t="e">
        <f>AND(#REF!,"AAAAAGz//g4=")</f>
        <v>#REF!</v>
      </c>
      <c r="P61" t="e">
        <f>AND(#REF!,"AAAAAGz//g8=")</f>
        <v>#REF!</v>
      </c>
      <c r="Q61" t="e">
        <f>AND(#REF!,"AAAAAGz//hA=")</f>
        <v>#REF!</v>
      </c>
      <c r="R61" t="e">
        <f>AND(#REF!,"AAAAAGz//hE=")</f>
        <v>#REF!</v>
      </c>
      <c r="S61" t="e">
        <f>AND(#REF!,"AAAAAGz//hI=")</f>
        <v>#REF!</v>
      </c>
      <c r="T61" t="e">
        <f>AND(#REF!,"AAAAAGz//hM=")</f>
        <v>#REF!</v>
      </c>
      <c r="U61" t="e">
        <f>AND(#REF!,"AAAAAGz//hQ=")</f>
        <v>#REF!</v>
      </c>
      <c r="V61" t="e">
        <f>AND(#REF!,"AAAAAGz//hU=")</f>
        <v>#REF!</v>
      </c>
      <c r="W61" t="e">
        <f>AND(#REF!,"AAAAAGz//hY=")</f>
        <v>#REF!</v>
      </c>
      <c r="X61" t="e">
        <f>AND(#REF!,"AAAAAGz//hc=")</f>
        <v>#REF!</v>
      </c>
      <c r="Y61" t="e">
        <f>AND(#REF!,"AAAAAGz//hg=")</f>
        <v>#REF!</v>
      </c>
      <c r="Z61" t="e">
        <f>AND(#REF!,"AAAAAGz//hk=")</f>
        <v>#REF!</v>
      </c>
      <c r="AA61" t="e">
        <f>AND(#REF!,"AAAAAGz//ho=")</f>
        <v>#REF!</v>
      </c>
      <c r="AB61" t="e">
        <f>AND(#REF!,"AAAAAGz//hs=")</f>
        <v>#REF!</v>
      </c>
      <c r="AC61" t="e">
        <f>AND(#REF!,"AAAAAGz//hw=")</f>
        <v>#REF!</v>
      </c>
      <c r="AD61" t="e">
        <f>AND(#REF!,"AAAAAGz//h0=")</f>
        <v>#REF!</v>
      </c>
      <c r="AE61" t="e">
        <f>AND(#REF!,"AAAAAGz//h4=")</f>
        <v>#REF!</v>
      </c>
      <c r="AF61" t="e">
        <f>AND(#REF!,"AAAAAGz//h8=")</f>
        <v>#REF!</v>
      </c>
      <c r="AG61" t="e">
        <f>AND(#REF!,"AAAAAGz//iA=")</f>
        <v>#REF!</v>
      </c>
      <c r="AH61" t="e">
        <f>AND(#REF!,"AAAAAGz//iE=")</f>
        <v>#REF!</v>
      </c>
      <c r="AI61" t="e">
        <f>AND(#REF!,"AAAAAGz//iI=")</f>
        <v>#REF!</v>
      </c>
      <c r="AJ61" t="e">
        <f>AND(#REF!,"AAAAAGz//iM=")</f>
        <v>#REF!</v>
      </c>
      <c r="AK61" t="e">
        <f>AND(#REF!,"AAAAAGz//iQ=")</f>
        <v>#REF!</v>
      </c>
      <c r="AL61" t="e">
        <f>AND(#REF!,"AAAAAGz//iU=")</f>
        <v>#REF!</v>
      </c>
      <c r="AM61" t="e">
        <f>AND(#REF!,"AAAAAGz//iY=")</f>
        <v>#REF!</v>
      </c>
      <c r="AN61" t="e">
        <f>AND(#REF!,"AAAAAGz//ic=")</f>
        <v>#REF!</v>
      </c>
      <c r="AO61" t="e">
        <f>AND(#REF!,"AAAAAGz//ig=")</f>
        <v>#REF!</v>
      </c>
      <c r="AP61" t="e">
        <f>IF(#REF!,"AAAAAGz//ik=",0)</f>
        <v>#REF!</v>
      </c>
      <c r="AQ61" t="e">
        <f>AND(#REF!,"AAAAAGz//io=")</f>
        <v>#REF!</v>
      </c>
      <c r="AR61" t="e">
        <f>AND(#REF!,"AAAAAGz//is=")</f>
        <v>#REF!</v>
      </c>
      <c r="AS61" t="e">
        <f>AND(#REF!,"AAAAAGz//iw=")</f>
        <v>#REF!</v>
      </c>
      <c r="AT61" t="e">
        <f>AND(#REF!,"AAAAAGz//i0=")</f>
        <v>#REF!</v>
      </c>
      <c r="AU61" t="e">
        <f>AND(#REF!,"AAAAAGz//i4=")</f>
        <v>#REF!</v>
      </c>
      <c r="AV61" t="e">
        <f>AND(#REF!,"AAAAAGz//i8=")</f>
        <v>#REF!</v>
      </c>
      <c r="AW61" t="e">
        <f>AND(#REF!,"AAAAAGz//jA=")</f>
        <v>#REF!</v>
      </c>
      <c r="AX61" t="e">
        <f>AND(#REF!,"AAAAAGz//jE=")</f>
        <v>#REF!</v>
      </c>
      <c r="AY61" t="e">
        <f>AND(#REF!,"AAAAAGz//jI=")</f>
        <v>#REF!</v>
      </c>
      <c r="AZ61" t="e">
        <f>AND(#REF!,"AAAAAGz//jM=")</f>
        <v>#REF!</v>
      </c>
      <c r="BA61" t="e">
        <f>AND(#REF!,"AAAAAGz//jQ=")</f>
        <v>#REF!</v>
      </c>
      <c r="BB61" t="e">
        <f>AND(#REF!,"AAAAAGz//jU=")</f>
        <v>#REF!</v>
      </c>
      <c r="BC61" t="e">
        <f>AND(#REF!,"AAAAAGz//jY=")</f>
        <v>#REF!</v>
      </c>
      <c r="BD61" t="e">
        <f>AND(#REF!,"AAAAAGz//jc=")</f>
        <v>#REF!</v>
      </c>
      <c r="BE61" t="e">
        <f>AND(#REF!,"AAAAAGz//jg=")</f>
        <v>#REF!</v>
      </c>
      <c r="BF61" t="e">
        <f>AND(#REF!,"AAAAAGz//jk=")</f>
        <v>#REF!</v>
      </c>
      <c r="BG61" t="e">
        <f>AND(#REF!,"AAAAAGz//jo=")</f>
        <v>#REF!</v>
      </c>
      <c r="BH61" t="e">
        <f>AND(#REF!,"AAAAAGz//js=")</f>
        <v>#REF!</v>
      </c>
      <c r="BI61" t="e">
        <f>AND(#REF!,"AAAAAGz//jw=")</f>
        <v>#REF!</v>
      </c>
      <c r="BJ61" t="e">
        <f>AND(#REF!,"AAAAAGz//j0=")</f>
        <v>#REF!</v>
      </c>
      <c r="BK61" t="e">
        <f>AND(#REF!,"AAAAAGz//j4=")</f>
        <v>#REF!</v>
      </c>
      <c r="BL61" t="e">
        <f>AND(#REF!,"AAAAAGz//j8=")</f>
        <v>#REF!</v>
      </c>
      <c r="BM61" t="e">
        <f>AND(#REF!,"AAAAAGz//kA=")</f>
        <v>#REF!</v>
      </c>
      <c r="BN61" t="e">
        <f>AND(#REF!,"AAAAAGz//kE=")</f>
        <v>#REF!</v>
      </c>
      <c r="BO61" t="e">
        <f>AND(#REF!,"AAAAAGz//kI=")</f>
        <v>#REF!</v>
      </c>
      <c r="BP61" t="e">
        <f>AND(#REF!,"AAAAAGz//kM=")</f>
        <v>#REF!</v>
      </c>
      <c r="BQ61" t="e">
        <f>AND(#REF!,"AAAAAGz//kQ=")</f>
        <v>#REF!</v>
      </c>
      <c r="BR61" t="e">
        <f>AND(#REF!,"AAAAAGz//kU=")</f>
        <v>#REF!</v>
      </c>
      <c r="BS61" t="e">
        <f>AND(#REF!,"AAAAAGz//kY=")</f>
        <v>#REF!</v>
      </c>
      <c r="BT61" t="e">
        <f>AND(#REF!,"AAAAAGz//kc=")</f>
        <v>#REF!</v>
      </c>
      <c r="BU61" t="e">
        <f>AND(#REF!,"AAAAAGz//kg=")</f>
        <v>#REF!</v>
      </c>
      <c r="BV61" t="e">
        <f>AND(#REF!,"AAAAAGz//kk=")</f>
        <v>#REF!</v>
      </c>
      <c r="BW61" t="e">
        <f>AND(#REF!,"AAAAAGz//ko=")</f>
        <v>#REF!</v>
      </c>
      <c r="BX61" t="e">
        <f>AND(#REF!,"AAAAAGz//ks=")</f>
        <v>#REF!</v>
      </c>
      <c r="BY61" t="e">
        <f>AND(#REF!,"AAAAAGz//kw=")</f>
        <v>#REF!</v>
      </c>
      <c r="BZ61" t="e">
        <f>AND(#REF!,"AAAAAGz//k0=")</f>
        <v>#REF!</v>
      </c>
      <c r="CA61" t="e">
        <f>AND(#REF!,"AAAAAGz//k4=")</f>
        <v>#REF!</v>
      </c>
      <c r="CB61" t="e">
        <f>AND(#REF!,"AAAAAGz//k8=")</f>
        <v>#REF!</v>
      </c>
      <c r="CC61" t="e">
        <f>AND(#REF!,"AAAAAGz//lA=")</f>
        <v>#REF!</v>
      </c>
      <c r="CD61" t="e">
        <f>AND(#REF!,"AAAAAGz//lE=")</f>
        <v>#REF!</v>
      </c>
      <c r="CE61" t="e">
        <f>AND(#REF!,"AAAAAGz//lI=")</f>
        <v>#REF!</v>
      </c>
      <c r="CF61" t="e">
        <f>AND(#REF!,"AAAAAGz//lM=")</f>
        <v>#REF!</v>
      </c>
      <c r="CG61" t="e">
        <f>AND(#REF!,"AAAAAGz//lQ=")</f>
        <v>#REF!</v>
      </c>
      <c r="CH61" t="e">
        <f>AND(#REF!,"AAAAAGz//lU=")</f>
        <v>#REF!</v>
      </c>
      <c r="CI61" t="e">
        <f>AND(#REF!,"AAAAAGz//lY=")</f>
        <v>#REF!</v>
      </c>
      <c r="CJ61" t="e">
        <f>AND(#REF!,"AAAAAGz//lc=")</f>
        <v>#REF!</v>
      </c>
      <c r="CK61" t="e">
        <f>AND(#REF!,"AAAAAGz//lg=")</f>
        <v>#REF!</v>
      </c>
      <c r="CL61" t="e">
        <f>AND(#REF!,"AAAAAGz//lk=")</f>
        <v>#REF!</v>
      </c>
      <c r="CM61" t="e">
        <f>AND(#REF!,"AAAAAGz//lo=")</f>
        <v>#REF!</v>
      </c>
      <c r="CN61" t="e">
        <f>AND(#REF!,"AAAAAGz//ls=")</f>
        <v>#REF!</v>
      </c>
      <c r="CO61" t="e">
        <f>AND(#REF!,"AAAAAGz//lw=")</f>
        <v>#REF!</v>
      </c>
      <c r="CP61" t="e">
        <f>AND(#REF!,"AAAAAGz//l0=")</f>
        <v>#REF!</v>
      </c>
      <c r="CQ61" t="e">
        <f>AND(#REF!,"AAAAAGz//l4=")</f>
        <v>#REF!</v>
      </c>
      <c r="CR61" t="e">
        <f>AND(#REF!,"AAAAAGz//l8=")</f>
        <v>#REF!</v>
      </c>
      <c r="CS61" t="e">
        <f>AND(#REF!,"AAAAAGz//mA=")</f>
        <v>#REF!</v>
      </c>
      <c r="CT61" t="e">
        <f>AND(#REF!,"AAAAAGz//mE=")</f>
        <v>#REF!</v>
      </c>
      <c r="CU61" t="e">
        <f>AND(#REF!,"AAAAAGz//mI=")</f>
        <v>#REF!</v>
      </c>
      <c r="CV61" t="e">
        <f>AND(#REF!,"AAAAAGz//mM=")</f>
        <v>#REF!</v>
      </c>
      <c r="CW61" t="e">
        <f>AND(#REF!,"AAAAAGz//mQ=")</f>
        <v>#REF!</v>
      </c>
      <c r="CX61" t="e">
        <f>AND(#REF!,"AAAAAGz//mU=")</f>
        <v>#REF!</v>
      </c>
      <c r="CY61" t="e">
        <f>AND(#REF!,"AAAAAGz//mY=")</f>
        <v>#REF!</v>
      </c>
      <c r="CZ61" t="e">
        <f>AND(#REF!,"AAAAAGz//mc=")</f>
        <v>#REF!</v>
      </c>
      <c r="DA61" t="e">
        <f>AND(#REF!,"AAAAAGz//mg=")</f>
        <v>#REF!</v>
      </c>
      <c r="DB61" t="e">
        <f>AND(#REF!,"AAAAAGz//mk=")</f>
        <v>#REF!</v>
      </c>
      <c r="DC61" t="e">
        <f>AND(#REF!,"AAAAAGz//mo=")</f>
        <v>#REF!</v>
      </c>
      <c r="DD61" t="e">
        <f>AND(#REF!,"AAAAAGz//ms=")</f>
        <v>#REF!</v>
      </c>
      <c r="DE61" t="e">
        <f>AND(#REF!,"AAAAAGz//mw=")</f>
        <v>#REF!</v>
      </c>
      <c r="DF61" t="e">
        <f>AND(#REF!,"AAAAAGz//m0=")</f>
        <v>#REF!</v>
      </c>
      <c r="DG61" t="e">
        <f>AND(#REF!,"AAAAAGz//m4=")</f>
        <v>#REF!</v>
      </c>
      <c r="DH61" t="e">
        <f>AND(#REF!,"AAAAAGz//m8=")</f>
        <v>#REF!</v>
      </c>
      <c r="DI61" t="e">
        <f>AND(#REF!,"AAAAAGz//nA=")</f>
        <v>#REF!</v>
      </c>
      <c r="DJ61" t="e">
        <f>AND(#REF!,"AAAAAGz//nE=")</f>
        <v>#REF!</v>
      </c>
      <c r="DK61" t="e">
        <f>AND(#REF!,"AAAAAGz//nI=")</f>
        <v>#REF!</v>
      </c>
      <c r="DL61" t="e">
        <f>AND(#REF!,"AAAAAGz//nM=")</f>
        <v>#REF!</v>
      </c>
      <c r="DM61" t="e">
        <f>AND(#REF!,"AAAAAGz//nQ=")</f>
        <v>#REF!</v>
      </c>
      <c r="DN61" t="e">
        <f>AND(#REF!,"AAAAAGz//nU=")</f>
        <v>#REF!</v>
      </c>
      <c r="DO61" t="e">
        <f>AND(#REF!,"AAAAAGz//nY=")</f>
        <v>#REF!</v>
      </c>
      <c r="DP61" t="e">
        <f>AND(#REF!,"AAAAAGz//nc=")</f>
        <v>#REF!</v>
      </c>
      <c r="DQ61" t="e">
        <f>AND(#REF!,"AAAAAGz//ng=")</f>
        <v>#REF!</v>
      </c>
      <c r="DR61" t="e">
        <f>AND(#REF!,"AAAAAGz//nk=")</f>
        <v>#REF!</v>
      </c>
      <c r="DS61" t="e">
        <f>AND(#REF!,"AAAAAGz//no=")</f>
        <v>#REF!</v>
      </c>
      <c r="DT61" t="e">
        <f>AND(#REF!,"AAAAAGz//ns=")</f>
        <v>#REF!</v>
      </c>
      <c r="DU61" t="e">
        <f>AND(#REF!,"AAAAAGz//nw=")</f>
        <v>#REF!</v>
      </c>
      <c r="DV61" t="e">
        <f>AND(#REF!,"AAAAAGz//n0=")</f>
        <v>#REF!</v>
      </c>
      <c r="DW61" t="e">
        <f>AND(#REF!,"AAAAAGz//n4=")</f>
        <v>#REF!</v>
      </c>
      <c r="DX61" t="e">
        <f>AND(#REF!,"AAAAAGz//n8=")</f>
        <v>#REF!</v>
      </c>
      <c r="DY61" t="e">
        <f>AND(#REF!,"AAAAAGz//oA=")</f>
        <v>#REF!</v>
      </c>
      <c r="DZ61" t="e">
        <f>AND(#REF!,"AAAAAGz//oE=")</f>
        <v>#REF!</v>
      </c>
      <c r="EA61" t="e">
        <f>AND(#REF!,"AAAAAGz//oI=")</f>
        <v>#REF!</v>
      </c>
      <c r="EB61" t="e">
        <f>AND(#REF!,"AAAAAGz//oM=")</f>
        <v>#REF!</v>
      </c>
      <c r="EC61" t="e">
        <f>AND(#REF!,"AAAAAGz//oQ=")</f>
        <v>#REF!</v>
      </c>
      <c r="ED61" t="e">
        <f>AND(#REF!,"AAAAAGz//oU=")</f>
        <v>#REF!</v>
      </c>
      <c r="EE61" t="e">
        <f>AND(#REF!,"AAAAAGz//oY=")</f>
        <v>#REF!</v>
      </c>
      <c r="EF61" t="e">
        <f>AND(#REF!,"AAAAAGz//oc=")</f>
        <v>#REF!</v>
      </c>
      <c r="EG61" t="e">
        <f>AND(#REF!,"AAAAAGz//og=")</f>
        <v>#REF!</v>
      </c>
      <c r="EH61" t="e">
        <f>AND(#REF!,"AAAAAGz//ok=")</f>
        <v>#REF!</v>
      </c>
      <c r="EI61" t="e">
        <f>AND(#REF!,"AAAAAGz//oo=")</f>
        <v>#REF!</v>
      </c>
      <c r="EJ61" t="e">
        <f>AND(#REF!,"AAAAAGz//os=")</f>
        <v>#REF!</v>
      </c>
      <c r="EK61" t="e">
        <f>AND(#REF!,"AAAAAGz//ow=")</f>
        <v>#REF!</v>
      </c>
      <c r="EL61" t="e">
        <f>AND(#REF!,"AAAAAGz//o0=")</f>
        <v>#REF!</v>
      </c>
      <c r="EM61" t="e">
        <f>AND(#REF!,"AAAAAGz//o4=")</f>
        <v>#REF!</v>
      </c>
      <c r="EN61" t="e">
        <f>AND(#REF!,"AAAAAGz//o8=")</f>
        <v>#REF!</v>
      </c>
      <c r="EO61" t="e">
        <f>AND(#REF!,"AAAAAGz//pA=")</f>
        <v>#REF!</v>
      </c>
      <c r="EP61" t="e">
        <f>AND(#REF!,"AAAAAGz//pE=")</f>
        <v>#REF!</v>
      </c>
      <c r="EQ61" t="e">
        <f>AND(#REF!,"AAAAAGz//pI=")</f>
        <v>#REF!</v>
      </c>
      <c r="ER61" t="e">
        <f>AND(#REF!,"AAAAAGz//pM=")</f>
        <v>#REF!</v>
      </c>
      <c r="ES61" t="e">
        <f>AND(#REF!,"AAAAAGz//pQ=")</f>
        <v>#REF!</v>
      </c>
      <c r="ET61" t="e">
        <f>AND(#REF!,"AAAAAGz//pU=")</f>
        <v>#REF!</v>
      </c>
      <c r="EU61" t="e">
        <f>AND(#REF!,"AAAAAGz//pY=")</f>
        <v>#REF!</v>
      </c>
      <c r="EV61" t="e">
        <f>AND(#REF!,"AAAAAGz//pc=")</f>
        <v>#REF!</v>
      </c>
      <c r="EW61" t="e">
        <f>AND(#REF!,"AAAAAGz//pg=")</f>
        <v>#REF!</v>
      </c>
      <c r="EX61" t="e">
        <f>AND(#REF!,"AAAAAGz//pk=")</f>
        <v>#REF!</v>
      </c>
      <c r="EY61" t="e">
        <f>AND(#REF!,"AAAAAGz//po=")</f>
        <v>#REF!</v>
      </c>
      <c r="EZ61" t="e">
        <f>AND(#REF!,"AAAAAGz//ps=")</f>
        <v>#REF!</v>
      </c>
      <c r="FA61" t="e">
        <f>AND(#REF!,"AAAAAGz//pw=")</f>
        <v>#REF!</v>
      </c>
      <c r="FB61" t="e">
        <f>AND(#REF!,"AAAAAGz//p0=")</f>
        <v>#REF!</v>
      </c>
      <c r="FC61" t="e">
        <f>AND(#REF!,"AAAAAGz//p4=")</f>
        <v>#REF!</v>
      </c>
      <c r="FD61" t="e">
        <f>AND(#REF!,"AAAAAGz//p8=")</f>
        <v>#REF!</v>
      </c>
      <c r="FE61" t="e">
        <f>AND(#REF!,"AAAAAGz//qA=")</f>
        <v>#REF!</v>
      </c>
      <c r="FF61" t="e">
        <f>AND(#REF!,"AAAAAGz//qE=")</f>
        <v>#REF!</v>
      </c>
      <c r="FG61" t="e">
        <f>AND(#REF!,"AAAAAGz//qI=")</f>
        <v>#REF!</v>
      </c>
      <c r="FH61" t="e">
        <f>AND(#REF!,"AAAAAGz//qM=")</f>
        <v>#REF!</v>
      </c>
      <c r="FI61" t="e">
        <f>AND(#REF!,"AAAAAGz//qQ=")</f>
        <v>#REF!</v>
      </c>
      <c r="FJ61" t="e">
        <f>AND(#REF!,"AAAAAGz//qU=")</f>
        <v>#REF!</v>
      </c>
      <c r="FK61" t="e">
        <f>AND(#REF!,"AAAAAGz//qY=")</f>
        <v>#REF!</v>
      </c>
      <c r="FL61" t="e">
        <f>AND(#REF!,"AAAAAGz//qc=")</f>
        <v>#REF!</v>
      </c>
      <c r="FM61" t="e">
        <f>AND(#REF!,"AAAAAGz//qg=")</f>
        <v>#REF!</v>
      </c>
      <c r="FN61" t="e">
        <f>AND(#REF!,"AAAAAGz//qk=")</f>
        <v>#REF!</v>
      </c>
      <c r="FO61" t="e">
        <f>AND(#REF!,"AAAAAGz//qo=")</f>
        <v>#REF!</v>
      </c>
      <c r="FP61" t="e">
        <f>AND(#REF!,"AAAAAGz//qs=")</f>
        <v>#REF!</v>
      </c>
      <c r="FQ61" t="e">
        <f>AND(#REF!,"AAAAAGz//qw=")</f>
        <v>#REF!</v>
      </c>
      <c r="FR61" t="e">
        <f>AND(#REF!,"AAAAAGz//q0=")</f>
        <v>#REF!</v>
      </c>
      <c r="FS61" t="e">
        <f>AND(#REF!,"AAAAAGz//q4=")</f>
        <v>#REF!</v>
      </c>
      <c r="FT61" t="e">
        <f>AND(#REF!,"AAAAAGz//q8=")</f>
        <v>#REF!</v>
      </c>
      <c r="FU61" t="e">
        <f>AND(#REF!,"AAAAAGz//rA=")</f>
        <v>#REF!</v>
      </c>
      <c r="FV61" t="e">
        <f>AND(#REF!,"AAAAAGz//rE=")</f>
        <v>#REF!</v>
      </c>
      <c r="FW61" t="e">
        <f>AND(#REF!,"AAAAAGz//rI=")</f>
        <v>#REF!</v>
      </c>
      <c r="FX61" t="e">
        <f>AND(#REF!,"AAAAAGz//rM=")</f>
        <v>#REF!</v>
      </c>
      <c r="FY61" t="e">
        <f>AND(#REF!,"AAAAAGz//rQ=")</f>
        <v>#REF!</v>
      </c>
      <c r="FZ61" t="e">
        <f>AND(#REF!,"AAAAAGz//rU=")</f>
        <v>#REF!</v>
      </c>
      <c r="GA61" t="e">
        <f>AND(#REF!,"AAAAAGz//rY=")</f>
        <v>#REF!</v>
      </c>
      <c r="GB61" t="e">
        <f>AND(#REF!,"AAAAAGz//rc=")</f>
        <v>#REF!</v>
      </c>
      <c r="GC61" t="e">
        <f>AND(#REF!,"AAAAAGz//rg=")</f>
        <v>#REF!</v>
      </c>
      <c r="GD61" t="e">
        <f>AND(#REF!,"AAAAAGz//rk=")</f>
        <v>#REF!</v>
      </c>
      <c r="GE61" t="e">
        <f>AND(#REF!,"AAAAAGz//ro=")</f>
        <v>#REF!</v>
      </c>
      <c r="GF61" t="e">
        <f>AND(#REF!,"AAAAAGz//rs=")</f>
        <v>#REF!</v>
      </c>
      <c r="GG61" t="e">
        <f>AND(#REF!,"AAAAAGz//rw=")</f>
        <v>#REF!</v>
      </c>
      <c r="GH61" t="e">
        <f>AND(#REF!,"AAAAAGz//r0=")</f>
        <v>#REF!</v>
      </c>
      <c r="GI61" t="e">
        <f>AND(#REF!,"AAAAAGz//r4=")</f>
        <v>#REF!</v>
      </c>
      <c r="GJ61" t="e">
        <f>AND(#REF!,"AAAAAGz//r8=")</f>
        <v>#REF!</v>
      </c>
      <c r="GK61" t="e">
        <f>AND(#REF!,"AAAAAGz//sA=")</f>
        <v>#REF!</v>
      </c>
      <c r="GL61" t="e">
        <f>AND(#REF!,"AAAAAGz//sE=")</f>
        <v>#REF!</v>
      </c>
      <c r="GM61" t="e">
        <f>AND(#REF!,"AAAAAGz//sI=")</f>
        <v>#REF!</v>
      </c>
      <c r="GN61" t="e">
        <f>AND(#REF!,"AAAAAGz//sM=")</f>
        <v>#REF!</v>
      </c>
      <c r="GO61" t="e">
        <f>AND(#REF!,"AAAAAGz//sQ=")</f>
        <v>#REF!</v>
      </c>
      <c r="GP61" t="e">
        <f>AND(#REF!,"AAAAAGz//sU=")</f>
        <v>#REF!</v>
      </c>
      <c r="GQ61" t="e">
        <f>AND(#REF!,"AAAAAGz//sY=")</f>
        <v>#REF!</v>
      </c>
      <c r="GR61" t="e">
        <f>AND(#REF!,"AAAAAGz//sc=")</f>
        <v>#REF!</v>
      </c>
      <c r="GS61" t="e">
        <f>AND(#REF!,"AAAAAGz//sg=")</f>
        <v>#REF!</v>
      </c>
      <c r="GT61" t="e">
        <f>AND(#REF!,"AAAAAGz//sk=")</f>
        <v>#REF!</v>
      </c>
      <c r="GU61" t="e">
        <f>AND(#REF!,"AAAAAGz//so=")</f>
        <v>#REF!</v>
      </c>
      <c r="GV61" t="e">
        <f>AND(#REF!,"AAAAAGz//ss=")</f>
        <v>#REF!</v>
      </c>
      <c r="GW61" t="e">
        <f>AND(#REF!,"AAAAAGz//sw=")</f>
        <v>#REF!</v>
      </c>
      <c r="GX61" t="e">
        <f>AND(#REF!,"AAAAAGz//s0=")</f>
        <v>#REF!</v>
      </c>
      <c r="GY61" t="e">
        <f>AND(#REF!,"AAAAAGz//s4=")</f>
        <v>#REF!</v>
      </c>
      <c r="GZ61" t="e">
        <f>AND(#REF!,"AAAAAGz//s8=")</f>
        <v>#REF!</v>
      </c>
      <c r="HA61" t="e">
        <f>AND(#REF!,"AAAAAGz//tA=")</f>
        <v>#REF!</v>
      </c>
      <c r="HB61" t="e">
        <f>AND(#REF!,"AAAAAGz//tE=")</f>
        <v>#REF!</v>
      </c>
      <c r="HC61" t="e">
        <f>AND(#REF!,"AAAAAGz//tI=")</f>
        <v>#REF!</v>
      </c>
      <c r="HD61" t="e">
        <f>AND(#REF!,"AAAAAGz//tM=")</f>
        <v>#REF!</v>
      </c>
      <c r="HE61" t="e">
        <f>AND(#REF!,"AAAAAGz//tQ=")</f>
        <v>#REF!</v>
      </c>
      <c r="HF61" t="e">
        <f>AND(#REF!,"AAAAAGz//tU=")</f>
        <v>#REF!</v>
      </c>
      <c r="HG61" t="e">
        <f>AND(#REF!,"AAAAAGz//tY=")</f>
        <v>#REF!</v>
      </c>
      <c r="HH61" t="e">
        <f>AND(#REF!,"AAAAAGz//tc=")</f>
        <v>#REF!</v>
      </c>
      <c r="HI61" t="e">
        <f>AND(#REF!,"AAAAAGz//tg=")</f>
        <v>#REF!</v>
      </c>
      <c r="HJ61" t="e">
        <f>AND(#REF!,"AAAAAGz//tk=")</f>
        <v>#REF!</v>
      </c>
      <c r="HK61" t="e">
        <f>AND(#REF!,"AAAAAGz//to=")</f>
        <v>#REF!</v>
      </c>
      <c r="HL61" t="e">
        <f>IF(#REF!,"AAAAAGz//ts=",0)</f>
        <v>#REF!</v>
      </c>
      <c r="HM61" t="e">
        <f>AND(#REF!,"AAAAAGz//tw=")</f>
        <v>#REF!</v>
      </c>
      <c r="HN61" t="e">
        <f>AND(#REF!,"AAAAAGz//t0=")</f>
        <v>#REF!</v>
      </c>
      <c r="HO61" t="e">
        <f>AND(#REF!,"AAAAAGz//t4=")</f>
        <v>#REF!</v>
      </c>
      <c r="HP61" t="e">
        <f>AND(#REF!,"AAAAAGz//t8=")</f>
        <v>#REF!</v>
      </c>
      <c r="HQ61" t="e">
        <f>AND(#REF!,"AAAAAGz//uA=")</f>
        <v>#REF!</v>
      </c>
      <c r="HR61" t="e">
        <f>AND(#REF!,"AAAAAGz//uE=")</f>
        <v>#REF!</v>
      </c>
      <c r="HS61" t="e">
        <f>AND(#REF!,"AAAAAGz//uI=")</f>
        <v>#REF!</v>
      </c>
      <c r="HT61" t="e">
        <f>AND(#REF!,"AAAAAGz//uM=")</f>
        <v>#REF!</v>
      </c>
      <c r="HU61" t="e">
        <f>AND(#REF!,"AAAAAGz//uQ=")</f>
        <v>#REF!</v>
      </c>
      <c r="HV61" t="e">
        <f>AND(#REF!,"AAAAAGz//uU=")</f>
        <v>#REF!</v>
      </c>
      <c r="HW61" t="e">
        <f>AND(#REF!,"AAAAAGz//uY=")</f>
        <v>#REF!</v>
      </c>
      <c r="HX61" t="e">
        <f>AND(#REF!,"AAAAAGz//uc=")</f>
        <v>#REF!</v>
      </c>
      <c r="HY61" t="e">
        <f>AND(#REF!,"AAAAAGz//ug=")</f>
        <v>#REF!</v>
      </c>
      <c r="HZ61" t="e">
        <f>AND(#REF!,"AAAAAGz//uk=")</f>
        <v>#REF!</v>
      </c>
      <c r="IA61" t="e">
        <f>AND(#REF!,"AAAAAGz//uo=")</f>
        <v>#REF!</v>
      </c>
      <c r="IB61" t="e">
        <f>AND(#REF!,"AAAAAGz//us=")</f>
        <v>#REF!</v>
      </c>
      <c r="IC61" t="e">
        <f>AND(#REF!,"AAAAAGz//uw=")</f>
        <v>#REF!</v>
      </c>
      <c r="ID61" t="e">
        <f>AND(#REF!,"AAAAAGz//u0=")</f>
        <v>#REF!</v>
      </c>
      <c r="IE61" t="e">
        <f>AND(#REF!,"AAAAAGz//u4=")</f>
        <v>#REF!</v>
      </c>
      <c r="IF61" t="e">
        <f>AND(#REF!,"AAAAAGz//u8=")</f>
        <v>#REF!</v>
      </c>
      <c r="IG61" t="e">
        <f>AND(#REF!,"AAAAAGz//vA=")</f>
        <v>#REF!</v>
      </c>
      <c r="IH61" t="e">
        <f>AND(#REF!,"AAAAAGz//vE=")</f>
        <v>#REF!</v>
      </c>
      <c r="II61" t="e">
        <f>AND(#REF!,"AAAAAGz//vI=")</f>
        <v>#REF!</v>
      </c>
      <c r="IJ61" t="e">
        <f>AND(#REF!,"AAAAAGz//vM=")</f>
        <v>#REF!</v>
      </c>
      <c r="IK61" t="e">
        <f>AND(#REF!,"AAAAAGz//vQ=")</f>
        <v>#REF!</v>
      </c>
      <c r="IL61" t="e">
        <f>AND(#REF!,"AAAAAGz//vU=")</f>
        <v>#REF!</v>
      </c>
      <c r="IM61" t="e">
        <f>AND(#REF!,"AAAAAGz//vY=")</f>
        <v>#REF!</v>
      </c>
      <c r="IN61" t="e">
        <f>AND(#REF!,"AAAAAGz//vc=")</f>
        <v>#REF!</v>
      </c>
      <c r="IO61" t="e">
        <f>AND(#REF!,"AAAAAGz//vg=")</f>
        <v>#REF!</v>
      </c>
      <c r="IP61" t="e">
        <f>AND(#REF!,"AAAAAGz//vk=")</f>
        <v>#REF!</v>
      </c>
      <c r="IQ61" t="e">
        <f>AND(#REF!,"AAAAAGz//vo=")</f>
        <v>#REF!</v>
      </c>
      <c r="IR61" t="e">
        <f>AND(#REF!,"AAAAAGz//vs=")</f>
        <v>#REF!</v>
      </c>
      <c r="IS61" t="e">
        <f>AND(#REF!,"AAAAAGz//vw=")</f>
        <v>#REF!</v>
      </c>
      <c r="IT61" t="e">
        <f>AND(#REF!,"AAAAAGz//v0=")</f>
        <v>#REF!</v>
      </c>
      <c r="IU61" t="e">
        <f>AND(#REF!,"AAAAAGz//v4=")</f>
        <v>#REF!</v>
      </c>
      <c r="IV61" t="e">
        <f>AND(#REF!,"AAAAAGz//v8=")</f>
        <v>#REF!</v>
      </c>
    </row>
    <row r="62" spans="1:256" x14ac:dyDescent="0.25">
      <c r="A62" t="e">
        <f>AND(#REF!,"AAAAAHp+rAA=")</f>
        <v>#REF!</v>
      </c>
      <c r="B62" t="e">
        <f>AND(#REF!,"AAAAAHp+rAE=")</f>
        <v>#REF!</v>
      </c>
      <c r="C62" t="e">
        <f>AND(#REF!,"AAAAAHp+rAI=")</f>
        <v>#REF!</v>
      </c>
      <c r="D62" t="e">
        <f>AND(#REF!,"AAAAAHp+rAM=")</f>
        <v>#REF!</v>
      </c>
      <c r="E62" t="e">
        <f>AND(#REF!,"AAAAAHp+rAQ=")</f>
        <v>#REF!</v>
      </c>
      <c r="F62" t="e">
        <f>AND(#REF!,"AAAAAHp+rAU=")</f>
        <v>#REF!</v>
      </c>
      <c r="G62" t="e">
        <f>AND(#REF!,"AAAAAHp+rAY=")</f>
        <v>#REF!</v>
      </c>
      <c r="H62" t="e">
        <f>AND(#REF!,"AAAAAHp+rAc=")</f>
        <v>#REF!</v>
      </c>
      <c r="I62" t="e">
        <f>AND(#REF!,"AAAAAHp+rAg=")</f>
        <v>#REF!</v>
      </c>
      <c r="J62" t="e">
        <f>AND(#REF!,"AAAAAHp+rAk=")</f>
        <v>#REF!</v>
      </c>
      <c r="K62" t="e">
        <f>AND(#REF!,"AAAAAHp+rAo=")</f>
        <v>#REF!</v>
      </c>
      <c r="L62" t="e">
        <f>AND(#REF!,"AAAAAHp+rAs=")</f>
        <v>#REF!</v>
      </c>
      <c r="M62" t="e">
        <f>AND(#REF!,"AAAAAHp+rAw=")</f>
        <v>#REF!</v>
      </c>
      <c r="N62" t="e">
        <f>AND(#REF!,"AAAAAHp+rA0=")</f>
        <v>#REF!</v>
      </c>
      <c r="O62" t="e">
        <f>AND(#REF!,"AAAAAHp+rA4=")</f>
        <v>#REF!</v>
      </c>
      <c r="P62" t="e">
        <f>AND(#REF!,"AAAAAHp+rA8=")</f>
        <v>#REF!</v>
      </c>
      <c r="Q62" t="e">
        <f>AND(#REF!,"AAAAAHp+rBA=")</f>
        <v>#REF!</v>
      </c>
      <c r="R62" t="e">
        <f>AND(#REF!,"AAAAAHp+rBE=")</f>
        <v>#REF!</v>
      </c>
      <c r="S62" t="e">
        <f>AND(#REF!,"AAAAAHp+rBI=")</f>
        <v>#REF!</v>
      </c>
      <c r="T62" t="e">
        <f>AND(#REF!,"AAAAAHp+rBM=")</f>
        <v>#REF!</v>
      </c>
      <c r="U62" t="e">
        <f>AND(#REF!,"AAAAAHp+rBQ=")</f>
        <v>#REF!</v>
      </c>
      <c r="V62" t="e">
        <f>AND(#REF!,"AAAAAHp+rBU=")</f>
        <v>#REF!</v>
      </c>
      <c r="W62" t="e">
        <f>AND(#REF!,"AAAAAHp+rBY=")</f>
        <v>#REF!</v>
      </c>
      <c r="X62" t="e">
        <f>AND(#REF!,"AAAAAHp+rBc=")</f>
        <v>#REF!</v>
      </c>
      <c r="Y62" t="e">
        <f>AND(#REF!,"AAAAAHp+rBg=")</f>
        <v>#REF!</v>
      </c>
      <c r="Z62" t="e">
        <f>AND(#REF!,"AAAAAHp+rBk=")</f>
        <v>#REF!</v>
      </c>
      <c r="AA62" t="e">
        <f>AND(#REF!,"AAAAAHp+rBo=")</f>
        <v>#REF!</v>
      </c>
      <c r="AB62" t="e">
        <f>AND(#REF!,"AAAAAHp+rBs=")</f>
        <v>#REF!</v>
      </c>
      <c r="AC62" t="e">
        <f>AND(#REF!,"AAAAAHp+rBw=")</f>
        <v>#REF!</v>
      </c>
      <c r="AD62" t="e">
        <f>AND(#REF!,"AAAAAHp+rB0=")</f>
        <v>#REF!</v>
      </c>
      <c r="AE62" t="e">
        <f>AND(#REF!,"AAAAAHp+rB4=")</f>
        <v>#REF!</v>
      </c>
      <c r="AF62" t="e">
        <f>AND(#REF!,"AAAAAHp+rB8=")</f>
        <v>#REF!</v>
      </c>
      <c r="AG62" t="e">
        <f>AND(#REF!,"AAAAAHp+rCA=")</f>
        <v>#REF!</v>
      </c>
      <c r="AH62" t="e">
        <f>AND(#REF!,"AAAAAHp+rCE=")</f>
        <v>#REF!</v>
      </c>
      <c r="AI62" t="e">
        <f>AND(#REF!,"AAAAAHp+rCI=")</f>
        <v>#REF!</v>
      </c>
      <c r="AJ62" t="e">
        <f>AND(#REF!,"AAAAAHp+rCM=")</f>
        <v>#REF!</v>
      </c>
      <c r="AK62" t="e">
        <f>AND(#REF!,"AAAAAHp+rCQ=")</f>
        <v>#REF!</v>
      </c>
      <c r="AL62" t="e">
        <f>AND(#REF!,"AAAAAHp+rCU=")</f>
        <v>#REF!</v>
      </c>
      <c r="AM62" t="e">
        <f>AND(#REF!,"AAAAAHp+rCY=")</f>
        <v>#REF!</v>
      </c>
      <c r="AN62" t="e">
        <f>AND(#REF!,"AAAAAHp+rCc=")</f>
        <v>#REF!</v>
      </c>
      <c r="AO62" t="e">
        <f>AND(#REF!,"AAAAAHp+rCg=")</f>
        <v>#REF!</v>
      </c>
      <c r="AP62" t="e">
        <f>AND(#REF!,"AAAAAHp+rCk=")</f>
        <v>#REF!</v>
      </c>
      <c r="AQ62" t="e">
        <f>AND(#REF!,"AAAAAHp+rCo=")</f>
        <v>#REF!</v>
      </c>
      <c r="AR62" t="e">
        <f>AND(#REF!,"AAAAAHp+rCs=")</f>
        <v>#REF!</v>
      </c>
      <c r="AS62" t="e">
        <f>AND(#REF!,"AAAAAHp+rCw=")</f>
        <v>#REF!</v>
      </c>
      <c r="AT62" t="e">
        <f>AND(#REF!,"AAAAAHp+rC0=")</f>
        <v>#REF!</v>
      </c>
      <c r="AU62" t="e">
        <f>AND(#REF!,"AAAAAHp+rC4=")</f>
        <v>#REF!</v>
      </c>
      <c r="AV62" t="e">
        <f>AND(#REF!,"AAAAAHp+rC8=")</f>
        <v>#REF!</v>
      </c>
      <c r="AW62" t="e">
        <f>AND(#REF!,"AAAAAHp+rDA=")</f>
        <v>#REF!</v>
      </c>
      <c r="AX62" t="e">
        <f>AND(#REF!,"AAAAAHp+rDE=")</f>
        <v>#REF!</v>
      </c>
      <c r="AY62" t="e">
        <f>AND(#REF!,"AAAAAHp+rDI=")</f>
        <v>#REF!</v>
      </c>
      <c r="AZ62" t="e">
        <f>AND(#REF!,"AAAAAHp+rDM=")</f>
        <v>#REF!</v>
      </c>
      <c r="BA62" t="e">
        <f>AND(#REF!,"AAAAAHp+rDQ=")</f>
        <v>#REF!</v>
      </c>
      <c r="BB62" t="e">
        <f>AND(#REF!,"AAAAAHp+rDU=")</f>
        <v>#REF!</v>
      </c>
      <c r="BC62" t="e">
        <f>AND(#REF!,"AAAAAHp+rDY=")</f>
        <v>#REF!</v>
      </c>
      <c r="BD62" t="e">
        <f>AND(#REF!,"AAAAAHp+rDc=")</f>
        <v>#REF!</v>
      </c>
      <c r="BE62" t="e">
        <f>AND(#REF!,"AAAAAHp+rDg=")</f>
        <v>#REF!</v>
      </c>
      <c r="BF62" t="e">
        <f>AND(#REF!,"AAAAAHp+rDk=")</f>
        <v>#REF!</v>
      </c>
      <c r="BG62" t="e">
        <f>AND(#REF!,"AAAAAHp+rDo=")</f>
        <v>#REF!</v>
      </c>
      <c r="BH62" t="e">
        <f>AND(#REF!,"AAAAAHp+rDs=")</f>
        <v>#REF!</v>
      </c>
      <c r="BI62" t="e">
        <f>AND(#REF!,"AAAAAHp+rDw=")</f>
        <v>#REF!</v>
      </c>
      <c r="BJ62" t="e">
        <f>AND(#REF!,"AAAAAHp+rD0=")</f>
        <v>#REF!</v>
      </c>
      <c r="BK62" t="e">
        <f>AND(#REF!,"AAAAAHp+rD4=")</f>
        <v>#REF!</v>
      </c>
      <c r="BL62" t="e">
        <f>AND(#REF!,"AAAAAHp+rD8=")</f>
        <v>#REF!</v>
      </c>
      <c r="BM62" t="e">
        <f>AND(#REF!,"AAAAAHp+rEA=")</f>
        <v>#REF!</v>
      </c>
      <c r="BN62" t="e">
        <f>AND(#REF!,"AAAAAHp+rEE=")</f>
        <v>#REF!</v>
      </c>
      <c r="BO62" t="e">
        <f>AND(#REF!,"AAAAAHp+rEI=")</f>
        <v>#REF!</v>
      </c>
      <c r="BP62" t="e">
        <f>AND(#REF!,"AAAAAHp+rEM=")</f>
        <v>#REF!</v>
      </c>
      <c r="BQ62" t="e">
        <f>AND(#REF!,"AAAAAHp+rEQ=")</f>
        <v>#REF!</v>
      </c>
      <c r="BR62" t="e">
        <f>AND(#REF!,"AAAAAHp+rEU=")</f>
        <v>#REF!</v>
      </c>
      <c r="BS62" t="e">
        <f>AND(#REF!,"AAAAAHp+rEY=")</f>
        <v>#REF!</v>
      </c>
      <c r="BT62" t="e">
        <f>AND(#REF!,"AAAAAHp+rEc=")</f>
        <v>#REF!</v>
      </c>
      <c r="BU62" t="e">
        <f>AND(#REF!,"AAAAAHp+rEg=")</f>
        <v>#REF!</v>
      </c>
      <c r="BV62" t="e">
        <f>AND(#REF!,"AAAAAHp+rEk=")</f>
        <v>#REF!</v>
      </c>
      <c r="BW62" t="e">
        <f>AND(#REF!,"AAAAAHp+rEo=")</f>
        <v>#REF!</v>
      </c>
      <c r="BX62" t="e">
        <f>AND(#REF!,"AAAAAHp+rEs=")</f>
        <v>#REF!</v>
      </c>
      <c r="BY62" t="e">
        <f>AND(#REF!,"AAAAAHp+rEw=")</f>
        <v>#REF!</v>
      </c>
      <c r="BZ62" t="e">
        <f>AND(#REF!,"AAAAAHp+rE0=")</f>
        <v>#REF!</v>
      </c>
      <c r="CA62" t="e">
        <f>AND(#REF!,"AAAAAHp+rE4=")</f>
        <v>#REF!</v>
      </c>
      <c r="CB62" t="e">
        <f>AND(#REF!,"AAAAAHp+rE8=")</f>
        <v>#REF!</v>
      </c>
      <c r="CC62" t="e">
        <f>AND(#REF!,"AAAAAHp+rFA=")</f>
        <v>#REF!</v>
      </c>
      <c r="CD62" t="e">
        <f>AND(#REF!,"AAAAAHp+rFE=")</f>
        <v>#REF!</v>
      </c>
      <c r="CE62" t="e">
        <f>AND(#REF!,"AAAAAHp+rFI=")</f>
        <v>#REF!</v>
      </c>
      <c r="CF62" t="e">
        <f>AND(#REF!,"AAAAAHp+rFM=")</f>
        <v>#REF!</v>
      </c>
      <c r="CG62" t="e">
        <f>AND(#REF!,"AAAAAHp+rFQ=")</f>
        <v>#REF!</v>
      </c>
      <c r="CH62" t="e">
        <f>AND(#REF!,"AAAAAHp+rFU=")</f>
        <v>#REF!</v>
      </c>
      <c r="CI62" t="e">
        <f>AND(#REF!,"AAAAAHp+rFY=")</f>
        <v>#REF!</v>
      </c>
      <c r="CJ62" t="e">
        <f>AND(#REF!,"AAAAAHp+rFc=")</f>
        <v>#REF!</v>
      </c>
      <c r="CK62" t="e">
        <f>AND(#REF!,"AAAAAHp+rFg=")</f>
        <v>#REF!</v>
      </c>
      <c r="CL62" t="e">
        <f>AND(#REF!,"AAAAAHp+rFk=")</f>
        <v>#REF!</v>
      </c>
      <c r="CM62" t="e">
        <f>AND(#REF!,"AAAAAHp+rFo=")</f>
        <v>#REF!</v>
      </c>
      <c r="CN62" t="e">
        <f>AND(#REF!,"AAAAAHp+rFs=")</f>
        <v>#REF!</v>
      </c>
      <c r="CO62" t="e">
        <f>AND(#REF!,"AAAAAHp+rFw=")</f>
        <v>#REF!</v>
      </c>
      <c r="CP62" t="e">
        <f>AND(#REF!,"AAAAAHp+rF0=")</f>
        <v>#REF!</v>
      </c>
      <c r="CQ62" t="e">
        <f>AND(#REF!,"AAAAAHp+rF4=")</f>
        <v>#REF!</v>
      </c>
      <c r="CR62" t="e">
        <f>AND(#REF!,"AAAAAHp+rF8=")</f>
        <v>#REF!</v>
      </c>
      <c r="CS62" t="e">
        <f>AND(#REF!,"AAAAAHp+rGA=")</f>
        <v>#REF!</v>
      </c>
      <c r="CT62" t="e">
        <f>AND(#REF!,"AAAAAHp+rGE=")</f>
        <v>#REF!</v>
      </c>
      <c r="CU62" t="e">
        <f>AND(#REF!,"AAAAAHp+rGI=")</f>
        <v>#REF!</v>
      </c>
      <c r="CV62" t="e">
        <f>AND(#REF!,"AAAAAHp+rGM=")</f>
        <v>#REF!</v>
      </c>
      <c r="CW62" t="e">
        <f>AND(#REF!,"AAAAAHp+rGQ=")</f>
        <v>#REF!</v>
      </c>
      <c r="CX62" t="e">
        <f>AND(#REF!,"AAAAAHp+rGU=")</f>
        <v>#REF!</v>
      </c>
      <c r="CY62" t="e">
        <f>AND(#REF!,"AAAAAHp+rGY=")</f>
        <v>#REF!</v>
      </c>
      <c r="CZ62" t="e">
        <f>AND(#REF!,"AAAAAHp+rGc=")</f>
        <v>#REF!</v>
      </c>
      <c r="DA62" t="e">
        <f>AND(#REF!,"AAAAAHp+rGg=")</f>
        <v>#REF!</v>
      </c>
      <c r="DB62" t="e">
        <f>AND(#REF!,"AAAAAHp+rGk=")</f>
        <v>#REF!</v>
      </c>
      <c r="DC62" t="e">
        <f>AND(#REF!,"AAAAAHp+rGo=")</f>
        <v>#REF!</v>
      </c>
      <c r="DD62" t="e">
        <f>AND(#REF!,"AAAAAHp+rGs=")</f>
        <v>#REF!</v>
      </c>
      <c r="DE62" t="e">
        <f>AND(#REF!,"AAAAAHp+rGw=")</f>
        <v>#REF!</v>
      </c>
      <c r="DF62" t="e">
        <f>AND(#REF!,"AAAAAHp+rG0=")</f>
        <v>#REF!</v>
      </c>
      <c r="DG62" t="e">
        <f>AND(#REF!,"AAAAAHp+rG4=")</f>
        <v>#REF!</v>
      </c>
      <c r="DH62" t="e">
        <f>AND(#REF!,"AAAAAHp+rG8=")</f>
        <v>#REF!</v>
      </c>
      <c r="DI62" t="e">
        <f>AND(#REF!,"AAAAAHp+rHA=")</f>
        <v>#REF!</v>
      </c>
      <c r="DJ62" t="e">
        <f>AND(#REF!,"AAAAAHp+rHE=")</f>
        <v>#REF!</v>
      </c>
      <c r="DK62" t="e">
        <f>AND(#REF!,"AAAAAHp+rHI=")</f>
        <v>#REF!</v>
      </c>
      <c r="DL62" t="e">
        <f>AND(#REF!,"AAAAAHp+rHM=")</f>
        <v>#REF!</v>
      </c>
      <c r="DM62" t="e">
        <f>AND(#REF!,"AAAAAHp+rHQ=")</f>
        <v>#REF!</v>
      </c>
      <c r="DN62" t="e">
        <f>AND(#REF!,"AAAAAHp+rHU=")</f>
        <v>#REF!</v>
      </c>
      <c r="DO62" t="e">
        <f>AND(#REF!,"AAAAAHp+rHY=")</f>
        <v>#REF!</v>
      </c>
      <c r="DP62" t="e">
        <f>AND(#REF!,"AAAAAHp+rHc=")</f>
        <v>#REF!</v>
      </c>
      <c r="DQ62" t="e">
        <f>AND(#REF!,"AAAAAHp+rHg=")</f>
        <v>#REF!</v>
      </c>
      <c r="DR62" t="e">
        <f>AND(#REF!,"AAAAAHp+rHk=")</f>
        <v>#REF!</v>
      </c>
      <c r="DS62" t="e">
        <f>AND(#REF!,"AAAAAHp+rHo=")</f>
        <v>#REF!</v>
      </c>
      <c r="DT62" t="e">
        <f>AND(#REF!,"AAAAAHp+rHs=")</f>
        <v>#REF!</v>
      </c>
      <c r="DU62" t="e">
        <f>AND(#REF!,"AAAAAHp+rHw=")</f>
        <v>#REF!</v>
      </c>
      <c r="DV62" t="e">
        <f>AND(#REF!,"AAAAAHp+rH0=")</f>
        <v>#REF!</v>
      </c>
      <c r="DW62" t="e">
        <f>AND(#REF!,"AAAAAHp+rH4=")</f>
        <v>#REF!</v>
      </c>
      <c r="DX62" t="e">
        <f>AND(#REF!,"AAAAAHp+rH8=")</f>
        <v>#REF!</v>
      </c>
      <c r="DY62" t="e">
        <f>AND(#REF!,"AAAAAHp+rIA=")</f>
        <v>#REF!</v>
      </c>
      <c r="DZ62" t="e">
        <f>AND(#REF!,"AAAAAHp+rIE=")</f>
        <v>#REF!</v>
      </c>
      <c r="EA62" t="e">
        <f>AND(#REF!,"AAAAAHp+rII=")</f>
        <v>#REF!</v>
      </c>
      <c r="EB62" t="e">
        <f>AND(#REF!,"AAAAAHp+rIM=")</f>
        <v>#REF!</v>
      </c>
      <c r="EC62" t="e">
        <f>AND(#REF!,"AAAAAHp+rIQ=")</f>
        <v>#REF!</v>
      </c>
      <c r="ED62" t="e">
        <f>AND(#REF!,"AAAAAHp+rIU=")</f>
        <v>#REF!</v>
      </c>
      <c r="EE62" t="e">
        <f>AND(#REF!,"AAAAAHp+rIY=")</f>
        <v>#REF!</v>
      </c>
      <c r="EF62" t="e">
        <f>AND(#REF!,"AAAAAHp+rIc=")</f>
        <v>#REF!</v>
      </c>
      <c r="EG62" t="e">
        <f>AND(#REF!,"AAAAAHp+rIg=")</f>
        <v>#REF!</v>
      </c>
      <c r="EH62" t="e">
        <f>AND(#REF!,"AAAAAHp+rIk=")</f>
        <v>#REF!</v>
      </c>
      <c r="EI62" t="e">
        <f>AND(#REF!,"AAAAAHp+rIo=")</f>
        <v>#REF!</v>
      </c>
      <c r="EJ62" t="e">
        <f>AND(#REF!,"AAAAAHp+rIs=")</f>
        <v>#REF!</v>
      </c>
      <c r="EK62" t="e">
        <f>AND(#REF!,"AAAAAHp+rIw=")</f>
        <v>#REF!</v>
      </c>
      <c r="EL62" t="e">
        <f>AND(#REF!,"AAAAAHp+rI0=")</f>
        <v>#REF!</v>
      </c>
      <c r="EM62" t="e">
        <f>AND(#REF!,"AAAAAHp+rI4=")</f>
        <v>#REF!</v>
      </c>
      <c r="EN62" t="e">
        <f>AND(#REF!,"AAAAAHp+rI8=")</f>
        <v>#REF!</v>
      </c>
      <c r="EO62" t="e">
        <f>IF(#REF!,"AAAAAHp+rJA=",0)</f>
        <v>#REF!</v>
      </c>
      <c r="EP62" t="e">
        <f>AND(#REF!,"AAAAAHp+rJE=")</f>
        <v>#REF!</v>
      </c>
      <c r="EQ62" t="e">
        <f>AND(#REF!,"AAAAAHp+rJI=")</f>
        <v>#REF!</v>
      </c>
      <c r="ER62" t="e">
        <f>AND(#REF!,"AAAAAHp+rJM=")</f>
        <v>#REF!</v>
      </c>
      <c r="ES62" t="e">
        <f>AND(#REF!,"AAAAAHp+rJQ=")</f>
        <v>#REF!</v>
      </c>
      <c r="ET62" t="e">
        <f>AND(#REF!,"AAAAAHp+rJU=")</f>
        <v>#REF!</v>
      </c>
      <c r="EU62" t="e">
        <f>AND(#REF!,"AAAAAHp+rJY=")</f>
        <v>#REF!</v>
      </c>
      <c r="EV62" t="e">
        <f>AND(#REF!,"AAAAAHp+rJc=")</f>
        <v>#REF!</v>
      </c>
      <c r="EW62" t="e">
        <f>AND(#REF!,"AAAAAHp+rJg=")</f>
        <v>#REF!</v>
      </c>
      <c r="EX62" t="e">
        <f>AND(#REF!,"AAAAAHp+rJk=")</f>
        <v>#REF!</v>
      </c>
      <c r="EY62" t="e">
        <f>AND(#REF!,"AAAAAHp+rJo=")</f>
        <v>#REF!</v>
      </c>
      <c r="EZ62" t="e">
        <f>AND(#REF!,"AAAAAHp+rJs=")</f>
        <v>#REF!</v>
      </c>
      <c r="FA62" t="e">
        <f>AND(#REF!,"AAAAAHp+rJw=")</f>
        <v>#REF!</v>
      </c>
      <c r="FB62" t="e">
        <f>AND(#REF!,"AAAAAHp+rJ0=")</f>
        <v>#REF!</v>
      </c>
      <c r="FC62" t="e">
        <f>AND(#REF!,"AAAAAHp+rJ4=")</f>
        <v>#REF!</v>
      </c>
      <c r="FD62" t="e">
        <f>AND(#REF!,"AAAAAHp+rJ8=")</f>
        <v>#REF!</v>
      </c>
      <c r="FE62" t="e">
        <f>AND(#REF!,"AAAAAHp+rKA=")</f>
        <v>#REF!</v>
      </c>
      <c r="FF62" t="e">
        <f>AND(#REF!,"AAAAAHp+rKE=")</f>
        <v>#REF!</v>
      </c>
      <c r="FG62" t="e">
        <f>AND(#REF!,"AAAAAHp+rKI=")</f>
        <v>#REF!</v>
      </c>
      <c r="FH62" t="e">
        <f>AND(#REF!,"AAAAAHp+rKM=")</f>
        <v>#REF!</v>
      </c>
      <c r="FI62" t="e">
        <f>AND(#REF!,"AAAAAHp+rKQ=")</f>
        <v>#REF!</v>
      </c>
      <c r="FJ62" t="e">
        <f>AND(#REF!,"AAAAAHp+rKU=")</f>
        <v>#REF!</v>
      </c>
      <c r="FK62" t="e">
        <f>AND(#REF!,"AAAAAHp+rKY=")</f>
        <v>#REF!</v>
      </c>
      <c r="FL62" t="e">
        <f>AND(#REF!,"AAAAAHp+rKc=")</f>
        <v>#REF!</v>
      </c>
      <c r="FM62" t="e">
        <f>AND(#REF!,"AAAAAHp+rKg=")</f>
        <v>#REF!</v>
      </c>
      <c r="FN62" t="e">
        <f>AND(#REF!,"AAAAAHp+rKk=")</f>
        <v>#REF!</v>
      </c>
      <c r="FO62" t="e">
        <f>AND(#REF!,"AAAAAHp+rKo=")</f>
        <v>#REF!</v>
      </c>
      <c r="FP62" t="e">
        <f>AND(#REF!,"AAAAAHp+rKs=")</f>
        <v>#REF!</v>
      </c>
      <c r="FQ62" t="e">
        <f>AND(#REF!,"AAAAAHp+rKw=")</f>
        <v>#REF!</v>
      </c>
      <c r="FR62" t="e">
        <f>AND(#REF!,"AAAAAHp+rK0=")</f>
        <v>#REF!</v>
      </c>
      <c r="FS62" t="e">
        <f>AND(#REF!,"AAAAAHp+rK4=")</f>
        <v>#REF!</v>
      </c>
      <c r="FT62" t="e">
        <f>AND(#REF!,"AAAAAHp+rK8=")</f>
        <v>#REF!</v>
      </c>
      <c r="FU62" t="e">
        <f>AND(#REF!,"AAAAAHp+rLA=")</f>
        <v>#REF!</v>
      </c>
      <c r="FV62" t="e">
        <f>AND(#REF!,"AAAAAHp+rLE=")</f>
        <v>#REF!</v>
      </c>
      <c r="FW62" t="e">
        <f>AND(#REF!,"AAAAAHp+rLI=")</f>
        <v>#REF!</v>
      </c>
      <c r="FX62" t="e">
        <f>AND(#REF!,"AAAAAHp+rLM=")</f>
        <v>#REF!</v>
      </c>
      <c r="FY62" t="e">
        <f>AND(#REF!,"AAAAAHp+rLQ=")</f>
        <v>#REF!</v>
      </c>
      <c r="FZ62" t="e">
        <f>AND(#REF!,"AAAAAHp+rLU=")</f>
        <v>#REF!</v>
      </c>
      <c r="GA62" t="e">
        <f>AND(#REF!,"AAAAAHp+rLY=")</f>
        <v>#REF!</v>
      </c>
      <c r="GB62" t="e">
        <f>AND(#REF!,"AAAAAHp+rLc=")</f>
        <v>#REF!</v>
      </c>
      <c r="GC62" t="e">
        <f>AND(#REF!,"AAAAAHp+rLg=")</f>
        <v>#REF!</v>
      </c>
      <c r="GD62" t="e">
        <f>AND(#REF!,"AAAAAHp+rLk=")</f>
        <v>#REF!</v>
      </c>
      <c r="GE62" t="e">
        <f>AND(#REF!,"AAAAAHp+rLo=")</f>
        <v>#REF!</v>
      </c>
      <c r="GF62" t="e">
        <f>AND(#REF!,"AAAAAHp+rLs=")</f>
        <v>#REF!</v>
      </c>
      <c r="GG62" t="e">
        <f>AND(#REF!,"AAAAAHp+rLw=")</f>
        <v>#REF!</v>
      </c>
      <c r="GH62" t="e">
        <f>AND(#REF!,"AAAAAHp+rL0=")</f>
        <v>#REF!</v>
      </c>
      <c r="GI62" t="e">
        <f>AND(#REF!,"AAAAAHp+rL4=")</f>
        <v>#REF!</v>
      </c>
      <c r="GJ62" t="e">
        <f>AND(#REF!,"AAAAAHp+rL8=")</f>
        <v>#REF!</v>
      </c>
      <c r="GK62" t="e">
        <f>AND(#REF!,"AAAAAHp+rMA=")</f>
        <v>#REF!</v>
      </c>
      <c r="GL62" t="e">
        <f>AND(#REF!,"AAAAAHp+rME=")</f>
        <v>#REF!</v>
      </c>
      <c r="GM62" t="e">
        <f>AND(#REF!,"AAAAAHp+rMI=")</f>
        <v>#REF!</v>
      </c>
      <c r="GN62" t="e">
        <f>AND(#REF!,"AAAAAHp+rMM=")</f>
        <v>#REF!</v>
      </c>
      <c r="GO62" t="e">
        <f>AND(#REF!,"AAAAAHp+rMQ=")</f>
        <v>#REF!</v>
      </c>
      <c r="GP62" t="e">
        <f>AND(#REF!,"AAAAAHp+rMU=")</f>
        <v>#REF!</v>
      </c>
      <c r="GQ62" t="e">
        <f>AND(#REF!,"AAAAAHp+rMY=")</f>
        <v>#REF!</v>
      </c>
      <c r="GR62" t="e">
        <f>AND(#REF!,"AAAAAHp+rMc=")</f>
        <v>#REF!</v>
      </c>
      <c r="GS62" t="e">
        <f>AND(#REF!,"AAAAAHp+rMg=")</f>
        <v>#REF!</v>
      </c>
      <c r="GT62" t="e">
        <f>AND(#REF!,"AAAAAHp+rMk=")</f>
        <v>#REF!</v>
      </c>
      <c r="GU62" t="e">
        <f>AND(#REF!,"AAAAAHp+rMo=")</f>
        <v>#REF!</v>
      </c>
      <c r="GV62" t="e">
        <f>AND(#REF!,"AAAAAHp+rMs=")</f>
        <v>#REF!</v>
      </c>
      <c r="GW62" t="e">
        <f>AND(#REF!,"AAAAAHp+rMw=")</f>
        <v>#REF!</v>
      </c>
      <c r="GX62" t="e">
        <f>AND(#REF!,"AAAAAHp+rM0=")</f>
        <v>#REF!</v>
      </c>
      <c r="GY62" t="e">
        <f>AND(#REF!,"AAAAAHp+rM4=")</f>
        <v>#REF!</v>
      </c>
      <c r="GZ62" t="e">
        <f>AND(#REF!,"AAAAAHp+rM8=")</f>
        <v>#REF!</v>
      </c>
      <c r="HA62" t="e">
        <f>AND(#REF!,"AAAAAHp+rNA=")</f>
        <v>#REF!</v>
      </c>
      <c r="HB62" t="e">
        <f>AND(#REF!,"AAAAAHp+rNE=")</f>
        <v>#REF!</v>
      </c>
      <c r="HC62" t="e">
        <f>AND(#REF!,"AAAAAHp+rNI=")</f>
        <v>#REF!</v>
      </c>
      <c r="HD62" t="e">
        <f>AND(#REF!,"AAAAAHp+rNM=")</f>
        <v>#REF!</v>
      </c>
      <c r="HE62" t="e">
        <f>AND(#REF!,"AAAAAHp+rNQ=")</f>
        <v>#REF!</v>
      </c>
      <c r="HF62" t="e">
        <f>AND(#REF!,"AAAAAHp+rNU=")</f>
        <v>#REF!</v>
      </c>
      <c r="HG62" t="e">
        <f>AND(#REF!,"AAAAAHp+rNY=")</f>
        <v>#REF!</v>
      </c>
      <c r="HH62" t="e">
        <f>AND(#REF!,"AAAAAHp+rNc=")</f>
        <v>#REF!</v>
      </c>
      <c r="HI62" t="e">
        <f>AND(#REF!,"AAAAAHp+rNg=")</f>
        <v>#REF!</v>
      </c>
      <c r="HJ62" t="e">
        <f>AND(#REF!,"AAAAAHp+rNk=")</f>
        <v>#REF!</v>
      </c>
      <c r="HK62" t="e">
        <f>AND(#REF!,"AAAAAHp+rNo=")</f>
        <v>#REF!</v>
      </c>
      <c r="HL62" t="e">
        <f>AND(#REF!,"AAAAAHp+rNs=")</f>
        <v>#REF!</v>
      </c>
      <c r="HM62" t="e">
        <f>AND(#REF!,"AAAAAHp+rNw=")</f>
        <v>#REF!</v>
      </c>
      <c r="HN62" t="e">
        <f>AND(#REF!,"AAAAAHp+rN0=")</f>
        <v>#REF!</v>
      </c>
      <c r="HO62" t="e">
        <f>AND(#REF!,"AAAAAHp+rN4=")</f>
        <v>#REF!</v>
      </c>
      <c r="HP62" t="e">
        <f>AND(#REF!,"AAAAAHp+rN8=")</f>
        <v>#REF!</v>
      </c>
      <c r="HQ62" t="e">
        <f>AND(#REF!,"AAAAAHp+rOA=")</f>
        <v>#REF!</v>
      </c>
      <c r="HR62" t="e">
        <f>AND(#REF!,"AAAAAHp+rOE=")</f>
        <v>#REF!</v>
      </c>
      <c r="HS62" t="e">
        <f>AND(#REF!,"AAAAAHp+rOI=")</f>
        <v>#REF!</v>
      </c>
      <c r="HT62" t="e">
        <f>AND(#REF!,"AAAAAHp+rOM=")</f>
        <v>#REF!</v>
      </c>
      <c r="HU62" t="e">
        <f>AND(#REF!,"AAAAAHp+rOQ=")</f>
        <v>#REF!</v>
      </c>
      <c r="HV62" t="e">
        <f>AND(#REF!,"AAAAAHp+rOU=")</f>
        <v>#REF!</v>
      </c>
      <c r="HW62" t="e">
        <f>AND(#REF!,"AAAAAHp+rOY=")</f>
        <v>#REF!</v>
      </c>
      <c r="HX62" t="e">
        <f>AND(#REF!,"AAAAAHp+rOc=")</f>
        <v>#REF!</v>
      </c>
      <c r="HY62" t="e">
        <f>AND(#REF!,"AAAAAHp+rOg=")</f>
        <v>#REF!</v>
      </c>
      <c r="HZ62" t="e">
        <f>AND(#REF!,"AAAAAHp+rOk=")</f>
        <v>#REF!</v>
      </c>
      <c r="IA62" t="e">
        <f>AND(#REF!,"AAAAAHp+rOo=")</f>
        <v>#REF!</v>
      </c>
      <c r="IB62" t="e">
        <f>AND(#REF!,"AAAAAHp+rOs=")</f>
        <v>#REF!</v>
      </c>
      <c r="IC62" t="e">
        <f>AND(#REF!,"AAAAAHp+rOw=")</f>
        <v>#REF!</v>
      </c>
      <c r="ID62" t="e">
        <f>AND(#REF!,"AAAAAHp+rO0=")</f>
        <v>#REF!</v>
      </c>
      <c r="IE62" t="e">
        <f>AND(#REF!,"AAAAAHp+rO4=")</f>
        <v>#REF!</v>
      </c>
      <c r="IF62" t="e">
        <f>AND(#REF!,"AAAAAHp+rO8=")</f>
        <v>#REF!</v>
      </c>
      <c r="IG62" t="e">
        <f>AND(#REF!,"AAAAAHp+rPA=")</f>
        <v>#REF!</v>
      </c>
      <c r="IH62" t="e">
        <f>AND(#REF!,"AAAAAHp+rPE=")</f>
        <v>#REF!</v>
      </c>
      <c r="II62" t="e">
        <f>AND(#REF!,"AAAAAHp+rPI=")</f>
        <v>#REF!</v>
      </c>
      <c r="IJ62" t="e">
        <f>AND(#REF!,"AAAAAHp+rPM=")</f>
        <v>#REF!</v>
      </c>
      <c r="IK62" t="e">
        <f>AND(#REF!,"AAAAAHp+rPQ=")</f>
        <v>#REF!</v>
      </c>
      <c r="IL62" t="e">
        <f>AND(#REF!,"AAAAAHp+rPU=")</f>
        <v>#REF!</v>
      </c>
      <c r="IM62" t="e">
        <f>AND(#REF!,"AAAAAHp+rPY=")</f>
        <v>#REF!</v>
      </c>
      <c r="IN62" t="e">
        <f>AND(#REF!,"AAAAAHp+rPc=")</f>
        <v>#REF!</v>
      </c>
      <c r="IO62" t="e">
        <f>AND(#REF!,"AAAAAHp+rPg=")</f>
        <v>#REF!</v>
      </c>
      <c r="IP62" t="e">
        <f>AND(#REF!,"AAAAAHp+rPk=")</f>
        <v>#REF!</v>
      </c>
      <c r="IQ62" t="e">
        <f>AND(#REF!,"AAAAAHp+rPo=")</f>
        <v>#REF!</v>
      </c>
      <c r="IR62" t="e">
        <f>AND(#REF!,"AAAAAHp+rPs=")</f>
        <v>#REF!</v>
      </c>
      <c r="IS62" t="e">
        <f>AND(#REF!,"AAAAAHp+rPw=")</f>
        <v>#REF!</v>
      </c>
      <c r="IT62" t="e">
        <f>AND(#REF!,"AAAAAHp+rP0=")</f>
        <v>#REF!</v>
      </c>
      <c r="IU62" t="e">
        <f>AND(#REF!,"AAAAAHp+rP4=")</f>
        <v>#REF!</v>
      </c>
      <c r="IV62" t="e">
        <f>AND(#REF!,"AAAAAHp+rP8=")</f>
        <v>#REF!</v>
      </c>
    </row>
    <row r="63" spans="1:256" x14ac:dyDescent="0.25">
      <c r="A63" t="e">
        <f>AND(#REF!,"AAAAAEv7/gA=")</f>
        <v>#REF!</v>
      </c>
      <c r="B63" t="e">
        <f>AND(#REF!,"AAAAAEv7/gE=")</f>
        <v>#REF!</v>
      </c>
      <c r="C63" t="e">
        <f>AND(#REF!,"AAAAAEv7/gI=")</f>
        <v>#REF!</v>
      </c>
      <c r="D63" t="e">
        <f>AND(#REF!,"AAAAAEv7/gM=")</f>
        <v>#REF!</v>
      </c>
      <c r="E63" t="e">
        <f>AND(#REF!,"AAAAAEv7/gQ=")</f>
        <v>#REF!</v>
      </c>
      <c r="F63" t="e">
        <f>AND(#REF!,"AAAAAEv7/gU=")</f>
        <v>#REF!</v>
      </c>
      <c r="G63" t="e">
        <f>AND(#REF!,"AAAAAEv7/gY=")</f>
        <v>#REF!</v>
      </c>
      <c r="H63" t="e">
        <f>AND(#REF!,"AAAAAEv7/gc=")</f>
        <v>#REF!</v>
      </c>
      <c r="I63" t="e">
        <f>AND(#REF!,"AAAAAEv7/gg=")</f>
        <v>#REF!</v>
      </c>
      <c r="J63" t="e">
        <f>AND(#REF!,"AAAAAEv7/gk=")</f>
        <v>#REF!</v>
      </c>
      <c r="K63" t="e">
        <f>AND(#REF!,"AAAAAEv7/go=")</f>
        <v>#REF!</v>
      </c>
      <c r="L63" t="e">
        <f>AND(#REF!,"AAAAAEv7/gs=")</f>
        <v>#REF!</v>
      </c>
      <c r="M63" t="e">
        <f>AND(#REF!,"AAAAAEv7/gw=")</f>
        <v>#REF!</v>
      </c>
      <c r="N63" t="e">
        <f>AND(#REF!,"AAAAAEv7/g0=")</f>
        <v>#REF!</v>
      </c>
      <c r="O63" t="e">
        <f>AND(#REF!,"AAAAAEv7/g4=")</f>
        <v>#REF!</v>
      </c>
      <c r="P63" t="e">
        <f>AND(#REF!,"AAAAAEv7/g8=")</f>
        <v>#REF!</v>
      </c>
      <c r="Q63" t="e">
        <f>AND(#REF!,"AAAAAEv7/hA=")</f>
        <v>#REF!</v>
      </c>
      <c r="R63" t="e">
        <f>AND(#REF!,"AAAAAEv7/hE=")</f>
        <v>#REF!</v>
      </c>
      <c r="S63" t="e">
        <f>AND(#REF!,"AAAAAEv7/hI=")</f>
        <v>#REF!</v>
      </c>
      <c r="T63" t="e">
        <f>AND(#REF!,"AAAAAEv7/hM=")</f>
        <v>#REF!</v>
      </c>
      <c r="U63" t="e">
        <f>AND(#REF!,"AAAAAEv7/hQ=")</f>
        <v>#REF!</v>
      </c>
      <c r="V63" t="e">
        <f>AND(#REF!,"AAAAAEv7/hU=")</f>
        <v>#REF!</v>
      </c>
      <c r="W63" t="e">
        <f>AND(#REF!,"AAAAAEv7/hY=")</f>
        <v>#REF!</v>
      </c>
      <c r="X63" t="e">
        <f>AND(#REF!,"AAAAAEv7/hc=")</f>
        <v>#REF!</v>
      </c>
      <c r="Y63" t="e">
        <f>AND(#REF!,"AAAAAEv7/hg=")</f>
        <v>#REF!</v>
      </c>
      <c r="Z63" t="e">
        <f>AND(#REF!,"AAAAAEv7/hk=")</f>
        <v>#REF!</v>
      </c>
      <c r="AA63" t="e">
        <f>AND(#REF!,"AAAAAEv7/ho=")</f>
        <v>#REF!</v>
      </c>
      <c r="AB63" t="e">
        <f>AND(#REF!,"AAAAAEv7/hs=")</f>
        <v>#REF!</v>
      </c>
      <c r="AC63" t="e">
        <f>AND(#REF!,"AAAAAEv7/hw=")</f>
        <v>#REF!</v>
      </c>
      <c r="AD63" t="e">
        <f>AND(#REF!,"AAAAAEv7/h0=")</f>
        <v>#REF!</v>
      </c>
      <c r="AE63" t="e">
        <f>AND(#REF!,"AAAAAEv7/h4=")</f>
        <v>#REF!</v>
      </c>
      <c r="AF63" t="e">
        <f>AND(#REF!,"AAAAAEv7/h8=")</f>
        <v>#REF!</v>
      </c>
      <c r="AG63" t="e">
        <f>AND(#REF!,"AAAAAEv7/iA=")</f>
        <v>#REF!</v>
      </c>
      <c r="AH63" t="e">
        <f>AND(#REF!,"AAAAAEv7/iE=")</f>
        <v>#REF!</v>
      </c>
      <c r="AI63" t="e">
        <f>AND(#REF!,"AAAAAEv7/iI=")</f>
        <v>#REF!</v>
      </c>
      <c r="AJ63" t="e">
        <f>AND(#REF!,"AAAAAEv7/iM=")</f>
        <v>#REF!</v>
      </c>
      <c r="AK63" t="e">
        <f>AND(#REF!,"AAAAAEv7/iQ=")</f>
        <v>#REF!</v>
      </c>
      <c r="AL63" t="e">
        <f>AND(#REF!,"AAAAAEv7/iU=")</f>
        <v>#REF!</v>
      </c>
      <c r="AM63" t="e">
        <f>AND(#REF!,"AAAAAEv7/iY=")</f>
        <v>#REF!</v>
      </c>
      <c r="AN63" t="e">
        <f>AND(#REF!,"AAAAAEv7/ic=")</f>
        <v>#REF!</v>
      </c>
      <c r="AO63" t="e">
        <f>AND(#REF!,"AAAAAEv7/ig=")</f>
        <v>#REF!</v>
      </c>
      <c r="AP63" t="e">
        <f>AND(#REF!,"AAAAAEv7/ik=")</f>
        <v>#REF!</v>
      </c>
      <c r="AQ63" t="e">
        <f>AND(#REF!,"AAAAAEv7/io=")</f>
        <v>#REF!</v>
      </c>
      <c r="AR63" t="e">
        <f>AND(#REF!,"AAAAAEv7/is=")</f>
        <v>#REF!</v>
      </c>
      <c r="AS63" t="e">
        <f>AND(#REF!,"AAAAAEv7/iw=")</f>
        <v>#REF!</v>
      </c>
      <c r="AT63" t="e">
        <f>AND(#REF!,"AAAAAEv7/i0=")</f>
        <v>#REF!</v>
      </c>
      <c r="AU63" t="e">
        <f>AND(#REF!,"AAAAAEv7/i4=")</f>
        <v>#REF!</v>
      </c>
      <c r="AV63" t="e">
        <f>AND(#REF!,"AAAAAEv7/i8=")</f>
        <v>#REF!</v>
      </c>
      <c r="AW63" t="e">
        <f>AND(#REF!,"AAAAAEv7/jA=")</f>
        <v>#REF!</v>
      </c>
      <c r="AX63" t="e">
        <f>AND(#REF!,"AAAAAEv7/jE=")</f>
        <v>#REF!</v>
      </c>
      <c r="AY63" t="e">
        <f>AND(#REF!,"AAAAAEv7/jI=")</f>
        <v>#REF!</v>
      </c>
      <c r="AZ63" t="e">
        <f>AND(#REF!,"AAAAAEv7/jM=")</f>
        <v>#REF!</v>
      </c>
      <c r="BA63" t="e">
        <f>AND(#REF!,"AAAAAEv7/jQ=")</f>
        <v>#REF!</v>
      </c>
      <c r="BB63" t="e">
        <f>AND(#REF!,"AAAAAEv7/jU=")</f>
        <v>#REF!</v>
      </c>
      <c r="BC63" t="e">
        <f>AND(#REF!,"AAAAAEv7/jY=")</f>
        <v>#REF!</v>
      </c>
      <c r="BD63" t="e">
        <f>AND(#REF!,"AAAAAEv7/jc=")</f>
        <v>#REF!</v>
      </c>
      <c r="BE63" t="e">
        <f>AND(#REF!,"AAAAAEv7/jg=")</f>
        <v>#REF!</v>
      </c>
      <c r="BF63" t="e">
        <f>AND(#REF!,"AAAAAEv7/jk=")</f>
        <v>#REF!</v>
      </c>
      <c r="BG63" t="e">
        <f>AND(#REF!,"AAAAAEv7/jo=")</f>
        <v>#REF!</v>
      </c>
      <c r="BH63" t="e">
        <f>AND(#REF!,"AAAAAEv7/js=")</f>
        <v>#REF!</v>
      </c>
      <c r="BI63" t="e">
        <f>AND(#REF!,"AAAAAEv7/jw=")</f>
        <v>#REF!</v>
      </c>
      <c r="BJ63" t="e">
        <f>AND(#REF!,"AAAAAEv7/j0=")</f>
        <v>#REF!</v>
      </c>
      <c r="BK63" t="e">
        <f>AND(#REF!,"AAAAAEv7/j4=")</f>
        <v>#REF!</v>
      </c>
      <c r="BL63" t="e">
        <f>AND(#REF!,"AAAAAEv7/j8=")</f>
        <v>#REF!</v>
      </c>
      <c r="BM63" t="e">
        <f>AND(#REF!,"AAAAAEv7/kA=")</f>
        <v>#REF!</v>
      </c>
      <c r="BN63" t="e">
        <f>AND(#REF!,"AAAAAEv7/kE=")</f>
        <v>#REF!</v>
      </c>
      <c r="BO63" t="e">
        <f>IF(#REF!,"AAAAAEv7/kI=",0)</f>
        <v>#REF!</v>
      </c>
      <c r="BP63" t="e">
        <f>AND(#REF!,"AAAAAEv7/kM=")</f>
        <v>#REF!</v>
      </c>
      <c r="BQ63" t="e">
        <f>AND(#REF!,"AAAAAEv7/kQ=")</f>
        <v>#REF!</v>
      </c>
      <c r="BR63" t="e">
        <f>AND(#REF!,"AAAAAEv7/kU=")</f>
        <v>#REF!</v>
      </c>
      <c r="BS63" t="e">
        <f>AND(#REF!,"AAAAAEv7/kY=")</f>
        <v>#REF!</v>
      </c>
      <c r="BT63" t="e">
        <f>AND(#REF!,"AAAAAEv7/kc=")</f>
        <v>#REF!</v>
      </c>
      <c r="BU63" t="e">
        <f>AND(#REF!,"AAAAAEv7/kg=")</f>
        <v>#REF!</v>
      </c>
      <c r="BV63" t="e">
        <f>AND(#REF!,"AAAAAEv7/kk=")</f>
        <v>#REF!</v>
      </c>
      <c r="BW63" t="e">
        <f>AND(#REF!,"AAAAAEv7/ko=")</f>
        <v>#REF!</v>
      </c>
      <c r="BX63" t="e">
        <f>AND(#REF!,"AAAAAEv7/ks=")</f>
        <v>#REF!</v>
      </c>
      <c r="BY63" t="e">
        <f>AND(#REF!,"AAAAAEv7/kw=")</f>
        <v>#REF!</v>
      </c>
      <c r="BZ63" t="e">
        <f>AND(#REF!,"AAAAAEv7/k0=")</f>
        <v>#REF!</v>
      </c>
      <c r="CA63" t="e">
        <f>AND(#REF!,"AAAAAEv7/k4=")</f>
        <v>#REF!</v>
      </c>
      <c r="CB63" t="e">
        <f>AND(#REF!,"AAAAAEv7/k8=")</f>
        <v>#REF!</v>
      </c>
      <c r="CC63" t="e">
        <f>AND(#REF!,"AAAAAEv7/lA=")</f>
        <v>#REF!</v>
      </c>
      <c r="CD63" t="e">
        <f>AND(#REF!,"AAAAAEv7/lE=")</f>
        <v>#REF!</v>
      </c>
      <c r="CE63" t="e">
        <f>AND(#REF!,"AAAAAEv7/lI=")</f>
        <v>#REF!</v>
      </c>
      <c r="CF63" t="e">
        <f>AND(#REF!,"AAAAAEv7/lM=")</f>
        <v>#REF!</v>
      </c>
      <c r="CG63" t="e">
        <f>AND(#REF!,"AAAAAEv7/lQ=")</f>
        <v>#REF!</v>
      </c>
      <c r="CH63" t="e">
        <f>AND(#REF!,"AAAAAEv7/lU=")</f>
        <v>#REF!</v>
      </c>
      <c r="CI63" t="e">
        <f>AND(#REF!,"AAAAAEv7/lY=")</f>
        <v>#REF!</v>
      </c>
      <c r="CJ63" t="e">
        <f>AND(#REF!,"AAAAAEv7/lc=")</f>
        <v>#REF!</v>
      </c>
      <c r="CK63" t="e">
        <f>AND(#REF!,"AAAAAEv7/lg=")</f>
        <v>#REF!</v>
      </c>
      <c r="CL63" t="e">
        <f>AND(#REF!,"AAAAAEv7/lk=")</f>
        <v>#REF!</v>
      </c>
      <c r="CM63" t="e">
        <f>AND(#REF!,"AAAAAEv7/lo=")</f>
        <v>#REF!</v>
      </c>
      <c r="CN63" t="e">
        <f>AND(#REF!,"AAAAAEv7/ls=")</f>
        <v>#REF!</v>
      </c>
      <c r="CO63" t="e">
        <f>AND(#REF!,"AAAAAEv7/lw=")</f>
        <v>#REF!</v>
      </c>
      <c r="CP63" t="e">
        <f>AND(#REF!,"AAAAAEv7/l0=")</f>
        <v>#REF!</v>
      </c>
      <c r="CQ63" t="e">
        <f>AND(#REF!,"AAAAAEv7/l4=")</f>
        <v>#REF!</v>
      </c>
      <c r="CR63" t="e">
        <f>AND(#REF!,"AAAAAEv7/l8=")</f>
        <v>#REF!</v>
      </c>
      <c r="CS63" t="e">
        <f>AND(#REF!,"AAAAAEv7/mA=")</f>
        <v>#REF!</v>
      </c>
      <c r="CT63" t="e">
        <f>AND(#REF!,"AAAAAEv7/mE=")</f>
        <v>#REF!</v>
      </c>
      <c r="CU63" t="e">
        <f>AND(#REF!,"AAAAAEv7/mI=")</f>
        <v>#REF!</v>
      </c>
      <c r="CV63" t="e">
        <f>AND(#REF!,"AAAAAEv7/mM=")</f>
        <v>#REF!</v>
      </c>
      <c r="CW63" t="e">
        <f>AND(#REF!,"AAAAAEv7/mQ=")</f>
        <v>#REF!</v>
      </c>
      <c r="CX63" t="e">
        <f>AND(#REF!,"AAAAAEv7/mU=")</f>
        <v>#REF!</v>
      </c>
      <c r="CY63" t="e">
        <f>AND(#REF!,"AAAAAEv7/mY=")</f>
        <v>#REF!</v>
      </c>
      <c r="CZ63" t="e">
        <f>AND(#REF!,"AAAAAEv7/mc=")</f>
        <v>#REF!</v>
      </c>
      <c r="DA63" t="e">
        <f>AND(#REF!,"AAAAAEv7/mg=")</f>
        <v>#REF!</v>
      </c>
      <c r="DB63" t="e">
        <f>AND(#REF!,"AAAAAEv7/mk=")</f>
        <v>#REF!</v>
      </c>
      <c r="DC63" t="e">
        <f>AND(#REF!,"AAAAAEv7/mo=")</f>
        <v>#REF!</v>
      </c>
      <c r="DD63" t="e">
        <f>AND(#REF!,"AAAAAEv7/ms=")</f>
        <v>#REF!</v>
      </c>
      <c r="DE63" t="e">
        <f>AND(#REF!,"AAAAAEv7/mw=")</f>
        <v>#REF!</v>
      </c>
      <c r="DF63" t="e">
        <f>AND(#REF!,"AAAAAEv7/m0=")</f>
        <v>#REF!</v>
      </c>
      <c r="DG63" t="e">
        <f>AND(#REF!,"AAAAAEv7/m4=")</f>
        <v>#REF!</v>
      </c>
      <c r="DH63" t="e">
        <f>AND(#REF!,"AAAAAEv7/m8=")</f>
        <v>#REF!</v>
      </c>
      <c r="DI63" t="e">
        <f>AND(#REF!,"AAAAAEv7/nA=")</f>
        <v>#REF!</v>
      </c>
      <c r="DJ63" t="e">
        <f>AND(#REF!,"AAAAAEv7/nE=")</f>
        <v>#REF!</v>
      </c>
      <c r="DK63" t="e">
        <f>AND(#REF!,"AAAAAEv7/nI=")</f>
        <v>#REF!</v>
      </c>
      <c r="DL63" t="e">
        <f>AND(#REF!,"AAAAAEv7/nM=")</f>
        <v>#REF!</v>
      </c>
      <c r="DM63" t="e">
        <f>AND(#REF!,"AAAAAEv7/nQ=")</f>
        <v>#REF!</v>
      </c>
      <c r="DN63" t="e">
        <f>AND(#REF!,"AAAAAEv7/nU=")</f>
        <v>#REF!</v>
      </c>
      <c r="DO63" t="e">
        <f>AND(#REF!,"AAAAAEv7/nY=")</f>
        <v>#REF!</v>
      </c>
      <c r="DP63" t="e">
        <f>AND(#REF!,"AAAAAEv7/nc=")</f>
        <v>#REF!</v>
      </c>
      <c r="DQ63" t="e">
        <f>AND(#REF!,"AAAAAEv7/ng=")</f>
        <v>#REF!</v>
      </c>
      <c r="DR63" t="e">
        <f>AND(#REF!,"AAAAAEv7/nk=")</f>
        <v>#REF!</v>
      </c>
      <c r="DS63" t="e">
        <f>AND(#REF!,"AAAAAEv7/no=")</f>
        <v>#REF!</v>
      </c>
      <c r="DT63" t="e">
        <f>AND(#REF!,"AAAAAEv7/ns=")</f>
        <v>#REF!</v>
      </c>
      <c r="DU63" t="e">
        <f>AND(#REF!,"AAAAAEv7/nw=")</f>
        <v>#REF!</v>
      </c>
      <c r="DV63" t="e">
        <f>AND(#REF!,"AAAAAEv7/n0=")</f>
        <v>#REF!</v>
      </c>
      <c r="DW63" t="e">
        <f>AND(#REF!,"AAAAAEv7/n4=")</f>
        <v>#REF!</v>
      </c>
      <c r="DX63" t="e">
        <f>AND(#REF!,"AAAAAEv7/n8=")</f>
        <v>#REF!</v>
      </c>
      <c r="DY63" t="e">
        <f>AND(#REF!,"AAAAAEv7/oA=")</f>
        <v>#REF!</v>
      </c>
      <c r="DZ63" t="e">
        <f>AND(#REF!,"AAAAAEv7/oE=")</f>
        <v>#REF!</v>
      </c>
      <c r="EA63" t="e">
        <f>AND(#REF!,"AAAAAEv7/oI=")</f>
        <v>#REF!</v>
      </c>
      <c r="EB63" t="e">
        <f>AND(#REF!,"AAAAAEv7/oM=")</f>
        <v>#REF!</v>
      </c>
      <c r="EC63" t="e">
        <f>AND(#REF!,"AAAAAEv7/oQ=")</f>
        <v>#REF!</v>
      </c>
      <c r="ED63" t="e">
        <f>AND(#REF!,"AAAAAEv7/oU=")</f>
        <v>#REF!</v>
      </c>
      <c r="EE63" t="e">
        <f>AND(#REF!,"AAAAAEv7/oY=")</f>
        <v>#REF!</v>
      </c>
      <c r="EF63" t="e">
        <f>AND(#REF!,"AAAAAEv7/oc=")</f>
        <v>#REF!</v>
      </c>
      <c r="EG63" t="e">
        <f>AND(#REF!,"AAAAAEv7/og=")</f>
        <v>#REF!</v>
      </c>
      <c r="EH63" t="e">
        <f>AND(#REF!,"AAAAAEv7/ok=")</f>
        <v>#REF!</v>
      </c>
      <c r="EI63" t="e">
        <f>AND(#REF!,"AAAAAEv7/oo=")</f>
        <v>#REF!</v>
      </c>
      <c r="EJ63" t="e">
        <f>AND(#REF!,"AAAAAEv7/os=")</f>
        <v>#REF!</v>
      </c>
      <c r="EK63" t="e">
        <f>AND(#REF!,"AAAAAEv7/ow=")</f>
        <v>#REF!</v>
      </c>
      <c r="EL63" t="e">
        <f>AND(#REF!,"AAAAAEv7/o0=")</f>
        <v>#REF!</v>
      </c>
      <c r="EM63" t="e">
        <f>AND(#REF!,"AAAAAEv7/o4=")</f>
        <v>#REF!</v>
      </c>
      <c r="EN63" t="e">
        <f>AND(#REF!,"AAAAAEv7/o8=")</f>
        <v>#REF!</v>
      </c>
      <c r="EO63" t="e">
        <f>AND(#REF!,"AAAAAEv7/pA=")</f>
        <v>#REF!</v>
      </c>
      <c r="EP63" t="e">
        <f>AND(#REF!,"AAAAAEv7/pE=")</f>
        <v>#REF!</v>
      </c>
      <c r="EQ63" t="e">
        <f>AND(#REF!,"AAAAAEv7/pI=")</f>
        <v>#REF!</v>
      </c>
      <c r="ER63" t="e">
        <f>AND(#REF!,"AAAAAEv7/pM=")</f>
        <v>#REF!</v>
      </c>
      <c r="ES63" t="e">
        <f>AND(#REF!,"AAAAAEv7/pQ=")</f>
        <v>#REF!</v>
      </c>
      <c r="ET63" t="e">
        <f>AND(#REF!,"AAAAAEv7/pU=")</f>
        <v>#REF!</v>
      </c>
      <c r="EU63" t="e">
        <f>AND(#REF!,"AAAAAEv7/pY=")</f>
        <v>#REF!</v>
      </c>
      <c r="EV63" t="e">
        <f>AND(#REF!,"AAAAAEv7/pc=")</f>
        <v>#REF!</v>
      </c>
      <c r="EW63" t="e">
        <f>AND(#REF!,"AAAAAEv7/pg=")</f>
        <v>#REF!</v>
      </c>
      <c r="EX63" t="e">
        <f>AND(#REF!,"AAAAAEv7/pk=")</f>
        <v>#REF!</v>
      </c>
      <c r="EY63" t="e">
        <f>AND(#REF!,"AAAAAEv7/po=")</f>
        <v>#REF!</v>
      </c>
      <c r="EZ63" t="e">
        <f>AND(#REF!,"AAAAAEv7/ps=")</f>
        <v>#REF!</v>
      </c>
      <c r="FA63" t="e">
        <f>AND(#REF!,"AAAAAEv7/pw=")</f>
        <v>#REF!</v>
      </c>
      <c r="FB63" t="e">
        <f>AND(#REF!,"AAAAAEv7/p0=")</f>
        <v>#REF!</v>
      </c>
      <c r="FC63" t="e">
        <f>AND(#REF!,"AAAAAEv7/p4=")</f>
        <v>#REF!</v>
      </c>
      <c r="FD63" t="e">
        <f>AND(#REF!,"AAAAAEv7/p8=")</f>
        <v>#REF!</v>
      </c>
      <c r="FE63" t="e">
        <f>AND(#REF!,"AAAAAEv7/qA=")</f>
        <v>#REF!</v>
      </c>
      <c r="FF63" t="e">
        <f>AND(#REF!,"AAAAAEv7/qE=")</f>
        <v>#REF!</v>
      </c>
      <c r="FG63" t="e">
        <f>AND(#REF!,"AAAAAEv7/qI=")</f>
        <v>#REF!</v>
      </c>
      <c r="FH63" t="e">
        <f>AND(#REF!,"AAAAAEv7/qM=")</f>
        <v>#REF!</v>
      </c>
      <c r="FI63" t="e">
        <f>AND(#REF!,"AAAAAEv7/qQ=")</f>
        <v>#REF!</v>
      </c>
      <c r="FJ63" t="e">
        <f>AND(#REF!,"AAAAAEv7/qU=")</f>
        <v>#REF!</v>
      </c>
      <c r="FK63" t="e">
        <f>AND(#REF!,"AAAAAEv7/qY=")</f>
        <v>#REF!</v>
      </c>
      <c r="FL63" t="e">
        <f>AND(#REF!,"AAAAAEv7/qc=")</f>
        <v>#REF!</v>
      </c>
      <c r="FM63" t="e">
        <f>AND(#REF!,"AAAAAEv7/qg=")</f>
        <v>#REF!</v>
      </c>
      <c r="FN63" t="e">
        <f>AND(#REF!,"AAAAAEv7/qk=")</f>
        <v>#REF!</v>
      </c>
      <c r="FO63" t="e">
        <f>AND(#REF!,"AAAAAEv7/qo=")</f>
        <v>#REF!</v>
      </c>
      <c r="FP63" t="e">
        <f>AND(#REF!,"AAAAAEv7/qs=")</f>
        <v>#REF!</v>
      </c>
      <c r="FQ63" t="e">
        <f>AND(#REF!,"AAAAAEv7/qw=")</f>
        <v>#REF!</v>
      </c>
      <c r="FR63" t="e">
        <f>AND(#REF!,"AAAAAEv7/q0=")</f>
        <v>#REF!</v>
      </c>
      <c r="FS63" t="e">
        <f>AND(#REF!,"AAAAAEv7/q4=")</f>
        <v>#REF!</v>
      </c>
      <c r="FT63" t="e">
        <f>AND(#REF!,"AAAAAEv7/q8=")</f>
        <v>#REF!</v>
      </c>
      <c r="FU63" t="e">
        <f>AND(#REF!,"AAAAAEv7/rA=")</f>
        <v>#REF!</v>
      </c>
      <c r="FV63" t="e">
        <f>AND(#REF!,"AAAAAEv7/rE=")</f>
        <v>#REF!</v>
      </c>
      <c r="FW63" t="e">
        <f>AND(#REF!,"AAAAAEv7/rI=")</f>
        <v>#REF!</v>
      </c>
      <c r="FX63" t="e">
        <f>AND(#REF!,"AAAAAEv7/rM=")</f>
        <v>#REF!</v>
      </c>
      <c r="FY63" t="e">
        <f>AND(#REF!,"AAAAAEv7/rQ=")</f>
        <v>#REF!</v>
      </c>
      <c r="FZ63" t="e">
        <f>AND(#REF!,"AAAAAEv7/rU=")</f>
        <v>#REF!</v>
      </c>
      <c r="GA63" t="e">
        <f>AND(#REF!,"AAAAAEv7/rY=")</f>
        <v>#REF!</v>
      </c>
      <c r="GB63" t="e">
        <f>AND(#REF!,"AAAAAEv7/rc=")</f>
        <v>#REF!</v>
      </c>
      <c r="GC63" t="e">
        <f>AND(#REF!,"AAAAAEv7/rg=")</f>
        <v>#REF!</v>
      </c>
      <c r="GD63" t="e">
        <f>AND(#REF!,"AAAAAEv7/rk=")</f>
        <v>#REF!</v>
      </c>
      <c r="GE63" t="e">
        <f>AND(#REF!,"AAAAAEv7/ro=")</f>
        <v>#REF!</v>
      </c>
      <c r="GF63" t="e">
        <f>AND(#REF!,"AAAAAEv7/rs=")</f>
        <v>#REF!</v>
      </c>
      <c r="GG63" t="e">
        <f>AND(#REF!,"AAAAAEv7/rw=")</f>
        <v>#REF!</v>
      </c>
      <c r="GH63" t="e">
        <f>AND(#REF!,"AAAAAEv7/r0=")</f>
        <v>#REF!</v>
      </c>
      <c r="GI63" t="e">
        <f>AND(#REF!,"AAAAAEv7/r4=")</f>
        <v>#REF!</v>
      </c>
      <c r="GJ63" t="e">
        <f>AND(#REF!,"AAAAAEv7/r8=")</f>
        <v>#REF!</v>
      </c>
      <c r="GK63" t="e">
        <f>AND(#REF!,"AAAAAEv7/sA=")</f>
        <v>#REF!</v>
      </c>
      <c r="GL63" t="e">
        <f>AND(#REF!,"AAAAAEv7/sE=")</f>
        <v>#REF!</v>
      </c>
      <c r="GM63" t="e">
        <f>AND(#REF!,"AAAAAEv7/sI=")</f>
        <v>#REF!</v>
      </c>
      <c r="GN63" t="e">
        <f>AND(#REF!,"AAAAAEv7/sM=")</f>
        <v>#REF!</v>
      </c>
      <c r="GO63" t="e">
        <f>AND(#REF!,"AAAAAEv7/sQ=")</f>
        <v>#REF!</v>
      </c>
      <c r="GP63" t="e">
        <f>AND(#REF!,"AAAAAEv7/sU=")</f>
        <v>#REF!</v>
      </c>
      <c r="GQ63" t="e">
        <f>AND(#REF!,"AAAAAEv7/sY=")</f>
        <v>#REF!</v>
      </c>
      <c r="GR63" t="e">
        <f>AND(#REF!,"AAAAAEv7/sc=")</f>
        <v>#REF!</v>
      </c>
      <c r="GS63" t="e">
        <f>AND(#REF!,"AAAAAEv7/sg=")</f>
        <v>#REF!</v>
      </c>
      <c r="GT63" t="e">
        <f>AND(#REF!,"AAAAAEv7/sk=")</f>
        <v>#REF!</v>
      </c>
      <c r="GU63" t="e">
        <f>AND(#REF!,"AAAAAEv7/so=")</f>
        <v>#REF!</v>
      </c>
      <c r="GV63" t="e">
        <f>AND(#REF!,"AAAAAEv7/ss=")</f>
        <v>#REF!</v>
      </c>
      <c r="GW63" t="e">
        <f>AND(#REF!,"AAAAAEv7/sw=")</f>
        <v>#REF!</v>
      </c>
      <c r="GX63" t="e">
        <f>AND(#REF!,"AAAAAEv7/s0=")</f>
        <v>#REF!</v>
      </c>
      <c r="GY63" t="e">
        <f>AND(#REF!,"AAAAAEv7/s4=")</f>
        <v>#REF!</v>
      </c>
      <c r="GZ63" t="e">
        <f>AND(#REF!,"AAAAAEv7/s8=")</f>
        <v>#REF!</v>
      </c>
      <c r="HA63" t="e">
        <f>AND(#REF!,"AAAAAEv7/tA=")</f>
        <v>#REF!</v>
      </c>
      <c r="HB63" t="e">
        <f>AND(#REF!,"AAAAAEv7/tE=")</f>
        <v>#REF!</v>
      </c>
      <c r="HC63" t="e">
        <f>AND(#REF!,"AAAAAEv7/tI=")</f>
        <v>#REF!</v>
      </c>
      <c r="HD63" t="e">
        <f>AND(#REF!,"AAAAAEv7/tM=")</f>
        <v>#REF!</v>
      </c>
      <c r="HE63" t="e">
        <f>AND(#REF!,"AAAAAEv7/tQ=")</f>
        <v>#REF!</v>
      </c>
      <c r="HF63" t="e">
        <f>AND(#REF!,"AAAAAEv7/tU=")</f>
        <v>#REF!</v>
      </c>
      <c r="HG63" t="e">
        <f>AND(#REF!,"AAAAAEv7/tY=")</f>
        <v>#REF!</v>
      </c>
      <c r="HH63" t="e">
        <f>AND(#REF!,"AAAAAEv7/tc=")</f>
        <v>#REF!</v>
      </c>
      <c r="HI63" t="e">
        <f>AND(#REF!,"AAAAAEv7/tg=")</f>
        <v>#REF!</v>
      </c>
      <c r="HJ63" t="e">
        <f>AND(#REF!,"AAAAAEv7/tk=")</f>
        <v>#REF!</v>
      </c>
      <c r="HK63" t="e">
        <f>AND(#REF!,"AAAAAEv7/to=")</f>
        <v>#REF!</v>
      </c>
      <c r="HL63" t="e">
        <f>AND(#REF!,"AAAAAEv7/ts=")</f>
        <v>#REF!</v>
      </c>
      <c r="HM63" t="e">
        <f>AND(#REF!,"AAAAAEv7/tw=")</f>
        <v>#REF!</v>
      </c>
      <c r="HN63" t="e">
        <f>AND(#REF!,"AAAAAEv7/t0=")</f>
        <v>#REF!</v>
      </c>
      <c r="HO63" t="e">
        <f>AND(#REF!,"AAAAAEv7/t4=")</f>
        <v>#REF!</v>
      </c>
      <c r="HP63" t="e">
        <f>AND(#REF!,"AAAAAEv7/t8=")</f>
        <v>#REF!</v>
      </c>
      <c r="HQ63" t="e">
        <f>AND(#REF!,"AAAAAEv7/uA=")</f>
        <v>#REF!</v>
      </c>
      <c r="HR63" t="e">
        <f>AND(#REF!,"AAAAAEv7/uE=")</f>
        <v>#REF!</v>
      </c>
      <c r="HS63" t="e">
        <f>AND(#REF!,"AAAAAEv7/uI=")</f>
        <v>#REF!</v>
      </c>
      <c r="HT63" t="e">
        <f>AND(#REF!,"AAAAAEv7/uM=")</f>
        <v>#REF!</v>
      </c>
      <c r="HU63" t="e">
        <f>AND(#REF!,"AAAAAEv7/uQ=")</f>
        <v>#REF!</v>
      </c>
      <c r="HV63" t="e">
        <f>AND(#REF!,"AAAAAEv7/uU=")</f>
        <v>#REF!</v>
      </c>
      <c r="HW63" t="e">
        <f>AND(#REF!,"AAAAAEv7/uY=")</f>
        <v>#REF!</v>
      </c>
      <c r="HX63" t="e">
        <f>AND(#REF!,"AAAAAEv7/uc=")</f>
        <v>#REF!</v>
      </c>
      <c r="HY63" t="e">
        <f>AND(#REF!,"AAAAAEv7/ug=")</f>
        <v>#REF!</v>
      </c>
      <c r="HZ63" t="e">
        <f>AND(#REF!,"AAAAAEv7/uk=")</f>
        <v>#REF!</v>
      </c>
      <c r="IA63" t="e">
        <f>AND(#REF!,"AAAAAEv7/uo=")</f>
        <v>#REF!</v>
      </c>
      <c r="IB63" t="e">
        <f>AND(#REF!,"AAAAAEv7/us=")</f>
        <v>#REF!</v>
      </c>
      <c r="IC63" t="e">
        <f>AND(#REF!,"AAAAAEv7/uw=")</f>
        <v>#REF!</v>
      </c>
      <c r="ID63" t="e">
        <f>AND(#REF!,"AAAAAEv7/u0=")</f>
        <v>#REF!</v>
      </c>
      <c r="IE63" t="e">
        <f>AND(#REF!,"AAAAAEv7/u4=")</f>
        <v>#REF!</v>
      </c>
      <c r="IF63" t="e">
        <f>AND(#REF!,"AAAAAEv7/u8=")</f>
        <v>#REF!</v>
      </c>
      <c r="IG63" t="e">
        <f>AND(#REF!,"AAAAAEv7/vA=")</f>
        <v>#REF!</v>
      </c>
      <c r="IH63" t="e">
        <f>AND(#REF!,"AAAAAEv7/vE=")</f>
        <v>#REF!</v>
      </c>
      <c r="II63" t="e">
        <f>AND(#REF!,"AAAAAEv7/vI=")</f>
        <v>#REF!</v>
      </c>
      <c r="IJ63" t="e">
        <f>AND(#REF!,"AAAAAEv7/vM=")</f>
        <v>#REF!</v>
      </c>
      <c r="IK63" t="e">
        <f>AND(#REF!,"AAAAAEv7/vQ=")</f>
        <v>#REF!</v>
      </c>
      <c r="IL63" t="e">
        <f>AND(#REF!,"AAAAAEv7/vU=")</f>
        <v>#REF!</v>
      </c>
      <c r="IM63" t="e">
        <f>IF(#REF!,"AAAAAEv7/vY=",0)</f>
        <v>#REF!</v>
      </c>
      <c r="IN63" t="e">
        <f>AND(#REF!,"AAAAAEv7/vc=")</f>
        <v>#REF!</v>
      </c>
      <c r="IO63" t="e">
        <f>AND(#REF!,"AAAAAEv7/vg=")</f>
        <v>#REF!</v>
      </c>
      <c r="IP63" t="e">
        <f>AND(#REF!,"AAAAAEv7/vk=")</f>
        <v>#REF!</v>
      </c>
      <c r="IQ63" t="e">
        <f>AND(#REF!,"AAAAAEv7/vo=")</f>
        <v>#REF!</v>
      </c>
      <c r="IR63" t="e">
        <f>AND(#REF!,"AAAAAEv7/vs=")</f>
        <v>#REF!</v>
      </c>
      <c r="IS63" t="e">
        <f>AND(#REF!,"AAAAAEv7/vw=")</f>
        <v>#REF!</v>
      </c>
      <c r="IT63" t="e">
        <f>AND(#REF!,"AAAAAEv7/v0=")</f>
        <v>#REF!</v>
      </c>
      <c r="IU63" t="e">
        <f>AND(#REF!,"AAAAAEv7/v4=")</f>
        <v>#REF!</v>
      </c>
      <c r="IV63" t="e">
        <f>AND(#REF!,"AAAAAEv7/v8=")</f>
        <v>#REF!</v>
      </c>
    </row>
    <row r="64" spans="1:256" x14ac:dyDescent="0.25">
      <c r="A64" t="e">
        <f>AND(#REF!,"AAAAADv17wA=")</f>
        <v>#REF!</v>
      </c>
      <c r="B64" t="e">
        <f>AND(#REF!,"AAAAADv17wE=")</f>
        <v>#REF!</v>
      </c>
      <c r="C64" t="e">
        <f>AND(#REF!,"AAAAADv17wI=")</f>
        <v>#REF!</v>
      </c>
      <c r="D64" t="e">
        <f>AND(#REF!,"AAAAADv17wM=")</f>
        <v>#REF!</v>
      </c>
      <c r="E64" t="e">
        <f>AND(#REF!,"AAAAADv17wQ=")</f>
        <v>#REF!</v>
      </c>
      <c r="F64" t="e">
        <f>AND(#REF!,"AAAAADv17wU=")</f>
        <v>#REF!</v>
      </c>
      <c r="G64" t="e">
        <f>AND(#REF!,"AAAAADv17wY=")</f>
        <v>#REF!</v>
      </c>
      <c r="H64" t="e">
        <f>AND(#REF!,"AAAAADv17wc=")</f>
        <v>#REF!</v>
      </c>
      <c r="I64" t="e">
        <f>AND(#REF!,"AAAAADv17wg=")</f>
        <v>#REF!</v>
      </c>
      <c r="J64" t="e">
        <f>AND(#REF!,"AAAAADv17wk=")</f>
        <v>#REF!</v>
      </c>
      <c r="K64" t="e">
        <f>AND(#REF!,"AAAAADv17wo=")</f>
        <v>#REF!</v>
      </c>
      <c r="L64" t="e">
        <f>AND(#REF!,"AAAAADv17ws=")</f>
        <v>#REF!</v>
      </c>
      <c r="M64" t="e">
        <f>AND(#REF!,"AAAAADv17ww=")</f>
        <v>#REF!</v>
      </c>
      <c r="N64" t="e">
        <f>AND(#REF!,"AAAAADv17w0=")</f>
        <v>#REF!</v>
      </c>
      <c r="O64" t="e">
        <f>AND(#REF!,"AAAAADv17w4=")</f>
        <v>#REF!</v>
      </c>
      <c r="P64" t="e">
        <f>AND(#REF!,"AAAAADv17w8=")</f>
        <v>#REF!</v>
      </c>
      <c r="Q64" t="e">
        <f>AND(#REF!,"AAAAADv17xA=")</f>
        <v>#REF!</v>
      </c>
      <c r="R64" t="e">
        <f>AND(#REF!,"AAAAADv17xE=")</f>
        <v>#REF!</v>
      </c>
      <c r="S64" t="e">
        <f>AND(#REF!,"AAAAADv17xI=")</f>
        <v>#REF!</v>
      </c>
      <c r="T64" t="e">
        <f>AND(#REF!,"AAAAADv17xM=")</f>
        <v>#REF!</v>
      </c>
      <c r="U64" t="e">
        <f>AND(#REF!,"AAAAADv17xQ=")</f>
        <v>#REF!</v>
      </c>
      <c r="V64" t="e">
        <f>AND(#REF!,"AAAAADv17xU=")</f>
        <v>#REF!</v>
      </c>
      <c r="W64" t="e">
        <f>AND(#REF!,"AAAAADv17xY=")</f>
        <v>#REF!</v>
      </c>
      <c r="X64" t="e">
        <f>AND(#REF!,"AAAAADv17xc=")</f>
        <v>#REF!</v>
      </c>
      <c r="Y64" t="e">
        <f>AND(#REF!,"AAAAADv17xg=")</f>
        <v>#REF!</v>
      </c>
      <c r="Z64" t="e">
        <f>AND(#REF!,"AAAAADv17xk=")</f>
        <v>#REF!</v>
      </c>
      <c r="AA64" t="e">
        <f>AND(#REF!,"AAAAADv17xo=")</f>
        <v>#REF!</v>
      </c>
      <c r="AB64" t="e">
        <f>AND(#REF!,"AAAAADv17xs=")</f>
        <v>#REF!</v>
      </c>
      <c r="AC64" t="e">
        <f>AND(#REF!,"AAAAADv17xw=")</f>
        <v>#REF!</v>
      </c>
      <c r="AD64" t="e">
        <f>AND(#REF!,"AAAAADv17x0=")</f>
        <v>#REF!</v>
      </c>
      <c r="AE64" t="e">
        <f>AND(#REF!,"AAAAADv17x4=")</f>
        <v>#REF!</v>
      </c>
      <c r="AF64" t="e">
        <f>AND(#REF!,"AAAAADv17x8=")</f>
        <v>#REF!</v>
      </c>
      <c r="AG64" t="e">
        <f>AND(#REF!,"AAAAADv17yA=")</f>
        <v>#REF!</v>
      </c>
      <c r="AH64" t="e">
        <f>AND(#REF!,"AAAAADv17yE=")</f>
        <v>#REF!</v>
      </c>
      <c r="AI64" t="e">
        <f>AND(#REF!,"AAAAADv17yI=")</f>
        <v>#REF!</v>
      </c>
      <c r="AJ64" t="e">
        <f>AND(#REF!,"AAAAADv17yM=")</f>
        <v>#REF!</v>
      </c>
      <c r="AK64" t="e">
        <f>AND(#REF!,"AAAAADv17yQ=")</f>
        <v>#REF!</v>
      </c>
      <c r="AL64" t="e">
        <f>AND(#REF!,"AAAAADv17yU=")</f>
        <v>#REF!</v>
      </c>
      <c r="AM64" t="e">
        <f>AND(#REF!,"AAAAADv17yY=")</f>
        <v>#REF!</v>
      </c>
      <c r="AN64" t="e">
        <f>AND(#REF!,"AAAAADv17yc=")</f>
        <v>#REF!</v>
      </c>
      <c r="AO64" t="e">
        <f>AND(#REF!,"AAAAADv17yg=")</f>
        <v>#REF!</v>
      </c>
      <c r="AP64" t="e">
        <f>AND(#REF!,"AAAAADv17yk=")</f>
        <v>#REF!</v>
      </c>
      <c r="AQ64" t="e">
        <f>AND(#REF!,"AAAAADv17yo=")</f>
        <v>#REF!</v>
      </c>
      <c r="AR64" t="e">
        <f>AND(#REF!,"AAAAADv17ys=")</f>
        <v>#REF!</v>
      </c>
      <c r="AS64" t="e">
        <f>AND(#REF!,"AAAAADv17yw=")</f>
        <v>#REF!</v>
      </c>
      <c r="AT64" t="e">
        <f>AND(#REF!,"AAAAADv17y0=")</f>
        <v>#REF!</v>
      </c>
      <c r="AU64" t="e">
        <f>AND(#REF!,"AAAAADv17y4=")</f>
        <v>#REF!</v>
      </c>
      <c r="AV64" t="e">
        <f>AND(#REF!,"AAAAADv17y8=")</f>
        <v>#REF!</v>
      </c>
      <c r="AW64" t="e">
        <f>AND(#REF!,"AAAAADv17zA=")</f>
        <v>#REF!</v>
      </c>
      <c r="AX64" t="e">
        <f>AND(#REF!,"AAAAADv17zE=")</f>
        <v>#REF!</v>
      </c>
      <c r="AY64" t="e">
        <f>AND(#REF!,"AAAAADv17zI=")</f>
        <v>#REF!</v>
      </c>
      <c r="AZ64" t="e">
        <f>AND(#REF!,"AAAAADv17zM=")</f>
        <v>#REF!</v>
      </c>
      <c r="BA64" t="e">
        <f>AND(#REF!,"AAAAADv17zQ=")</f>
        <v>#REF!</v>
      </c>
      <c r="BB64" t="e">
        <f>AND(#REF!,"AAAAADv17zU=")</f>
        <v>#REF!</v>
      </c>
      <c r="BC64" t="e">
        <f>AND(#REF!,"AAAAADv17zY=")</f>
        <v>#REF!</v>
      </c>
      <c r="BD64" t="e">
        <f>AND(#REF!,"AAAAADv17zc=")</f>
        <v>#REF!</v>
      </c>
      <c r="BE64" t="e">
        <f>AND(#REF!,"AAAAADv17zg=")</f>
        <v>#REF!</v>
      </c>
      <c r="BF64" t="e">
        <f>AND(#REF!,"AAAAADv17zk=")</f>
        <v>#REF!</v>
      </c>
      <c r="BG64" t="e">
        <f>AND(#REF!,"AAAAADv17zo=")</f>
        <v>#REF!</v>
      </c>
      <c r="BH64" t="e">
        <f>AND(#REF!,"AAAAADv17zs=")</f>
        <v>#REF!</v>
      </c>
      <c r="BI64" t="e">
        <f>AND(#REF!,"AAAAADv17zw=")</f>
        <v>#REF!</v>
      </c>
      <c r="BJ64" t="e">
        <f>AND(#REF!,"AAAAADv17z0=")</f>
        <v>#REF!</v>
      </c>
      <c r="BK64" t="e">
        <f>AND(#REF!,"AAAAADv17z4=")</f>
        <v>#REF!</v>
      </c>
      <c r="BL64" t="e">
        <f>AND(#REF!,"AAAAADv17z8=")</f>
        <v>#REF!</v>
      </c>
      <c r="BM64" t="e">
        <f>AND(#REF!,"AAAAADv170A=")</f>
        <v>#REF!</v>
      </c>
      <c r="BN64" t="e">
        <f>AND(#REF!,"AAAAADv170E=")</f>
        <v>#REF!</v>
      </c>
      <c r="BO64" t="e">
        <f>AND(#REF!,"AAAAADv170I=")</f>
        <v>#REF!</v>
      </c>
      <c r="BP64" t="e">
        <f>AND(#REF!,"AAAAADv170M=")</f>
        <v>#REF!</v>
      </c>
      <c r="BQ64" t="e">
        <f>AND(#REF!,"AAAAADv170Q=")</f>
        <v>#REF!</v>
      </c>
      <c r="BR64" t="e">
        <f>AND(#REF!,"AAAAADv170U=")</f>
        <v>#REF!</v>
      </c>
      <c r="BS64" t="e">
        <f>AND(#REF!,"AAAAADv170Y=")</f>
        <v>#REF!</v>
      </c>
      <c r="BT64" t="e">
        <f>AND(#REF!,"AAAAADv170c=")</f>
        <v>#REF!</v>
      </c>
      <c r="BU64" t="e">
        <f>AND(#REF!,"AAAAADv170g=")</f>
        <v>#REF!</v>
      </c>
      <c r="BV64" t="e">
        <f>AND(#REF!,"AAAAADv170k=")</f>
        <v>#REF!</v>
      </c>
      <c r="BW64" t="e">
        <f>AND(#REF!,"AAAAADv170o=")</f>
        <v>#REF!</v>
      </c>
      <c r="BX64" t="e">
        <f>AND(#REF!,"AAAAADv170s=")</f>
        <v>#REF!</v>
      </c>
      <c r="BY64" t="e">
        <f>AND(#REF!,"AAAAADv170w=")</f>
        <v>#REF!</v>
      </c>
      <c r="BZ64" t="e">
        <f>AND(#REF!,"AAAAADv1700=")</f>
        <v>#REF!</v>
      </c>
      <c r="CA64" t="e">
        <f>AND(#REF!,"AAAAADv1704=")</f>
        <v>#REF!</v>
      </c>
      <c r="CB64" t="e">
        <f>AND(#REF!,"AAAAADv1708=")</f>
        <v>#REF!</v>
      </c>
      <c r="CC64" t="e">
        <f>AND(#REF!,"AAAAADv171A=")</f>
        <v>#REF!</v>
      </c>
      <c r="CD64" t="e">
        <f>AND(#REF!,"AAAAADv171E=")</f>
        <v>#REF!</v>
      </c>
      <c r="CE64" t="e">
        <f>AND(#REF!,"AAAAADv171I=")</f>
        <v>#REF!</v>
      </c>
      <c r="CF64" t="e">
        <f>AND(#REF!,"AAAAADv171M=")</f>
        <v>#REF!</v>
      </c>
      <c r="CG64" t="e">
        <f>AND(#REF!,"AAAAADv171Q=")</f>
        <v>#REF!</v>
      </c>
      <c r="CH64" t="e">
        <f>AND(#REF!,"AAAAADv171U=")</f>
        <v>#REF!</v>
      </c>
      <c r="CI64" t="e">
        <f>AND(#REF!,"AAAAADv171Y=")</f>
        <v>#REF!</v>
      </c>
      <c r="CJ64" t="e">
        <f>AND(#REF!,"AAAAADv171c=")</f>
        <v>#REF!</v>
      </c>
      <c r="CK64" t="e">
        <f>AND(#REF!,"AAAAADv171g=")</f>
        <v>#REF!</v>
      </c>
      <c r="CL64" t="e">
        <f>AND(#REF!,"AAAAADv171k=")</f>
        <v>#REF!</v>
      </c>
      <c r="CM64" t="e">
        <f>AND(#REF!,"AAAAADv171o=")</f>
        <v>#REF!</v>
      </c>
      <c r="CN64" t="e">
        <f>AND(#REF!,"AAAAADv171s=")</f>
        <v>#REF!</v>
      </c>
      <c r="CO64" t="e">
        <f>AND(#REF!,"AAAAADv171w=")</f>
        <v>#REF!</v>
      </c>
      <c r="CP64" t="e">
        <f>AND(#REF!,"AAAAADv1710=")</f>
        <v>#REF!</v>
      </c>
      <c r="CQ64" t="e">
        <f>AND(#REF!,"AAAAADv1714=")</f>
        <v>#REF!</v>
      </c>
      <c r="CR64" t="e">
        <f>AND(#REF!,"AAAAADv1718=")</f>
        <v>#REF!</v>
      </c>
      <c r="CS64" t="e">
        <f>AND(#REF!,"AAAAADv172A=")</f>
        <v>#REF!</v>
      </c>
      <c r="CT64" t="e">
        <f>AND(#REF!,"AAAAADv172E=")</f>
        <v>#REF!</v>
      </c>
      <c r="CU64" t="e">
        <f>AND(#REF!,"AAAAADv172I=")</f>
        <v>#REF!</v>
      </c>
      <c r="CV64" t="e">
        <f>AND(#REF!,"AAAAADv172M=")</f>
        <v>#REF!</v>
      </c>
      <c r="CW64" t="e">
        <f>AND(#REF!,"AAAAADv172Q=")</f>
        <v>#REF!</v>
      </c>
      <c r="CX64" t="e">
        <f>AND(#REF!,"AAAAADv172U=")</f>
        <v>#REF!</v>
      </c>
      <c r="CY64" t="e">
        <f>AND(#REF!,"AAAAADv172Y=")</f>
        <v>#REF!</v>
      </c>
      <c r="CZ64" t="e">
        <f>AND(#REF!,"AAAAADv172c=")</f>
        <v>#REF!</v>
      </c>
      <c r="DA64" t="e">
        <f>AND(#REF!,"AAAAADv172g=")</f>
        <v>#REF!</v>
      </c>
      <c r="DB64" t="e">
        <f>AND(#REF!,"AAAAADv172k=")</f>
        <v>#REF!</v>
      </c>
      <c r="DC64" t="e">
        <f>AND(#REF!,"AAAAADv172o=")</f>
        <v>#REF!</v>
      </c>
      <c r="DD64" t="e">
        <f>AND(#REF!,"AAAAADv172s=")</f>
        <v>#REF!</v>
      </c>
      <c r="DE64" t="e">
        <f>AND(#REF!,"AAAAADv172w=")</f>
        <v>#REF!</v>
      </c>
      <c r="DF64" t="e">
        <f>AND(#REF!,"AAAAADv1720=")</f>
        <v>#REF!</v>
      </c>
      <c r="DG64" t="e">
        <f>AND(#REF!,"AAAAADv1724=")</f>
        <v>#REF!</v>
      </c>
      <c r="DH64" t="e">
        <f>AND(#REF!,"AAAAADv1728=")</f>
        <v>#REF!</v>
      </c>
      <c r="DI64" t="e">
        <f>AND(#REF!,"AAAAADv173A=")</f>
        <v>#REF!</v>
      </c>
      <c r="DJ64" t="e">
        <f>AND(#REF!,"AAAAADv173E=")</f>
        <v>#REF!</v>
      </c>
      <c r="DK64" t="e">
        <f>AND(#REF!,"AAAAADv173I=")</f>
        <v>#REF!</v>
      </c>
      <c r="DL64" t="e">
        <f>AND(#REF!,"AAAAADv173M=")</f>
        <v>#REF!</v>
      </c>
      <c r="DM64" t="e">
        <f>AND(#REF!,"AAAAADv173Q=")</f>
        <v>#REF!</v>
      </c>
      <c r="DN64" t="e">
        <f>AND(#REF!,"AAAAADv173U=")</f>
        <v>#REF!</v>
      </c>
      <c r="DO64" t="e">
        <f>AND(#REF!,"AAAAADv173Y=")</f>
        <v>#REF!</v>
      </c>
      <c r="DP64" t="e">
        <f>AND(#REF!,"AAAAADv173c=")</f>
        <v>#REF!</v>
      </c>
      <c r="DQ64" t="e">
        <f>AND(#REF!,"AAAAADv173g=")</f>
        <v>#REF!</v>
      </c>
      <c r="DR64" t="e">
        <f>AND(#REF!,"AAAAADv173k=")</f>
        <v>#REF!</v>
      </c>
      <c r="DS64" t="e">
        <f>AND(#REF!,"AAAAADv173o=")</f>
        <v>#REF!</v>
      </c>
      <c r="DT64" t="e">
        <f>AND(#REF!,"AAAAADv173s=")</f>
        <v>#REF!</v>
      </c>
      <c r="DU64" t="e">
        <f>AND(#REF!,"AAAAADv173w=")</f>
        <v>#REF!</v>
      </c>
      <c r="DV64" t="e">
        <f>AND(#REF!,"AAAAADv1730=")</f>
        <v>#REF!</v>
      </c>
      <c r="DW64" t="e">
        <f>AND(#REF!,"AAAAADv1734=")</f>
        <v>#REF!</v>
      </c>
      <c r="DX64" t="e">
        <f>AND(#REF!,"AAAAADv1738=")</f>
        <v>#REF!</v>
      </c>
      <c r="DY64" t="e">
        <f>AND(#REF!,"AAAAADv174A=")</f>
        <v>#REF!</v>
      </c>
      <c r="DZ64" t="e">
        <f>AND(#REF!,"AAAAADv174E=")</f>
        <v>#REF!</v>
      </c>
      <c r="EA64" t="e">
        <f>AND(#REF!,"AAAAADv174I=")</f>
        <v>#REF!</v>
      </c>
      <c r="EB64" t="e">
        <f>AND(#REF!,"AAAAADv174M=")</f>
        <v>#REF!</v>
      </c>
      <c r="EC64" t="e">
        <f>AND(#REF!,"AAAAADv174Q=")</f>
        <v>#REF!</v>
      </c>
      <c r="ED64" t="e">
        <f>AND(#REF!,"AAAAADv174U=")</f>
        <v>#REF!</v>
      </c>
      <c r="EE64" t="e">
        <f>AND(#REF!,"AAAAADv174Y=")</f>
        <v>#REF!</v>
      </c>
      <c r="EF64" t="e">
        <f>AND(#REF!,"AAAAADv174c=")</f>
        <v>#REF!</v>
      </c>
      <c r="EG64" t="e">
        <f>AND(#REF!,"AAAAADv174g=")</f>
        <v>#REF!</v>
      </c>
      <c r="EH64" t="e">
        <f>AND(#REF!,"AAAAADv174k=")</f>
        <v>#REF!</v>
      </c>
      <c r="EI64" t="e">
        <f>AND(#REF!,"AAAAADv174o=")</f>
        <v>#REF!</v>
      </c>
      <c r="EJ64" t="e">
        <f>AND(#REF!,"AAAAADv174s=")</f>
        <v>#REF!</v>
      </c>
      <c r="EK64" t="e">
        <f>AND(#REF!,"AAAAADv174w=")</f>
        <v>#REF!</v>
      </c>
      <c r="EL64" t="e">
        <f>AND(#REF!,"AAAAADv1740=")</f>
        <v>#REF!</v>
      </c>
      <c r="EM64" t="e">
        <f>AND(#REF!,"AAAAADv1744=")</f>
        <v>#REF!</v>
      </c>
      <c r="EN64" t="e">
        <f>AND(#REF!,"AAAAADv1748=")</f>
        <v>#REF!</v>
      </c>
      <c r="EO64" t="e">
        <f>AND(#REF!,"AAAAADv175A=")</f>
        <v>#REF!</v>
      </c>
      <c r="EP64" t="e">
        <f>AND(#REF!,"AAAAADv175E=")</f>
        <v>#REF!</v>
      </c>
      <c r="EQ64" t="e">
        <f>AND(#REF!,"AAAAADv175I=")</f>
        <v>#REF!</v>
      </c>
      <c r="ER64" t="e">
        <f>AND(#REF!,"AAAAADv175M=")</f>
        <v>#REF!</v>
      </c>
      <c r="ES64" t="e">
        <f>AND(#REF!,"AAAAADv175Q=")</f>
        <v>#REF!</v>
      </c>
      <c r="ET64" t="e">
        <f>AND(#REF!,"AAAAADv175U=")</f>
        <v>#REF!</v>
      </c>
      <c r="EU64" t="e">
        <f>AND(#REF!,"AAAAADv175Y=")</f>
        <v>#REF!</v>
      </c>
      <c r="EV64" t="e">
        <f>AND(#REF!,"AAAAADv175c=")</f>
        <v>#REF!</v>
      </c>
      <c r="EW64" t="e">
        <f>AND(#REF!,"AAAAADv175g=")</f>
        <v>#REF!</v>
      </c>
      <c r="EX64" t="e">
        <f>AND(#REF!,"AAAAADv175k=")</f>
        <v>#REF!</v>
      </c>
      <c r="EY64" t="e">
        <f>AND(#REF!,"AAAAADv175o=")</f>
        <v>#REF!</v>
      </c>
      <c r="EZ64" t="e">
        <f>AND(#REF!,"AAAAADv175s=")</f>
        <v>#REF!</v>
      </c>
      <c r="FA64" t="e">
        <f>AND(#REF!,"AAAAADv175w=")</f>
        <v>#REF!</v>
      </c>
      <c r="FB64" t="e">
        <f>AND(#REF!,"AAAAADv1750=")</f>
        <v>#REF!</v>
      </c>
      <c r="FC64" t="e">
        <f>AND(#REF!,"AAAAADv1754=")</f>
        <v>#REF!</v>
      </c>
      <c r="FD64" t="e">
        <f>AND(#REF!,"AAAAADv1758=")</f>
        <v>#REF!</v>
      </c>
      <c r="FE64" t="e">
        <f>AND(#REF!,"AAAAADv176A=")</f>
        <v>#REF!</v>
      </c>
      <c r="FF64" t="e">
        <f>AND(#REF!,"AAAAADv176E=")</f>
        <v>#REF!</v>
      </c>
      <c r="FG64" t="e">
        <f>AND(#REF!,"AAAAADv176I=")</f>
        <v>#REF!</v>
      </c>
      <c r="FH64" t="e">
        <f>AND(#REF!,"AAAAADv176M=")</f>
        <v>#REF!</v>
      </c>
      <c r="FI64" t="e">
        <f>AND(#REF!,"AAAAADv176Q=")</f>
        <v>#REF!</v>
      </c>
      <c r="FJ64" t="e">
        <f>AND(#REF!,"AAAAADv176U=")</f>
        <v>#REF!</v>
      </c>
      <c r="FK64" t="e">
        <f>AND(#REF!,"AAAAADv176Y=")</f>
        <v>#REF!</v>
      </c>
      <c r="FL64" t="e">
        <f>AND(#REF!,"AAAAADv176c=")</f>
        <v>#REF!</v>
      </c>
      <c r="FM64" t="e">
        <f>AND(#REF!,"AAAAADv176g=")</f>
        <v>#REF!</v>
      </c>
      <c r="FN64" t="e">
        <f>AND(#REF!,"AAAAADv176k=")</f>
        <v>#REF!</v>
      </c>
      <c r="FO64" t="e">
        <f>AND(#REF!,"AAAAADv176o=")</f>
        <v>#REF!</v>
      </c>
      <c r="FP64" t="e">
        <f>AND(#REF!,"AAAAADv176s=")</f>
        <v>#REF!</v>
      </c>
      <c r="FQ64" t="e">
        <f>AND(#REF!,"AAAAADv176w=")</f>
        <v>#REF!</v>
      </c>
      <c r="FR64" t="e">
        <f>AND(#REF!,"AAAAADv1760=")</f>
        <v>#REF!</v>
      </c>
      <c r="FS64" t="e">
        <f>AND(#REF!,"AAAAADv1764=")</f>
        <v>#REF!</v>
      </c>
      <c r="FT64" t="e">
        <f>AND(#REF!,"AAAAADv1768=")</f>
        <v>#REF!</v>
      </c>
      <c r="FU64" t="e">
        <f>AND(#REF!,"AAAAADv177A=")</f>
        <v>#REF!</v>
      </c>
      <c r="FV64" t="e">
        <f>AND(#REF!,"AAAAADv177E=")</f>
        <v>#REF!</v>
      </c>
      <c r="FW64" t="e">
        <f>AND(#REF!,"AAAAADv177I=")</f>
        <v>#REF!</v>
      </c>
      <c r="FX64" t="e">
        <f>IF(#REF!,"AAAAADv177M=",0)</f>
        <v>#REF!</v>
      </c>
      <c r="FY64" t="e">
        <f>AND(#REF!,"AAAAADv177Q=")</f>
        <v>#REF!</v>
      </c>
      <c r="FZ64" t="e">
        <f>AND(#REF!,"AAAAADv177U=")</f>
        <v>#REF!</v>
      </c>
      <c r="GA64" t="e">
        <f>AND(#REF!,"AAAAADv177Y=")</f>
        <v>#REF!</v>
      </c>
      <c r="GB64" t="e">
        <f>AND(#REF!,"AAAAADv177c=")</f>
        <v>#REF!</v>
      </c>
      <c r="GC64" t="e">
        <f>AND(#REF!,"AAAAADv177g=")</f>
        <v>#REF!</v>
      </c>
      <c r="GD64" t="e">
        <f>AND(#REF!,"AAAAADv177k=")</f>
        <v>#REF!</v>
      </c>
      <c r="GE64" t="e">
        <f>AND(#REF!,"AAAAADv177o=")</f>
        <v>#REF!</v>
      </c>
      <c r="GF64" t="e">
        <f>AND(#REF!,"AAAAADv177s=")</f>
        <v>#REF!</v>
      </c>
      <c r="GG64" t="e">
        <f>AND(#REF!,"AAAAADv177w=")</f>
        <v>#REF!</v>
      </c>
      <c r="GH64" t="e">
        <f>AND(#REF!,"AAAAADv1770=")</f>
        <v>#REF!</v>
      </c>
      <c r="GI64" t="e">
        <f>AND(#REF!,"AAAAADv1774=")</f>
        <v>#REF!</v>
      </c>
      <c r="GJ64" t="e">
        <f>AND(#REF!,"AAAAADv1778=")</f>
        <v>#REF!</v>
      </c>
      <c r="GK64" t="e">
        <f>AND(#REF!,"AAAAADv178A=")</f>
        <v>#REF!</v>
      </c>
      <c r="GL64" t="e">
        <f>AND(#REF!,"AAAAADv178E=")</f>
        <v>#REF!</v>
      </c>
      <c r="GM64" t="e">
        <f>AND(#REF!,"AAAAADv178I=")</f>
        <v>#REF!</v>
      </c>
      <c r="GN64" t="e">
        <f>AND(#REF!,"AAAAADv178M=")</f>
        <v>#REF!</v>
      </c>
      <c r="GO64" t="e">
        <f>AND(#REF!,"AAAAADv178Q=")</f>
        <v>#REF!</v>
      </c>
      <c r="GP64" t="e">
        <f>AND(#REF!,"AAAAADv178U=")</f>
        <v>#REF!</v>
      </c>
      <c r="GQ64" t="e">
        <f>AND(#REF!,"AAAAADv178Y=")</f>
        <v>#REF!</v>
      </c>
      <c r="GR64" t="e">
        <f>AND(#REF!,"AAAAADv178c=")</f>
        <v>#REF!</v>
      </c>
      <c r="GS64" t="e">
        <f>AND(#REF!,"AAAAADv178g=")</f>
        <v>#REF!</v>
      </c>
      <c r="GT64" t="e">
        <f>AND(#REF!,"AAAAADv178k=")</f>
        <v>#REF!</v>
      </c>
      <c r="GU64" t="e">
        <f>AND(#REF!,"AAAAADv178o=")</f>
        <v>#REF!</v>
      </c>
      <c r="GV64" t="e">
        <f>AND(#REF!,"AAAAADv178s=")</f>
        <v>#REF!</v>
      </c>
      <c r="GW64" t="e">
        <f>AND(#REF!,"AAAAADv178w=")</f>
        <v>#REF!</v>
      </c>
      <c r="GX64" t="e">
        <f>AND(#REF!,"AAAAADv1780=")</f>
        <v>#REF!</v>
      </c>
      <c r="GY64" t="e">
        <f>AND(#REF!,"AAAAADv1784=")</f>
        <v>#REF!</v>
      </c>
      <c r="GZ64" t="e">
        <f>AND(#REF!,"AAAAADv1788=")</f>
        <v>#REF!</v>
      </c>
      <c r="HA64" t="e">
        <f>AND(#REF!,"AAAAADv179A=")</f>
        <v>#REF!</v>
      </c>
      <c r="HB64" t="e">
        <f>AND(#REF!,"AAAAADv179E=")</f>
        <v>#REF!</v>
      </c>
      <c r="HC64" t="e">
        <f>AND(#REF!,"AAAAADv179I=")</f>
        <v>#REF!</v>
      </c>
      <c r="HD64" t="e">
        <f>AND(#REF!,"AAAAADv179M=")</f>
        <v>#REF!</v>
      </c>
      <c r="HE64" t="e">
        <f>AND(#REF!,"AAAAADv179Q=")</f>
        <v>#REF!</v>
      </c>
      <c r="HF64" t="e">
        <f>AND(#REF!,"AAAAADv179U=")</f>
        <v>#REF!</v>
      </c>
      <c r="HG64" t="e">
        <f>AND(#REF!,"AAAAADv179Y=")</f>
        <v>#REF!</v>
      </c>
      <c r="HH64" t="e">
        <f>AND(#REF!,"AAAAADv179c=")</f>
        <v>#REF!</v>
      </c>
      <c r="HI64" t="e">
        <f>AND(#REF!,"AAAAADv179g=")</f>
        <v>#REF!</v>
      </c>
      <c r="HJ64" t="e">
        <f>AND(#REF!,"AAAAADv179k=")</f>
        <v>#REF!</v>
      </c>
      <c r="HK64" t="e">
        <f>AND(#REF!,"AAAAADv179o=")</f>
        <v>#REF!</v>
      </c>
      <c r="HL64" t="e">
        <f>AND(#REF!,"AAAAADv179s=")</f>
        <v>#REF!</v>
      </c>
      <c r="HM64" t="e">
        <f>AND(#REF!,"AAAAADv179w=")</f>
        <v>#REF!</v>
      </c>
      <c r="HN64" t="e">
        <f>AND(#REF!,"AAAAADv1790=")</f>
        <v>#REF!</v>
      </c>
      <c r="HO64" t="e">
        <f>AND(#REF!,"AAAAADv1794=")</f>
        <v>#REF!</v>
      </c>
      <c r="HP64" t="e">
        <f>AND(#REF!,"AAAAADv1798=")</f>
        <v>#REF!</v>
      </c>
      <c r="HQ64" t="e">
        <f>AND(#REF!,"AAAAADv17+A=")</f>
        <v>#REF!</v>
      </c>
      <c r="HR64" t="e">
        <f>AND(#REF!,"AAAAADv17+E=")</f>
        <v>#REF!</v>
      </c>
      <c r="HS64" t="e">
        <f>AND(#REF!,"AAAAADv17+I=")</f>
        <v>#REF!</v>
      </c>
      <c r="HT64" t="e">
        <f>AND(#REF!,"AAAAADv17+M=")</f>
        <v>#REF!</v>
      </c>
      <c r="HU64" t="e">
        <f>AND(#REF!,"AAAAADv17+Q=")</f>
        <v>#REF!</v>
      </c>
      <c r="HV64" t="e">
        <f>AND(#REF!,"AAAAADv17+U=")</f>
        <v>#REF!</v>
      </c>
      <c r="HW64" t="e">
        <f>AND(#REF!,"AAAAADv17+Y=")</f>
        <v>#REF!</v>
      </c>
      <c r="HX64" t="e">
        <f>AND(#REF!,"AAAAADv17+c=")</f>
        <v>#REF!</v>
      </c>
      <c r="HY64" t="e">
        <f>AND(#REF!,"AAAAADv17+g=")</f>
        <v>#REF!</v>
      </c>
      <c r="HZ64" t="e">
        <f>AND(#REF!,"AAAAADv17+k=")</f>
        <v>#REF!</v>
      </c>
      <c r="IA64" t="e">
        <f>AND(#REF!,"AAAAADv17+o=")</f>
        <v>#REF!</v>
      </c>
      <c r="IB64" t="e">
        <f>AND(#REF!,"AAAAADv17+s=")</f>
        <v>#REF!</v>
      </c>
      <c r="IC64" t="e">
        <f>AND(#REF!,"AAAAADv17+w=")</f>
        <v>#REF!</v>
      </c>
      <c r="ID64" t="e">
        <f>AND(#REF!,"AAAAADv17+0=")</f>
        <v>#REF!</v>
      </c>
      <c r="IE64" t="e">
        <f>AND(#REF!,"AAAAADv17+4=")</f>
        <v>#REF!</v>
      </c>
      <c r="IF64" t="e">
        <f>AND(#REF!,"AAAAADv17+8=")</f>
        <v>#REF!</v>
      </c>
      <c r="IG64" t="e">
        <f>AND(#REF!,"AAAAADv17/A=")</f>
        <v>#REF!</v>
      </c>
      <c r="IH64" t="e">
        <f>AND(#REF!,"AAAAADv17/E=")</f>
        <v>#REF!</v>
      </c>
      <c r="II64" t="e">
        <f>AND(#REF!,"AAAAADv17/I=")</f>
        <v>#REF!</v>
      </c>
      <c r="IJ64" t="e">
        <f>AND(#REF!,"AAAAADv17/M=")</f>
        <v>#REF!</v>
      </c>
      <c r="IK64" t="e">
        <f>AND(#REF!,"AAAAADv17/Q=")</f>
        <v>#REF!</v>
      </c>
      <c r="IL64" t="e">
        <f>AND(#REF!,"AAAAADv17/U=")</f>
        <v>#REF!</v>
      </c>
      <c r="IM64" t="e">
        <f>AND(#REF!,"AAAAADv17/Y=")</f>
        <v>#REF!</v>
      </c>
      <c r="IN64" t="e">
        <f>AND(#REF!,"AAAAADv17/c=")</f>
        <v>#REF!</v>
      </c>
      <c r="IO64" t="e">
        <f>AND(#REF!,"AAAAADv17/g=")</f>
        <v>#REF!</v>
      </c>
      <c r="IP64" t="e">
        <f>AND(#REF!,"AAAAADv17/k=")</f>
        <v>#REF!</v>
      </c>
      <c r="IQ64" t="e">
        <f>AND(#REF!,"AAAAADv17/o=")</f>
        <v>#REF!</v>
      </c>
      <c r="IR64" t="e">
        <f>AND(#REF!,"AAAAADv17/s=")</f>
        <v>#REF!</v>
      </c>
      <c r="IS64" t="e">
        <f>AND(#REF!,"AAAAADv17/w=")</f>
        <v>#REF!</v>
      </c>
      <c r="IT64" t="e">
        <f>AND(#REF!,"AAAAADv17/0=")</f>
        <v>#REF!</v>
      </c>
      <c r="IU64" t="e">
        <f>AND(#REF!,"AAAAADv17/4=")</f>
        <v>#REF!</v>
      </c>
      <c r="IV64" t="e">
        <f>AND(#REF!,"AAAAADv17/8=")</f>
        <v>#REF!</v>
      </c>
    </row>
    <row r="65" spans="1:256" x14ac:dyDescent="0.25">
      <c r="A65" t="e">
        <f>AND(#REF!,"AAAAAHuvpQA=")</f>
        <v>#REF!</v>
      </c>
      <c r="B65" t="e">
        <f>AND(#REF!,"AAAAAHuvpQE=")</f>
        <v>#REF!</v>
      </c>
      <c r="C65" t="e">
        <f>AND(#REF!,"AAAAAHuvpQI=")</f>
        <v>#REF!</v>
      </c>
      <c r="D65" t="e">
        <f>AND(#REF!,"AAAAAHuvpQM=")</f>
        <v>#REF!</v>
      </c>
      <c r="E65" t="e">
        <f>AND(#REF!,"AAAAAHuvpQQ=")</f>
        <v>#REF!</v>
      </c>
      <c r="F65" t="e">
        <f>AND(#REF!,"AAAAAHuvpQU=")</f>
        <v>#REF!</v>
      </c>
      <c r="G65" t="e">
        <f>AND(#REF!,"AAAAAHuvpQY=")</f>
        <v>#REF!</v>
      </c>
      <c r="H65" t="e">
        <f>AND(#REF!,"AAAAAHuvpQc=")</f>
        <v>#REF!</v>
      </c>
      <c r="I65" t="e">
        <f>AND(#REF!,"AAAAAHuvpQg=")</f>
        <v>#REF!</v>
      </c>
      <c r="J65" t="e">
        <f>AND(#REF!,"AAAAAHuvpQk=")</f>
        <v>#REF!</v>
      </c>
      <c r="K65" t="e">
        <f>AND(#REF!,"AAAAAHuvpQo=")</f>
        <v>#REF!</v>
      </c>
      <c r="L65" t="e">
        <f>AND(#REF!,"AAAAAHuvpQs=")</f>
        <v>#REF!</v>
      </c>
      <c r="M65" t="e">
        <f>AND(#REF!,"AAAAAHuvpQw=")</f>
        <v>#REF!</v>
      </c>
      <c r="N65" t="e">
        <f>AND(#REF!,"AAAAAHuvpQ0=")</f>
        <v>#REF!</v>
      </c>
      <c r="O65" t="e">
        <f>AND(#REF!,"AAAAAHuvpQ4=")</f>
        <v>#REF!</v>
      </c>
      <c r="P65" t="e">
        <f>AND(#REF!,"AAAAAHuvpQ8=")</f>
        <v>#REF!</v>
      </c>
      <c r="Q65" t="e">
        <f>AND(#REF!,"AAAAAHuvpRA=")</f>
        <v>#REF!</v>
      </c>
      <c r="R65" t="e">
        <f>AND(#REF!,"AAAAAHuvpRE=")</f>
        <v>#REF!</v>
      </c>
      <c r="S65" t="e">
        <f>AND(#REF!,"AAAAAHuvpRI=")</f>
        <v>#REF!</v>
      </c>
      <c r="T65" t="e">
        <f>AND(#REF!,"AAAAAHuvpRM=")</f>
        <v>#REF!</v>
      </c>
      <c r="U65" t="e">
        <f>AND(#REF!,"AAAAAHuvpRQ=")</f>
        <v>#REF!</v>
      </c>
      <c r="V65" t="e">
        <f>AND(#REF!,"AAAAAHuvpRU=")</f>
        <v>#REF!</v>
      </c>
      <c r="W65" t="e">
        <f>AND(#REF!,"AAAAAHuvpRY=")</f>
        <v>#REF!</v>
      </c>
      <c r="X65" t="e">
        <f>AND(#REF!,"AAAAAHuvpRc=")</f>
        <v>#REF!</v>
      </c>
      <c r="Y65" t="e">
        <f>AND(#REF!,"AAAAAHuvpRg=")</f>
        <v>#REF!</v>
      </c>
      <c r="Z65" t="e">
        <f>AND(#REF!,"AAAAAHuvpRk=")</f>
        <v>#REF!</v>
      </c>
      <c r="AA65" t="e">
        <f>AND(#REF!,"AAAAAHuvpRo=")</f>
        <v>#REF!</v>
      </c>
      <c r="AB65" t="e">
        <f>AND(#REF!,"AAAAAHuvpRs=")</f>
        <v>#REF!</v>
      </c>
      <c r="AC65" t="e">
        <f>AND(#REF!,"AAAAAHuvpRw=")</f>
        <v>#REF!</v>
      </c>
      <c r="AD65" t="e">
        <f>AND(#REF!,"AAAAAHuvpR0=")</f>
        <v>#REF!</v>
      </c>
      <c r="AE65" t="e">
        <f>AND(#REF!,"AAAAAHuvpR4=")</f>
        <v>#REF!</v>
      </c>
      <c r="AF65" t="e">
        <f>AND(#REF!,"AAAAAHuvpR8=")</f>
        <v>#REF!</v>
      </c>
      <c r="AG65" t="e">
        <f>AND(#REF!,"AAAAAHuvpSA=")</f>
        <v>#REF!</v>
      </c>
      <c r="AH65" t="e">
        <f>AND(#REF!,"AAAAAHuvpSE=")</f>
        <v>#REF!</v>
      </c>
      <c r="AI65" t="e">
        <f>AND(#REF!,"AAAAAHuvpSI=")</f>
        <v>#REF!</v>
      </c>
      <c r="AJ65" t="e">
        <f>AND(#REF!,"AAAAAHuvpSM=")</f>
        <v>#REF!</v>
      </c>
      <c r="AK65" t="e">
        <f>AND(#REF!,"AAAAAHuvpSQ=")</f>
        <v>#REF!</v>
      </c>
      <c r="AL65" t="e">
        <f>AND(#REF!,"AAAAAHuvpSU=")</f>
        <v>#REF!</v>
      </c>
      <c r="AM65" t="e">
        <f>AND(#REF!,"AAAAAHuvpSY=")</f>
        <v>#REF!</v>
      </c>
      <c r="AN65" t="e">
        <f>AND(#REF!,"AAAAAHuvpSc=")</f>
        <v>#REF!</v>
      </c>
      <c r="AO65" t="e">
        <f>AND(#REF!,"AAAAAHuvpSg=")</f>
        <v>#REF!</v>
      </c>
      <c r="AP65" t="e">
        <f>AND(#REF!,"AAAAAHuvpSk=")</f>
        <v>#REF!</v>
      </c>
      <c r="AQ65" t="e">
        <f>AND(#REF!,"AAAAAHuvpSo=")</f>
        <v>#REF!</v>
      </c>
      <c r="AR65" t="e">
        <f>AND(#REF!,"AAAAAHuvpSs=")</f>
        <v>#REF!</v>
      </c>
      <c r="AS65" t="e">
        <f>AND(#REF!,"AAAAAHuvpSw=")</f>
        <v>#REF!</v>
      </c>
      <c r="AT65" t="e">
        <f>AND(#REF!,"AAAAAHuvpS0=")</f>
        <v>#REF!</v>
      </c>
      <c r="AU65" t="e">
        <f>AND(#REF!,"AAAAAHuvpS4=")</f>
        <v>#REF!</v>
      </c>
      <c r="AV65" t="e">
        <f>AND(#REF!,"AAAAAHuvpS8=")</f>
        <v>#REF!</v>
      </c>
      <c r="AW65" t="e">
        <f>AND(#REF!,"AAAAAHuvpTA=")</f>
        <v>#REF!</v>
      </c>
      <c r="AX65" t="e">
        <f>AND(#REF!,"AAAAAHuvpTE=")</f>
        <v>#REF!</v>
      </c>
      <c r="AY65" t="e">
        <f>AND(#REF!,"AAAAAHuvpTI=")</f>
        <v>#REF!</v>
      </c>
      <c r="AZ65" t="e">
        <f>AND(#REF!,"AAAAAHuvpTM=")</f>
        <v>#REF!</v>
      </c>
      <c r="BA65" t="e">
        <f>AND(#REF!,"AAAAAHuvpTQ=")</f>
        <v>#REF!</v>
      </c>
      <c r="BB65" t="e">
        <f>AND(#REF!,"AAAAAHuvpTU=")</f>
        <v>#REF!</v>
      </c>
      <c r="BC65" t="e">
        <f>AND(#REF!,"AAAAAHuvpTY=")</f>
        <v>#REF!</v>
      </c>
      <c r="BD65" t="e">
        <f>AND(#REF!,"AAAAAHuvpTc=")</f>
        <v>#REF!</v>
      </c>
      <c r="BE65" t="e">
        <f>AND(#REF!,"AAAAAHuvpTg=")</f>
        <v>#REF!</v>
      </c>
      <c r="BF65" t="e">
        <f>AND(#REF!,"AAAAAHuvpTk=")</f>
        <v>#REF!</v>
      </c>
      <c r="BG65" t="e">
        <f>AND(#REF!,"AAAAAHuvpTo=")</f>
        <v>#REF!</v>
      </c>
      <c r="BH65" t="e">
        <f>AND(#REF!,"AAAAAHuvpTs=")</f>
        <v>#REF!</v>
      </c>
      <c r="BI65" t="e">
        <f>AND(#REF!,"AAAAAHuvpTw=")</f>
        <v>#REF!</v>
      </c>
      <c r="BJ65" t="e">
        <f>AND(#REF!,"AAAAAHuvpT0=")</f>
        <v>#REF!</v>
      </c>
      <c r="BK65" t="e">
        <f>AND(#REF!,"AAAAAHuvpT4=")</f>
        <v>#REF!</v>
      </c>
      <c r="BL65" t="e">
        <f>AND(#REF!,"AAAAAHuvpT8=")</f>
        <v>#REF!</v>
      </c>
      <c r="BM65" t="e">
        <f>AND(#REF!,"AAAAAHuvpUA=")</f>
        <v>#REF!</v>
      </c>
      <c r="BN65" t="e">
        <f>AND(#REF!,"AAAAAHuvpUE=")</f>
        <v>#REF!</v>
      </c>
      <c r="BO65" t="e">
        <f>AND(#REF!,"AAAAAHuvpUI=")</f>
        <v>#REF!</v>
      </c>
      <c r="BP65" t="e">
        <f>AND(#REF!,"AAAAAHuvpUM=")</f>
        <v>#REF!</v>
      </c>
      <c r="BQ65" t="e">
        <f>AND(#REF!,"AAAAAHuvpUQ=")</f>
        <v>#REF!</v>
      </c>
      <c r="BR65" t="e">
        <f>AND(#REF!,"AAAAAHuvpUU=")</f>
        <v>#REF!</v>
      </c>
      <c r="BS65" t="e">
        <f>AND(#REF!,"AAAAAHuvpUY=")</f>
        <v>#REF!</v>
      </c>
      <c r="BT65" t="e">
        <f>AND(#REF!,"AAAAAHuvpUc=")</f>
        <v>#REF!</v>
      </c>
      <c r="BU65" t="e">
        <f>AND(#REF!,"AAAAAHuvpUg=")</f>
        <v>#REF!</v>
      </c>
      <c r="BV65" t="e">
        <f>AND(#REF!,"AAAAAHuvpUk=")</f>
        <v>#REF!</v>
      </c>
      <c r="BW65" t="e">
        <f>AND(#REF!,"AAAAAHuvpUo=")</f>
        <v>#REF!</v>
      </c>
      <c r="BX65" t="e">
        <f>AND(#REF!,"AAAAAHuvpUs=")</f>
        <v>#REF!</v>
      </c>
      <c r="BY65" t="e">
        <f>AND(#REF!,"AAAAAHuvpUw=")</f>
        <v>#REF!</v>
      </c>
      <c r="BZ65" t="e">
        <f>AND(#REF!,"AAAAAHuvpU0=")</f>
        <v>#REF!</v>
      </c>
      <c r="CA65" t="e">
        <f>AND(#REF!,"AAAAAHuvpU4=")</f>
        <v>#REF!</v>
      </c>
      <c r="CB65" t="e">
        <f>AND(#REF!,"AAAAAHuvpU8=")</f>
        <v>#REF!</v>
      </c>
      <c r="CC65" t="e">
        <f>AND(#REF!,"AAAAAHuvpVA=")</f>
        <v>#REF!</v>
      </c>
      <c r="CD65" t="e">
        <f>AND(#REF!,"AAAAAHuvpVE=")</f>
        <v>#REF!</v>
      </c>
      <c r="CE65" t="e">
        <f>AND(#REF!,"AAAAAHuvpVI=")</f>
        <v>#REF!</v>
      </c>
      <c r="CF65" t="e">
        <f>AND(#REF!,"AAAAAHuvpVM=")</f>
        <v>#REF!</v>
      </c>
      <c r="CG65" t="e">
        <f>AND(#REF!,"AAAAAHuvpVQ=")</f>
        <v>#REF!</v>
      </c>
      <c r="CH65" t="e">
        <f>AND(#REF!,"AAAAAHuvpVU=")</f>
        <v>#REF!</v>
      </c>
      <c r="CI65" t="e">
        <f>AND(#REF!,"AAAAAHuvpVY=")</f>
        <v>#REF!</v>
      </c>
      <c r="CJ65" t="e">
        <f>AND(#REF!,"AAAAAHuvpVc=")</f>
        <v>#REF!</v>
      </c>
      <c r="CK65" t="e">
        <f>AND(#REF!,"AAAAAHuvpVg=")</f>
        <v>#REF!</v>
      </c>
      <c r="CL65" t="e">
        <f>AND(#REF!,"AAAAAHuvpVk=")</f>
        <v>#REF!</v>
      </c>
      <c r="CM65" t="e">
        <f>AND(#REF!,"AAAAAHuvpVo=")</f>
        <v>#REF!</v>
      </c>
      <c r="CN65" t="e">
        <f>AND(#REF!,"AAAAAHuvpVs=")</f>
        <v>#REF!</v>
      </c>
      <c r="CO65" t="e">
        <f>AND(#REF!,"AAAAAHuvpVw=")</f>
        <v>#REF!</v>
      </c>
      <c r="CP65" t="e">
        <f>AND(#REF!,"AAAAAHuvpV0=")</f>
        <v>#REF!</v>
      </c>
      <c r="CQ65" t="e">
        <f>AND(#REF!,"AAAAAHuvpV4=")</f>
        <v>#REF!</v>
      </c>
      <c r="CR65" t="e">
        <f>AND(#REF!,"AAAAAHuvpV8=")</f>
        <v>#REF!</v>
      </c>
      <c r="CS65" t="e">
        <f>AND(#REF!,"AAAAAHuvpWA=")</f>
        <v>#REF!</v>
      </c>
      <c r="CT65" t="e">
        <f>AND(#REF!,"AAAAAHuvpWE=")</f>
        <v>#REF!</v>
      </c>
      <c r="CU65" t="e">
        <f>AND(#REF!,"AAAAAHuvpWI=")</f>
        <v>#REF!</v>
      </c>
      <c r="CV65" t="e">
        <f>AND(#REF!,"AAAAAHuvpWM=")</f>
        <v>#REF!</v>
      </c>
      <c r="CW65" t="e">
        <f>AND(#REF!,"AAAAAHuvpWQ=")</f>
        <v>#REF!</v>
      </c>
      <c r="CX65" t="e">
        <f>AND(#REF!,"AAAAAHuvpWU=")</f>
        <v>#REF!</v>
      </c>
      <c r="CY65" t="e">
        <f>AND(#REF!,"AAAAAHuvpWY=")</f>
        <v>#REF!</v>
      </c>
      <c r="CZ65" t="e">
        <f>AND(#REF!,"AAAAAHuvpWc=")</f>
        <v>#REF!</v>
      </c>
      <c r="DA65" t="e">
        <f>AND(#REF!,"AAAAAHuvpWg=")</f>
        <v>#REF!</v>
      </c>
      <c r="DB65" t="e">
        <f>AND(#REF!,"AAAAAHuvpWk=")</f>
        <v>#REF!</v>
      </c>
      <c r="DC65" t="e">
        <f>AND(#REF!,"AAAAAHuvpWo=")</f>
        <v>#REF!</v>
      </c>
      <c r="DD65" t="e">
        <f>AND(#REF!,"AAAAAHuvpWs=")</f>
        <v>#REF!</v>
      </c>
      <c r="DE65" t="e">
        <f>AND(#REF!,"AAAAAHuvpWw=")</f>
        <v>#REF!</v>
      </c>
      <c r="DF65" t="e">
        <f>AND(#REF!,"AAAAAHuvpW0=")</f>
        <v>#REF!</v>
      </c>
      <c r="DG65" t="e">
        <f>AND(#REF!,"AAAAAHuvpW4=")</f>
        <v>#REF!</v>
      </c>
      <c r="DH65" t="e">
        <f>AND(#REF!,"AAAAAHuvpW8=")</f>
        <v>#REF!</v>
      </c>
      <c r="DI65" t="e">
        <f>IF(#REF!,"AAAAAHuvpXA=",0)</f>
        <v>#REF!</v>
      </c>
      <c r="DJ65" t="e">
        <f>AND(#REF!,"AAAAAHuvpXE=")</f>
        <v>#REF!</v>
      </c>
      <c r="DK65" t="e">
        <f>AND(#REF!,"AAAAAHuvpXI=")</f>
        <v>#REF!</v>
      </c>
      <c r="DL65" t="e">
        <f>AND(#REF!,"AAAAAHuvpXM=")</f>
        <v>#REF!</v>
      </c>
      <c r="DM65" t="e">
        <f>AND(#REF!,"AAAAAHuvpXQ=")</f>
        <v>#REF!</v>
      </c>
      <c r="DN65" t="e">
        <f>AND(#REF!,"AAAAAHuvpXU=")</f>
        <v>#REF!</v>
      </c>
      <c r="DO65" t="e">
        <f>AND(#REF!,"AAAAAHuvpXY=")</f>
        <v>#REF!</v>
      </c>
      <c r="DP65" t="e">
        <f>AND(#REF!,"AAAAAHuvpXc=")</f>
        <v>#REF!</v>
      </c>
      <c r="DQ65" t="e">
        <f>AND(#REF!,"AAAAAHuvpXg=")</f>
        <v>#REF!</v>
      </c>
      <c r="DR65" t="e">
        <f>AND(#REF!,"AAAAAHuvpXk=")</f>
        <v>#REF!</v>
      </c>
      <c r="DS65" t="e">
        <f>AND(#REF!,"AAAAAHuvpXo=")</f>
        <v>#REF!</v>
      </c>
      <c r="DT65" t="e">
        <f>AND(#REF!,"AAAAAHuvpXs=")</f>
        <v>#REF!</v>
      </c>
      <c r="DU65" t="e">
        <f>AND(#REF!,"AAAAAHuvpXw=")</f>
        <v>#REF!</v>
      </c>
      <c r="DV65" t="e">
        <f>AND(#REF!,"AAAAAHuvpX0=")</f>
        <v>#REF!</v>
      </c>
      <c r="DW65" t="e">
        <f>AND(#REF!,"AAAAAHuvpX4=")</f>
        <v>#REF!</v>
      </c>
      <c r="DX65" t="e">
        <f>AND(#REF!,"AAAAAHuvpX8=")</f>
        <v>#REF!</v>
      </c>
      <c r="DY65" t="e">
        <f>AND(#REF!,"AAAAAHuvpYA=")</f>
        <v>#REF!</v>
      </c>
      <c r="DZ65" t="e">
        <f>AND(#REF!,"AAAAAHuvpYE=")</f>
        <v>#REF!</v>
      </c>
      <c r="EA65" t="e">
        <f>AND(#REF!,"AAAAAHuvpYI=")</f>
        <v>#REF!</v>
      </c>
      <c r="EB65" t="e">
        <f>AND(#REF!,"AAAAAHuvpYM=")</f>
        <v>#REF!</v>
      </c>
      <c r="EC65" t="e">
        <f>AND(#REF!,"AAAAAHuvpYQ=")</f>
        <v>#REF!</v>
      </c>
      <c r="ED65" t="e">
        <f>AND(#REF!,"AAAAAHuvpYU=")</f>
        <v>#REF!</v>
      </c>
      <c r="EE65" t="e">
        <f>AND(#REF!,"AAAAAHuvpYY=")</f>
        <v>#REF!</v>
      </c>
      <c r="EF65" t="e">
        <f>AND(#REF!,"AAAAAHuvpYc=")</f>
        <v>#REF!</v>
      </c>
      <c r="EG65" t="e">
        <f>AND(#REF!,"AAAAAHuvpYg=")</f>
        <v>#REF!</v>
      </c>
      <c r="EH65" t="e">
        <f>AND(#REF!,"AAAAAHuvpYk=")</f>
        <v>#REF!</v>
      </c>
      <c r="EI65" t="e">
        <f>AND(#REF!,"AAAAAHuvpYo=")</f>
        <v>#REF!</v>
      </c>
      <c r="EJ65" t="e">
        <f>AND(#REF!,"AAAAAHuvpYs=")</f>
        <v>#REF!</v>
      </c>
      <c r="EK65" t="e">
        <f>AND(#REF!,"AAAAAHuvpYw=")</f>
        <v>#REF!</v>
      </c>
      <c r="EL65" t="e">
        <f>AND(#REF!,"AAAAAHuvpY0=")</f>
        <v>#REF!</v>
      </c>
      <c r="EM65" t="e">
        <f>AND(#REF!,"AAAAAHuvpY4=")</f>
        <v>#REF!</v>
      </c>
      <c r="EN65" t="e">
        <f>AND(#REF!,"AAAAAHuvpY8=")</f>
        <v>#REF!</v>
      </c>
      <c r="EO65" t="e">
        <f>AND(#REF!,"AAAAAHuvpZA=")</f>
        <v>#REF!</v>
      </c>
      <c r="EP65" t="e">
        <f>AND(#REF!,"AAAAAHuvpZE=")</f>
        <v>#REF!</v>
      </c>
      <c r="EQ65" t="e">
        <f>AND(#REF!,"AAAAAHuvpZI=")</f>
        <v>#REF!</v>
      </c>
      <c r="ER65" t="e">
        <f>AND(#REF!,"AAAAAHuvpZM=")</f>
        <v>#REF!</v>
      </c>
      <c r="ES65" t="e">
        <f>AND(#REF!,"AAAAAHuvpZQ=")</f>
        <v>#REF!</v>
      </c>
      <c r="ET65" t="e">
        <f>AND(#REF!,"AAAAAHuvpZU=")</f>
        <v>#REF!</v>
      </c>
      <c r="EU65" t="e">
        <f>AND(#REF!,"AAAAAHuvpZY=")</f>
        <v>#REF!</v>
      </c>
      <c r="EV65" t="e">
        <f>AND(#REF!,"AAAAAHuvpZc=")</f>
        <v>#REF!</v>
      </c>
      <c r="EW65" t="e">
        <f>AND(#REF!,"AAAAAHuvpZg=")</f>
        <v>#REF!</v>
      </c>
      <c r="EX65" t="e">
        <f>AND(#REF!,"AAAAAHuvpZk=")</f>
        <v>#REF!</v>
      </c>
      <c r="EY65" t="e">
        <f>AND(#REF!,"AAAAAHuvpZo=")</f>
        <v>#REF!</v>
      </c>
      <c r="EZ65" t="e">
        <f>AND(#REF!,"AAAAAHuvpZs=")</f>
        <v>#REF!</v>
      </c>
      <c r="FA65" t="e">
        <f>AND(#REF!,"AAAAAHuvpZw=")</f>
        <v>#REF!</v>
      </c>
      <c r="FB65" t="e">
        <f>AND(#REF!,"AAAAAHuvpZ0=")</f>
        <v>#REF!</v>
      </c>
      <c r="FC65" t="e">
        <f>AND(#REF!,"AAAAAHuvpZ4=")</f>
        <v>#REF!</v>
      </c>
      <c r="FD65" t="e">
        <f>AND(#REF!,"AAAAAHuvpZ8=")</f>
        <v>#REF!</v>
      </c>
      <c r="FE65" t="e">
        <f>AND(#REF!,"AAAAAHuvpaA=")</f>
        <v>#REF!</v>
      </c>
      <c r="FF65" t="e">
        <f>AND(#REF!,"AAAAAHuvpaE=")</f>
        <v>#REF!</v>
      </c>
      <c r="FG65" t="e">
        <f>AND(#REF!,"AAAAAHuvpaI=")</f>
        <v>#REF!</v>
      </c>
      <c r="FH65" t="e">
        <f>AND(#REF!,"AAAAAHuvpaM=")</f>
        <v>#REF!</v>
      </c>
      <c r="FI65" t="e">
        <f>AND(#REF!,"AAAAAHuvpaQ=")</f>
        <v>#REF!</v>
      </c>
      <c r="FJ65" t="e">
        <f>AND(#REF!,"AAAAAHuvpaU=")</f>
        <v>#REF!</v>
      </c>
      <c r="FK65" t="e">
        <f>AND(#REF!,"AAAAAHuvpaY=")</f>
        <v>#REF!</v>
      </c>
      <c r="FL65" t="e">
        <f>AND(#REF!,"AAAAAHuvpac=")</f>
        <v>#REF!</v>
      </c>
      <c r="FM65" t="e">
        <f>AND(#REF!,"AAAAAHuvpag=")</f>
        <v>#REF!</v>
      </c>
      <c r="FN65" t="e">
        <f>AND(#REF!,"AAAAAHuvpak=")</f>
        <v>#REF!</v>
      </c>
      <c r="FO65" t="e">
        <f>AND(#REF!,"AAAAAHuvpao=")</f>
        <v>#REF!</v>
      </c>
      <c r="FP65" t="e">
        <f>AND(#REF!,"AAAAAHuvpas=")</f>
        <v>#REF!</v>
      </c>
      <c r="FQ65" t="e">
        <f>AND(#REF!,"AAAAAHuvpaw=")</f>
        <v>#REF!</v>
      </c>
      <c r="FR65" t="e">
        <f>AND(#REF!,"AAAAAHuvpa0=")</f>
        <v>#REF!</v>
      </c>
      <c r="FS65" t="e">
        <f>AND(#REF!,"AAAAAHuvpa4=")</f>
        <v>#REF!</v>
      </c>
      <c r="FT65" t="e">
        <f>AND(#REF!,"AAAAAHuvpa8=")</f>
        <v>#REF!</v>
      </c>
      <c r="FU65" t="e">
        <f>AND(#REF!,"AAAAAHuvpbA=")</f>
        <v>#REF!</v>
      </c>
      <c r="FV65" t="e">
        <f>AND(#REF!,"AAAAAHuvpbE=")</f>
        <v>#REF!</v>
      </c>
      <c r="FW65" t="e">
        <f>AND(#REF!,"AAAAAHuvpbI=")</f>
        <v>#REF!</v>
      </c>
      <c r="FX65" t="e">
        <f>AND(#REF!,"AAAAAHuvpbM=")</f>
        <v>#REF!</v>
      </c>
      <c r="FY65" t="e">
        <f>AND(#REF!,"AAAAAHuvpbQ=")</f>
        <v>#REF!</v>
      </c>
      <c r="FZ65" t="e">
        <f>AND(#REF!,"AAAAAHuvpbU=")</f>
        <v>#REF!</v>
      </c>
      <c r="GA65" t="e">
        <f>AND(#REF!,"AAAAAHuvpbY=")</f>
        <v>#REF!</v>
      </c>
      <c r="GB65" t="e">
        <f>AND(#REF!,"AAAAAHuvpbc=")</f>
        <v>#REF!</v>
      </c>
      <c r="GC65" t="e">
        <f>AND(#REF!,"AAAAAHuvpbg=")</f>
        <v>#REF!</v>
      </c>
      <c r="GD65" t="e">
        <f>AND(#REF!,"AAAAAHuvpbk=")</f>
        <v>#REF!</v>
      </c>
      <c r="GE65" t="e">
        <f>AND(#REF!,"AAAAAHuvpbo=")</f>
        <v>#REF!</v>
      </c>
      <c r="GF65" t="e">
        <f>AND(#REF!,"AAAAAHuvpbs=")</f>
        <v>#REF!</v>
      </c>
      <c r="GG65" t="e">
        <f>AND(#REF!,"AAAAAHuvpbw=")</f>
        <v>#REF!</v>
      </c>
      <c r="GH65" t="e">
        <f>AND(#REF!,"AAAAAHuvpb0=")</f>
        <v>#REF!</v>
      </c>
      <c r="GI65" t="e">
        <f>AND(#REF!,"AAAAAHuvpb4=")</f>
        <v>#REF!</v>
      </c>
      <c r="GJ65" t="e">
        <f>AND(#REF!,"AAAAAHuvpb8=")</f>
        <v>#REF!</v>
      </c>
      <c r="GK65" t="e">
        <f>AND(#REF!,"AAAAAHuvpcA=")</f>
        <v>#REF!</v>
      </c>
      <c r="GL65" t="e">
        <f>AND(#REF!,"AAAAAHuvpcE=")</f>
        <v>#REF!</v>
      </c>
      <c r="GM65" t="e">
        <f>AND(#REF!,"AAAAAHuvpcI=")</f>
        <v>#REF!</v>
      </c>
      <c r="GN65" t="e">
        <f>AND(#REF!,"AAAAAHuvpcM=")</f>
        <v>#REF!</v>
      </c>
      <c r="GO65" t="e">
        <f>AND(#REF!,"AAAAAHuvpcQ=")</f>
        <v>#REF!</v>
      </c>
      <c r="GP65" t="e">
        <f>AND(#REF!,"AAAAAHuvpcU=")</f>
        <v>#REF!</v>
      </c>
      <c r="GQ65" t="e">
        <f>AND(#REF!,"AAAAAHuvpcY=")</f>
        <v>#REF!</v>
      </c>
      <c r="GR65" t="e">
        <f>AND(#REF!,"AAAAAHuvpcc=")</f>
        <v>#REF!</v>
      </c>
      <c r="GS65" t="e">
        <f>AND(#REF!,"AAAAAHuvpcg=")</f>
        <v>#REF!</v>
      </c>
      <c r="GT65" t="e">
        <f>AND(#REF!,"AAAAAHuvpck=")</f>
        <v>#REF!</v>
      </c>
      <c r="GU65" t="e">
        <f>AND(#REF!,"AAAAAHuvpco=")</f>
        <v>#REF!</v>
      </c>
      <c r="GV65" t="e">
        <f>AND(#REF!,"AAAAAHuvpcs=")</f>
        <v>#REF!</v>
      </c>
      <c r="GW65" t="e">
        <f>AND(#REF!,"AAAAAHuvpcw=")</f>
        <v>#REF!</v>
      </c>
      <c r="GX65" t="e">
        <f>AND(#REF!,"AAAAAHuvpc0=")</f>
        <v>#REF!</v>
      </c>
      <c r="GY65" t="e">
        <f>AND(#REF!,"AAAAAHuvpc4=")</f>
        <v>#REF!</v>
      </c>
      <c r="GZ65" t="e">
        <f>AND(#REF!,"AAAAAHuvpc8=")</f>
        <v>#REF!</v>
      </c>
      <c r="HA65" t="e">
        <f>AND(#REF!,"AAAAAHuvpdA=")</f>
        <v>#REF!</v>
      </c>
      <c r="HB65" t="e">
        <f>AND(#REF!,"AAAAAHuvpdE=")</f>
        <v>#REF!</v>
      </c>
      <c r="HC65" t="e">
        <f>AND(#REF!,"AAAAAHuvpdI=")</f>
        <v>#REF!</v>
      </c>
      <c r="HD65" t="e">
        <f>AND(#REF!,"AAAAAHuvpdM=")</f>
        <v>#REF!</v>
      </c>
      <c r="HE65" t="e">
        <f>AND(#REF!,"AAAAAHuvpdQ=")</f>
        <v>#REF!</v>
      </c>
      <c r="HF65" t="e">
        <f>AND(#REF!,"AAAAAHuvpdU=")</f>
        <v>#REF!</v>
      </c>
      <c r="HG65" t="e">
        <f>AND(#REF!,"AAAAAHuvpdY=")</f>
        <v>#REF!</v>
      </c>
      <c r="HH65" t="e">
        <f>AND(#REF!,"AAAAAHuvpdc=")</f>
        <v>#REF!</v>
      </c>
      <c r="HI65" t="e">
        <f>AND(#REF!,"AAAAAHuvpdg=")</f>
        <v>#REF!</v>
      </c>
      <c r="HJ65" t="e">
        <f>AND(#REF!,"AAAAAHuvpdk=")</f>
        <v>#REF!</v>
      </c>
      <c r="HK65" t="e">
        <f>AND(#REF!,"AAAAAHuvpdo=")</f>
        <v>#REF!</v>
      </c>
      <c r="HL65" t="e">
        <f>AND(#REF!,"AAAAAHuvpds=")</f>
        <v>#REF!</v>
      </c>
      <c r="HM65" t="e">
        <f>AND(#REF!,"AAAAAHuvpdw=")</f>
        <v>#REF!</v>
      </c>
      <c r="HN65" t="e">
        <f>AND(#REF!,"AAAAAHuvpd0=")</f>
        <v>#REF!</v>
      </c>
      <c r="HO65" t="e">
        <f>AND(#REF!,"AAAAAHuvpd4=")</f>
        <v>#REF!</v>
      </c>
      <c r="HP65" t="e">
        <f>AND(#REF!,"AAAAAHuvpd8=")</f>
        <v>#REF!</v>
      </c>
      <c r="HQ65" t="e">
        <f>AND(#REF!,"AAAAAHuvpeA=")</f>
        <v>#REF!</v>
      </c>
      <c r="HR65" t="e">
        <f>AND(#REF!,"AAAAAHuvpeE=")</f>
        <v>#REF!</v>
      </c>
      <c r="HS65" t="e">
        <f>AND(#REF!,"AAAAAHuvpeI=")</f>
        <v>#REF!</v>
      </c>
      <c r="HT65" t="e">
        <f>AND(#REF!,"AAAAAHuvpeM=")</f>
        <v>#REF!</v>
      </c>
      <c r="HU65" t="e">
        <f>AND(#REF!,"AAAAAHuvpeQ=")</f>
        <v>#REF!</v>
      </c>
      <c r="HV65" t="e">
        <f>AND(#REF!,"AAAAAHuvpeU=")</f>
        <v>#REF!</v>
      </c>
      <c r="HW65" t="e">
        <f>AND(#REF!,"AAAAAHuvpeY=")</f>
        <v>#REF!</v>
      </c>
      <c r="HX65" t="e">
        <f>AND(#REF!,"AAAAAHuvpec=")</f>
        <v>#REF!</v>
      </c>
      <c r="HY65" t="e">
        <f>AND(#REF!,"AAAAAHuvpeg=")</f>
        <v>#REF!</v>
      </c>
      <c r="HZ65" t="e">
        <f>AND(#REF!,"AAAAAHuvpek=")</f>
        <v>#REF!</v>
      </c>
      <c r="IA65" t="e">
        <f>AND(#REF!,"AAAAAHuvpeo=")</f>
        <v>#REF!</v>
      </c>
      <c r="IB65" t="e">
        <f>AND(#REF!,"AAAAAHuvpes=")</f>
        <v>#REF!</v>
      </c>
      <c r="IC65" t="e">
        <f>AND(#REF!,"AAAAAHuvpew=")</f>
        <v>#REF!</v>
      </c>
      <c r="ID65" t="e">
        <f>AND(#REF!,"AAAAAHuvpe0=")</f>
        <v>#REF!</v>
      </c>
      <c r="IE65" t="e">
        <f>AND(#REF!,"AAAAAHuvpe4=")</f>
        <v>#REF!</v>
      </c>
      <c r="IF65" t="e">
        <f>AND(#REF!,"AAAAAHuvpe8=")</f>
        <v>#REF!</v>
      </c>
      <c r="IG65" t="e">
        <f>AND(#REF!,"AAAAAHuvpfA=")</f>
        <v>#REF!</v>
      </c>
      <c r="IH65" t="e">
        <f>AND(#REF!,"AAAAAHuvpfE=")</f>
        <v>#REF!</v>
      </c>
      <c r="II65" t="e">
        <f>AND(#REF!,"AAAAAHuvpfI=")</f>
        <v>#REF!</v>
      </c>
      <c r="IJ65" t="e">
        <f>AND(#REF!,"AAAAAHuvpfM=")</f>
        <v>#REF!</v>
      </c>
      <c r="IK65" t="e">
        <f>AND(#REF!,"AAAAAHuvpfQ=")</f>
        <v>#REF!</v>
      </c>
      <c r="IL65" t="e">
        <f>AND(#REF!,"AAAAAHuvpfU=")</f>
        <v>#REF!</v>
      </c>
      <c r="IM65" t="e">
        <f>AND(#REF!,"AAAAAHuvpfY=")</f>
        <v>#REF!</v>
      </c>
      <c r="IN65" t="e">
        <f>AND(#REF!,"AAAAAHuvpfc=")</f>
        <v>#REF!</v>
      </c>
      <c r="IO65" t="e">
        <f>AND(#REF!,"AAAAAHuvpfg=")</f>
        <v>#REF!</v>
      </c>
      <c r="IP65" t="e">
        <f>AND(#REF!,"AAAAAHuvpfk=")</f>
        <v>#REF!</v>
      </c>
      <c r="IQ65" t="e">
        <f>AND(#REF!,"AAAAAHuvpfo=")</f>
        <v>#REF!</v>
      </c>
      <c r="IR65" t="e">
        <f>AND(#REF!,"AAAAAHuvpfs=")</f>
        <v>#REF!</v>
      </c>
      <c r="IS65" t="e">
        <f>AND(#REF!,"AAAAAHuvpfw=")</f>
        <v>#REF!</v>
      </c>
      <c r="IT65" t="e">
        <f>AND(#REF!,"AAAAAHuvpf0=")</f>
        <v>#REF!</v>
      </c>
      <c r="IU65" t="e">
        <f>AND(#REF!,"AAAAAHuvpf4=")</f>
        <v>#REF!</v>
      </c>
      <c r="IV65" t="e">
        <f>AND(#REF!,"AAAAAHuvpf8=")</f>
        <v>#REF!</v>
      </c>
    </row>
    <row r="66" spans="1:256" x14ac:dyDescent="0.25">
      <c r="A66" t="e">
        <f>AND(#REF!,"AAAAAH/92wA=")</f>
        <v>#REF!</v>
      </c>
      <c r="B66" t="e">
        <f>AND(#REF!,"AAAAAH/92wE=")</f>
        <v>#REF!</v>
      </c>
      <c r="C66" t="e">
        <f>AND(#REF!,"AAAAAH/92wI=")</f>
        <v>#REF!</v>
      </c>
      <c r="D66" t="e">
        <f>AND(#REF!,"AAAAAH/92wM=")</f>
        <v>#REF!</v>
      </c>
      <c r="E66" t="e">
        <f>AND(#REF!,"AAAAAH/92wQ=")</f>
        <v>#REF!</v>
      </c>
      <c r="F66" t="e">
        <f>AND(#REF!,"AAAAAH/92wU=")</f>
        <v>#REF!</v>
      </c>
      <c r="G66" t="e">
        <f>AND(#REF!,"AAAAAH/92wY=")</f>
        <v>#REF!</v>
      </c>
      <c r="H66" t="e">
        <f>AND(#REF!,"AAAAAH/92wc=")</f>
        <v>#REF!</v>
      </c>
      <c r="I66" t="e">
        <f>AND(#REF!,"AAAAAH/92wg=")</f>
        <v>#REF!</v>
      </c>
      <c r="J66" t="e">
        <f>AND(#REF!,"AAAAAH/92wk=")</f>
        <v>#REF!</v>
      </c>
      <c r="K66" t="e">
        <f>AND(#REF!,"AAAAAH/92wo=")</f>
        <v>#REF!</v>
      </c>
      <c r="L66" t="e">
        <f>AND(#REF!,"AAAAAH/92ws=")</f>
        <v>#REF!</v>
      </c>
      <c r="M66" t="e">
        <f>AND(#REF!,"AAAAAH/92ww=")</f>
        <v>#REF!</v>
      </c>
      <c r="N66" t="e">
        <f>AND(#REF!,"AAAAAH/92w0=")</f>
        <v>#REF!</v>
      </c>
      <c r="O66" t="e">
        <f>AND(#REF!,"AAAAAH/92w4=")</f>
        <v>#REF!</v>
      </c>
      <c r="P66" t="e">
        <f>AND(#REF!,"AAAAAH/92w8=")</f>
        <v>#REF!</v>
      </c>
      <c r="Q66" t="e">
        <f>AND(#REF!,"AAAAAH/92xA=")</f>
        <v>#REF!</v>
      </c>
      <c r="R66" t="e">
        <f>AND(#REF!,"AAAAAH/92xE=")</f>
        <v>#REF!</v>
      </c>
      <c r="S66" t="e">
        <f>AND(#REF!,"AAAAAH/92xI=")</f>
        <v>#REF!</v>
      </c>
      <c r="T66" t="e">
        <f>AND(#REF!,"AAAAAH/92xM=")</f>
        <v>#REF!</v>
      </c>
      <c r="U66" t="e">
        <f>AND(#REF!,"AAAAAH/92xQ=")</f>
        <v>#REF!</v>
      </c>
      <c r="V66" t="e">
        <f>AND(#REF!,"AAAAAH/92xU=")</f>
        <v>#REF!</v>
      </c>
      <c r="W66" t="e">
        <f>AND(#REF!,"AAAAAH/92xY=")</f>
        <v>#REF!</v>
      </c>
      <c r="X66" t="e">
        <f>AND(#REF!,"AAAAAH/92xc=")</f>
        <v>#REF!</v>
      </c>
      <c r="Y66" t="e">
        <f>AND(#REF!,"AAAAAH/92xg=")</f>
        <v>#REF!</v>
      </c>
      <c r="Z66" t="e">
        <f>AND(#REF!,"AAAAAH/92xk=")</f>
        <v>#REF!</v>
      </c>
      <c r="AA66" t="e">
        <f>AND(#REF!,"AAAAAH/92xo=")</f>
        <v>#REF!</v>
      </c>
      <c r="AB66" t="e">
        <f>AND(#REF!,"AAAAAH/92xs=")</f>
        <v>#REF!</v>
      </c>
      <c r="AC66" t="e">
        <f>AND(#REF!,"AAAAAH/92xw=")</f>
        <v>#REF!</v>
      </c>
      <c r="AD66" t="e">
        <f>AND(#REF!,"AAAAAH/92x0=")</f>
        <v>#REF!</v>
      </c>
      <c r="AE66" t="e">
        <f>AND(#REF!,"AAAAAH/92x4=")</f>
        <v>#REF!</v>
      </c>
      <c r="AF66" t="e">
        <f>AND(#REF!,"AAAAAH/92x8=")</f>
        <v>#REF!</v>
      </c>
      <c r="AG66" t="e">
        <f>AND(#REF!,"AAAAAH/92yA=")</f>
        <v>#REF!</v>
      </c>
      <c r="AH66" t="e">
        <f>AND(#REF!,"AAAAAH/92yE=")</f>
        <v>#REF!</v>
      </c>
      <c r="AI66" t="e">
        <f>AND(#REF!,"AAAAAH/92yI=")</f>
        <v>#REF!</v>
      </c>
      <c r="AJ66" t="e">
        <f>AND(#REF!,"AAAAAH/92yM=")</f>
        <v>#REF!</v>
      </c>
      <c r="AK66" t="e">
        <f>AND(#REF!,"AAAAAH/92yQ=")</f>
        <v>#REF!</v>
      </c>
      <c r="AL66" t="e">
        <f>AND(#REF!,"AAAAAH/92yU=")</f>
        <v>#REF!</v>
      </c>
      <c r="AM66" t="e">
        <f>AND(#REF!,"AAAAAH/92yY=")</f>
        <v>#REF!</v>
      </c>
      <c r="AN66" t="e">
        <f>AND(#REF!,"AAAAAH/92yc=")</f>
        <v>#REF!</v>
      </c>
      <c r="AO66" t="e">
        <f>AND(#REF!,"AAAAAH/92yg=")</f>
        <v>#REF!</v>
      </c>
      <c r="AP66" t="e">
        <f>AND(#REF!,"AAAAAH/92yk=")</f>
        <v>#REF!</v>
      </c>
      <c r="AQ66" t="e">
        <f>AND(#REF!,"AAAAAH/92yo=")</f>
        <v>#REF!</v>
      </c>
      <c r="AR66" t="e">
        <f>AND(#REF!,"AAAAAH/92ys=")</f>
        <v>#REF!</v>
      </c>
      <c r="AS66" t="e">
        <f>AND(#REF!,"AAAAAH/92yw=")</f>
        <v>#REF!</v>
      </c>
      <c r="AT66" t="e">
        <f>IF(#REF!,"AAAAAH/92y0=",0)</f>
        <v>#REF!</v>
      </c>
      <c r="AU66" t="e">
        <f>AND(#REF!,"AAAAAH/92y4=")</f>
        <v>#REF!</v>
      </c>
      <c r="AV66" t="e">
        <f>AND(#REF!,"AAAAAH/92y8=")</f>
        <v>#REF!</v>
      </c>
      <c r="AW66" t="e">
        <f>AND(#REF!,"AAAAAH/92zA=")</f>
        <v>#REF!</v>
      </c>
      <c r="AX66" t="e">
        <f>AND(#REF!,"AAAAAH/92zE=")</f>
        <v>#REF!</v>
      </c>
      <c r="AY66" t="e">
        <f>AND(#REF!,"AAAAAH/92zI=")</f>
        <v>#REF!</v>
      </c>
      <c r="AZ66" t="e">
        <f>AND(#REF!,"AAAAAH/92zM=")</f>
        <v>#REF!</v>
      </c>
      <c r="BA66" t="e">
        <f>AND(#REF!,"AAAAAH/92zQ=")</f>
        <v>#REF!</v>
      </c>
      <c r="BB66" t="e">
        <f>AND(#REF!,"AAAAAH/92zU=")</f>
        <v>#REF!</v>
      </c>
      <c r="BC66" t="e">
        <f>AND(#REF!,"AAAAAH/92zY=")</f>
        <v>#REF!</v>
      </c>
      <c r="BD66" t="e">
        <f>AND(#REF!,"AAAAAH/92zc=")</f>
        <v>#REF!</v>
      </c>
      <c r="BE66" t="e">
        <f>AND(#REF!,"AAAAAH/92zg=")</f>
        <v>#REF!</v>
      </c>
      <c r="BF66" t="e">
        <f>AND(#REF!,"AAAAAH/92zk=")</f>
        <v>#REF!</v>
      </c>
      <c r="BG66" t="e">
        <f>AND(#REF!,"AAAAAH/92zo=")</f>
        <v>#REF!</v>
      </c>
      <c r="BH66" t="e">
        <f>AND(#REF!,"AAAAAH/92zs=")</f>
        <v>#REF!</v>
      </c>
      <c r="BI66" t="e">
        <f>AND(#REF!,"AAAAAH/92zw=")</f>
        <v>#REF!</v>
      </c>
      <c r="BJ66" t="e">
        <f>AND(#REF!,"AAAAAH/92z0=")</f>
        <v>#REF!</v>
      </c>
      <c r="BK66" t="e">
        <f>AND(#REF!,"AAAAAH/92z4=")</f>
        <v>#REF!</v>
      </c>
      <c r="BL66" t="e">
        <f>AND(#REF!,"AAAAAH/92z8=")</f>
        <v>#REF!</v>
      </c>
      <c r="BM66" t="e">
        <f>AND(#REF!,"AAAAAH/920A=")</f>
        <v>#REF!</v>
      </c>
      <c r="BN66" t="e">
        <f>AND(#REF!,"AAAAAH/920E=")</f>
        <v>#REF!</v>
      </c>
      <c r="BO66" t="e">
        <f>AND(#REF!,"AAAAAH/920I=")</f>
        <v>#REF!</v>
      </c>
      <c r="BP66" t="e">
        <f>AND(#REF!,"AAAAAH/920M=")</f>
        <v>#REF!</v>
      </c>
      <c r="BQ66" t="e">
        <f>AND(#REF!,"AAAAAH/920Q=")</f>
        <v>#REF!</v>
      </c>
      <c r="BR66" t="e">
        <f>AND(#REF!,"AAAAAH/920U=")</f>
        <v>#REF!</v>
      </c>
      <c r="BS66" t="e">
        <f>AND(#REF!,"AAAAAH/920Y=")</f>
        <v>#REF!</v>
      </c>
      <c r="BT66" t="e">
        <f>AND(#REF!,"AAAAAH/920c=")</f>
        <v>#REF!</v>
      </c>
      <c r="BU66" t="e">
        <f>AND(#REF!,"AAAAAH/920g=")</f>
        <v>#REF!</v>
      </c>
      <c r="BV66" t="e">
        <f>AND(#REF!,"AAAAAH/920k=")</f>
        <v>#REF!</v>
      </c>
      <c r="BW66" t="e">
        <f>AND(#REF!,"AAAAAH/920o=")</f>
        <v>#REF!</v>
      </c>
      <c r="BX66" t="e">
        <f>AND(#REF!,"AAAAAH/920s=")</f>
        <v>#REF!</v>
      </c>
      <c r="BY66" t="e">
        <f>AND(#REF!,"AAAAAH/920w=")</f>
        <v>#REF!</v>
      </c>
      <c r="BZ66" t="e">
        <f>AND(#REF!,"AAAAAH/9200=")</f>
        <v>#REF!</v>
      </c>
      <c r="CA66" t="e">
        <f>AND(#REF!,"AAAAAH/9204=")</f>
        <v>#REF!</v>
      </c>
      <c r="CB66" t="e">
        <f>AND(#REF!,"AAAAAH/9208=")</f>
        <v>#REF!</v>
      </c>
      <c r="CC66" t="e">
        <f>AND(#REF!,"AAAAAH/921A=")</f>
        <v>#REF!</v>
      </c>
      <c r="CD66" t="e">
        <f>AND(#REF!,"AAAAAH/921E=")</f>
        <v>#REF!</v>
      </c>
      <c r="CE66" t="e">
        <f>AND(#REF!,"AAAAAH/921I=")</f>
        <v>#REF!</v>
      </c>
      <c r="CF66" t="e">
        <f>AND(#REF!,"AAAAAH/921M=")</f>
        <v>#REF!</v>
      </c>
      <c r="CG66" t="e">
        <f>AND(#REF!,"AAAAAH/921Q=")</f>
        <v>#REF!</v>
      </c>
      <c r="CH66" t="e">
        <f>AND(#REF!,"AAAAAH/921U=")</f>
        <v>#REF!</v>
      </c>
      <c r="CI66" t="e">
        <f>AND(#REF!,"AAAAAH/921Y=")</f>
        <v>#REF!</v>
      </c>
      <c r="CJ66" t="e">
        <f>AND(#REF!,"AAAAAH/921c=")</f>
        <v>#REF!</v>
      </c>
      <c r="CK66" t="e">
        <f>AND(#REF!,"AAAAAH/921g=")</f>
        <v>#REF!</v>
      </c>
      <c r="CL66" t="e">
        <f>AND(#REF!,"AAAAAH/921k=")</f>
        <v>#REF!</v>
      </c>
      <c r="CM66" t="e">
        <f>AND(#REF!,"AAAAAH/921o=")</f>
        <v>#REF!</v>
      </c>
      <c r="CN66" t="e">
        <f>AND(#REF!,"AAAAAH/921s=")</f>
        <v>#REF!</v>
      </c>
      <c r="CO66" t="e">
        <f>AND(#REF!,"AAAAAH/921w=")</f>
        <v>#REF!</v>
      </c>
      <c r="CP66" t="e">
        <f>AND(#REF!,"AAAAAH/9210=")</f>
        <v>#REF!</v>
      </c>
      <c r="CQ66" t="e">
        <f>AND(#REF!,"AAAAAH/9214=")</f>
        <v>#REF!</v>
      </c>
      <c r="CR66" t="e">
        <f>AND(#REF!,"AAAAAH/9218=")</f>
        <v>#REF!</v>
      </c>
      <c r="CS66" t="e">
        <f>AND(#REF!,"AAAAAH/922A=")</f>
        <v>#REF!</v>
      </c>
      <c r="CT66" t="e">
        <f>AND(#REF!,"AAAAAH/922E=")</f>
        <v>#REF!</v>
      </c>
      <c r="CU66" t="e">
        <f>AND(#REF!,"AAAAAH/922I=")</f>
        <v>#REF!</v>
      </c>
      <c r="CV66" t="e">
        <f>AND(#REF!,"AAAAAH/922M=")</f>
        <v>#REF!</v>
      </c>
      <c r="CW66" t="e">
        <f>AND(#REF!,"AAAAAH/922Q=")</f>
        <v>#REF!</v>
      </c>
      <c r="CX66" t="e">
        <f>AND(#REF!,"AAAAAH/922U=")</f>
        <v>#REF!</v>
      </c>
      <c r="CY66" t="e">
        <f>AND(#REF!,"AAAAAH/922Y=")</f>
        <v>#REF!</v>
      </c>
      <c r="CZ66" t="e">
        <f>AND(#REF!,"AAAAAH/922c=")</f>
        <v>#REF!</v>
      </c>
      <c r="DA66" t="e">
        <f>AND(#REF!,"AAAAAH/922g=")</f>
        <v>#REF!</v>
      </c>
      <c r="DB66" t="e">
        <f>AND(#REF!,"AAAAAH/922k=")</f>
        <v>#REF!</v>
      </c>
      <c r="DC66" t="e">
        <f>AND(#REF!,"AAAAAH/922o=")</f>
        <v>#REF!</v>
      </c>
      <c r="DD66" t="e">
        <f>AND(#REF!,"AAAAAH/922s=")</f>
        <v>#REF!</v>
      </c>
      <c r="DE66" t="e">
        <f>AND(#REF!,"AAAAAH/922w=")</f>
        <v>#REF!</v>
      </c>
      <c r="DF66" t="e">
        <f>AND(#REF!,"AAAAAH/9220=")</f>
        <v>#REF!</v>
      </c>
      <c r="DG66" t="e">
        <f>AND(#REF!,"AAAAAH/9224=")</f>
        <v>#REF!</v>
      </c>
      <c r="DH66" t="e">
        <f>AND(#REF!,"AAAAAH/9228=")</f>
        <v>#REF!</v>
      </c>
      <c r="DI66" t="e">
        <f>AND(#REF!,"AAAAAH/923A=")</f>
        <v>#REF!</v>
      </c>
      <c r="DJ66" t="e">
        <f>AND(#REF!,"AAAAAH/923E=")</f>
        <v>#REF!</v>
      </c>
      <c r="DK66" t="e">
        <f>AND(#REF!,"AAAAAH/923I=")</f>
        <v>#REF!</v>
      </c>
      <c r="DL66" t="e">
        <f>AND(#REF!,"AAAAAH/923M=")</f>
        <v>#REF!</v>
      </c>
      <c r="DM66" t="e">
        <f>AND(#REF!,"AAAAAH/923Q=")</f>
        <v>#REF!</v>
      </c>
      <c r="DN66" t="e">
        <f>AND(#REF!,"AAAAAH/923U=")</f>
        <v>#REF!</v>
      </c>
      <c r="DO66" t="e">
        <f>AND(#REF!,"AAAAAH/923Y=")</f>
        <v>#REF!</v>
      </c>
      <c r="DP66" t="e">
        <f>AND(#REF!,"AAAAAH/923c=")</f>
        <v>#REF!</v>
      </c>
      <c r="DQ66" t="e">
        <f>AND(#REF!,"AAAAAH/923g=")</f>
        <v>#REF!</v>
      </c>
      <c r="DR66" t="e">
        <f>AND(#REF!,"AAAAAH/923k=")</f>
        <v>#REF!</v>
      </c>
      <c r="DS66" t="e">
        <f>AND(#REF!,"AAAAAH/923o=")</f>
        <v>#REF!</v>
      </c>
      <c r="DT66" t="e">
        <f>AND(#REF!,"AAAAAH/923s=")</f>
        <v>#REF!</v>
      </c>
      <c r="DU66" t="e">
        <f>AND(#REF!,"AAAAAH/923w=")</f>
        <v>#REF!</v>
      </c>
      <c r="DV66" t="e">
        <f>AND(#REF!,"AAAAAH/9230=")</f>
        <v>#REF!</v>
      </c>
      <c r="DW66" t="e">
        <f>AND(#REF!,"AAAAAH/9234=")</f>
        <v>#REF!</v>
      </c>
      <c r="DX66" t="e">
        <f>AND(#REF!,"AAAAAH/9238=")</f>
        <v>#REF!</v>
      </c>
      <c r="DY66" t="e">
        <f>AND(#REF!,"AAAAAH/924A=")</f>
        <v>#REF!</v>
      </c>
      <c r="DZ66" t="e">
        <f>AND(#REF!,"AAAAAH/924E=")</f>
        <v>#REF!</v>
      </c>
      <c r="EA66" t="e">
        <f>AND(#REF!,"AAAAAH/924I=")</f>
        <v>#REF!</v>
      </c>
      <c r="EB66" t="e">
        <f>AND(#REF!,"AAAAAH/924M=")</f>
        <v>#REF!</v>
      </c>
      <c r="EC66" t="e">
        <f>AND(#REF!,"AAAAAH/924Q=")</f>
        <v>#REF!</v>
      </c>
      <c r="ED66" t="e">
        <f>AND(#REF!,"AAAAAH/924U=")</f>
        <v>#REF!</v>
      </c>
      <c r="EE66" t="e">
        <f>AND(#REF!,"AAAAAH/924Y=")</f>
        <v>#REF!</v>
      </c>
      <c r="EF66" t="e">
        <f>AND(#REF!,"AAAAAH/924c=")</f>
        <v>#REF!</v>
      </c>
      <c r="EG66" t="e">
        <f>AND(#REF!,"AAAAAH/924g=")</f>
        <v>#REF!</v>
      </c>
      <c r="EH66" t="e">
        <f>AND(#REF!,"AAAAAH/924k=")</f>
        <v>#REF!</v>
      </c>
      <c r="EI66" t="e">
        <f>AND(#REF!,"AAAAAH/924o=")</f>
        <v>#REF!</v>
      </c>
      <c r="EJ66" t="e">
        <f>AND(#REF!,"AAAAAH/924s=")</f>
        <v>#REF!</v>
      </c>
      <c r="EK66" t="e">
        <f>AND(#REF!,"AAAAAH/924w=")</f>
        <v>#REF!</v>
      </c>
      <c r="EL66" t="e">
        <f>AND(#REF!,"AAAAAH/9240=")</f>
        <v>#REF!</v>
      </c>
      <c r="EM66" t="e">
        <f>AND(#REF!,"AAAAAH/9244=")</f>
        <v>#REF!</v>
      </c>
      <c r="EN66" t="e">
        <f>AND(#REF!,"AAAAAH/9248=")</f>
        <v>#REF!</v>
      </c>
      <c r="EO66" t="e">
        <f>AND(#REF!,"AAAAAH/925A=")</f>
        <v>#REF!</v>
      </c>
      <c r="EP66" t="e">
        <f>AND(#REF!,"AAAAAH/925E=")</f>
        <v>#REF!</v>
      </c>
      <c r="EQ66" t="e">
        <f>AND(#REF!,"AAAAAH/925I=")</f>
        <v>#REF!</v>
      </c>
      <c r="ER66" t="e">
        <f>AND(#REF!,"AAAAAH/925M=")</f>
        <v>#REF!</v>
      </c>
      <c r="ES66" t="e">
        <f>AND(#REF!,"AAAAAH/925Q=")</f>
        <v>#REF!</v>
      </c>
      <c r="ET66" t="e">
        <f>AND(#REF!,"AAAAAH/925U=")</f>
        <v>#REF!</v>
      </c>
      <c r="EU66" t="e">
        <f>AND(#REF!,"AAAAAH/925Y=")</f>
        <v>#REF!</v>
      </c>
      <c r="EV66" t="e">
        <f>AND(#REF!,"AAAAAH/925c=")</f>
        <v>#REF!</v>
      </c>
      <c r="EW66" t="e">
        <f>AND(#REF!,"AAAAAH/925g=")</f>
        <v>#REF!</v>
      </c>
      <c r="EX66" t="e">
        <f>AND(#REF!,"AAAAAH/925k=")</f>
        <v>#REF!</v>
      </c>
      <c r="EY66" t="e">
        <f>AND(#REF!,"AAAAAH/925o=")</f>
        <v>#REF!</v>
      </c>
      <c r="EZ66" t="e">
        <f>AND(#REF!,"AAAAAH/925s=")</f>
        <v>#REF!</v>
      </c>
      <c r="FA66" t="e">
        <f>AND(#REF!,"AAAAAH/925w=")</f>
        <v>#REF!</v>
      </c>
      <c r="FB66" t="e">
        <f>AND(#REF!,"AAAAAH/9250=")</f>
        <v>#REF!</v>
      </c>
      <c r="FC66" t="e">
        <f>AND(#REF!,"AAAAAH/9254=")</f>
        <v>#REF!</v>
      </c>
      <c r="FD66" t="e">
        <f>AND(#REF!,"AAAAAH/9258=")</f>
        <v>#REF!</v>
      </c>
      <c r="FE66" t="e">
        <f>AND(#REF!,"AAAAAH/926A=")</f>
        <v>#REF!</v>
      </c>
      <c r="FF66" t="e">
        <f>AND(#REF!,"AAAAAH/926E=")</f>
        <v>#REF!</v>
      </c>
      <c r="FG66" t="e">
        <f>AND(#REF!,"AAAAAH/926I=")</f>
        <v>#REF!</v>
      </c>
      <c r="FH66" t="e">
        <f>AND(#REF!,"AAAAAH/926M=")</f>
        <v>#REF!</v>
      </c>
      <c r="FI66" t="e">
        <f>AND(#REF!,"AAAAAH/926Q=")</f>
        <v>#REF!</v>
      </c>
      <c r="FJ66" t="e">
        <f>AND(#REF!,"AAAAAH/926U=")</f>
        <v>#REF!</v>
      </c>
      <c r="FK66" t="e">
        <f>AND(#REF!,"AAAAAH/926Y=")</f>
        <v>#REF!</v>
      </c>
      <c r="FL66" t="e">
        <f>AND(#REF!,"AAAAAH/926c=")</f>
        <v>#REF!</v>
      </c>
      <c r="FM66" t="e">
        <f>AND(#REF!,"AAAAAH/926g=")</f>
        <v>#REF!</v>
      </c>
      <c r="FN66" t="e">
        <f>AND(#REF!,"AAAAAH/926k=")</f>
        <v>#REF!</v>
      </c>
      <c r="FO66" t="e">
        <f>AND(#REF!,"AAAAAH/926o=")</f>
        <v>#REF!</v>
      </c>
      <c r="FP66" t="e">
        <f>AND(#REF!,"AAAAAH/926s=")</f>
        <v>#REF!</v>
      </c>
      <c r="FQ66" t="e">
        <f>AND(#REF!,"AAAAAH/926w=")</f>
        <v>#REF!</v>
      </c>
      <c r="FR66" t="e">
        <f>AND(#REF!,"AAAAAH/9260=")</f>
        <v>#REF!</v>
      </c>
      <c r="FS66" t="e">
        <f>AND(#REF!,"AAAAAH/9264=")</f>
        <v>#REF!</v>
      </c>
      <c r="FT66" t="e">
        <f>AND(#REF!,"AAAAAH/9268=")</f>
        <v>#REF!</v>
      </c>
      <c r="FU66" t="e">
        <f>AND(#REF!,"AAAAAH/927A=")</f>
        <v>#REF!</v>
      </c>
      <c r="FV66" t="e">
        <f>AND(#REF!,"AAAAAH/927E=")</f>
        <v>#REF!</v>
      </c>
      <c r="FW66" t="e">
        <f>AND(#REF!,"AAAAAH/927I=")</f>
        <v>#REF!</v>
      </c>
      <c r="FX66" t="e">
        <f>AND(#REF!,"AAAAAH/927M=")</f>
        <v>#REF!</v>
      </c>
      <c r="FY66" t="e">
        <f>AND(#REF!,"AAAAAH/927Q=")</f>
        <v>#REF!</v>
      </c>
      <c r="FZ66" t="e">
        <f>AND(#REF!,"AAAAAH/927U=")</f>
        <v>#REF!</v>
      </c>
      <c r="GA66" t="e">
        <f>AND(#REF!,"AAAAAH/927Y=")</f>
        <v>#REF!</v>
      </c>
      <c r="GB66" t="e">
        <f>AND(#REF!,"AAAAAH/927c=")</f>
        <v>#REF!</v>
      </c>
      <c r="GC66" t="e">
        <f>AND(#REF!,"AAAAAH/927g=")</f>
        <v>#REF!</v>
      </c>
      <c r="GD66" t="e">
        <f>AND(#REF!,"AAAAAH/927k=")</f>
        <v>#REF!</v>
      </c>
      <c r="GE66" t="e">
        <f>AND(#REF!,"AAAAAH/927o=")</f>
        <v>#REF!</v>
      </c>
      <c r="GF66" t="e">
        <f>AND(#REF!,"AAAAAH/927s=")</f>
        <v>#REF!</v>
      </c>
      <c r="GG66" t="e">
        <f>AND(#REF!,"AAAAAH/927w=")</f>
        <v>#REF!</v>
      </c>
      <c r="GH66" t="e">
        <f>AND(#REF!,"AAAAAH/9270=")</f>
        <v>#REF!</v>
      </c>
      <c r="GI66" t="e">
        <f>AND(#REF!,"AAAAAH/9274=")</f>
        <v>#REF!</v>
      </c>
      <c r="GJ66" t="e">
        <f>AND(#REF!,"AAAAAH/9278=")</f>
        <v>#REF!</v>
      </c>
      <c r="GK66" t="e">
        <f>AND(#REF!,"AAAAAH/928A=")</f>
        <v>#REF!</v>
      </c>
      <c r="GL66" t="e">
        <f>AND(#REF!,"AAAAAH/928E=")</f>
        <v>#REF!</v>
      </c>
      <c r="GM66" t="e">
        <f>AND(#REF!,"AAAAAH/928I=")</f>
        <v>#REF!</v>
      </c>
      <c r="GN66" t="e">
        <f>AND(#REF!,"AAAAAH/928M=")</f>
        <v>#REF!</v>
      </c>
      <c r="GO66" t="e">
        <f>AND(#REF!,"AAAAAH/928Q=")</f>
        <v>#REF!</v>
      </c>
      <c r="GP66" t="e">
        <f>AND(#REF!,"AAAAAH/928U=")</f>
        <v>#REF!</v>
      </c>
      <c r="GQ66" t="e">
        <f>AND(#REF!,"AAAAAH/928Y=")</f>
        <v>#REF!</v>
      </c>
      <c r="GR66" t="e">
        <f>AND(#REF!,"AAAAAH/928c=")</f>
        <v>#REF!</v>
      </c>
      <c r="GS66" t="e">
        <f>AND(#REF!,"AAAAAH/928g=")</f>
        <v>#REF!</v>
      </c>
      <c r="GT66" t="e">
        <f>AND(#REF!,"AAAAAH/928k=")</f>
        <v>#REF!</v>
      </c>
      <c r="GU66" t="e">
        <f>AND(#REF!,"AAAAAH/928o=")</f>
        <v>#REF!</v>
      </c>
      <c r="GV66" t="e">
        <f>AND(#REF!,"AAAAAH/928s=")</f>
        <v>#REF!</v>
      </c>
      <c r="GW66" t="e">
        <f>AND(#REF!,"AAAAAH/928w=")</f>
        <v>#REF!</v>
      </c>
      <c r="GX66" t="e">
        <f>AND(#REF!,"AAAAAH/9280=")</f>
        <v>#REF!</v>
      </c>
      <c r="GY66" t="e">
        <f>AND(#REF!,"AAAAAH/9284=")</f>
        <v>#REF!</v>
      </c>
      <c r="GZ66" t="e">
        <f>AND(#REF!,"AAAAAH/9288=")</f>
        <v>#REF!</v>
      </c>
      <c r="HA66" t="e">
        <f>AND(#REF!,"AAAAAH/929A=")</f>
        <v>#REF!</v>
      </c>
      <c r="HB66" t="e">
        <f>AND(#REF!,"AAAAAH/929E=")</f>
        <v>#REF!</v>
      </c>
      <c r="HC66" t="e">
        <f>AND(#REF!,"AAAAAH/929I=")</f>
        <v>#REF!</v>
      </c>
      <c r="HD66" t="e">
        <f>AND(#REF!,"AAAAAH/929M=")</f>
        <v>#REF!</v>
      </c>
      <c r="HE66" t="e">
        <f>AND(#REF!,"AAAAAH/929Q=")</f>
        <v>#REF!</v>
      </c>
      <c r="HF66" t="e">
        <f>AND(#REF!,"AAAAAH/929U=")</f>
        <v>#REF!</v>
      </c>
      <c r="HG66" t="e">
        <f>AND(#REF!,"AAAAAH/929Y=")</f>
        <v>#REF!</v>
      </c>
      <c r="HH66" t="e">
        <f>AND(#REF!,"AAAAAH/929c=")</f>
        <v>#REF!</v>
      </c>
      <c r="HI66" t="e">
        <f>AND(#REF!,"AAAAAH/929g=")</f>
        <v>#REF!</v>
      </c>
      <c r="HJ66" t="e">
        <f>AND(#REF!,"AAAAAH/929k=")</f>
        <v>#REF!</v>
      </c>
      <c r="HK66" t="e">
        <f>AND(#REF!,"AAAAAH/929o=")</f>
        <v>#REF!</v>
      </c>
      <c r="HL66" t="e">
        <f>AND(#REF!,"AAAAAH/929s=")</f>
        <v>#REF!</v>
      </c>
      <c r="HM66" t="e">
        <f>AND(#REF!,"AAAAAH/929w=")</f>
        <v>#REF!</v>
      </c>
      <c r="HN66" t="e">
        <f>AND(#REF!,"AAAAAH/9290=")</f>
        <v>#REF!</v>
      </c>
      <c r="HO66" t="e">
        <f>AND(#REF!,"AAAAAH/9294=")</f>
        <v>#REF!</v>
      </c>
      <c r="HP66" t="e">
        <f>AND(#REF!,"AAAAAH/9298=")</f>
        <v>#REF!</v>
      </c>
      <c r="HQ66" t="e">
        <f>AND(#REF!,"AAAAAH/92+A=")</f>
        <v>#REF!</v>
      </c>
      <c r="HR66" t="e">
        <f>AND(#REF!,"AAAAAH/92+E=")</f>
        <v>#REF!</v>
      </c>
      <c r="HS66" t="e">
        <f>AND(#REF!,"AAAAAH/92+I=")</f>
        <v>#REF!</v>
      </c>
      <c r="HT66" t="e">
        <f>AND(#REF!,"AAAAAH/92+M=")</f>
        <v>#REF!</v>
      </c>
      <c r="HU66" t="e">
        <f>AND(#REF!,"AAAAAH/92+Q=")</f>
        <v>#REF!</v>
      </c>
      <c r="HV66" t="e">
        <f>AND(#REF!,"AAAAAH/92+U=")</f>
        <v>#REF!</v>
      </c>
      <c r="HW66" t="e">
        <f>AND(#REF!,"AAAAAH/92+Y=")</f>
        <v>#REF!</v>
      </c>
      <c r="HX66" t="e">
        <f>AND(#REF!,"AAAAAH/92+c=")</f>
        <v>#REF!</v>
      </c>
      <c r="HY66" t="e">
        <f>AND(#REF!,"AAAAAH/92+g=")</f>
        <v>#REF!</v>
      </c>
      <c r="HZ66" t="e">
        <f>AND(#REF!,"AAAAAH/92+k=")</f>
        <v>#REF!</v>
      </c>
      <c r="IA66" t="e">
        <f>IF(#REF!,"AAAAAH/92+o=",0)</f>
        <v>#REF!</v>
      </c>
      <c r="IB66" t="e">
        <f>AND(#REF!,"AAAAAH/92+s=")</f>
        <v>#REF!</v>
      </c>
      <c r="IC66" t="e">
        <f>AND(#REF!,"AAAAAH/92+w=")</f>
        <v>#REF!</v>
      </c>
      <c r="ID66" t="e">
        <f>AND(#REF!,"AAAAAH/92+0=")</f>
        <v>#REF!</v>
      </c>
      <c r="IE66" t="e">
        <f>AND(#REF!,"AAAAAH/92+4=")</f>
        <v>#REF!</v>
      </c>
      <c r="IF66" t="e">
        <f>AND(#REF!,"AAAAAH/92+8=")</f>
        <v>#REF!</v>
      </c>
      <c r="IG66" t="e">
        <f>AND(#REF!,"AAAAAH/92/A=")</f>
        <v>#REF!</v>
      </c>
      <c r="IH66" t="e">
        <f>AND(#REF!,"AAAAAH/92/E=")</f>
        <v>#REF!</v>
      </c>
      <c r="II66" t="e">
        <f>AND(#REF!,"AAAAAH/92/I=")</f>
        <v>#REF!</v>
      </c>
      <c r="IJ66" t="e">
        <f>AND(#REF!,"AAAAAH/92/M=")</f>
        <v>#REF!</v>
      </c>
      <c r="IK66" t="e">
        <f>AND(#REF!,"AAAAAH/92/Q=")</f>
        <v>#REF!</v>
      </c>
      <c r="IL66" t="e">
        <f>AND(#REF!,"AAAAAH/92/U=")</f>
        <v>#REF!</v>
      </c>
      <c r="IM66" t="e">
        <f>AND(#REF!,"AAAAAH/92/Y=")</f>
        <v>#REF!</v>
      </c>
      <c r="IN66" t="e">
        <f>AND(#REF!,"AAAAAH/92/c=")</f>
        <v>#REF!</v>
      </c>
      <c r="IO66" t="e">
        <f>AND(#REF!,"AAAAAH/92/g=")</f>
        <v>#REF!</v>
      </c>
      <c r="IP66" t="e">
        <f>AND(#REF!,"AAAAAH/92/k=")</f>
        <v>#REF!</v>
      </c>
      <c r="IQ66" t="e">
        <f>AND(#REF!,"AAAAAH/92/o=")</f>
        <v>#REF!</v>
      </c>
      <c r="IR66" t="e">
        <f>AND(#REF!,"AAAAAH/92/s=")</f>
        <v>#REF!</v>
      </c>
      <c r="IS66" t="e">
        <f>AND(#REF!,"AAAAAH/92/w=")</f>
        <v>#REF!</v>
      </c>
      <c r="IT66" t="e">
        <f>AND(#REF!,"AAAAAH/92/0=")</f>
        <v>#REF!</v>
      </c>
      <c r="IU66" t="e">
        <f>AND(#REF!,"AAAAAH/92/4=")</f>
        <v>#REF!</v>
      </c>
      <c r="IV66" t="e">
        <f>AND(#REF!,"AAAAAH/92/8=")</f>
        <v>#REF!</v>
      </c>
    </row>
    <row r="67" spans="1:256" x14ac:dyDescent="0.25">
      <c r="A67" t="e">
        <f>AND(#REF!,"AAAAAD/d7QA=")</f>
        <v>#REF!</v>
      </c>
      <c r="B67" t="e">
        <f>AND(#REF!,"AAAAAD/d7QE=")</f>
        <v>#REF!</v>
      </c>
      <c r="C67" t="e">
        <f>AND(#REF!,"AAAAAD/d7QI=")</f>
        <v>#REF!</v>
      </c>
      <c r="D67" t="e">
        <f>AND(#REF!,"AAAAAD/d7QM=")</f>
        <v>#REF!</v>
      </c>
      <c r="E67" t="e">
        <f>AND(#REF!,"AAAAAD/d7QQ=")</f>
        <v>#REF!</v>
      </c>
      <c r="F67" t="e">
        <f>AND(#REF!,"AAAAAD/d7QU=")</f>
        <v>#REF!</v>
      </c>
      <c r="G67" t="e">
        <f>AND(#REF!,"AAAAAD/d7QY=")</f>
        <v>#REF!</v>
      </c>
      <c r="H67" t="e">
        <f>AND(#REF!,"AAAAAD/d7Qc=")</f>
        <v>#REF!</v>
      </c>
      <c r="I67" t="e">
        <f>AND(#REF!,"AAAAAD/d7Qg=")</f>
        <v>#REF!</v>
      </c>
      <c r="J67" t="e">
        <f>AND(#REF!,"AAAAAD/d7Qk=")</f>
        <v>#REF!</v>
      </c>
      <c r="K67" t="e">
        <f>AND(#REF!,"AAAAAD/d7Qo=")</f>
        <v>#REF!</v>
      </c>
      <c r="L67" t="e">
        <f>AND(#REF!,"AAAAAD/d7Qs=")</f>
        <v>#REF!</v>
      </c>
      <c r="M67" t="e">
        <f>AND(#REF!,"AAAAAD/d7Qw=")</f>
        <v>#REF!</v>
      </c>
      <c r="N67" t="e">
        <f>AND(#REF!,"AAAAAD/d7Q0=")</f>
        <v>#REF!</v>
      </c>
      <c r="O67" t="e">
        <f>AND(#REF!,"AAAAAD/d7Q4=")</f>
        <v>#REF!</v>
      </c>
      <c r="P67" t="e">
        <f>AND(#REF!,"AAAAAD/d7Q8=")</f>
        <v>#REF!</v>
      </c>
      <c r="Q67" t="e">
        <f>AND(#REF!,"AAAAAD/d7RA=")</f>
        <v>#REF!</v>
      </c>
      <c r="R67" t="e">
        <f>AND(#REF!,"AAAAAD/d7RE=")</f>
        <v>#REF!</v>
      </c>
      <c r="S67" t="e">
        <f>AND(#REF!,"AAAAAD/d7RI=")</f>
        <v>#REF!</v>
      </c>
      <c r="T67" t="e">
        <f>AND(#REF!,"AAAAAD/d7RM=")</f>
        <v>#REF!</v>
      </c>
      <c r="U67" t="e">
        <f>AND(#REF!,"AAAAAD/d7RQ=")</f>
        <v>#REF!</v>
      </c>
      <c r="V67" t="e">
        <f>AND(#REF!,"AAAAAD/d7RU=")</f>
        <v>#REF!</v>
      </c>
      <c r="W67" t="e">
        <f>AND(#REF!,"AAAAAD/d7RY=")</f>
        <v>#REF!</v>
      </c>
      <c r="X67" t="e">
        <f>AND(#REF!,"AAAAAD/d7Rc=")</f>
        <v>#REF!</v>
      </c>
      <c r="Y67" t="e">
        <f>AND(#REF!,"AAAAAD/d7Rg=")</f>
        <v>#REF!</v>
      </c>
      <c r="Z67" t="e">
        <f>AND(#REF!,"AAAAAD/d7Rk=")</f>
        <v>#REF!</v>
      </c>
      <c r="AA67" t="e">
        <f>AND(#REF!,"AAAAAD/d7Ro=")</f>
        <v>#REF!</v>
      </c>
      <c r="AB67" t="e">
        <f>AND(#REF!,"AAAAAD/d7Rs=")</f>
        <v>#REF!</v>
      </c>
      <c r="AC67" t="e">
        <f>AND(#REF!,"AAAAAD/d7Rw=")</f>
        <v>#REF!</v>
      </c>
      <c r="AD67" t="e">
        <f>AND(#REF!,"AAAAAD/d7R0=")</f>
        <v>#REF!</v>
      </c>
      <c r="AE67" t="e">
        <f>AND(#REF!,"AAAAAD/d7R4=")</f>
        <v>#REF!</v>
      </c>
      <c r="AF67" t="e">
        <f>AND(#REF!,"AAAAAD/d7R8=")</f>
        <v>#REF!</v>
      </c>
      <c r="AG67" t="e">
        <f>AND(#REF!,"AAAAAD/d7SA=")</f>
        <v>#REF!</v>
      </c>
      <c r="AH67" t="e">
        <f>AND(#REF!,"AAAAAD/d7SE=")</f>
        <v>#REF!</v>
      </c>
      <c r="AI67" t="e">
        <f>AND(#REF!,"AAAAAD/d7SI=")</f>
        <v>#REF!</v>
      </c>
      <c r="AJ67" t="e">
        <f>AND(#REF!,"AAAAAD/d7SM=")</f>
        <v>#REF!</v>
      </c>
      <c r="AK67" t="e">
        <f>AND(#REF!,"AAAAAD/d7SQ=")</f>
        <v>#REF!</v>
      </c>
      <c r="AL67" t="e">
        <f>AND(#REF!,"AAAAAD/d7SU=")</f>
        <v>#REF!</v>
      </c>
      <c r="AM67" t="e">
        <f>AND(#REF!,"AAAAAD/d7SY=")</f>
        <v>#REF!</v>
      </c>
      <c r="AN67" t="e">
        <f>AND(#REF!,"AAAAAD/d7Sc=")</f>
        <v>#REF!</v>
      </c>
      <c r="AO67" t="e">
        <f>AND(#REF!,"AAAAAD/d7Sg=")</f>
        <v>#REF!</v>
      </c>
      <c r="AP67" t="e">
        <f>AND(#REF!,"AAAAAD/d7Sk=")</f>
        <v>#REF!</v>
      </c>
      <c r="AQ67" t="e">
        <f>AND(#REF!,"AAAAAD/d7So=")</f>
        <v>#REF!</v>
      </c>
      <c r="AR67" t="e">
        <f>AND(#REF!,"AAAAAD/d7Ss=")</f>
        <v>#REF!</v>
      </c>
      <c r="AS67" t="e">
        <f>AND(#REF!,"AAAAAD/d7Sw=")</f>
        <v>#REF!</v>
      </c>
      <c r="AT67" t="e">
        <f>AND(#REF!,"AAAAAD/d7S0=")</f>
        <v>#REF!</v>
      </c>
      <c r="AU67" t="e">
        <f>AND(#REF!,"AAAAAD/d7S4=")</f>
        <v>#REF!</v>
      </c>
      <c r="AV67" t="e">
        <f>AND(#REF!,"AAAAAD/d7S8=")</f>
        <v>#REF!</v>
      </c>
      <c r="AW67" t="e">
        <f>AND(#REF!,"AAAAAD/d7TA=")</f>
        <v>#REF!</v>
      </c>
      <c r="AX67" t="e">
        <f>AND(#REF!,"AAAAAD/d7TE=")</f>
        <v>#REF!</v>
      </c>
      <c r="AY67" t="e">
        <f>AND(#REF!,"AAAAAD/d7TI=")</f>
        <v>#REF!</v>
      </c>
      <c r="AZ67" t="e">
        <f>AND(#REF!,"AAAAAD/d7TM=")</f>
        <v>#REF!</v>
      </c>
      <c r="BA67" t="e">
        <f>AND(#REF!,"AAAAAD/d7TQ=")</f>
        <v>#REF!</v>
      </c>
      <c r="BB67" t="e">
        <f>AND(#REF!,"AAAAAD/d7TU=")</f>
        <v>#REF!</v>
      </c>
      <c r="BC67" t="e">
        <f>AND(#REF!,"AAAAAD/d7TY=")</f>
        <v>#REF!</v>
      </c>
      <c r="BD67" t="e">
        <f>AND(#REF!,"AAAAAD/d7Tc=")</f>
        <v>#REF!</v>
      </c>
      <c r="BE67" t="e">
        <f>AND(#REF!,"AAAAAD/d7Tg=")</f>
        <v>#REF!</v>
      </c>
      <c r="BF67" t="e">
        <f>AND(#REF!,"AAAAAD/d7Tk=")</f>
        <v>#REF!</v>
      </c>
      <c r="BG67" t="e">
        <f>AND(#REF!,"AAAAAD/d7To=")</f>
        <v>#REF!</v>
      </c>
      <c r="BH67" t="e">
        <f>AND(#REF!,"AAAAAD/d7Ts=")</f>
        <v>#REF!</v>
      </c>
      <c r="BI67" t="e">
        <f>AND(#REF!,"AAAAAD/d7Tw=")</f>
        <v>#REF!</v>
      </c>
      <c r="BJ67" t="e">
        <f>AND(#REF!,"AAAAAD/d7T0=")</f>
        <v>#REF!</v>
      </c>
      <c r="BK67" t="e">
        <f>AND(#REF!,"AAAAAD/d7T4=")</f>
        <v>#REF!</v>
      </c>
      <c r="BL67" t="e">
        <f>AND(#REF!,"AAAAAD/d7T8=")</f>
        <v>#REF!</v>
      </c>
      <c r="BM67" t="e">
        <f>AND(#REF!,"AAAAAD/d7UA=")</f>
        <v>#REF!</v>
      </c>
      <c r="BN67" t="e">
        <f>AND(#REF!,"AAAAAD/d7UE=")</f>
        <v>#REF!</v>
      </c>
      <c r="BO67" t="e">
        <f>AND(#REF!,"AAAAAD/d7UI=")</f>
        <v>#REF!</v>
      </c>
      <c r="BP67" t="e">
        <f>AND(#REF!,"AAAAAD/d7UM=")</f>
        <v>#REF!</v>
      </c>
      <c r="BQ67" t="e">
        <f>AND(#REF!,"AAAAAD/d7UQ=")</f>
        <v>#REF!</v>
      </c>
      <c r="BR67" t="e">
        <f>AND(#REF!,"AAAAAD/d7UU=")</f>
        <v>#REF!</v>
      </c>
      <c r="BS67" t="e">
        <f>AND(#REF!,"AAAAAD/d7UY=")</f>
        <v>#REF!</v>
      </c>
      <c r="BT67" t="e">
        <f>AND(#REF!,"AAAAAD/d7Uc=")</f>
        <v>#REF!</v>
      </c>
      <c r="BU67" t="e">
        <f>AND(#REF!,"AAAAAD/d7Ug=")</f>
        <v>#REF!</v>
      </c>
      <c r="BV67" t="e">
        <f>AND(#REF!,"AAAAAD/d7Uk=")</f>
        <v>#REF!</v>
      </c>
      <c r="BW67" t="e">
        <f>AND(#REF!,"AAAAAD/d7Uo=")</f>
        <v>#REF!</v>
      </c>
      <c r="BX67" t="e">
        <f>AND(#REF!,"AAAAAD/d7Us=")</f>
        <v>#REF!</v>
      </c>
      <c r="BY67" t="e">
        <f>AND(#REF!,"AAAAAD/d7Uw=")</f>
        <v>#REF!</v>
      </c>
      <c r="BZ67" t="e">
        <f>AND(#REF!,"AAAAAD/d7U0=")</f>
        <v>#REF!</v>
      </c>
      <c r="CA67" t="e">
        <f>AND(#REF!,"AAAAAD/d7U4=")</f>
        <v>#REF!</v>
      </c>
      <c r="CB67" t="e">
        <f>AND(#REF!,"AAAAAD/d7U8=")</f>
        <v>#REF!</v>
      </c>
      <c r="CC67" t="e">
        <f>AND(#REF!,"AAAAAD/d7VA=")</f>
        <v>#REF!</v>
      </c>
      <c r="CD67" t="e">
        <f>AND(#REF!,"AAAAAD/d7VE=")</f>
        <v>#REF!</v>
      </c>
      <c r="CE67" t="e">
        <f>AND(#REF!,"AAAAAD/d7VI=")</f>
        <v>#REF!</v>
      </c>
      <c r="CF67" t="e">
        <f>AND(#REF!,"AAAAAD/d7VM=")</f>
        <v>#REF!</v>
      </c>
      <c r="CG67" t="e">
        <f>AND(#REF!,"AAAAAD/d7VQ=")</f>
        <v>#REF!</v>
      </c>
      <c r="CH67" t="e">
        <f>AND(#REF!,"AAAAAD/d7VU=")</f>
        <v>#REF!</v>
      </c>
      <c r="CI67" t="e">
        <f>AND(#REF!,"AAAAAD/d7VY=")</f>
        <v>#REF!</v>
      </c>
      <c r="CJ67" t="e">
        <f>AND(#REF!,"AAAAAD/d7Vc=")</f>
        <v>#REF!</v>
      </c>
      <c r="CK67" t="e">
        <f>AND(#REF!,"AAAAAD/d7Vg=")</f>
        <v>#REF!</v>
      </c>
      <c r="CL67" t="e">
        <f>AND(#REF!,"AAAAAD/d7Vk=")</f>
        <v>#REF!</v>
      </c>
      <c r="CM67" t="e">
        <f>AND(#REF!,"AAAAAD/d7Vo=")</f>
        <v>#REF!</v>
      </c>
      <c r="CN67" t="e">
        <f>AND(#REF!,"AAAAAD/d7Vs=")</f>
        <v>#REF!</v>
      </c>
      <c r="CO67" t="e">
        <f>AND(#REF!,"AAAAAD/d7Vw=")</f>
        <v>#REF!</v>
      </c>
      <c r="CP67" t="e">
        <f>AND(#REF!,"AAAAAD/d7V0=")</f>
        <v>#REF!</v>
      </c>
      <c r="CQ67" t="e">
        <f>AND(#REF!,"AAAAAD/d7V4=")</f>
        <v>#REF!</v>
      </c>
      <c r="CR67" t="e">
        <f>AND(#REF!,"AAAAAD/d7V8=")</f>
        <v>#REF!</v>
      </c>
      <c r="CS67" t="e">
        <f>AND(#REF!,"AAAAAD/d7WA=")</f>
        <v>#REF!</v>
      </c>
      <c r="CT67" t="e">
        <f>AND(#REF!,"AAAAAD/d7WE=")</f>
        <v>#REF!</v>
      </c>
      <c r="CU67" t="e">
        <f>AND(#REF!,"AAAAAD/d7WI=")</f>
        <v>#REF!</v>
      </c>
      <c r="CV67" t="e">
        <f>AND(#REF!,"AAAAAD/d7WM=")</f>
        <v>#REF!</v>
      </c>
      <c r="CW67" t="e">
        <f>AND(#REF!,"AAAAAD/d7WQ=")</f>
        <v>#REF!</v>
      </c>
      <c r="CX67" t="e">
        <f>AND(#REF!,"AAAAAD/d7WU=")</f>
        <v>#REF!</v>
      </c>
      <c r="CY67" t="e">
        <f>AND(#REF!,"AAAAAD/d7WY=")</f>
        <v>#REF!</v>
      </c>
      <c r="CZ67" t="e">
        <f>AND(#REF!,"AAAAAD/d7Wc=")</f>
        <v>#REF!</v>
      </c>
      <c r="DA67" t="e">
        <f>AND(#REF!,"AAAAAD/d7Wg=")</f>
        <v>#REF!</v>
      </c>
      <c r="DB67" t="e">
        <f>AND(#REF!,"AAAAAD/d7Wk=")</f>
        <v>#REF!</v>
      </c>
      <c r="DC67" t="e">
        <f>AND(#REF!,"AAAAAD/d7Wo=")</f>
        <v>#REF!</v>
      </c>
      <c r="DD67" t="e">
        <f>AND(#REF!,"AAAAAD/d7Ws=")</f>
        <v>#REF!</v>
      </c>
      <c r="DE67" t="e">
        <f>AND(#REF!,"AAAAAD/d7Ww=")</f>
        <v>#REF!</v>
      </c>
      <c r="DF67" t="e">
        <f>AND(#REF!,"AAAAAD/d7W0=")</f>
        <v>#REF!</v>
      </c>
      <c r="DG67" t="e">
        <f>AND(#REF!,"AAAAAD/d7W4=")</f>
        <v>#REF!</v>
      </c>
      <c r="DH67" t="e">
        <f>AND(#REF!,"AAAAAD/d7W8=")</f>
        <v>#REF!</v>
      </c>
      <c r="DI67" t="e">
        <f>AND(#REF!,"AAAAAD/d7XA=")</f>
        <v>#REF!</v>
      </c>
      <c r="DJ67" t="e">
        <f>AND(#REF!,"AAAAAD/d7XE=")</f>
        <v>#REF!</v>
      </c>
      <c r="DK67" t="e">
        <f>AND(#REF!,"AAAAAD/d7XI=")</f>
        <v>#REF!</v>
      </c>
      <c r="DL67" t="e">
        <f>AND(#REF!,"AAAAAD/d7XM=")</f>
        <v>#REF!</v>
      </c>
      <c r="DM67" t="e">
        <f>AND(#REF!,"AAAAAD/d7XQ=")</f>
        <v>#REF!</v>
      </c>
      <c r="DN67" t="e">
        <f>AND(#REF!,"AAAAAD/d7XU=")</f>
        <v>#REF!</v>
      </c>
      <c r="DO67" t="e">
        <f>AND(#REF!,"AAAAAD/d7XY=")</f>
        <v>#REF!</v>
      </c>
      <c r="DP67" t="e">
        <f>AND(#REF!,"AAAAAD/d7Xc=")</f>
        <v>#REF!</v>
      </c>
      <c r="DQ67" t="e">
        <f>AND(#REF!,"AAAAAD/d7Xg=")</f>
        <v>#REF!</v>
      </c>
      <c r="DR67" t="e">
        <f>AND(#REF!,"AAAAAD/d7Xk=")</f>
        <v>#REF!</v>
      </c>
      <c r="DS67" t="e">
        <f>AND(#REF!,"AAAAAD/d7Xo=")</f>
        <v>#REF!</v>
      </c>
      <c r="DT67" t="e">
        <f>AND(#REF!,"AAAAAD/d7Xs=")</f>
        <v>#REF!</v>
      </c>
      <c r="DU67" t="e">
        <f>AND(#REF!,"AAAAAD/d7Xw=")</f>
        <v>#REF!</v>
      </c>
      <c r="DV67" t="e">
        <f>AND(#REF!,"AAAAAD/d7X0=")</f>
        <v>#REF!</v>
      </c>
      <c r="DW67" t="e">
        <f>AND(#REF!,"AAAAAD/d7X4=")</f>
        <v>#REF!</v>
      </c>
      <c r="DX67" t="e">
        <f>AND(#REF!,"AAAAAD/d7X8=")</f>
        <v>#REF!</v>
      </c>
      <c r="DY67" t="e">
        <f>AND(#REF!,"AAAAAD/d7YA=")</f>
        <v>#REF!</v>
      </c>
      <c r="DZ67" t="e">
        <f>AND(#REF!,"AAAAAD/d7YE=")</f>
        <v>#REF!</v>
      </c>
      <c r="EA67" t="e">
        <f>AND(#REF!,"AAAAAD/d7YI=")</f>
        <v>#REF!</v>
      </c>
      <c r="EB67" t="e">
        <f>AND(#REF!,"AAAAAD/d7YM=")</f>
        <v>#REF!</v>
      </c>
      <c r="EC67" t="e">
        <f>AND(#REF!,"AAAAAD/d7YQ=")</f>
        <v>#REF!</v>
      </c>
      <c r="ED67" t="e">
        <f>AND(#REF!,"AAAAAD/d7YU=")</f>
        <v>#REF!</v>
      </c>
      <c r="EE67" t="e">
        <f>AND(#REF!,"AAAAAD/d7YY=")</f>
        <v>#REF!</v>
      </c>
      <c r="EF67" t="e">
        <f>AND(#REF!,"AAAAAD/d7Yc=")</f>
        <v>#REF!</v>
      </c>
      <c r="EG67" t="e">
        <f>AND(#REF!,"AAAAAD/d7Yg=")</f>
        <v>#REF!</v>
      </c>
      <c r="EH67" t="e">
        <f>AND(#REF!,"AAAAAD/d7Yk=")</f>
        <v>#REF!</v>
      </c>
      <c r="EI67" t="e">
        <f>AND(#REF!,"AAAAAD/d7Yo=")</f>
        <v>#REF!</v>
      </c>
      <c r="EJ67" t="e">
        <f>AND(#REF!,"AAAAAD/d7Ys=")</f>
        <v>#REF!</v>
      </c>
      <c r="EK67" t="e">
        <f>AND(#REF!,"AAAAAD/d7Yw=")</f>
        <v>#REF!</v>
      </c>
      <c r="EL67" t="e">
        <f>AND(#REF!,"AAAAAD/d7Y0=")</f>
        <v>#REF!</v>
      </c>
      <c r="EM67" t="e">
        <f>AND(#REF!,"AAAAAD/d7Y4=")</f>
        <v>#REF!</v>
      </c>
      <c r="EN67" t="e">
        <f>AND(#REF!,"AAAAAD/d7Y8=")</f>
        <v>#REF!</v>
      </c>
      <c r="EO67" t="e">
        <f>AND(#REF!,"AAAAAD/d7ZA=")</f>
        <v>#REF!</v>
      </c>
      <c r="EP67" t="e">
        <f>AND(#REF!,"AAAAAD/d7ZE=")</f>
        <v>#REF!</v>
      </c>
      <c r="EQ67" t="e">
        <f>AND(#REF!,"AAAAAD/d7ZI=")</f>
        <v>#REF!</v>
      </c>
      <c r="ER67" t="e">
        <f>AND(#REF!,"AAAAAD/d7ZM=")</f>
        <v>#REF!</v>
      </c>
      <c r="ES67" t="e">
        <f>AND(#REF!,"AAAAAD/d7ZQ=")</f>
        <v>#REF!</v>
      </c>
      <c r="ET67" t="e">
        <f>AND(#REF!,"AAAAAD/d7ZU=")</f>
        <v>#REF!</v>
      </c>
      <c r="EU67" t="e">
        <f>AND(#REF!,"AAAAAD/d7ZY=")</f>
        <v>#REF!</v>
      </c>
      <c r="EV67" t="e">
        <f>AND(#REF!,"AAAAAD/d7Zc=")</f>
        <v>#REF!</v>
      </c>
      <c r="EW67" t="e">
        <f>AND(#REF!,"AAAAAD/d7Zg=")</f>
        <v>#REF!</v>
      </c>
      <c r="EX67" t="e">
        <f>AND(#REF!,"AAAAAD/d7Zk=")</f>
        <v>#REF!</v>
      </c>
      <c r="EY67" t="e">
        <f>AND(#REF!,"AAAAAD/d7Zo=")</f>
        <v>#REF!</v>
      </c>
      <c r="EZ67" t="e">
        <f>AND(#REF!,"AAAAAD/d7Zs=")</f>
        <v>#REF!</v>
      </c>
      <c r="FA67" t="e">
        <f>AND(#REF!,"AAAAAD/d7Zw=")</f>
        <v>#REF!</v>
      </c>
      <c r="FB67" t="e">
        <f>AND(#REF!,"AAAAAD/d7Z0=")</f>
        <v>#REF!</v>
      </c>
      <c r="FC67" t="e">
        <f>AND(#REF!,"AAAAAD/d7Z4=")</f>
        <v>#REF!</v>
      </c>
      <c r="FD67" t="e">
        <f>AND(#REF!,"AAAAAD/d7Z8=")</f>
        <v>#REF!</v>
      </c>
      <c r="FE67" t="e">
        <f>AND(#REF!,"AAAAAD/d7aA=")</f>
        <v>#REF!</v>
      </c>
      <c r="FF67" t="e">
        <f>AND(#REF!,"AAAAAD/d7aE=")</f>
        <v>#REF!</v>
      </c>
      <c r="FG67" t="e">
        <f>AND(#REF!,"AAAAAD/d7aI=")</f>
        <v>#REF!</v>
      </c>
      <c r="FH67" t="e">
        <f>AND(#REF!,"AAAAAD/d7aM=")</f>
        <v>#REF!</v>
      </c>
      <c r="FI67" t="e">
        <f>AND(#REF!,"AAAAAD/d7aQ=")</f>
        <v>#REF!</v>
      </c>
      <c r="FJ67" t="e">
        <f>AND(#REF!,"AAAAAD/d7aU=")</f>
        <v>#REF!</v>
      </c>
      <c r="FK67" t="e">
        <f>AND(#REF!,"AAAAAD/d7aY=")</f>
        <v>#REF!</v>
      </c>
      <c r="FL67" t="e">
        <f>IF(#REF!,"AAAAAD/d7ac=",0)</f>
        <v>#REF!</v>
      </c>
      <c r="FM67" t="e">
        <f>AND(#REF!,"AAAAAD/d7ag=")</f>
        <v>#REF!</v>
      </c>
      <c r="FN67" t="e">
        <f>AND(#REF!,"AAAAAD/d7ak=")</f>
        <v>#REF!</v>
      </c>
      <c r="FO67" t="e">
        <f>AND(#REF!,"AAAAAD/d7ao=")</f>
        <v>#REF!</v>
      </c>
      <c r="FP67" t="e">
        <f>AND(#REF!,"AAAAAD/d7as=")</f>
        <v>#REF!</v>
      </c>
      <c r="FQ67" t="e">
        <f>AND(#REF!,"AAAAAD/d7aw=")</f>
        <v>#REF!</v>
      </c>
      <c r="FR67" t="e">
        <f>AND(#REF!,"AAAAAD/d7a0=")</f>
        <v>#REF!</v>
      </c>
      <c r="FS67" t="e">
        <f>AND(#REF!,"AAAAAD/d7a4=")</f>
        <v>#REF!</v>
      </c>
      <c r="FT67" t="e">
        <f>AND(#REF!,"AAAAAD/d7a8=")</f>
        <v>#REF!</v>
      </c>
      <c r="FU67" t="e">
        <f>AND(#REF!,"AAAAAD/d7bA=")</f>
        <v>#REF!</v>
      </c>
      <c r="FV67" t="e">
        <f>AND(#REF!,"AAAAAD/d7bE=")</f>
        <v>#REF!</v>
      </c>
      <c r="FW67" t="e">
        <f>AND(#REF!,"AAAAAD/d7bI=")</f>
        <v>#REF!</v>
      </c>
      <c r="FX67" t="e">
        <f>AND(#REF!,"AAAAAD/d7bM=")</f>
        <v>#REF!</v>
      </c>
      <c r="FY67" t="e">
        <f>AND(#REF!,"AAAAAD/d7bQ=")</f>
        <v>#REF!</v>
      </c>
      <c r="FZ67" t="e">
        <f>AND(#REF!,"AAAAAD/d7bU=")</f>
        <v>#REF!</v>
      </c>
      <c r="GA67" t="e">
        <f>AND(#REF!,"AAAAAD/d7bY=")</f>
        <v>#REF!</v>
      </c>
      <c r="GB67" t="e">
        <f>AND(#REF!,"AAAAAD/d7bc=")</f>
        <v>#REF!</v>
      </c>
      <c r="GC67" t="e">
        <f>AND(#REF!,"AAAAAD/d7bg=")</f>
        <v>#REF!</v>
      </c>
      <c r="GD67" t="e">
        <f>AND(#REF!,"AAAAAD/d7bk=")</f>
        <v>#REF!</v>
      </c>
      <c r="GE67" t="e">
        <f>AND(#REF!,"AAAAAD/d7bo=")</f>
        <v>#REF!</v>
      </c>
      <c r="GF67" t="e">
        <f>AND(#REF!,"AAAAAD/d7bs=")</f>
        <v>#REF!</v>
      </c>
      <c r="GG67" t="e">
        <f>AND(#REF!,"AAAAAD/d7bw=")</f>
        <v>#REF!</v>
      </c>
      <c r="GH67" t="e">
        <f>AND(#REF!,"AAAAAD/d7b0=")</f>
        <v>#REF!</v>
      </c>
      <c r="GI67" t="e">
        <f>AND(#REF!,"AAAAAD/d7b4=")</f>
        <v>#REF!</v>
      </c>
      <c r="GJ67" t="e">
        <f>AND(#REF!,"AAAAAD/d7b8=")</f>
        <v>#REF!</v>
      </c>
      <c r="GK67" t="e">
        <f>AND(#REF!,"AAAAAD/d7cA=")</f>
        <v>#REF!</v>
      </c>
      <c r="GL67" t="e">
        <f>AND(#REF!,"AAAAAD/d7cE=")</f>
        <v>#REF!</v>
      </c>
      <c r="GM67" t="e">
        <f>AND(#REF!,"AAAAAD/d7cI=")</f>
        <v>#REF!</v>
      </c>
      <c r="GN67" t="e">
        <f>AND(#REF!,"AAAAAD/d7cM=")</f>
        <v>#REF!</v>
      </c>
      <c r="GO67" t="e">
        <f>AND(#REF!,"AAAAAD/d7cQ=")</f>
        <v>#REF!</v>
      </c>
      <c r="GP67" t="e">
        <f>AND(#REF!,"AAAAAD/d7cU=")</f>
        <v>#REF!</v>
      </c>
      <c r="GQ67" t="e">
        <f>AND(#REF!,"AAAAAD/d7cY=")</f>
        <v>#REF!</v>
      </c>
      <c r="GR67" t="e">
        <f>AND(#REF!,"AAAAAD/d7cc=")</f>
        <v>#REF!</v>
      </c>
      <c r="GS67" t="e">
        <f>AND(#REF!,"AAAAAD/d7cg=")</f>
        <v>#REF!</v>
      </c>
      <c r="GT67" t="e">
        <f>AND(#REF!,"AAAAAD/d7ck=")</f>
        <v>#REF!</v>
      </c>
      <c r="GU67" t="e">
        <f>AND(#REF!,"AAAAAD/d7co=")</f>
        <v>#REF!</v>
      </c>
      <c r="GV67" t="e">
        <f>AND(#REF!,"AAAAAD/d7cs=")</f>
        <v>#REF!</v>
      </c>
      <c r="GW67" t="e">
        <f>AND(#REF!,"AAAAAD/d7cw=")</f>
        <v>#REF!</v>
      </c>
      <c r="GX67" t="e">
        <f>AND(#REF!,"AAAAAD/d7c0=")</f>
        <v>#REF!</v>
      </c>
      <c r="GY67" t="e">
        <f>AND(#REF!,"AAAAAD/d7c4=")</f>
        <v>#REF!</v>
      </c>
      <c r="GZ67" t="e">
        <f>AND(#REF!,"AAAAAD/d7c8=")</f>
        <v>#REF!</v>
      </c>
      <c r="HA67" t="e">
        <f>AND(#REF!,"AAAAAD/d7dA=")</f>
        <v>#REF!</v>
      </c>
      <c r="HB67" t="e">
        <f>AND(#REF!,"AAAAAD/d7dE=")</f>
        <v>#REF!</v>
      </c>
      <c r="HC67" t="e">
        <f>AND(#REF!,"AAAAAD/d7dI=")</f>
        <v>#REF!</v>
      </c>
      <c r="HD67" t="e">
        <f>AND(#REF!,"AAAAAD/d7dM=")</f>
        <v>#REF!</v>
      </c>
      <c r="HE67" t="e">
        <f>AND(#REF!,"AAAAAD/d7dQ=")</f>
        <v>#REF!</v>
      </c>
      <c r="HF67" t="e">
        <f>AND(#REF!,"AAAAAD/d7dU=")</f>
        <v>#REF!</v>
      </c>
      <c r="HG67" t="e">
        <f>AND(#REF!,"AAAAAD/d7dY=")</f>
        <v>#REF!</v>
      </c>
      <c r="HH67" t="e">
        <f>AND(#REF!,"AAAAAD/d7dc=")</f>
        <v>#REF!</v>
      </c>
      <c r="HI67" t="e">
        <f>AND(#REF!,"AAAAAD/d7dg=")</f>
        <v>#REF!</v>
      </c>
      <c r="HJ67" t="e">
        <f>AND(#REF!,"AAAAAD/d7dk=")</f>
        <v>#REF!</v>
      </c>
      <c r="HK67" t="e">
        <f>AND(#REF!,"AAAAAD/d7do=")</f>
        <v>#REF!</v>
      </c>
      <c r="HL67" t="e">
        <f>AND(#REF!,"AAAAAD/d7ds=")</f>
        <v>#REF!</v>
      </c>
      <c r="HM67" t="e">
        <f>AND(#REF!,"AAAAAD/d7dw=")</f>
        <v>#REF!</v>
      </c>
      <c r="HN67" t="e">
        <f>AND(#REF!,"AAAAAD/d7d0=")</f>
        <v>#REF!</v>
      </c>
      <c r="HO67" t="e">
        <f>AND(#REF!,"AAAAAD/d7d4=")</f>
        <v>#REF!</v>
      </c>
      <c r="HP67" t="e">
        <f>AND(#REF!,"AAAAAD/d7d8=")</f>
        <v>#REF!</v>
      </c>
      <c r="HQ67" t="e">
        <f>AND(#REF!,"AAAAAD/d7eA=")</f>
        <v>#REF!</v>
      </c>
      <c r="HR67" t="e">
        <f>AND(#REF!,"AAAAAD/d7eE=")</f>
        <v>#REF!</v>
      </c>
      <c r="HS67" t="e">
        <f>AND(#REF!,"AAAAAD/d7eI=")</f>
        <v>#REF!</v>
      </c>
      <c r="HT67" t="e">
        <f>AND(#REF!,"AAAAAD/d7eM=")</f>
        <v>#REF!</v>
      </c>
      <c r="HU67" t="e">
        <f>AND(#REF!,"AAAAAD/d7eQ=")</f>
        <v>#REF!</v>
      </c>
      <c r="HV67" t="e">
        <f>AND(#REF!,"AAAAAD/d7eU=")</f>
        <v>#REF!</v>
      </c>
      <c r="HW67" t="e">
        <f>AND(#REF!,"AAAAAD/d7eY=")</f>
        <v>#REF!</v>
      </c>
      <c r="HX67" t="e">
        <f>AND(#REF!,"AAAAAD/d7ec=")</f>
        <v>#REF!</v>
      </c>
      <c r="HY67" t="e">
        <f>AND(#REF!,"AAAAAD/d7eg=")</f>
        <v>#REF!</v>
      </c>
      <c r="HZ67" t="e">
        <f>AND(#REF!,"AAAAAD/d7ek=")</f>
        <v>#REF!</v>
      </c>
      <c r="IA67" t="e">
        <f>AND(#REF!,"AAAAAD/d7eo=")</f>
        <v>#REF!</v>
      </c>
      <c r="IB67" t="e">
        <f>AND(#REF!,"AAAAAD/d7es=")</f>
        <v>#REF!</v>
      </c>
      <c r="IC67" t="e">
        <f>AND(#REF!,"AAAAAD/d7ew=")</f>
        <v>#REF!</v>
      </c>
      <c r="ID67" t="e">
        <f>AND(#REF!,"AAAAAD/d7e0=")</f>
        <v>#REF!</v>
      </c>
      <c r="IE67" t="e">
        <f>AND(#REF!,"AAAAAD/d7e4=")</f>
        <v>#REF!</v>
      </c>
      <c r="IF67" t="e">
        <f>AND(#REF!,"AAAAAD/d7e8=")</f>
        <v>#REF!</v>
      </c>
      <c r="IG67" t="e">
        <f>AND(#REF!,"AAAAAD/d7fA=")</f>
        <v>#REF!</v>
      </c>
      <c r="IH67" t="e">
        <f>AND(#REF!,"AAAAAD/d7fE=")</f>
        <v>#REF!</v>
      </c>
      <c r="II67" t="e">
        <f>AND(#REF!,"AAAAAD/d7fI=")</f>
        <v>#REF!</v>
      </c>
      <c r="IJ67" t="e">
        <f>AND(#REF!,"AAAAAD/d7fM=")</f>
        <v>#REF!</v>
      </c>
      <c r="IK67" t="e">
        <f>AND(#REF!,"AAAAAD/d7fQ=")</f>
        <v>#REF!</v>
      </c>
      <c r="IL67" t="e">
        <f>AND(#REF!,"AAAAAD/d7fU=")</f>
        <v>#REF!</v>
      </c>
      <c r="IM67" t="e">
        <f>AND(#REF!,"AAAAAD/d7fY=")</f>
        <v>#REF!</v>
      </c>
      <c r="IN67" t="e">
        <f>AND(#REF!,"AAAAAD/d7fc=")</f>
        <v>#REF!</v>
      </c>
      <c r="IO67" t="e">
        <f>AND(#REF!,"AAAAAD/d7fg=")</f>
        <v>#REF!</v>
      </c>
      <c r="IP67" t="e">
        <f>AND(#REF!,"AAAAAD/d7fk=")</f>
        <v>#REF!</v>
      </c>
      <c r="IQ67" t="e">
        <f>AND(#REF!,"AAAAAD/d7fo=")</f>
        <v>#REF!</v>
      </c>
      <c r="IR67" t="e">
        <f>AND(#REF!,"AAAAAD/d7fs=")</f>
        <v>#REF!</v>
      </c>
      <c r="IS67" t="e">
        <f>AND(#REF!,"AAAAAD/d7fw=")</f>
        <v>#REF!</v>
      </c>
      <c r="IT67" t="e">
        <f>AND(#REF!,"AAAAAD/d7f0=")</f>
        <v>#REF!</v>
      </c>
      <c r="IU67" t="e">
        <f>AND(#REF!,"AAAAAD/d7f4=")</f>
        <v>#REF!</v>
      </c>
      <c r="IV67" t="e">
        <f>AND(#REF!,"AAAAAD/d7f8=")</f>
        <v>#REF!</v>
      </c>
    </row>
    <row r="68" spans="1:256" x14ac:dyDescent="0.25">
      <c r="A68" t="e">
        <f>AND(#REF!,"AAAAAA/fegA=")</f>
        <v>#REF!</v>
      </c>
      <c r="B68" t="e">
        <f>AND(#REF!,"AAAAAA/fegE=")</f>
        <v>#REF!</v>
      </c>
      <c r="C68" t="e">
        <f>AND(#REF!,"AAAAAA/fegI=")</f>
        <v>#REF!</v>
      </c>
      <c r="D68" t="e">
        <f>AND(#REF!,"AAAAAA/fegM=")</f>
        <v>#REF!</v>
      </c>
      <c r="E68" t="e">
        <f>AND(#REF!,"AAAAAA/fegQ=")</f>
        <v>#REF!</v>
      </c>
      <c r="F68" t="e">
        <f>AND(#REF!,"AAAAAA/fegU=")</f>
        <v>#REF!</v>
      </c>
      <c r="G68" t="e">
        <f>AND(#REF!,"AAAAAA/fegY=")</f>
        <v>#REF!</v>
      </c>
      <c r="H68" t="e">
        <f>AND(#REF!,"AAAAAA/fegc=")</f>
        <v>#REF!</v>
      </c>
      <c r="I68" t="e">
        <f>AND(#REF!,"AAAAAA/fegg=")</f>
        <v>#REF!</v>
      </c>
      <c r="J68" t="e">
        <f>AND(#REF!,"AAAAAA/fegk=")</f>
        <v>#REF!</v>
      </c>
      <c r="K68" t="e">
        <f>AND(#REF!,"AAAAAA/fego=")</f>
        <v>#REF!</v>
      </c>
      <c r="L68" t="e">
        <f>AND(#REF!,"AAAAAA/fegs=")</f>
        <v>#REF!</v>
      </c>
      <c r="M68" t="e">
        <f>AND(#REF!,"AAAAAA/fegw=")</f>
        <v>#REF!</v>
      </c>
      <c r="N68" t="e">
        <f>AND(#REF!,"AAAAAA/feg0=")</f>
        <v>#REF!</v>
      </c>
      <c r="O68" t="e">
        <f>AND(#REF!,"AAAAAA/feg4=")</f>
        <v>#REF!</v>
      </c>
      <c r="P68" t="e">
        <f>AND(#REF!,"AAAAAA/feg8=")</f>
        <v>#REF!</v>
      </c>
      <c r="Q68" t="e">
        <f>AND(#REF!,"AAAAAA/fehA=")</f>
        <v>#REF!</v>
      </c>
      <c r="R68" t="e">
        <f>AND(#REF!,"AAAAAA/fehE=")</f>
        <v>#REF!</v>
      </c>
      <c r="S68" t="e">
        <f>AND(#REF!,"AAAAAA/fehI=")</f>
        <v>#REF!</v>
      </c>
      <c r="T68" t="e">
        <f>AND(#REF!,"AAAAAA/fehM=")</f>
        <v>#REF!</v>
      </c>
      <c r="U68" t="e">
        <f>AND(#REF!,"AAAAAA/fehQ=")</f>
        <v>#REF!</v>
      </c>
      <c r="V68" t="e">
        <f>AND(#REF!,"AAAAAA/fehU=")</f>
        <v>#REF!</v>
      </c>
      <c r="W68" t="e">
        <f>AND(#REF!,"AAAAAA/fehY=")</f>
        <v>#REF!</v>
      </c>
      <c r="X68" t="e">
        <f>AND(#REF!,"AAAAAA/fehc=")</f>
        <v>#REF!</v>
      </c>
      <c r="Y68" t="e">
        <f>AND(#REF!,"AAAAAA/fehg=")</f>
        <v>#REF!</v>
      </c>
      <c r="Z68" t="e">
        <f>AND(#REF!,"AAAAAA/fehk=")</f>
        <v>#REF!</v>
      </c>
      <c r="AA68" t="e">
        <f>AND(#REF!,"AAAAAA/feho=")</f>
        <v>#REF!</v>
      </c>
      <c r="AB68" t="e">
        <f>AND(#REF!,"AAAAAA/fehs=")</f>
        <v>#REF!</v>
      </c>
      <c r="AC68" t="e">
        <f>AND(#REF!,"AAAAAA/fehw=")</f>
        <v>#REF!</v>
      </c>
      <c r="AD68" t="e">
        <f>AND(#REF!,"AAAAAA/feh0=")</f>
        <v>#REF!</v>
      </c>
      <c r="AE68" t="e">
        <f>AND(#REF!,"AAAAAA/feh4=")</f>
        <v>#REF!</v>
      </c>
      <c r="AF68" t="e">
        <f>AND(#REF!,"AAAAAA/feh8=")</f>
        <v>#REF!</v>
      </c>
      <c r="AG68" t="e">
        <f>AND(#REF!,"AAAAAA/feiA=")</f>
        <v>#REF!</v>
      </c>
      <c r="AH68" t="e">
        <f>AND(#REF!,"AAAAAA/feiE=")</f>
        <v>#REF!</v>
      </c>
      <c r="AI68" t="e">
        <f>AND(#REF!,"AAAAAA/feiI=")</f>
        <v>#REF!</v>
      </c>
      <c r="AJ68" t="e">
        <f>AND(#REF!,"AAAAAA/feiM=")</f>
        <v>#REF!</v>
      </c>
      <c r="AK68" t="e">
        <f>AND(#REF!,"AAAAAA/feiQ=")</f>
        <v>#REF!</v>
      </c>
      <c r="AL68" t="e">
        <f>AND(#REF!,"AAAAAA/feiU=")</f>
        <v>#REF!</v>
      </c>
      <c r="AM68" t="e">
        <f>AND(#REF!,"AAAAAA/feiY=")</f>
        <v>#REF!</v>
      </c>
      <c r="AN68" t="e">
        <f>AND(#REF!,"AAAAAA/feic=")</f>
        <v>#REF!</v>
      </c>
      <c r="AO68" t="e">
        <f>AND(#REF!,"AAAAAA/feig=")</f>
        <v>#REF!</v>
      </c>
      <c r="AP68" t="e">
        <f>AND(#REF!,"AAAAAA/feik=")</f>
        <v>#REF!</v>
      </c>
      <c r="AQ68" t="e">
        <f>AND(#REF!,"AAAAAA/feio=")</f>
        <v>#REF!</v>
      </c>
      <c r="AR68" t="e">
        <f>AND(#REF!,"AAAAAA/feis=")</f>
        <v>#REF!</v>
      </c>
      <c r="AS68" t="e">
        <f>AND(#REF!,"AAAAAA/feiw=")</f>
        <v>#REF!</v>
      </c>
      <c r="AT68" t="e">
        <f>AND(#REF!,"AAAAAA/fei0=")</f>
        <v>#REF!</v>
      </c>
      <c r="AU68" t="e">
        <f>AND(#REF!,"AAAAAA/fei4=")</f>
        <v>#REF!</v>
      </c>
      <c r="AV68" t="e">
        <f>AND(#REF!,"AAAAAA/fei8=")</f>
        <v>#REF!</v>
      </c>
      <c r="AW68" t="e">
        <f>AND(#REF!,"AAAAAA/fejA=")</f>
        <v>#REF!</v>
      </c>
      <c r="AX68" t="e">
        <f>AND(#REF!,"AAAAAA/fejE=")</f>
        <v>#REF!</v>
      </c>
      <c r="AY68" t="e">
        <f>AND(#REF!,"AAAAAA/fejI=")</f>
        <v>#REF!</v>
      </c>
      <c r="AZ68" t="e">
        <f>AND(#REF!,"AAAAAA/fejM=")</f>
        <v>#REF!</v>
      </c>
      <c r="BA68" t="e">
        <f>AND(#REF!,"AAAAAA/fejQ=")</f>
        <v>#REF!</v>
      </c>
      <c r="BB68" t="e">
        <f>AND(#REF!,"AAAAAA/fejU=")</f>
        <v>#REF!</v>
      </c>
      <c r="BC68" t="e">
        <f>AND(#REF!,"AAAAAA/fejY=")</f>
        <v>#REF!</v>
      </c>
      <c r="BD68" t="e">
        <f>AND(#REF!,"AAAAAA/fejc=")</f>
        <v>#REF!</v>
      </c>
      <c r="BE68" t="e">
        <f>AND(#REF!,"AAAAAA/fejg=")</f>
        <v>#REF!</v>
      </c>
      <c r="BF68" t="e">
        <f>AND(#REF!,"AAAAAA/fejk=")</f>
        <v>#REF!</v>
      </c>
      <c r="BG68" t="e">
        <f>AND(#REF!,"AAAAAA/fejo=")</f>
        <v>#REF!</v>
      </c>
      <c r="BH68" t="e">
        <f>AND(#REF!,"AAAAAA/fejs=")</f>
        <v>#REF!</v>
      </c>
      <c r="BI68" t="e">
        <f>AND(#REF!,"AAAAAA/fejw=")</f>
        <v>#REF!</v>
      </c>
      <c r="BJ68" t="e">
        <f>AND(#REF!,"AAAAAA/fej0=")</f>
        <v>#REF!</v>
      </c>
      <c r="BK68" t="e">
        <f>AND(#REF!,"AAAAAA/fej4=")</f>
        <v>#REF!</v>
      </c>
      <c r="BL68" t="e">
        <f>AND(#REF!,"AAAAAA/fej8=")</f>
        <v>#REF!</v>
      </c>
      <c r="BM68" t="e">
        <f>AND(#REF!,"AAAAAA/fekA=")</f>
        <v>#REF!</v>
      </c>
      <c r="BN68" t="e">
        <f>AND(#REF!,"AAAAAA/fekE=")</f>
        <v>#REF!</v>
      </c>
      <c r="BO68" t="e">
        <f>AND(#REF!,"AAAAAA/fekI=")</f>
        <v>#REF!</v>
      </c>
      <c r="BP68" t="e">
        <f>AND(#REF!,"AAAAAA/fekM=")</f>
        <v>#REF!</v>
      </c>
      <c r="BQ68" t="e">
        <f>AND(#REF!,"AAAAAA/fekQ=")</f>
        <v>#REF!</v>
      </c>
      <c r="BR68" t="e">
        <f>AND(#REF!,"AAAAAA/fekU=")</f>
        <v>#REF!</v>
      </c>
      <c r="BS68" t="e">
        <f>AND(#REF!,"AAAAAA/fekY=")</f>
        <v>#REF!</v>
      </c>
      <c r="BT68" t="e">
        <f>AND(#REF!,"AAAAAA/fekc=")</f>
        <v>#REF!</v>
      </c>
      <c r="BU68" t="e">
        <f>AND(#REF!,"AAAAAA/fekg=")</f>
        <v>#REF!</v>
      </c>
      <c r="BV68" t="e">
        <f>AND(#REF!,"AAAAAA/fekk=")</f>
        <v>#REF!</v>
      </c>
      <c r="BW68" t="e">
        <f>AND(#REF!,"AAAAAA/feko=")</f>
        <v>#REF!</v>
      </c>
      <c r="BX68" t="e">
        <f>AND(#REF!,"AAAAAA/feks=")</f>
        <v>#REF!</v>
      </c>
      <c r="BY68" t="e">
        <f>AND(#REF!,"AAAAAA/fekw=")</f>
        <v>#REF!</v>
      </c>
      <c r="BZ68" t="e">
        <f>AND(#REF!,"AAAAAA/fek0=")</f>
        <v>#REF!</v>
      </c>
      <c r="CA68" t="e">
        <f>AND(#REF!,"AAAAAA/fek4=")</f>
        <v>#REF!</v>
      </c>
      <c r="CB68" t="e">
        <f>AND(#REF!,"AAAAAA/fek8=")</f>
        <v>#REF!</v>
      </c>
      <c r="CC68" t="e">
        <f>AND(#REF!,"AAAAAA/felA=")</f>
        <v>#REF!</v>
      </c>
      <c r="CD68" t="e">
        <f>AND(#REF!,"AAAAAA/felE=")</f>
        <v>#REF!</v>
      </c>
      <c r="CE68" t="e">
        <f>AND(#REF!,"AAAAAA/felI=")</f>
        <v>#REF!</v>
      </c>
      <c r="CF68" t="e">
        <f>AND(#REF!,"AAAAAA/felM=")</f>
        <v>#REF!</v>
      </c>
      <c r="CG68" t="e">
        <f>AND(#REF!,"AAAAAA/felQ=")</f>
        <v>#REF!</v>
      </c>
      <c r="CH68" t="e">
        <f>AND(#REF!,"AAAAAA/felU=")</f>
        <v>#REF!</v>
      </c>
      <c r="CI68" t="e">
        <f>AND(#REF!,"AAAAAA/felY=")</f>
        <v>#REF!</v>
      </c>
      <c r="CJ68" t="e">
        <f>AND(#REF!,"AAAAAA/felc=")</f>
        <v>#REF!</v>
      </c>
      <c r="CK68" t="e">
        <f>AND(#REF!,"AAAAAA/felg=")</f>
        <v>#REF!</v>
      </c>
      <c r="CL68" t="e">
        <f>AND(#REF!,"AAAAAA/felk=")</f>
        <v>#REF!</v>
      </c>
      <c r="CM68" t="e">
        <f>AND(#REF!,"AAAAAA/felo=")</f>
        <v>#REF!</v>
      </c>
      <c r="CN68" t="e">
        <f>AND(#REF!,"AAAAAA/fels=")</f>
        <v>#REF!</v>
      </c>
      <c r="CO68" t="e">
        <f>AND(#REF!,"AAAAAA/felw=")</f>
        <v>#REF!</v>
      </c>
      <c r="CP68" t="e">
        <f>AND(#REF!,"AAAAAA/fel0=")</f>
        <v>#REF!</v>
      </c>
      <c r="CQ68" t="e">
        <f>AND(#REF!,"AAAAAA/fel4=")</f>
        <v>#REF!</v>
      </c>
      <c r="CR68" t="e">
        <f>AND(#REF!,"AAAAAA/fel8=")</f>
        <v>#REF!</v>
      </c>
      <c r="CS68" t="e">
        <f>AND(#REF!,"AAAAAA/femA=")</f>
        <v>#REF!</v>
      </c>
      <c r="CT68" t="e">
        <f>AND(#REF!,"AAAAAA/femE=")</f>
        <v>#REF!</v>
      </c>
      <c r="CU68" t="e">
        <f>AND(#REF!,"AAAAAA/femI=")</f>
        <v>#REF!</v>
      </c>
      <c r="CV68" t="e">
        <f>AND(#REF!,"AAAAAA/femM=")</f>
        <v>#REF!</v>
      </c>
      <c r="CW68" t="e">
        <f>IF(#REF!,"AAAAAA/femQ=",0)</f>
        <v>#REF!</v>
      </c>
      <c r="CX68" t="e">
        <f>AND(#REF!,"AAAAAA/femU=")</f>
        <v>#REF!</v>
      </c>
      <c r="CY68" t="e">
        <f>AND(#REF!,"AAAAAA/femY=")</f>
        <v>#REF!</v>
      </c>
      <c r="CZ68" t="e">
        <f>AND(#REF!,"AAAAAA/femc=")</f>
        <v>#REF!</v>
      </c>
      <c r="DA68" t="e">
        <f>AND(#REF!,"AAAAAA/femg=")</f>
        <v>#REF!</v>
      </c>
      <c r="DB68" t="e">
        <f>AND(#REF!,"AAAAAA/femk=")</f>
        <v>#REF!</v>
      </c>
      <c r="DC68" t="e">
        <f>AND(#REF!,"AAAAAA/femo=")</f>
        <v>#REF!</v>
      </c>
      <c r="DD68" t="e">
        <f>AND(#REF!,"AAAAAA/fems=")</f>
        <v>#REF!</v>
      </c>
      <c r="DE68" t="e">
        <f>AND(#REF!,"AAAAAA/femw=")</f>
        <v>#REF!</v>
      </c>
      <c r="DF68" t="e">
        <f>AND(#REF!,"AAAAAA/fem0=")</f>
        <v>#REF!</v>
      </c>
      <c r="DG68" t="e">
        <f>AND(#REF!,"AAAAAA/fem4=")</f>
        <v>#REF!</v>
      </c>
      <c r="DH68" t="e">
        <f>AND(#REF!,"AAAAAA/fem8=")</f>
        <v>#REF!</v>
      </c>
      <c r="DI68" t="e">
        <f>AND(#REF!,"AAAAAA/fenA=")</f>
        <v>#REF!</v>
      </c>
      <c r="DJ68" t="e">
        <f>AND(#REF!,"AAAAAA/fenE=")</f>
        <v>#REF!</v>
      </c>
      <c r="DK68" t="e">
        <f>AND(#REF!,"AAAAAA/fenI=")</f>
        <v>#REF!</v>
      </c>
      <c r="DL68" t="e">
        <f>AND(#REF!,"AAAAAA/fenM=")</f>
        <v>#REF!</v>
      </c>
      <c r="DM68" t="e">
        <f>AND(#REF!,"AAAAAA/fenQ=")</f>
        <v>#REF!</v>
      </c>
      <c r="DN68" t="e">
        <f>AND(#REF!,"AAAAAA/fenU=")</f>
        <v>#REF!</v>
      </c>
      <c r="DO68" t="e">
        <f>AND(#REF!,"AAAAAA/fenY=")</f>
        <v>#REF!</v>
      </c>
      <c r="DP68" t="e">
        <f>AND(#REF!,"AAAAAA/fenc=")</f>
        <v>#REF!</v>
      </c>
      <c r="DQ68" t="e">
        <f>AND(#REF!,"AAAAAA/feng=")</f>
        <v>#REF!</v>
      </c>
      <c r="DR68" t="e">
        <f>AND(#REF!,"AAAAAA/fenk=")</f>
        <v>#REF!</v>
      </c>
      <c r="DS68" t="e">
        <f>AND(#REF!,"AAAAAA/feno=")</f>
        <v>#REF!</v>
      </c>
      <c r="DT68" t="e">
        <f>AND(#REF!,"AAAAAA/fens=")</f>
        <v>#REF!</v>
      </c>
      <c r="DU68" t="e">
        <f>AND(#REF!,"AAAAAA/fenw=")</f>
        <v>#REF!</v>
      </c>
      <c r="DV68" t="e">
        <f>AND(#REF!,"AAAAAA/fen0=")</f>
        <v>#REF!</v>
      </c>
      <c r="DW68" t="e">
        <f>AND(#REF!,"AAAAAA/fen4=")</f>
        <v>#REF!</v>
      </c>
      <c r="DX68" t="e">
        <f>AND(#REF!,"AAAAAA/fen8=")</f>
        <v>#REF!</v>
      </c>
      <c r="DY68" t="e">
        <f>AND(#REF!,"AAAAAA/feoA=")</f>
        <v>#REF!</v>
      </c>
      <c r="DZ68" t="e">
        <f>AND(#REF!,"AAAAAA/feoE=")</f>
        <v>#REF!</v>
      </c>
      <c r="EA68" t="e">
        <f>AND(#REF!,"AAAAAA/feoI=")</f>
        <v>#REF!</v>
      </c>
      <c r="EB68" t="e">
        <f>AND(#REF!,"AAAAAA/feoM=")</f>
        <v>#REF!</v>
      </c>
      <c r="EC68" t="e">
        <f>AND(#REF!,"AAAAAA/feoQ=")</f>
        <v>#REF!</v>
      </c>
      <c r="ED68" t="e">
        <f>AND(#REF!,"AAAAAA/feoU=")</f>
        <v>#REF!</v>
      </c>
      <c r="EE68" t="e">
        <f>AND(#REF!,"AAAAAA/feoY=")</f>
        <v>#REF!</v>
      </c>
      <c r="EF68" t="e">
        <f>AND(#REF!,"AAAAAA/feoc=")</f>
        <v>#REF!</v>
      </c>
      <c r="EG68" t="e">
        <f>AND(#REF!,"AAAAAA/feog=")</f>
        <v>#REF!</v>
      </c>
      <c r="EH68" t="e">
        <f>AND(#REF!,"AAAAAA/feok=")</f>
        <v>#REF!</v>
      </c>
      <c r="EI68" t="e">
        <f>AND(#REF!,"AAAAAA/feoo=")</f>
        <v>#REF!</v>
      </c>
      <c r="EJ68" t="e">
        <f>AND(#REF!,"AAAAAA/feos=")</f>
        <v>#REF!</v>
      </c>
      <c r="EK68" t="e">
        <f>AND(#REF!,"AAAAAA/feow=")</f>
        <v>#REF!</v>
      </c>
      <c r="EL68" t="e">
        <f>AND(#REF!,"AAAAAA/feo0=")</f>
        <v>#REF!</v>
      </c>
      <c r="EM68" t="e">
        <f>AND(#REF!,"AAAAAA/feo4=")</f>
        <v>#REF!</v>
      </c>
      <c r="EN68" t="e">
        <f>AND(#REF!,"AAAAAA/feo8=")</f>
        <v>#REF!</v>
      </c>
      <c r="EO68" t="e">
        <f>AND(#REF!,"AAAAAA/fepA=")</f>
        <v>#REF!</v>
      </c>
      <c r="EP68" t="e">
        <f>AND(#REF!,"AAAAAA/fepE=")</f>
        <v>#REF!</v>
      </c>
      <c r="EQ68" t="e">
        <f>AND(#REF!,"AAAAAA/fepI=")</f>
        <v>#REF!</v>
      </c>
      <c r="ER68" t="e">
        <f>AND(#REF!,"AAAAAA/fepM=")</f>
        <v>#REF!</v>
      </c>
      <c r="ES68" t="e">
        <f>AND(#REF!,"AAAAAA/fepQ=")</f>
        <v>#REF!</v>
      </c>
      <c r="ET68" t="e">
        <f>AND(#REF!,"AAAAAA/fepU=")</f>
        <v>#REF!</v>
      </c>
      <c r="EU68" t="e">
        <f>AND(#REF!,"AAAAAA/fepY=")</f>
        <v>#REF!</v>
      </c>
      <c r="EV68" t="e">
        <f>AND(#REF!,"AAAAAA/fepc=")</f>
        <v>#REF!</v>
      </c>
      <c r="EW68" t="e">
        <f>AND(#REF!,"AAAAAA/fepg=")</f>
        <v>#REF!</v>
      </c>
      <c r="EX68" t="e">
        <f>AND(#REF!,"AAAAAA/fepk=")</f>
        <v>#REF!</v>
      </c>
      <c r="EY68" t="e">
        <f>AND(#REF!,"AAAAAA/fepo=")</f>
        <v>#REF!</v>
      </c>
      <c r="EZ68" t="e">
        <f>AND(#REF!,"AAAAAA/feps=")</f>
        <v>#REF!</v>
      </c>
      <c r="FA68" t="e">
        <f>AND(#REF!,"AAAAAA/fepw=")</f>
        <v>#REF!</v>
      </c>
      <c r="FB68" t="e">
        <f>AND(#REF!,"AAAAAA/fep0=")</f>
        <v>#REF!</v>
      </c>
      <c r="FC68" t="e">
        <f>AND(#REF!,"AAAAAA/fep4=")</f>
        <v>#REF!</v>
      </c>
      <c r="FD68" t="e">
        <f>AND(#REF!,"AAAAAA/fep8=")</f>
        <v>#REF!</v>
      </c>
      <c r="FE68" t="e">
        <f>AND(#REF!,"AAAAAA/feqA=")</f>
        <v>#REF!</v>
      </c>
      <c r="FF68" t="e">
        <f>AND(#REF!,"AAAAAA/feqE=")</f>
        <v>#REF!</v>
      </c>
      <c r="FG68" t="e">
        <f>AND(#REF!,"AAAAAA/feqI=")</f>
        <v>#REF!</v>
      </c>
      <c r="FH68" t="e">
        <f>AND(#REF!,"AAAAAA/feqM=")</f>
        <v>#REF!</v>
      </c>
      <c r="FI68" t="e">
        <f>AND(#REF!,"AAAAAA/feqQ=")</f>
        <v>#REF!</v>
      </c>
      <c r="FJ68" t="e">
        <f>AND(#REF!,"AAAAAA/feqU=")</f>
        <v>#REF!</v>
      </c>
      <c r="FK68" t="e">
        <f>AND(#REF!,"AAAAAA/feqY=")</f>
        <v>#REF!</v>
      </c>
      <c r="FL68" t="e">
        <f>AND(#REF!,"AAAAAA/feqc=")</f>
        <v>#REF!</v>
      </c>
      <c r="FM68" t="e">
        <f>AND(#REF!,"AAAAAA/feqg=")</f>
        <v>#REF!</v>
      </c>
      <c r="FN68" t="e">
        <f>AND(#REF!,"AAAAAA/feqk=")</f>
        <v>#REF!</v>
      </c>
      <c r="FO68" t="e">
        <f>AND(#REF!,"AAAAAA/feqo=")</f>
        <v>#REF!</v>
      </c>
      <c r="FP68" t="e">
        <f>AND(#REF!,"AAAAAA/feqs=")</f>
        <v>#REF!</v>
      </c>
      <c r="FQ68" t="e">
        <f>AND(#REF!,"AAAAAA/feqw=")</f>
        <v>#REF!</v>
      </c>
      <c r="FR68" t="e">
        <f>AND(#REF!,"AAAAAA/feq0=")</f>
        <v>#REF!</v>
      </c>
      <c r="FS68" t="e">
        <f>AND(#REF!,"AAAAAA/feq4=")</f>
        <v>#REF!</v>
      </c>
      <c r="FT68" t="e">
        <f>AND(#REF!,"AAAAAA/feq8=")</f>
        <v>#REF!</v>
      </c>
      <c r="FU68" t="e">
        <f>AND(#REF!,"AAAAAA/ferA=")</f>
        <v>#REF!</v>
      </c>
      <c r="FV68" t="e">
        <f>AND(#REF!,"AAAAAA/ferE=")</f>
        <v>#REF!</v>
      </c>
      <c r="FW68" t="e">
        <f>AND(#REF!,"AAAAAA/ferI=")</f>
        <v>#REF!</v>
      </c>
      <c r="FX68" t="e">
        <f>AND(#REF!,"AAAAAA/ferM=")</f>
        <v>#REF!</v>
      </c>
      <c r="FY68" t="e">
        <f>AND(#REF!,"AAAAAA/ferQ=")</f>
        <v>#REF!</v>
      </c>
      <c r="FZ68" t="e">
        <f>AND(#REF!,"AAAAAA/ferU=")</f>
        <v>#REF!</v>
      </c>
      <c r="GA68" t="e">
        <f>AND(#REF!,"AAAAAA/ferY=")</f>
        <v>#REF!</v>
      </c>
      <c r="GB68" t="e">
        <f>AND(#REF!,"AAAAAA/ferc=")</f>
        <v>#REF!</v>
      </c>
      <c r="GC68" t="e">
        <f>AND(#REF!,"AAAAAA/ferg=")</f>
        <v>#REF!</v>
      </c>
      <c r="GD68" t="e">
        <f>AND(#REF!,"AAAAAA/ferk=")</f>
        <v>#REF!</v>
      </c>
      <c r="GE68" t="e">
        <f>AND(#REF!,"AAAAAA/fero=")</f>
        <v>#REF!</v>
      </c>
      <c r="GF68" t="e">
        <f>AND(#REF!,"AAAAAA/fers=")</f>
        <v>#REF!</v>
      </c>
      <c r="GG68" t="e">
        <f>AND(#REF!,"AAAAAA/ferw=")</f>
        <v>#REF!</v>
      </c>
      <c r="GH68" t="e">
        <f>AND(#REF!,"AAAAAA/fer0=")</f>
        <v>#REF!</v>
      </c>
      <c r="GI68" t="e">
        <f>AND(#REF!,"AAAAAA/fer4=")</f>
        <v>#REF!</v>
      </c>
      <c r="GJ68" t="e">
        <f>AND(#REF!,"AAAAAA/fer8=")</f>
        <v>#REF!</v>
      </c>
      <c r="GK68" t="e">
        <f>AND(#REF!,"AAAAAA/fesA=")</f>
        <v>#REF!</v>
      </c>
      <c r="GL68" t="e">
        <f>AND(#REF!,"AAAAAA/fesE=")</f>
        <v>#REF!</v>
      </c>
      <c r="GM68" t="e">
        <f>AND(#REF!,"AAAAAA/fesI=")</f>
        <v>#REF!</v>
      </c>
      <c r="GN68" t="e">
        <f>AND(#REF!,"AAAAAA/fesM=")</f>
        <v>#REF!</v>
      </c>
      <c r="GO68" t="e">
        <f>AND(#REF!,"AAAAAA/fesQ=")</f>
        <v>#REF!</v>
      </c>
      <c r="GP68" t="e">
        <f>AND(#REF!,"AAAAAA/fesU=")</f>
        <v>#REF!</v>
      </c>
      <c r="GQ68" t="e">
        <f>AND(#REF!,"AAAAAA/fesY=")</f>
        <v>#REF!</v>
      </c>
      <c r="GR68" t="e">
        <f>AND(#REF!,"AAAAAA/fesc=")</f>
        <v>#REF!</v>
      </c>
      <c r="GS68" t="e">
        <f>AND(#REF!,"AAAAAA/fesg=")</f>
        <v>#REF!</v>
      </c>
      <c r="GT68" t="e">
        <f>AND(#REF!,"AAAAAA/fesk=")</f>
        <v>#REF!</v>
      </c>
      <c r="GU68" t="e">
        <f>AND(#REF!,"AAAAAA/feso=")</f>
        <v>#REF!</v>
      </c>
      <c r="GV68" t="e">
        <f>AND(#REF!,"AAAAAA/fess=")</f>
        <v>#REF!</v>
      </c>
      <c r="GW68" t="e">
        <f>AND(#REF!,"AAAAAA/fesw=")</f>
        <v>#REF!</v>
      </c>
      <c r="GX68" t="e">
        <f>AND(#REF!,"AAAAAA/fes0=")</f>
        <v>#REF!</v>
      </c>
      <c r="GY68" t="e">
        <f>AND(#REF!,"AAAAAA/fes4=")</f>
        <v>#REF!</v>
      </c>
      <c r="GZ68" t="e">
        <f>AND(#REF!,"AAAAAA/fes8=")</f>
        <v>#REF!</v>
      </c>
      <c r="HA68" t="e">
        <f>AND(#REF!,"AAAAAA/fetA=")</f>
        <v>#REF!</v>
      </c>
      <c r="HB68" t="e">
        <f>AND(#REF!,"AAAAAA/fetE=")</f>
        <v>#REF!</v>
      </c>
      <c r="HC68" t="e">
        <f>AND(#REF!,"AAAAAA/fetI=")</f>
        <v>#REF!</v>
      </c>
      <c r="HD68" t="e">
        <f>AND(#REF!,"AAAAAA/fetM=")</f>
        <v>#REF!</v>
      </c>
      <c r="HE68" t="e">
        <f>AND(#REF!,"AAAAAA/fetQ=")</f>
        <v>#REF!</v>
      </c>
      <c r="HF68" t="e">
        <f>AND(#REF!,"AAAAAA/fetU=")</f>
        <v>#REF!</v>
      </c>
      <c r="HG68" t="e">
        <f>AND(#REF!,"AAAAAA/fetY=")</f>
        <v>#REF!</v>
      </c>
      <c r="HH68" t="e">
        <f>AND(#REF!,"AAAAAA/fetc=")</f>
        <v>#REF!</v>
      </c>
      <c r="HI68" t="e">
        <f>AND(#REF!,"AAAAAA/fetg=")</f>
        <v>#REF!</v>
      </c>
      <c r="HJ68" t="e">
        <f>AND(#REF!,"AAAAAA/fetk=")</f>
        <v>#REF!</v>
      </c>
      <c r="HK68" t="e">
        <f>AND(#REF!,"AAAAAA/feto=")</f>
        <v>#REF!</v>
      </c>
      <c r="HL68" t="e">
        <f>AND(#REF!,"AAAAAA/fets=")</f>
        <v>#REF!</v>
      </c>
      <c r="HM68" t="e">
        <f>AND(#REF!,"AAAAAA/fetw=")</f>
        <v>#REF!</v>
      </c>
      <c r="HN68" t="e">
        <f>AND(#REF!,"AAAAAA/fet0=")</f>
        <v>#REF!</v>
      </c>
      <c r="HO68" t="e">
        <f>AND(#REF!,"AAAAAA/fet4=")</f>
        <v>#REF!</v>
      </c>
      <c r="HP68" t="e">
        <f>AND(#REF!,"AAAAAA/fet8=")</f>
        <v>#REF!</v>
      </c>
      <c r="HQ68" t="e">
        <f>AND(#REF!,"AAAAAA/feuA=")</f>
        <v>#REF!</v>
      </c>
      <c r="HR68" t="e">
        <f>AND(#REF!,"AAAAAA/feuE=")</f>
        <v>#REF!</v>
      </c>
      <c r="HS68" t="e">
        <f>AND(#REF!,"AAAAAA/feuI=")</f>
        <v>#REF!</v>
      </c>
      <c r="HT68" t="e">
        <f>AND(#REF!,"AAAAAA/feuM=")</f>
        <v>#REF!</v>
      </c>
      <c r="HU68" t="e">
        <f>AND(#REF!,"AAAAAA/feuQ=")</f>
        <v>#REF!</v>
      </c>
      <c r="HV68" t="e">
        <f>AND(#REF!,"AAAAAA/feuU=")</f>
        <v>#REF!</v>
      </c>
      <c r="HW68" t="e">
        <f>AND(#REF!,"AAAAAA/feuY=")</f>
        <v>#REF!</v>
      </c>
      <c r="HX68" t="e">
        <f>AND(#REF!,"AAAAAA/feuc=")</f>
        <v>#REF!</v>
      </c>
      <c r="HY68" t="e">
        <f>AND(#REF!,"AAAAAA/feug=")</f>
        <v>#REF!</v>
      </c>
      <c r="HZ68" t="e">
        <f>AND(#REF!,"AAAAAA/feuk=")</f>
        <v>#REF!</v>
      </c>
      <c r="IA68" t="e">
        <f>AND(#REF!,"AAAAAA/feuo=")</f>
        <v>#REF!</v>
      </c>
      <c r="IB68" t="e">
        <f>AND(#REF!,"AAAAAA/feus=")</f>
        <v>#REF!</v>
      </c>
      <c r="IC68" t="e">
        <f>AND(#REF!,"AAAAAA/feuw=")</f>
        <v>#REF!</v>
      </c>
      <c r="ID68" t="e">
        <f>AND(#REF!,"AAAAAA/feu0=")</f>
        <v>#REF!</v>
      </c>
      <c r="IE68" t="e">
        <f>AND(#REF!,"AAAAAA/feu4=")</f>
        <v>#REF!</v>
      </c>
      <c r="IF68" t="e">
        <f>AND(#REF!,"AAAAAA/feu8=")</f>
        <v>#REF!</v>
      </c>
      <c r="IG68" t="e">
        <f>AND(#REF!,"AAAAAA/fevA=")</f>
        <v>#REF!</v>
      </c>
      <c r="IH68" t="e">
        <f>AND(#REF!,"AAAAAA/fevE=")</f>
        <v>#REF!</v>
      </c>
      <c r="II68" t="e">
        <f>AND(#REF!,"AAAAAA/fevI=")</f>
        <v>#REF!</v>
      </c>
      <c r="IJ68" t="e">
        <f>AND(#REF!,"AAAAAA/fevM=")</f>
        <v>#REF!</v>
      </c>
      <c r="IK68" t="e">
        <f>AND(#REF!,"AAAAAA/fevQ=")</f>
        <v>#REF!</v>
      </c>
      <c r="IL68" t="e">
        <f>AND(#REF!,"AAAAAA/fevU=")</f>
        <v>#REF!</v>
      </c>
      <c r="IM68" t="e">
        <f>AND(#REF!,"AAAAAA/fevY=")</f>
        <v>#REF!</v>
      </c>
      <c r="IN68" t="e">
        <f>AND(#REF!,"AAAAAA/fevc=")</f>
        <v>#REF!</v>
      </c>
      <c r="IO68" t="e">
        <f>AND(#REF!,"AAAAAA/fevg=")</f>
        <v>#REF!</v>
      </c>
      <c r="IP68" t="e">
        <f>AND(#REF!,"AAAAAA/fevk=")</f>
        <v>#REF!</v>
      </c>
      <c r="IQ68" t="e">
        <f>AND(#REF!,"AAAAAA/fevo=")</f>
        <v>#REF!</v>
      </c>
      <c r="IR68" t="e">
        <f>AND(#REF!,"AAAAAA/fevs=")</f>
        <v>#REF!</v>
      </c>
      <c r="IS68" t="e">
        <f>AND(#REF!,"AAAAAA/fevw=")</f>
        <v>#REF!</v>
      </c>
      <c r="IT68" t="e">
        <f>AND(#REF!,"AAAAAA/fev0=")</f>
        <v>#REF!</v>
      </c>
      <c r="IU68" t="e">
        <f>AND(#REF!,"AAAAAA/fev4=")</f>
        <v>#REF!</v>
      </c>
      <c r="IV68" t="e">
        <f>AND(#REF!,"AAAAAA/fev8=")</f>
        <v>#REF!</v>
      </c>
    </row>
    <row r="69" spans="1:256" x14ac:dyDescent="0.25">
      <c r="A69" t="e">
        <f>AND(#REF!,"AAAAAH/WvwA=")</f>
        <v>#REF!</v>
      </c>
      <c r="B69" t="e">
        <f>AND(#REF!,"AAAAAH/WvwE=")</f>
        <v>#REF!</v>
      </c>
      <c r="C69" t="e">
        <f>AND(#REF!,"AAAAAH/WvwI=")</f>
        <v>#REF!</v>
      </c>
      <c r="D69" t="e">
        <f>AND(#REF!,"AAAAAH/WvwM=")</f>
        <v>#REF!</v>
      </c>
      <c r="E69" t="e">
        <f>AND(#REF!,"AAAAAH/WvwQ=")</f>
        <v>#REF!</v>
      </c>
      <c r="F69" t="e">
        <f>AND(#REF!,"AAAAAH/WvwU=")</f>
        <v>#REF!</v>
      </c>
      <c r="G69" t="e">
        <f>AND(#REF!,"AAAAAH/WvwY=")</f>
        <v>#REF!</v>
      </c>
      <c r="H69" t="e">
        <f>AND(#REF!,"AAAAAH/Wvwc=")</f>
        <v>#REF!</v>
      </c>
      <c r="I69" t="e">
        <f>AND(#REF!,"AAAAAH/Wvwg=")</f>
        <v>#REF!</v>
      </c>
      <c r="J69" t="e">
        <f>AND(#REF!,"AAAAAH/Wvwk=")</f>
        <v>#REF!</v>
      </c>
      <c r="K69" t="e">
        <f>AND(#REF!,"AAAAAH/Wvwo=")</f>
        <v>#REF!</v>
      </c>
      <c r="L69" t="e">
        <f>AND(#REF!,"AAAAAH/Wvws=")</f>
        <v>#REF!</v>
      </c>
      <c r="M69" t="e">
        <f>AND(#REF!,"AAAAAH/Wvww=")</f>
        <v>#REF!</v>
      </c>
      <c r="N69" t="e">
        <f>AND(#REF!,"AAAAAH/Wvw0=")</f>
        <v>#REF!</v>
      </c>
      <c r="O69" t="e">
        <f>AND(#REF!,"AAAAAH/Wvw4=")</f>
        <v>#REF!</v>
      </c>
      <c r="P69" t="e">
        <f>AND(#REF!,"AAAAAH/Wvw8=")</f>
        <v>#REF!</v>
      </c>
      <c r="Q69" t="e">
        <f>AND(#REF!,"AAAAAH/WvxA=")</f>
        <v>#REF!</v>
      </c>
      <c r="R69" t="e">
        <f>AND(#REF!,"AAAAAH/WvxE=")</f>
        <v>#REF!</v>
      </c>
      <c r="S69" t="e">
        <f>AND(#REF!,"AAAAAH/WvxI=")</f>
        <v>#REF!</v>
      </c>
      <c r="T69" t="e">
        <f>AND(#REF!,"AAAAAH/WvxM=")</f>
        <v>#REF!</v>
      </c>
      <c r="U69" t="e">
        <f>AND(#REF!,"AAAAAH/WvxQ=")</f>
        <v>#REF!</v>
      </c>
      <c r="V69" t="e">
        <f>AND(#REF!,"AAAAAH/WvxU=")</f>
        <v>#REF!</v>
      </c>
      <c r="W69" t="e">
        <f>AND(#REF!,"AAAAAH/WvxY=")</f>
        <v>#REF!</v>
      </c>
      <c r="X69" t="e">
        <f>AND(#REF!,"AAAAAH/Wvxc=")</f>
        <v>#REF!</v>
      </c>
      <c r="Y69" t="e">
        <f>AND(#REF!,"AAAAAH/Wvxg=")</f>
        <v>#REF!</v>
      </c>
      <c r="Z69" t="e">
        <f>AND(#REF!,"AAAAAH/Wvxk=")</f>
        <v>#REF!</v>
      </c>
      <c r="AA69" t="e">
        <f>AND(#REF!,"AAAAAH/Wvxo=")</f>
        <v>#REF!</v>
      </c>
      <c r="AB69" t="e">
        <f>AND(#REF!,"AAAAAH/Wvxs=")</f>
        <v>#REF!</v>
      </c>
      <c r="AC69" t="e">
        <f>AND(#REF!,"AAAAAH/Wvxw=")</f>
        <v>#REF!</v>
      </c>
      <c r="AD69" t="e">
        <f>AND(#REF!,"AAAAAH/Wvx0=")</f>
        <v>#REF!</v>
      </c>
      <c r="AE69" t="e">
        <f>AND(#REF!,"AAAAAH/Wvx4=")</f>
        <v>#REF!</v>
      </c>
      <c r="AF69" t="e">
        <f>AND(#REF!,"AAAAAH/Wvx8=")</f>
        <v>#REF!</v>
      </c>
      <c r="AG69" t="e">
        <f>AND(#REF!,"AAAAAH/WvyA=")</f>
        <v>#REF!</v>
      </c>
      <c r="AH69" t="e">
        <f>IF(#REF!,"AAAAAH/WvyE=",0)</f>
        <v>#REF!</v>
      </c>
      <c r="AI69" t="e">
        <f>AND(#REF!,"AAAAAH/WvyI=")</f>
        <v>#REF!</v>
      </c>
      <c r="AJ69" t="e">
        <f>AND(#REF!,"AAAAAH/WvyM=")</f>
        <v>#REF!</v>
      </c>
      <c r="AK69" t="e">
        <f>AND(#REF!,"AAAAAH/WvyQ=")</f>
        <v>#REF!</v>
      </c>
      <c r="AL69" t="e">
        <f>AND(#REF!,"AAAAAH/WvyU=")</f>
        <v>#REF!</v>
      </c>
      <c r="AM69" t="e">
        <f>AND(#REF!,"AAAAAH/WvyY=")</f>
        <v>#REF!</v>
      </c>
      <c r="AN69" t="e">
        <f>AND(#REF!,"AAAAAH/Wvyc=")</f>
        <v>#REF!</v>
      </c>
      <c r="AO69" t="e">
        <f>AND(#REF!,"AAAAAH/Wvyg=")</f>
        <v>#REF!</v>
      </c>
      <c r="AP69" t="e">
        <f>AND(#REF!,"AAAAAH/Wvyk=")</f>
        <v>#REF!</v>
      </c>
      <c r="AQ69" t="e">
        <f>AND(#REF!,"AAAAAH/Wvyo=")</f>
        <v>#REF!</v>
      </c>
      <c r="AR69" t="e">
        <f>AND(#REF!,"AAAAAH/Wvys=")</f>
        <v>#REF!</v>
      </c>
      <c r="AS69" t="e">
        <f>AND(#REF!,"AAAAAH/Wvyw=")</f>
        <v>#REF!</v>
      </c>
      <c r="AT69" t="e">
        <f>AND(#REF!,"AAAAAH/Wvy0=")</f>
        <v>#REF!</v>
      </c>
      <c r="AU69" t="e">
        <f>AND(#REF!,"AAAAAH/Wvy4=")</f>
        <v>#REF!</v>
      </c>
      <c r="AV69" t="e">
        <f>AND(#REF!,"AAAAAH/Wvy8=")</f>
        <v>#REF!</v>
      </c>
      <c r="AW69" t="e">
        <f>AND(#REF!,"AAAAAH/WvzA=")</f>
        <v>#REF!</v>
      </c>
      <c r="AX69" t="e">
        <f>AND(#REF!,"AAAAAH/WvzE=")</f>
        <v>#REF!</v>
      </c>
      <c r="AY69" t="e">
        <f>AND(#REF!,"AAAAAH/WvzI=")</f>
        <v>#REF!</v>
      </c>
      <c r="AZ69" t="e">
        <f>AND(#REF!,"AAAAAH/WvzM=")</f>
        <v>#REF!</v>
      </c>
      <c r="BA69" t="e">
        <f>AND(#REF!,"AAAAAH/WvzQ=")</f>
        <v>#REF!</v>
      </c>
      <c r="BB69" t="e">
        <f>AND(#REF!,"AAAAAH/WvzU=")</f>
        <v>#REF!</v>
      </c>
      <c r="BC69" t="e">
        <f>AND(#REF!,"AAAAAH/WvzY=")</f>
        <v>#REF!</v>
      </c>
      <c r="BD69" t="e">
        <f>AND(#REF!,"AAAAAH/Wvzc=")</f>
        <v>#REF!</v>
      </c>
      <c r="BE69" t="e">
        <f>AND(#REF!,"AAAAAH/Wvzg=")</f>
        <v>#REF!</v>
      </c>
      <c r="BF69" t="e">
        <f>AND(#REF!,"AAAAAH/Wvzk=")</f>
        <v>#REF!</v>
      </c>
      <c r="BG69" t="e">
        <f>AND(#REF!,"AAAAAH/Wvzo=")</f>
        <v>#REF!</v>
      </c>
      <c r="BH69" t="e">
        <f>AND(#REF!,"AAAAAH/Wvzs=")</f>
        <v>#REF!</v>
      </c>
      <c r="BI69" t="e">
        <f>AND(#REF!,"AAAAAH/Wvzw=")</f>
        <v>#REF!</v>
      </c>
      <c r="BJ69" t="e">
        <f>AND(#REF!,"AAAAAH/Wvz0=")</f>
        <v>#REF!</v>
      </c>
      <c r="BK69" t="e">
        <f>AND(#REF!,"AAAAAH/Wvz4=")</f>
        <v>#REF!</v>
      </c>
      <c r="BL69" t="e">
        <f>AND(#REF!,"AAAAAH/Wvz8=")</f>
        <v>#REF!</v>
      </c>
      <c r="BM69" t="e">
        <f>AND(#REF!,"AAAAAH/Wv0A=")</f>
        <v>#REF!</v>
      </c>
      <c r="BN69" t="e">
        <f>AND(#REF!,"AAAAAH/Wv0E=")</f>
        <v>#REF!</v>
      </c>
      <c r="BO69" t="e">
        <f>AND(#REF!,"AAAAAH/Wv0I=")</f>
        <v>#REF!</v>
      </c>
      <c r="BP69" t="e">
        <f>AND(#REF!,"AAAAAH/Wv0M=")</f>
        <v>#REF!</v>
      </c>
      <c r="BQ69" t="e">
        <f>AND(#REF!,"AAAAAH/Wv0Q=")</f>
        <v>#REF!</v>
      </c>
      <c r="BR69" t="e">
        <f>AND(#REF!,"AAAAAH/Wv0U=")</f>
        <v>#REF!</v>
      </c>
      <c r="BS69" t="e">
        <f>AND(#REF!,"AAAAAH/Wv0Y=")</f>
        <v>#REF!</v>
      </c>
      <c r="BT69" t="e">
        <f>AND(#REF!,"AAAAAH/Wv0c=")</f>
        <v>#REF!</v>
      </c>
      <c r="BU69" t="e">
        <f>AND(#REF!,"AAAAAH/Wv0g=")</f>
        <v>#REF!</v>
      </c>
      <c r="BV69" t="e">
        <f>AND(#REF!,"AAAAAH/Wv0k=")</f>
        <v>#REF!</v>
      </c>
      <c r="BW69" t="e">
        <f>AND(#REF!,"AAAAAH/Wv0o=")</f>
        <v>#REF!</v>
      </c>
      <c r="BX69" t="e">
        <f>AND(#REF!,"AAAAAH/Wv0s=")</f>
        <v>#REF!</v>
      </c>
      <c r="BY69" t="e">
        <f>AND(#REF!,"AAAAAH/Wv0w=")</f>
        <v>#REF!</v>
      </c>
      <c r="BZ69" t="e">
        <f>AND(#REF!,"AAAAAH/Wv00=")</f>
        <v>#REF!</v>
      </c>
      <c r="CA69" t="e">
        <f>AND(#REF!,"AAAAAH/Wv04=")</f>
        <v>#REF!</v>
      </c>
      <c r="CB69" t="e">
        <f>AND(#REF!,"AAAAAH/Wv08=")</f>
        <v>#REF!</v>
      </c>
      <c r="CC69" t="e">
        <f>AND(#REF!,"AAAAAH/Wv1A=")</f>
        <v>#REF!</v>
      </c>
      <c r="CD69" t="e">
        <f>AND(#REF!,"AAAAAH/Wv1E=")</f>
        <v>#REF!</v>
      </c>
      <c r="CE69" t="e">
        <f>AND(#REF!,"AAAAAH/Wv1I=")</f>
        <v>#REF!</v>
      </c>
      <c r="CF69" t="e">
        <f>AND(#REF!,"AAAAAH/Wv1M=")</f>
        <v>#REF!</v>
      </c>
      <c r="CG69" t="e">
        <f>AND(#REF!,"AAAAAH/Wv1Q=")</f>
        <v>#REF!</v>
      </c>
      <c r="CH69" t="e">
        <f>AND(#REF!,"AAAAAH/Wv1U=")</f>
        <v>#REF!</v>
      </c>
      <c r="CI69" t="e">
        <f>AND(#REF!,"AAAAAH/Wv1Y=")</f>
        <v>#REF!</v>
      </c>
      <c r="CJ69" t="e">
        <f>AND(#REF!,"AAAAAH/Wv1c=")</f>
        <v>#REF!</v>
      </c>
      <c r="CK69" t="e">
        <f>AND(#REF!,"AAAAAH/Wv1g=")</f>
        <v>#REF!</v>
      </c>
      <c r="CL69" t="e">
        <f>AND(#REF!,"AAAAAH/Wv1k=")</f>
        <v>#REF!</v>
      </c>
      <c r="CM69" t="e">
        <f>AND(#REF!,"AAAAAH/Wv1o=")</f>
        <v>#REF!</v>
      </c>
      <c r="CN69" t="e">
        <f>AND(#REF!,"AAAAAH/Wv1s=")</f>
        <v>#REF!</v>
      </c>
      <c r="CO69" t="e">
        <f>AND(#REF!,"AAAAAH/Wv1w=")</f>
        <v>#REF!</v>
      </c>
      <c r="CP69" t="e">
        <f>AND(#REF!,"AAAAAH/Wv10=")</f>
        <v>#REF!</v>
      </c>
      <c r="CQ69" t="e">
        <f>AND(#REF!,"AAAAAH/Wv14=")</f>
        <v>#REF!</v>
      </c>
      <c r="CR69" t="e">
        <f>AND(#REF!,"AAAAAH/Wv18=")</f>
        <v>#REF!</v>
      </c>
      <c r="CS69" t="e">
        <f>AND(#REF!,"AAAAAH/Wv2A=")</f>
        <v>#REF!</v>
      </c>
      <c r="CT69" t="e">
        <f>AND(#REF!,"AAAAAH/Wv2E=")</f>
        <v>#REF!</v>
      </c>
      <c r="CU69" t="e">
        <f>AND(#REF!,"AAAAAH/Wv2I=")</f>
        <v>#REF!</v>
      </c>
      <c r="CV69" t="e">
        <f>AND(#REF!,"AAAAAH/Wv2M=")</f>
        <v>#REF!</v>
      </c>
      <c r="CW69" t="e">
        <f>AND(#REF!,"AAAAAH/Wv2Q=")</f>
        <v>#REF!</v>
      </c>
      <c r="CX69" t="e">
        <f>AND(#REF!,"AAAAAH/Wv2U=")</f>
        <v>#REF!</v>
      </c>
      <c r="CY69" t="e">
        <f>AND(#REF!,"AAAAAH/Wv2Y=")</f>
        <v>#REF!</v>
      </c>
      <c r="CZ69" t="e">
        <f>AND(#REF!,"AAAAAH/Wv2c=")</f>
        <v>#REF!</v>
      </c>
      <c r="DA69" t="e">
        <f>AND(#REF!,"AAAAAH/Wv2g=")</f>
        <v>#REF!</v>
      </c>
      <c r="DB69" t="e">
        <f>AND(#REF!,"AAAAAH/Wv2k=")</f>
        <v>#REF!</v>
      </c>
      <c r="DC69" t="e">
        <f>AND(#REF!,"AAAAAH/Wv2o=")</f>
        <v>#REF!</v>
      </c>
      <c r="DD69" t="e">
        <f>AND(#REF!,"AAAAAH/Wv2s=")</f>
        <v>#REF!</v>
      </c>
      <c r="DE69" t="e">
        <f>AND(#REF!,"AAAAAH/Wv2w=")</f>
        <v>#REF!</v>
      </c>
      <c r="DF69" t="e">
        <f>AND(#REF!,"AAAAAH/Wv20=")</f>
        <v>#REF!</v>
      </c>
      <c r="DG69" t="e">
        <f>AND(#REF!,"AAAAAH/Wv24=")</f>
        <v>#REF!</v>
      </c>
      <c r="DH69" t="e">
        <f>AND(#REF!,"AAAAAH/Wv28=")</f>
        <v>#REF!</v>
      </c>
      <c r="DI69" t="e">
        <f>AND(#REF!,"AAAAAH/Wv3A=")</f>
        <v>#REF!</v>
      </c>
      <c r="DJ69" t="e">
        <f>AND(#REF!,"AAAAAH/Wv3E=")</f>
        <v>#REF!</v>
      </c>
      <c r="DK69" t="e">
        <f>AND(#REF!,"AAAAAH/Wv3I=")</f>
        <v>#REF!</v>
      </c>
      <c r="DL69" t="e">
        <f>AND(#REF!,"AAAAAH/Wv3M=")</f>
        <v>#REF!</v>
      </c>
      <c r="DM69" t="e">
        <f>AND(#REF!,"AAAAAH/Wv3Q=")</f>
        <v>#REF!</v>
      </c>
      <c r="DN69" t="e">
        <f>AND(#REF!,"AAAAAH/Wv3U=")</f>
        <v>#REF!</v>
      </c>
      <c r="DO69" t="e">
        <f>AND(#REF!,"AAAAAH/Wv3Y=")</f>
        <v>#REF!</v>
      </c>
      <c r="DP69" t="e">
        <f>AND(#REF!,"AAAAAH/Wv3c=")</f>
        <v>#REF!</v>
      </c>
      <c r="DQ69" t="e">
        <f>AND(#REF!,"AAAAAH/Wv3g=")</f>
        <v>#REF!</v>
      </c>
      <c r="DR69" t="e">
        <f>AND(#REF!,"AAAAAH/Wv3k=")</f>
        <v>#REF!</v>
      </c>
      <c r="DS69" t="e">
        <f>AND(#REF!,"AAAAAH/Wv3o=")</f>
        <v>#REF!</v>
      </c>
      <c r="DT69" t="e">
        <f>AND(#REF!,"AAAAAH/Wv3s=")</f>
        <v>#REF!</v>
      </c>
      <c r="DU69" t="e">
        <f>AND(#REF!,"AAAAAH/Wv3w=")</f>
        <v>#REF!</v>
      </c>
      <c r="DV69" t="e">
        <f>AND(#REF!,"AAAAAH/Wv30=")</f>
        <v>#REF!</v>
      </c>
      <c r="DW69" t="e">
        <f>AND(#REF!,"AAAAAH/Wv34=")</f>
        <v>#REF!</v>
      </c>
      <c r="DX69" t="e">
        <f>AND(#REF!,"AAAAAH/Wv38=")</f>
        <v>#REF!</v>
      </c>
      <c r="DY69" t="e">
        <f>AND(#REF!,"AAAAAH/Wv4A=")</f>
        <v>#REF!</v>
      </c>
      <c r="DZ69" t="e">
        <f>AND(#REF!,"AAAAAH/Wv4E=")</f>
        <v>#REF!</v>
      </c>
      <c r="EA69" t="e">
        <f>AND(#REF!,"AAAAAH/Wv4I=")</f>
        <v>#REF!</v>
      </c>
      <c r="EB69" t="e">
        <f>AND(#REF!,"AAAAAH/Wv4M=")</f>
        <v>#REF!</v>
      </c>
      <c r="EC69" t="e">
        <f>AND(#REF!,"AAAAAH/Wv4Q=")</f>
        <v>#REF!</v>
      </c>
      <c r="ED69" t="e">
        <f>AND(#REF!,"AAAAAH/Wv4U=")</f>
        <v>#REF!</v>
      </c>
      <c r="EE69" t="e">
        <f>AND(#REF!,"AAAAAH/Wv4Y=")</f>
        <v>#REF!</v>
      </c>
      <c r="EF69" t="e">
        <f>AND(#REF!,"AAAAAH/Wv4c=")</f>
        <v>#REF!</v>
      </c>
      <c r="EG69" t="e">
        <f>AND(#REF!,"AAAAAH/Wv4g=")</f>
        <v>#REF!</v>
      </c>
      <c r="EH69" t="e">
        <f>AND(#REF!,"AAAAAH/Wv4k=")</f>
        <v>#REF!</v>
      </c>
      <c r="EI69" t="e">
        <f>AND(#REF!,"AAAAAH/Wv4o=")</f>
        <v>#REF!</v>
      </c>
      <c r="EJ69" t="e">
        <f>AND(#REF!,"AAAAAH/Wv4s=")</f>
        <v>#REF!</v>
      </c>
      <c r="EK69" t="e">
        <f>AND(#REF!,"AAAAAH/Wv4w=")</f>
        <v>#REF!</v>
      </c>
      <c r="EL69" t="e">
        <f>AND(#REF!,"AAAAAH/Wv40=")</f>
        <v>#REF!</v>
      </c>
      <c r="EM69" t="e">
        <f>AND(#REF!,"AAAAAH/Wv44=")</f>
        <v>#REF!</v>
      </c>
      <c r="EN69" t="e">
        <f>AND(#REF!,"AAAAAH/Wv48=")</f>
        <v>#REF!</v>
      </c>
      <c r="EO69" t="e">
        <f>AND(#REF!,"AAAAAH/Wv5A=")</f>
        <v>#REF!</v>
      </c>
      <c r="EP69" t="e">
        <f>AND(#REF!,"AAAAAH/Wv5E=")</f>
        <v>#REF!</v>
      </c>
      <c r="EQ69" t="e">
        <f>AND(#REF!,"AAAAAH/Wv5I=")</f>
        <v>#REF!</v>
      </c>
      <c r="ER69" t="e">
        <f>AND(#REF!,"AAAAAH/Wv5M=")</f>
        <v>#REF!</v>
      </c>
      <c r="ES69" t="e">
        <f>AND(#REF!,"AAAAAH/Wv5Q=")</f>
        <v>#REF!</v>
      </c>
      <c r="ET69" t="e">
        <f>AND(#REF!,"AAAAAH/Wv5U=")</f>
        <v>#REF!</v>
      </c>
      <c r="EU69" t="e">
        <f>AND(#REF!,"AAAAAH/Wv5Y=")</f>
        <v>#REF!</v>
      </c>
      <c r="EV69" t="e">
        <f>AND(#REF!,"AAAAAH/Wv5c=")</f>
        <v>#REF!</v>
      </c>
      <c r="EW69" t="e">
        <f>AND(#REF!,"AAAAAH/Wv5g=")</f>
        <v>#REF!</v>
      </c>
      <c r="EX69" t="e">
        <f>AND(#REF!,"AAAAAH/Wv5k=")</f>
        <v>#REF!</v>
      </c>
      <c r="EY69" t="e">
        <f>AND(#REF!,"AAAAAH/Wv5o=")</f>
        <v>#REF!</v>
      </c>
      <c r="EZ69" t="e">
        <f>AND(#REF!,"AAAAAH/Wv5s=")</f>
        <v>#REF!</v>
      </c>
      <c r="FA69" t="e">
        <f>AND(#REF!,"AAAAAH/Wv5w=")</f>
        <v>#REF!</v>
      </c>
      <c r="FB69" t="e">
        <f>AND(#REF!,"AAAAAH/Wv50=")</f>
        <v>#REF!</v>
      </c>
      <c r="FC69" t="e">
        <f>AND(#REF!,"AAAAAH/Wv54=")</f>
        <v>#REF!</v>
      </c>
      <c r="FD69" t="e">
        <f>AND(#REF!,"AAAAAH/Wv58=")</f>
        <v>#REF!</v>
      </c>
      <c r="FE69" t="e">
        <f>AND(#REF!,"AAAAAH/Wv6A=")</f>
        <v>#REF!</v>
      </c>
      <c r="FF69" t="e">
        <f>AND(#REF!,"AAAAAH/Wv6E=")</f>
        <v>#REF!</v>
      </c>
      <c r="FG69" t="e">
        <f>AND(#REF!,"AAAAAH/Wv6I=")</f>
        <v>#REF!</v>
      </c>
      <c r="FH69" t="e">
        <f>AND(#REF!,"AAAAAH/Wv6M=")</f>
        <v>#REF!</v>
      </c>
      <c r="FI69" t="e">
        <f>AND(#REF!,"AAAAAH/Wv6Q=")</f>
        <v>#REF!</v>
      </c>
      <c r="FJ69" t="e">
        <f>AND(#REF!,"AAAAAH/Wv6U=")</f>
        <v>#REF!</v>
      </c>
      <c r="FK69" t="e">
        <f>AND(#REF!,"AAAAAH/Wv6Y=")</f>
        <v>#REF!</v>
      </c>
      <c r="FL69" t="e">
        <f>AND(#REF!,"AAAAAH/Wv6c=")</f>
        <v>#REF!</v>
      </c>
      <c r="FM69" t="e">
        <f>AND(#REF!,"AAAAAH/Wv6g=")</f>
        <v>#REF!</v>
      </c>
      <c r="FN69" t="e">
        <f>AND(#REF!,"AAAAAH/Wv6k=")</f>
        <v>#REF!</v>
      </c>
      <c r="FO69" t="e">
        <f>AND(#REF!,"AAAAAH/Wv6o=")</f>
        <v>#REF!</v>
      </c>
      <c r="FP69" t="e">
        <f>AND(#REF!,"AAAAAH/Wv6s=")</f>
        <v>#REF!</v>
      </c>
      <c r="FQ69" t="e">
        <f>AND(#REF!,"AAAAAH/Wv6w=")</f>
        <v>#REF!</v>
      </c>
      <c r="FR69" t="e">
        <f>AND(#REF!,"AAAAAH/Wv60=")</f>
        <v>#REF!</v>
      </c>
      <c r="FS69" t="e">
        <f>AND(#REF!,"AAAAAH/Wv64=")</f>
        <v>#REF!</v>
      </c>
      <c r="FT69" t="e">
        <f>AND(#REF!,"AAAAAH/Wv68=")</f>
        <v>#REF!</v>
      </c>
      <c r="FU69" t="e">
        <f>AND(#REF!,"AAAAAH/Wv7A=")</f>
        <v>#REF!</v>
      </c>
      <c r="FV69" t="e">
        <f>AND(#REF!,"AAAAAH/Wv7E=")</f>
        <v>#REF!</v>
      </c>
      <c r="FW69" t="e">
        <f>AND(#REF!,"AAAAAH/Wv7I=")</f>
        <v>#REF!</v>
      </c>
      <c r="FX69" t="e">
        <f>AND(#REF!,"AAAAAH/Wv7M=")</f>
        <v>#REF!</v>
      </c>
      <c r="FY69" t="e">
        <f>AND(#REF!,"AAAAAH/Wv7Q=")</f>
        <v>#REF!</v>
      </c>
      <c r="FZ69" t="e">
        <f>AND(#REF!,"AAAAAH/Wv7U=")</f>
        <v>#REF!</v>
      </c>
      <c r="GA69" t="e">
        <f>AND(#REF!,"AAAAAH/Wv7Y=")</f>
        <v>#REF!</v>
      </c>
      <c r="GB69" t="e">
        <f>AND(#REF!,"AAAAAH/Wv7c=")</f>
        <v>#REF!</v>
      </c>
      <c r="GC69" t="e">
        <f>AND(#REF!,"AAAAAH/Wv7g=")</f>
        <v>#REF!</v>
      </c>
      <c r="GD69" t="e">
        <f>AND(#REF!,"AAAAAH/Wv7k=")</f>
        <v>#REF!</v>
      </c>
      <c r="GE69" t="e">
        <f>AND(#REF!,"AAAAAH/Wv7o=")</f>
        <v>#REF!</v>
      </c>
      <c r="GF69" t="e">
        <f>AND(#REF!,"AAAAAH/Wv7s=")</f>
        <v>#REF!</v>
      </c>
      <c r="GG69" t="e">
        <f>AND(#REF!,"AAAAAH/Wv7w=")</f>
        <v>#REF!</v>
      </c>
      <c r="GH69" t="e">
        <f>AND(#REF!,"AAAAAH/Wv70=")</f>
        <v>#REF!</v>
      </c>
      <c r="GI69" t="e">
        <f>AND(#REF!,"AAAAAH/Wv74=")</f>
        <v>#REF!</v>
      </c>
      <c r="GJ69" t="e">
        <f>AND(#REF!,"AAAAAH/Wv78=")</f>
        <v>#REF!</v>
      </c>
      <c r="GK69" t="e">
        <f>AND(#REF!,"AAAAAH/Wv8A=")</f>
        <v>#REF!</v>
      </c>
      <c r="GL69" t="e">
        <f>AND(#REF!,"AAAAAH/Wv8E=")</f>
        <v>#REF!</v>
      </c>
      <c r="GM69" t="e">
        <f>AND(#REF!,"AAAAAH/Wv8I=")</f>
        <v>#REF!</v>
      </c>
      <c r="GN69" t="e">
        <f>AND(#REF!,"AAAAAH/Wv8M=")</f>
        <v>#REF!</v>
      </c>
      <c r="GO69" t="e">
        <f>AND(#REF!,"AAAAAH/Wv8Q=")</f>
        <v>#REF!</v>
      </c>
      <c r="GP69" t="e">
        <f>AND(#REF!,"AAAAAH/Wv8U=")</f>
        <v>#REF!</v>
      </c>
      <c r="GQ69" t="e">
        <f>AND(#REF!,"AAAAAH/Wv8Y=")</f>
        <v>#REF!</v>
      </c>
      <c r="GR69" t="e">
        <f>AND(#REF!,"AAAAAH/Wv8c=")</f>
        <v>#REF!</v>
      </c>
      <c r="GS69" t="e">
        <f>AND(#REF!,"AAAAAH/Wv8g=")</f>
        <v>#REF!</v>
      </c>
      <c r="GT69" t="e">
        <f>AND(#REF!,"AAAAAH/Wv8k=")</f>
        <v>#REF!</v>
      </c>
      <c r="GU69" t="e">
        <f>AND(#REF!,"AAAAAH/Wv8o=")</f>
        <v>#REF!</v>
      </c>
      <c r="GV69" t="e">
        <f>AND(#REF!,"AAAAAH/Wv8s=")</f>
        <v>#REF!</v>
      </c>
      <c r="GW69" t="e">
        <f>AND(#REF!,"AAAAAH/Wv8w=")</f>
        <v>#REF!</v>
      </c>
      <c r="GX69" t="e">
        <f>AND(#REF!,"AAAAAH/Wv80=")</f>
        <v>#REF!</v>
      </c>
      <c r="GY69" t="e">
        <f>AND(#REF!,"AAAAAH/Wv84=")</f>
        <v>#REF!</v>
      </c>
      <c r="GZ69" t="e">
        <f>AND(#REF!,"AAAAAH/Wv88=")</f>
        <v>#REF!</v>
      </c>
      <c r="HA69" t="e">
        <f>AND(#REF!,"AAAAAH/Wv9A=")</f>
        <v>#REF!</v>
      </c>
      <c r="HB69" t="e">
        <f>AND(#REF!,"AAAAAH/Wv9E=")</f>
        <v>#REF!</v>
      </c>
      <c r="HC69" t="e">
        <f>AND(#REF!,"AAAAAH/Wv9I=")</f>
        <v>#REF!</v>
      </c>
      <c r="HD69" t="e">
        <f>IF(#REF!,"AAAAAH/Wv9M=",0)</f>
        <v>#REF!</v>
      </c>
      <c r="HE69" t="e">
        <f>AND(#REF!,"AAAAAH/Wv9Q=")</f>
        <v>#REF!</v>
      </c>
      <c r="HF69" t="e">
        <f>AND(#REF!,"AAAAAH/Wv9U=")</f>
        <v>#REF!</v>
      </c>
      <c r="HG69" t="e">
        <f>AND(#REF!,"AAAAAH/Wv9Y=")</f>
        <v>#REF!</v>
      </c>
      <c r="HH69" t="e">
        <f>AND(#REF!,"AAAAAH/Wv9c=")</f>
        <v>#REF!</v>
      </c>
      <c r="HI69" t="e">
        <f>AND(#REF!,"AAAAAH/Wv9g=")</f>
        <v>#REF!</v>
      </c>
      <c r="HJ69" t="e">
        <f>AND(#REF!,"AAAAAH/Wv9k=")</f>
        <v>#REF!</v>
      </c>
      <c r="HK69" t="e">
        <f>AND(#REF!,"AAAAAH/Wv9o=")</f>
        <v>#REF!</v>
      </c>
      <c r="HL69" t="e">
        <f>AND(#REF!,"AAAAAH/Wv9s=")</f>
        <v>#REF!</v>
      </c>
      <c r="HM69" t="e">
        <f>AND(#REF!,"AAAAAH/Wv9w=")</f>
        <v>#REF!</v>
      </c>
      <c r="HN69" t="e">
        <f>AND(#REF!,"AAAAAH/Wv90=")</f>
        <v>#REF!</v>
      </c>
      <c r="HO69" t="e">
        <f>AND(#REF!,"AAAAAH/Wv94=")</f>
        <v>#REF!</v>
      </c>
      <c r="HP69" t="e">
        <f>AND(#REF!,"AAAAAH/Wv98=")</f>
        <v>#REF!</v>
      </c>
      <c r="HQ69" t="e">
        <f>AND(#REF!,"AAAAAH/Wv+A=")</f>
        <v>#REF!</v>
      </c>
      <c r="HR69" t="e">
        <f>AND(#REF!,"AAAAAH/Wv+E=")</f>
        <v>#REF!</v>
      </c>
      <c r="HS69" t="e">
        <f>AND(#REF!,"AAAAAH/Wv+I=")</f>
        <v>#REF!</v>
      </c>
      <c r="HT69" t="e">
        <f>AND(#REF!,"AAAAAH/Wv+M=")</f>
        <v>#REF!</v>
      </c>
      <c r="HU69" t="e">
        <f>AND(#REF!,"AAAAAH/Wv+Q=")</f>
        <v>#REF!</v>
      </c>
      <c r="HV69" t="e">
        <f>AND(#REF!,"AAAAAH/Wv+U=")</f>
        <v>#REF!</v>
      </c>
      <c r="HW69" t="e">
        <f>AND(#REF!,"AAAAAH/Wv+Y=")</f>
        <v>#REF!</v>
      </c>
      <c r="HX69" t="e">
        <f>AND(#REF!,"AAAAAH/Wv+c=")</f>
        <v>#REF!</v>
      </c>
      <c r="HY69" t="e">
        <f>AND(#REF!,"AAAAAH/Wv+g=")</f>
        <v>#REF!</v>
      </c>
      <c r="HZ69" t="e">
        <f>AND(#REF!,"AAAAAH/Wv+k=")</f>
        <v>#REF!</v>
      </c>
      <c r="IA69" t="e">
        <f>AND(#REF!,"AAAAAH/Wv+o=")</f>
        <v>#REF!</v>
      </c>
      <c r="IB69" t="e">
        <f>AND(#REF!,"AAAAAH/Wv+s=")</f>
        <v>#REF!</v>
      </c>
      <c r="IC69" t="e">
        <f>AND(#REF!,"AAAAAH/Wv+w=")</f>
        <v>#REF!</v>
      </c>
      <c r="ID69" t="e">
        <f>AND(#REF!,"AAAAAH/Wv+0=")</f>
        <v>#REF!</v>
      </c>
      <c r="IE69" t="e">
        <f>AND(#REF!,"AAAAAH/Wv+4=")</f>
        <v>#REF!</v>
      </c>
      <c r="IF69" t="e">
        <f>AND(#REF!,"AAAAAH/Wv+8=")</f>
        <v>#REF!</v>
      </c>
      <c r="IG69" t="e">
        <f>AND(#REF!,"AAAAAH/Wv/A=")</f>
        <v>#REF!</v>
      </c>
      <c r="IH69" t="e">
        <f>AND(#REF!,"AAAAAH/Wv/E=")</f>
        <v>#REF!</v>
      </c>
      <c r="II69" t="e">
        <f>AND(#REF!,"AAAAAH/Wv/I=")</f>
        <v>#REF!</v>
      </c>
      <c r="IJ69" t="e">
        <f>AND(#REF!,"AAAAAH/Wv/M=")</f>
        <v>#REF!</v>
      </c>
      <c r="IK69" t="e">
        <f>AND(#REF!,"AAAAAH/Wv/Q=")</f>
        <v>#REF!</v>
      </c>
      <c r="IL69" t="e">
        <f>AND(#REF!,"AAAAAH/Wv/U=")</f>
        <v>#REF!</v>
      </c>
      <c r="IM69" t="e">
        <f>AND(#REF!,"AAAAAH/Wv/Y=")</f>
        <v>#REF!</v>
      </c>
      <c r="IN69" t="e">
        <f>AND(#REF!,"AAAAAH/Wv/c=")</f>
        <v>#REF!</v>
      </c>
      <c r="IO69" t="e">
        <f>AND(#REF!,"AAAAAH/Wv/g=")</f>
        <v>#REF!</v>
      </c>
      <c r="IP69" t="e">
        <f>AND(#REF!,"AAAAAH/Wv/k=")</f>
        <v>#REF!</v>
      </c>
      <c r="IQ69" t="e">
        <f>AND(#REF!,"AAAAAH/Wv/o=")</f>
        <v>#REF!</v>
      </c>
      <c r="IR69" t="e">
        <f>AND(#REF!,"AAAAAH/Wv/s=")</f>
        <v>#REF!</v>
      </c>
      <c r="IS69" t="e">
        <f>AND(#REF!,"AAAAAH/Wv/w=")</f>
        <v>#REF!</v>
      </c>
      <c r="IT69" t="e">
        <f>AND(#REF!,"AAAAAH/Wv/0=")</f>
        <v>#REF!</v>
      </c>
      <c r="IU69" t="e">
        <f>AND(#REF!,"AAAAAH/Wv/4=")</f>
        <v>#REF!</v>
      </c>
      <c r="IV69" t="e">
        <f>AND(#REF!,"AAAAAH/Wv/8=")</f>
        <v>#REF!</v>
      </c>
    </row>
    <row r="70" spans="1:256" x14ac:dyDescent="0.25">
      <c r="A70" t="e">
        <f>AND(#REF!,"AAAAAHO56wA=")</f>
        <v>#REF!</v>
      </c>
      <c r="B70" t="e">
        <f>AND(#REF!,"AAAAAHO56wE=")</f>
        <v>#REF!</v>
      </c>
      <c r="C70" t="e">
        <f>AND(#REF!,"AAAAAHO56wI=")</f>
        <v>#REF!</v>
      </c>
      <c r="D70" t="e">
        <f>AND(#REF!,"AAAAAHO56wM=")</f>
        <v>#REF!</v>
      </c>
      <c r="E70" t="e">
        <f>AND(#REF!,"AAAAAHO56wQ=")</f>
        <v>#REF!</v>
      </c>
      <c r="F70" t="e">
        <f>AND(#REF!,"AAAAAHO56wU=")</f>
        <v>#REF!</v>
      </c>
      <c r="G70" t="e">
        <f>AND(#REF!,"AAAAAHO56wY=")</f>
        <v>#REF!</v>
      </c>
      <c r="H70" t="e">
        <f>AND(#REF!,"AAAAAHO56wc=")</f>
        <v>#REF!</v>
      </c>
      <c r="I70" t="e">
        <f>AND(#REF!,"AAAAAHO56wg=")</f>
        <v>#REF!</v>
      </c>
      <c r="J70" t="e">
        <f>AND(#REF!,"AAAAAHO56wk=")</f>
        <v>#REF!</v>
      </c>
      <c r="K70" t="e">
        <f>AND(#REF!,"AAAAAHO56wo=")</f>
        <v>#REF!</v>
      </c>
      <c r="L70" t="e">
        <f>AND(#REF!,"AAAAAHO56ws=")</f>
        <v>#REF!</v>
      </c>
      <c r="M70" t="e">
        <f>AND(#REF!,"AAAAAHO56ww=")</f>
        <v>#REF!</v>
      </c>
      <c r="N70" t="e">
        <f>AND(#REF!,"AAAAAHO56w0=")</f>
        <v>#REF!</v>
      </c>
      <c r="O70" t="e">
        <f>AND(#REF!,"AAAAAHO56w4=")</f>
        <v>#REF!</v>
      </c>
      <c r="P70" t="e">
        <f>AND(#REF!,"AAAAAHO56w8=")</f>
        <v>#REF!</v>
      </c>
      <c r="Q70" t="e">
        <f>AND(#REF!,"AAAAAHO56xA=")</f>
        <v>#REF!</v>
      </c>
      <c r="R70" t="e">
        <f>AND(#REF!,"AAAAAHO56xE=")</f>
        <v>#REF!</v>
      </c>
      <c r="S70" t="e">
        <f>AND(#REF!,"AAAAAHO56xI=")</f>
        <v>#REF!</v>
      </c>
      <c r="T70" t="e">
        <f>AND(#REF!,"AAAAAHO56xM=")</f>
        <v>#REF!</v>
      </c>
      <c r="U70" t="e">
        <f>AND(#REF!,"AAAAAHO56xQ=")</f>
        <v>#REF!</v>
      </c>
      <c r="V70" t="e">
        <f>AND(#REF!,"AAAAAHO56xU=")</f>
        <v>#REF!</v>
      </c>
      <c r="W70" t="e">
        <f>AND(#REF!,"AAAAAHO56xY=")</f>
        <v>#REF!</v>
      </c>
      <c r="X70" t="e">
        <f>AND(#REF!,"AAAAAHO56xc=")</f>
        <v>#REF!</v>
      </c>
      <c r="Y70" t="e">
        <f>AND(#REF!,"AAAAAHO56xg=")</f>
        <v>#REF!</v>
      </c>
      <c r="Z70" t="e">
        <f>AND(#REF!,"AAAAAHO56xk=")</f>
        <v>#REF!</v>
      </c>
      <c r="AA70" t="e">
        <f>AND(#REF!,"AAAAAHO56xo=")</f>
        <v>#REF!</v>
      </c>
      <c r="AB70" t="e">
        <f>AND(#REF!,"AAAAAHO56xs=")</f>
        <v>#REF!</v>
      </c>
      <c r="AC70" t="e">
        <f>AND(#REF!,"AAAAAHO56xw=")</f>
        <v>#REF!</v>
      </c>
      <c r="AD70" t="e">
        <f>AND(#REF!,"AAAAAHO56x0=")</f>
        <v>#REF!</v>
      </c>
      <c r="AE70" t="e">
        <f>AND(#REF!,"AAAAAHO56x4=")</f>
        <v>#REF!</v>
      </c>
      <c r="AF70" t="e">
        <f>AND(#REF!,"AAAAAHO56x8=")</f>
        <v>#REF!</v>
      </c>
      <c r="AG70" t="e">
        <f>AND(#REF!,"AAAAAHO56yA=")</f>
        <v>#REF!</v>
      </c>
      <c r="AH70" t="e">
        <f>AND(#REF!,"AAAAAHO56yE=")</f>
        <v>#REF!</v>
      </c>
      <c r="AI70" t="e">
        <f>AND(#REF!,"AAAAAHO56yI=")</f>
        <v>#REF!</v>
      </c>
      <c r="AJ70" t="e">
        <f>AND(#REF!,"AAAAAHO56yM=")</f>
        <v>#REF!</v>
      </c>
      <c r="AK70" t="e">
        <f>AND(#REF!,"AAAAAHO56yQ=")</f>
        <v>#REF!</v>
      </c>
      <c r="AL70" t="e">
        <f>AND(#REF!,"AAAAAHO56yU=")</f>
        <v>#REF!</v>
      </c>
      <c r="AM70" t="e">
        <f>AND(#REF!,"AAAAAHO56yY=")</f>
        <v>#REF!</v>
      </c>
      <c r="AN70" t="e">
        <f>AND(#REF!,"AAAAAHO56yc=")</f>
        <v>#REF!</v>
      </c>
      <c r="AO70" t="e">
        <f>AND(#REF!,"AAAAAHO56yg=")</f>
        <v>#REF!</v>
      </c>
      <c r="AP70" t="e">
        <f>AND(#REF!,"AAAAAHO56yk=")</f>
        <v>#REF!</v>
      </c>
      <c r="AQ70" t="e">
        <f>AND(#REF!,"AAAAAHO56yo=")</f>
        <v>#REF!</v>
      </c>
      <c r="AR70" t="e">
        <f>AND(#REF!,"AAAAAHO56ys=")</f>
        <v>#REF!</v>
      </c>
      <c r="AS70" t="e">
        <f>AND(#REF!,"AAAAAHO56yw=")</f>
        <v>#REF!</v>
      </c>
      <c r="AT70" t="e">
        <f>AND(#REF!,"AAAAAHO56y0=")</f>
        <v>#REF!</v>
      </c>
      <c r="AU70" t="e">
        <f>AND(#REF!,"AAAAAHO56y4=")</f>
        <v>#REF!</v>
      </c>
      <c r="AV70" t="e">
        <f>AND(#REF!,"AAAAAHO56y8=")</f>
        <v>#REF!</v>
      </c>
      <c r="AW70" t="e">
        <f>AND(#REF!,"AAAAAHO56zA=")</f>
        <v>#REF!</v>
      </c>
      <c r="AX70" t="e">
        <f>AND(#REF!,"AAAAAHO56zE=")</f>
        <v>#REF!</v>
      </c>
      <c r="AY70" t="e">
        <f>AND(#REF!,"AAAAAHO56zI=")</f>
        <v>#REF!</v>
      </c>
      <c r="AZ70" t="e">
        <f>AND(#REF!,"AAAAAHO56zM=")</f>
        <v>#REF!</v>
      </c>
      <c r="BA70" t="e">
        <f>AND(#REF!,"AAAAAHO56zQ=")</f>
        <v>#REF!</v>
      </c>
      <c r="BB70" t="e">
        <f>AND(#REF!,"AAAAAHO56zU=")</f>
        <v>#REF!</v>
      </c>
      <c r="BC70" t="e">
        <f>AND(#REF!,"AAAAAHO56zY=")</f>
        <v>#REF!</v>
      </c>
      <c r="BD70" t="e">
        <f>AND(#REF!,"AAAAAHO56zc=")</f>
        <v>#REF!</v>
      </c>
      <c r="BE70" t="e">
        <f>AND(#REF!,"AAAAAHO56zg=")</f>
        <v>#REF!</v>
      </c>
      <c r="BF70" t="e">
        <f>AND(#REF!,"AAAAAHO56zk=")</f>
        <v>#REF!</v>
      </c>
      <c r="BG70" t="e">
        <f>AND(#REF!,"AAAAAHO56zo=")</f>
        <v>#REF!</v>
      </c>
      <c r="BH70" t="e">
        <f>AND(#REF!,"AAAAAHO56zs=")</f>
        <v>#REF!</v>
      </c>
      <c r="BI70" t="e">
        <f>AND(#REF!,"AAAAAHO56zw=")</f>
        <v>#REF!</v>
      </c>
      <c r="BJ70" t="e">
        <f>AND(#REF!,"AAAAAHO56z0=")</f>
        <v>#REF!</v>
      </c>
      <c r="BK70" t="e">
        <f>AND(#REF!,"AAAAAHO56z4=")</f>
        <v>#REF!</v>
      </c>
      <c r="BL70" t="e">
        <f>AND(#REF!,"AAAAAHO56z8=")</f>
        <v>#REF!</v>
      </c>
      <c r="BM70" t="e">
        <f>AND(#REF!,"AAAAAHO560A=")</f>
        <v>#REF!</v>
      </c>
      <c r="BN70" t="e">
        <f>AND(#REF!,"AAAAAHO560E=")</f>
        <v>#REF!</v>
      </c>
      <c r="BO70" t="e">
        <f>AND(#REF!,"AAAAAHO560I=")</f>
        <v>#REF!</v>
      </c>
      <c r="BP70" t="e">
        <f>AND(#REF!,"AAAAAHO560M=")</f>
        <v>#REF!</v>
      </c>
      <c r="BQ70" t="e">
        <f>AND(#REF!,"AAAAAHO560Q=")</f>
        <v>#REF!</v>
      </c>
      <c r="BR70" t="e">
        <f>AND(#REF!,"AAAAAHO560U=")</f>
        <v>#REF!</v>
      </c>
      <c r="BS70" t="e">
        <f>AND(#REF!,"AAAAAHO560Y=")</f>
        <v>#REF!</v>
      </c>
      <c r="BT70" t="e">
        <f>AND(#REF!,"AAAAAHO560c=")</f>
        <v>#REF!</v>
      </c>
      <c r="BU70" t="e">
        <f>AND(#REF!,"AAAAAHO560g=")</f>
        <v>#REF!</v>
      </c>
      <c r="BV70" t="e">
        <f>AND(#REF!,"AAAAAHO560k=")</f>
        <v>#REF!</v>
      </c>
      <c r="BW70" t="e">
        <f>AND(#REF!,"AAAAAHO560o=")</f>
        <v>#REF!</v>
      </c>
      <c r="BX70" t="e">
        <f>AND(#REF!,"AAAAAHO560s=")</f>
        <v>#REF!</v>
      </c>
      <c r="BY70" t="e">
        <f>AND(#REF!,"AAAAAHO560w=")</f>
        <v>#REF!</v>
      </c>
      <c r="BZ70" t="e">
        <f>AND(#REF!,"AAAAAHO5600=")</f>
        <v>#REF!</v>
      </c>
      <c r="CA70" t="e">
        <f>AND(#REF!,"AAAAAHO5604=")</f>
        <v>#REF!</v>
      </c>
      <c r="CB70" t="e">
        <f>AND(#REF!,"AAAAAHO5608=")</f>
        <v>#REF!</v>
      </c>
      <c r="CC70" t="e">
        <f>AND(#REF!,"AAAAAHO561A=")</f>
        <v>#REF!</v>
      </c>
      <c r="CD70" t="e">
        <f>AND(#REF!,"AAAAAHO561E=")</f>
        <v>#REF!</v>
      </c>
      <c r="CE70" t="e">
        <f>AND(#REF!,"AAAAAHO561I=")</f>
        <v>#REF!</v>
      </c>
      <c r="CF70" t="e">
        <f>AND(#REF!,"AAAAAHO561M=")</f>
        <v>#REF!</v>
      </c>
      <c r="CG70" t="e">
        <f>AND(#REF!,"AAAAAHO561Q=")</f>
        <v>#REF!</v>
      </c>
      <c r="CH70" t="e">
        <f>AND(#REF!,"AAAAAHO561U=")</f>
        <v>#REF!</v>
      </c>
      <c r="CI70" t="e">
        <f>AND(#REF!,"AAAAAHO561Y=")</f>
        <v>#REF!</v>
      </c>
      <c r="CJ70" t="e">
        <f>AND(#REF!,"AAAAAHO561c=")</f>
        <v>#REF!</v>
      </c>
      <c r="CK70" t="e">
        <f>AND(#REF!,"AAAAAHO561g=")</f>
        <v>#REF!</v>
      </c>
      <c r="CL70" t="e">
        <f>AND(#REF!,"AAAAAHO561k=")</f>
        <v>#REF!</v>
      </c>
      <c r="CM70" t="e">
        <f>AND(#REF!,"AAAAAHO561o=")</f>
        <v>#REF!</v>
      </c>
      <c r="CN70" t="e">
        <f>AND(#REF!,"AAAAAHO561s=")</f>
        <v>#REF!</v>
      </c>
      <c r="CO70" t="e">
        <f>AND(#REF!,"AAAAAHO561w=")</f>
        <v>#REF!</v>
      </c>
      <c r="CP70" t="e">
        <f>AND(#REF!,"AAAAAHO5610=")</f>
        <v>#REF!</v>
      </c>
      <c r="CQ70" t="e">
        <f>AND(#REF!,"AAAAAHO5614=")</f>
        <v>#REF!</v>
      </c>
      <c r="CR70" t="e">
        <f>AND(#REF!,"AAAAAHO5618=")</f>
        <v>#REF!</v>
      </c>
      <c r="CS70" t="e">
        <f>AND(#REF!,"AAAAAHO562A=")</f>
        <v>#REF!</v>
      </c>
      <c r="CT70" t="e">
        <f>AND(#REF!,"AAAAAHO562E=")</f>
        <v>#REF!</v>
      </c>
      <c r="CU70" t="e">
        <f>AND(#REF!,"AAAAAHO562I=")</f>
        <v>#REF!</v>
      </c>
      <c r="CV70" t="e">
        <f>AND(#REF!,"AAAAAHO562M=")</f>
        <v>#REF!</v>
      </c>
      <c r="CW70" t="e">
        <f>AND(#REF!,"AAAAAHO562Q=")</f>
        <v>#REF!</v>
      </c>
      <c r="CX70" t="e">
        <f>AND(#REF!,"AAAAAHO562U=")</f>
        <v>#REF!</v>
      </c>
      <c r="CY70" t="e">
        <f>AND(#REF!,"AAAAAHO562Y=")</f>
        <v>#REF!</v>
      </c>
      <c r="CZ70" t="e">
        <f>AND(#REF!,"AAAAAHO562c=")</f>
        <v>#REF!</v>
      </c>
      <c r="DA70" t="e">
        <f>AND(#REF!,"AAAAAHO562g=")</f>
        <v>#REF!</v>
      </c>
      <c r="DB70" t="e">
        <f>AND(#REF!,"AAAAAHO562k=")</f>
        <v>#REF!</v>
      </c>
      <c r="DC70" t="e">
        <f>AND(#REF!,"AAAAAHO562o=")</f>
        <v>#REF!</v>
      </c>
      <c r="DD70" t="e">
        <f>AND(#REF!,"AAAAAHO562s=")</f>
        <v>#REF!</v>
      </c>
      <c r="DE70" t="e">
        <f>AND(#REF!,"AAAAAHO562w=")</f>
        <v>#REF!</v>
      </c>
      <c r="DF70" t="e">
        <f>AND(#REF!,"AAAAAHO5620=")</f>
        <v>#REF!</v>
      </c>
      <c r="DG70" t="e">
        <f>AND(#REF!,"AAAAAHO5624=")</f>
        <v>#REF!</v>
      </c>
      <c r="DH70" t="e">
        <f>AND(#REF!,"AAAAAHO5628=")</f>
        <v>#REF!</v>
      </c>
      <c r="DI70" t="e">
        <f>AND(#REF!,"AAAAAHO563A=")</f>
        <v>#REF!</v>
      </c>
      <c r="DJ70" t="e">
        <f>AND(#REF!,"AAAAAHO563E=")</f>
        <v>#REF!</v>
      </c>
      <c r="DK70" t="e">
        <f>AND(#REF!,"AAAAAHO563I=")</f>
        <v>#REF!</v>
      </c>
      <c r="DL70" t="e">
        <f>AND(#REF!,"AAAAAHO563M=")</f>
        <v>#REF!</v>
      </c>
      <c r="DM70" t="e">
        <f>AND(#REF!,"AAAAAHO563Q=")</f>
        <v>#REF!</v>
      </c>
      <c r="DN70" t="e">
        <f>AND(#REF!,"AAAAAHO563U=")</f>
        <v>#REF!</v>
      </c>
      <c r="DO70" t="e">
        <f>AND(#REF!,"AAAAAHO563Y=")</f>
        <v>#REF!</v>
      </c>
      <c r="DP70" t="e">
        <f>AND(#REF!,"AAAAAHO563c=")</f>
        <v>#REF!</v>
      </c>
      <c r="DQ70" t="e">
        <f>AND(#REF!,"AAAAAHO563g=")</f>
        <v>#REF!</v>
      </c>
      <c r="DR70" t="e">
        <f>AND(#REF!,"AAAAAHO563k=")</f>
        <v>#REF!</v>
      </c>
      <c r="DS70" t="e">
        <f>AND(#REF!,"AAAAAHO563o=")</f>
        <v>#REF!</v>
      </c>
      <c r="DT70" t="e">
        <f>AND(#REF!,"AAAAAHO563s=")</f>
        <v>#REF!</v>
      </c>
      <c r="DU70" t="e">
        <f>AND(#REF!,"AAAAAHO563w=")</f>
        <v>#REF!</v>
      </c>
      <c r="DV70" t="e">
        <f>AND(#REF!,"AAAAAHO5630=")</f>
        <v>#REF!</v>
      </c>
      <c r="DW70" t="e">
        <f>AND(#REF!,"AAAAAHO5634=")</f>
        <v>#REF!</v>
      </c>
      <c r="DX70" t="e">
        <f>AND(#REF!,"AAAAAHO5638=")</f>
        <v>#REF!</v>
      </c>
      <c r="DY70" t="e">
        <f>AND(#REF!,"AAAAAHO564A=")</f>
        <v>#REF!</v>
      </c>
      <c r="DZ70" t="e">
        <f>AND(#REF!,"AAAAAHO564E=")</f>
        <v>#REF!</v>
      </c>
      <c r="EA70" t="e">
        <f>AND(#REF!,"AAAAAHO564I=")</f>
        <v>#REF!</v>
      </c>
      <c r="EB70" t="e">
        <f>AND(#REF!,"AAAAAHO564M=")</f>
        <v>#REF!</v>
      </c>
      <c r="EC70" t="e">
        <f>AND(#REF!,"AAAAAHO564Q=")</f>
        <v>#REF!</v>
      </c>
      <c r="ED70" t="e">
        <f>IF(#REF!,"AAAAAHO564U=",0)</f>
        <v>#REF!</v>
      </c>
      <c r="EE70" t="e">
        <f>AND(#REF!,"AAAAAHO564Y=")</f>
        <v>#REF!</v>
      </c>
      <c r="EF70" t="e">
        <f>AND(#REF!,"AAAAAHO564c=")</f>
        <v>#REF!</v>
      </c>
      <c r="EG70" t="e">
        <f>AND(#REF!,"AAAAAHO564g=")</f>
        <v>#REF!</v>
      </c>
      <c r="EH70" t="e">
        <f>AND(#REF!,"AAAAAHO564k=")</f>
        <v>#REF!</v>
      </c>
      <c r="EI70" t="e">
        <f>AND(#REF!,"AAAAAHO564o=")</f>
        <v>#REF!</v>
      </c>
      <c r="EJ70" t="e">
        <f>AND(#REF!,"AAAAAHO564s=")</f>
        <v>#REF!</v>
      </c>
      <c r="EK70" t="e">
        <f>AND(#REF!,"AAAAAHO564w=")</f>
        <v>#REF!</v>
      </c>
      <c r="EL70" t="e">
        <f>AND(#REF!,"AAAAAHO5640=")</f>
        <v>#REF!</v>
      </c>
      <c r="EM70" t="e">
        <f>AND(#REF!,"AAAAAHO5644=")</f>
        <v>#REF!</v>
      </c>
      <c r="EN70" t="e">
        <f>AND(#REF!,"AAAAAHO5648=")</f>
        <v>#REF!</v>
      </c>
      <c r="EO70" t="e">
        <f>AND(#REF!,"AAAAAHO565A=")</f>
        <v>#REF!</v>
      </c>
      <c r="EP70" t="e">
        <f>AND(#REF!,"AAAAAHO565E=")</f>
        <v>#REF!</v>
      </c>
      <c r="EQ70" t="e">
        <f>AND(#REF!,"AAAAAHO565I=")</f>
        <v>#REF!</v>
      </c>
      <c r="ER70" t="e">
        <f>AND(#REF!,"AAAAAHO565M=")</f>
        <v>#REF!</v>
      </c>
      <c r="ES70" t="e">
        <f>AND(#REF!,"AAAAAHO565Q=")</f>
        <v>#REF!</v>
      </c>
      <c r="ET70" t="e">
        <f>AND(#REF!,"AAAAAHO565U=")</f>
        <v>#REF!</v>
      </c>
      <c r="EU70" t="e">
        <f>AND(#REF!,"AAAAAHO565Y=")</f>
        <v>#REF!</v>
      </c>
      <c r="EV70" t="e">
        <f>AND(#REF!,"AAAAAHO565c=")</f>
        <v>#REF!</v>
      </c>
      <c r="EW70" t="e">
        <f>AND(#REF!,"AAAAAHO565g=")</f>
        <v>#REF!</v>
      </c>
      <c r="EX70" t="e">
        <f>AND(#REF!,"AAAAAHO565k=")</f>
        <v>#REF!</v>
      </c>
      <c r="EY70" t="e">
        <f>AND(#REF!,"AAAAAHO565o=")</f>
        <v>#REF!</v>
      </c>
      <c r="EZ70" t="e">
        <f>AND(#REF!,"AAAAAHO565s=")</f>
        <v>#REF!</v>
      </c>
      <c r="FA70" t="e">
        <f>AND(#REF!,"AAAAAHO565w=")</f>
        <v>#REF!</v>
      </c>
      <c r="FB70" t="e">
        <f>AND(#REF!,"AAAAAHO5650=")</f>
        <v>#REF!</v>
      </c>
      <c r="FC70" t="e">
        <f>AND(#REF!,"AAAAAHO5654=")</f>
        <v>#REF!</v>
      </c>
      <c r="FD70" t="e">
        <f>AND(#REF!,"AAAAAHO5658=")</f>
        <v>#REF!</v>
      </c>
      <c r="FE70" t="e">
        <f>AND(#REF!,"AAAAAHO566A=")</f>
        <v>#REF!</v>
      </c>
      <c r="FF70" t="e">
        <f>AND(#REF!,"AAAAAHO566E=")</f>
        <v>#REF!</v>
      </c>
      <c r="FG70" t="e">
        <f>AND(#REF!,"AAAAAHO566I=")</f>
        <v>#REF!</v>
      </c>
      <c r="FH70" t="e">
        <f>AND(#REF!,"AAAAAHO566M=")</f>
        <v>#REF!</v>
      </c>
      <c r="FI70" t="e">
        <f>AND(#REF!,"AAAAAHO566Q=")</f>
        <v>#REF!</v>
      </c>
      <c r="FJ70" t="e">
        <f>AND(#REF!,"AAAAAHO566U=")</f>
        <v>#REF!</v>
      </c>
      <c r="FK70" t="e">
        <f>AND(#REF!,"AAAAAHO566Y=")</f>
        <v>#REF!</v>
      </c>
      <c r="FL70" t="e">
        <f>AND(#REF!,"AAAAAHO566c=")</f>
        <v>#REF!</v>
      </c>
      <c r="FM70" t="e">
        <f>AND(#REF!,"AAAAAHO566g=")</f>
        <v>#REF!</v>
      </c>
      <c r="FN70" t="e">
        <f>AND(#REF!,"AAAAAHO566k=")</f>
        <v>#REF!</v>
      </c>
      <c r="FO70" t="e">
        <f>AND(#REF!,"AAAAAHO566o=")</f>
        <v>#REF!</v>
      </c>
      <c r="FP70" t="e">
        <f>AND(#REF!,"AAAAAHO566s=")</f>
        <v>#REF!</v>
      </c>
      <c r="FQ70" t="e">
        <f>AND(#REF!,"AAAAAHO566w=")</f>
        <v>#REF!</v>
      </c>
      <c r="FR70" t="e">
        <f>AND(#REF!,"AAAAAHO5660=")</f>
        <v>#REF!</v>
      </c>
      <c r="FS70" t="e">
        <f>AND(#REF!,"AAAAAHO5664=")</f>
        <v>#REF!</v>
      </c>
      <c r="FT70" t="e">
        <f>AND(#REF!,"AAAAAHO5668=")</f>
        <v>#REF!</v>
      </c>
      <c r="FU70" t="e">
        <f>AND(#REF!,"AAAAAHO567A=")</f>
        <v>#REF!</v>
      </c>
      <c r="FV70" t="e">
        <f>AND(#REF!,"AAAAAHO567E=")</f>
        <v>#REF!</v>
      </c>
      <c r="FW70" t="e">
        <f>AND(#REF!,"AAAAAHO567I=")</f>
        <v>#REF!</v>
      </c>
      <c r="FX70" t="e">
        <f>AND(#REF!,"AAAAAHO567M=")</f>
        <v>#REF!</v>
      </c>
      <c r="FY70" t="e">
        <f>AND(#REF!,"AAAAAHO567Q=")</f>
        <v>#REF!</v>
      </c>
      <c r="FZ70" t="e">
        <f>AND(#REF!,"AAAAAHO567U=")</f>
        <v>#REF!</v>
      </c>
      <c r="GA70" t="e">
        <f>AND(#REF!,"AAAAAHO567Y=")</f>
        <v>#REF!</v>
      </c>
      <c r="GB70" t="e">
        <f>AND(#REF!,"AAAAAHO567c=")</f>
        <v>#REF!</v>
      </c>
      <c r="GC70" t="e">
        <f>AND(#REF!,"AAAAAHO567g=")</f>
        <v>#REF!</v>
      </c>
      <c r="GD70" t="e">
        <f>AND(#REF!,"AAAAAHO567k=")</f>
        <v>#REF!</v>
      </c>
      <c r="GE70" t="e">
        <f>AND(#REF!,"AAAAAHO567o=")</f>
        <v>#REF!</v>
      </c>
      <c r="GF70" t="e">
        <f>AND(#REF!,"AAAAAHO567s=")</f>
        <v>#REF!</v>
      </c>
      <c r="GG70" t="e">
        <f>AND(#REF!,"AAAAAHO567w=")</f>
        <v>#REF!</v>
      </c>
      <c r="GH70" t="e">
        <f>AND(#REF!,"AAAAAHO5670=")</f>
        <v>#REF!</v>
      </c>
      <c r="GI70" t="e">
        <f>AND(#REF!,"AAAAAHO5674=")</f>
        <v>#REF!</v>
      </c>
      <c r="GJ70" t="e">
        <f>AND(#REF!,"AAAAAHO5678=")</f>
        <v>#REF!</v>
      </c>
      <c r="GK70" t="e">
        <f>AND(#REF!,"AAAAAHO568A=")</f>
        <v>#REF!</v>
      </c>
      <c r="GL70" t="e">
        <f>AND(#REF!,"AAAAAHO568E=")</f>
        <v>#REF!</v>
      </c>
      <c r="GM70" t="e">
        <f>AND(#REF!,"AAAAAHO568I=")</f>
        <v>#REF!</v>
      </c>
      <c r="GN70" t="e">
        <f>AND(#REF!,"AAAAAHO568M=")</f>
        <v>#REF!</v>
      </c>
      <c r="GO70" t="e">
        <f>AND(#REF!,"AAAAAHO568Q=")</f>
        <v>#REF!</v>
      </c>
      <c r="GP70" t="e">
        <f>AND(#REF!,"AAAAAHO568U=")</f>
        <v>#REF!</v>
      </c>
      <c r="GQ70" t="e">
        <f>AND(#REF!,"AAAAAHO568Y=")</f>
        <v>#REF!</v>
      </c>
      <c r="GR70" t="e">
        <f>AND(#REF!,"AAAAAHO568c=")</f>
        <v>#REF!</v>
      </c>
      <c r="GS70" t="e">
        <f>AND(#REF!,"AAAAAHO568g=")</f>
        <v>#REF!</v>
      </c>
      <c r="GT70" t="e">
        <f>AND(#REF!,"AAAAAHO568k=")</f>
        <v>#REF!</v>
      </c>
      <c r="GU70" t="e">
        <f>AND(#REF!,"AAAAAHO568o=")</f>
        <v>#REF!</v>
      </c>
      <c r="GV70" t="e">
        <f>AND(#REF!,"AAAAAHO568s=")</f>
        <v>#REF!</v>
      </c>
      <c r="GW70" t="e">
        <f>AND(#REF!,"AAAAAHO568w=")</f>
        <v>#REF!</v>
      </c>
      <c r="GX70" t="e">
        <f>AND(#REF!,"AAAAAHO5680=")</f>
        <v>#REF!</v>
      </c>
      <c r="GY70" t="e">
        <f>AND(#REF!,"AAAAAHO5684=")</f>
        <v>#REF!</v>
      </c>
      <c r="GZ70" t="e">
        <f>AND(#REF!,"AAAAAHO5688=")</f>
        <v>#REF!</v>
      </c>
      <c r="HA70" t="e">
        <f>AND(#REF!,"AAAAAHO569A=")</f>
        <v>#REF!</v>
      </c>
      <c r="HB70" t="e">
        <f>AND(#REF!,"AAAAAHO569E=")</f>
        <v>#REF!</v>
      </c>
      <c r="HC70" t="e">
        <f>AND(#REF!,"AAAAAHO569I=")</f>
        <v>#REF!</v>
      </c>
      <c r="HD70" t="e">
        <f>AND(#REF!,"AAAAAHO569M=")</f>
        <v>#REF!</v>
      </c>
      <c r="HE70" t="e">
        <f>AND(#REF!,"AAAAAHO569Q=")</f>
        <v>#REF!</v>
      </c>
      <c r="HF70" t="e">
        <f>AND(#REF!,"AAAAAHO569U=")</f>
        <v>#REF!</v>
      </c>
      <c r="HG70" t="e">
        <f>AND(#REF!,"AAAAAHO569Y=")</f>
        <v>#REF!</v>
      </c>
      <c r="HH70" t="e">
        <f>AND(#REF!,"AAAAAHO569c=")</f>
        <v>#REF!</v>
      </c>
      <c r="HI70" t="e">
        <f>AND(#REF!,"AAAAAHO569g=")</f>
        <v>#REF!</v>
      </c>
      <c r="HJ70" t="e">
        <f>AND(#REF!,"AAAAAHO569k=")</f>
        <v>#REF!</v>
      </c>
      <c r="HK70" t="e">
        <f>AND(#REF!,"AAAAAHO569o=")</f>
        <v>#REF!</v>
      </c>
      <c r="HL70" t="e">
        <f>AND(#REF!,"AAAAAHO569s=")</f>
        <v>#REF!</v>
      </c>
      <c r="HM70" t="e">
        <f>AND(#REF!,"AAAAAHO569w=")</f>
        <v>#REF!</v>
      </c>
      <c r="HN70" t="e">
        <f>AND(#REF!,"AAAAAHO5690=")</f>
        <v>#REF!</v>
      </c>
      <c r="HO70" t="e">
        <f>AND(#REF!,"AAAAAHO5694=")</f>
        <v>#REF!</v>
      </c>
      <c r="HP70" t="e">
        <f>AND(#REF!,"AAAAAHO5698=")</f>
        <v>#REF!</v>
      </c>
      <c r="HQ70" t="e">
        <f>AND(#REF!,"AAAAAHO56+A=")</f>
        <v>#REF!</v>
      </c>
      <c r="HR70" t="e">
        <f>AND(#REF!,"AAAAAHO56+E=")</f>
        <v>#REF!</v>
      </c>
      <c r="HS70" t="e">
        <f>AND(#REF!,"AAAAAHO56+I=")</f>
        <v>#REF!</v>
      </c>
      <c r="HT70" t="e">
        <f>AND(#REF!,"AAAAAHO56+M=")</f>
        <v>#REF!</v>
      </c>
      <c r="HU70" t="e">
        <f>AND(#REF!,"AAAAAHO56+Q=")</f>
        <v>#REF!</v>
      </c>
      <c r="HV70" t="e">
        <f>AND(#REF!,"AAAAAHO56+U=")</f>
        <v>#REF!</v>
      </c>
      <c r="HW70" t="e">
        <f>AND(#REF!,"AAAAAHO56+Y=")</f>
        <v>#REF!</v>
      </c>
      <c r="HX70" t="e">
        <f>AND(#REF!,"AAAAAHO56+c=")</f>
        <v>#REF!</v>
      </c>
      <c r="HY70" t="e">
        <f>AND(#REF!,"AAAAAHO56+g=")</f>
        <v>#REF!</v>
      </c>
      <c r="HZ70" t="e">
        <f>AND(#REF!,"AAAAAHO56+k=")</f>
        <v>#REF!</v>
      </c>
      <c r="IA70" t="e">
        <f>AND(#REF!,"AAAAAHO56+o=")</f>
        <v>#REF!</v>
      </c>
      <c r="IB70" t="e">
        <f>AND(#REF!,"AAAAAHO56+s=")</f>
        <v>#REF!</v>
      </c>
      <c r="IC70" t="e">
        <f>AND(#REF!,"AAAAAHO56+w=")</f>
        <v>#REF!</v>
      </c>
      <c r="ID70" t="e">
        <f>AND(#REF!,"AAAAAHO56+0=")</f>
        <v>#REF!</v>
      </c>
      <c r="IE70" t="e">
        <f>AND(#REF!,"AAAAAHO56+4=")</f>
        <v>#REF!</v>
      </c>
      <c r="IF70" t="e">
        <f>AND(#REF!,"AAAAAHO56+8=")</f>
        <v>#REF!</v>
      </c>
      <c r="IG70" t="e">
        <f>AND(#REF!,"AAAAAHO56/A=")</f>
        <v>#REF!</v>
      </c>
      <c r="IH70" t="e">
        <f>AND(#REF!,"AAAAAHO56/E=")</f>
        <v>#REF!</v>
      </c>
      <c r="II70" t="e">
        <f>AND(#REF!,"AAAAAHO56/I=")</f>
        <v>#REF!</v>
      </c>
      <c r="IJ70" t="e">
        <f>AND(#REF!,"AAAAAHO56/M=")</f>
        <v>#REF!</v>
      </c>
      <c r="IK70" t="e">
        <f>AND(#REF!,"AAAAAHO56/Q=")</f>
        <v>#REF!</v>
      </c>
      <c r="IL70" t="e">
        <f>AND(#REF!,"AAAAAHO56/U=")</f>
        <v>#REF!</v>
      </c>
      <c r="IM70" t="e">
        <f>AND(#REF!,"AAAAAHO56/Y=")</f>
        <v>#REF!</v>
      </c>
      <c r="IN70" t="e">
        <f>AND(#REF!,"AAAAAHO56/c=")</f>
        <v>#REF!</v>
      </c>
      <c r="IO70" t="e">
        <f>AND(#REF!,"AAAAAHO56/g=")</f>
        <v>#REF!</v>
      </c>
      <c r="IP70" t="e">
        <f>AND(#REF!,"AAAAAHO56/k=")</f>
        <v>#REF!</v>
      </c>
      <c r="IQ70" t="e">
        <f>AND(#REF!,"AAAAAHO56/o=")</f>
        <v>#REF!</v>
      </c>
      <c r="IR70" t="e">
        <f>AND(#REF!,"AAAAAHO56/s=")</f>
        <v>#REF!</v>
      </c>
      <c r="IS70" t="e">
        <f>AND(#REF!,"AAAAAHO56/w=")</f>
        <v>#REF!</v>
      </c>
      <c r="IT70" t="e">
        <f>AND(#REF!,"AAAAAHO56/0=")</f>
        <v>#REF!</v>
      </c>
      <c r="IU70" t="e">
        <f>AND(#REF!,"AAAAAHO56/4=")</f>
        <v>#REF!</v>
      </c>
      <c r="IV70" t="e">
        <f>AND(#REF!,"AAAAAHO56/8=")</f>
        <v>#REF!</v>
      </c>
    </row>
    <row r="71" spans="1:256" x14ac:dyDescent="0.25">
      <c r="A71" t="e">
        <f>AND(#REF!,"AAAAADf+WQA=")</f>
        <v>#REF!</v>
      </c>
      <c r="B71" t="e">
        <f>AND(#REF!,"AAAAADf+WQE=")</f>
        <v>#REF!</v>
      </c>
      <c r="C71" t="e">
        <f>AND(#REF!,"AAAAADf+WQI=")</f>
        <v>#REF!</v>
      </c>
      <c r="D71" t="e">
        <f>AND(#REF!,"AAAAADf+WQM=")</f>
        <v>#REF!</v>
      </c>
      <c r="E71" t="e">
        <f>AND(#REF!,"AAAAADf+WQQ=")</f>
        <v>#REF!</v>
      </c>
      <c r="F71" t="e">
        <f>AND(#REF!,"AAAAADf+WQU=")</f>
        <v>#REF!</v>
      </c>
      <c r="G71" t="e">
        <f>AND(#REF!,"AAAAADf+WQY=")</f>
        <v>#REF!</v>
      </c>
      <c r="H71" t="e">
        <f>AND(#REF!,"AAAAADf+WQc=")</f>
        <v>#REF!</v>
      </c>
      <c r="I71" t="e">
        <f>AND(#REF!,"AAAAADf+WQg=")</f>
        <v>#REF!</v>
      </c>
      <c r="J71" t="e">
        <f>AND(#REF!,"AAAAADf+WQk=")</f>
        <v>#REF!</v>
      </c>
      <c r="K71" t="e">
        <f>AND(#REF!,"AAAAADf+WQo=")</f>
        <v>#REF!</v>
      </c>
      <c r="L71" t="e">
        <f>AND(#REF!,"AAAAADf+WQs=")</f>
        <v>#REF!</v>
      </c>
      <c r="M71" t="e">
        <f>AND(#REF!,"AAAAADf+WQw=")</f>
        <v>#REF!</v>
      </c>
      <c r="N71" t="e">
        <f>AND(#REF!,"AAAAADf+WQ0=")</f>
        <v>#REF!</v>
      </c>
      <c r="O71" t="e">
        <f>AND(#REF!,"AAAAADf+WQ4=")</f>
        <v>#REF!</v>
      </c>
      <c r="P71" t="e">
        <f>AND(#REF!,"AAAAADf+WQ8=")</f>
        <v>#REF!</v>
      </c>
      <c r="Q71" t="e">
        <f>AND(#REF!,"AAAAADf+WRA=")</f>
        <v>#REF!</v>
      </c>
      <c r="R71" t="e">
        <f>AND(#REF!,"AAAAADf+WRE=")</f>
        <v>#REF!</v>
      </c>
      <c r="S71" t="e">
        <f>AND(#REF!,"AAAAADf+WRI=")</f>
        <v>#REF!</v>
      </c>
      <c r="T71" t="e">
        <f>AND(#REF!,"AAAAADf+WRM=")</f>
        <v>#REF!</v>
      </c>
      <c r="U71" t="e">
        <f>AND(#REF!,"AAAAADf+WRQ=")</f>
        <v>#REF!</v>
      </c>
      <c r="V71" t="e">
        <f>AND(#REF!,"AAAAADf+WRU=")</f>
        <v>#REF!</v>
      </c>
      <c r="W71" t="e">
        <f>AND(#REF!,"AAAAADf+WRY=")</f>
        <v>#REF!</v>
      </c>
      <c r="X71" t="e">
        <f>AND(#REF!,"AAAAADf+WRc=")</f>
        <v>#REF!</v>
      </c>
      <c r="Y71" t="e">
        <f>AND(#REF!,"AAAAADf+WRg=")</f>
        <v>#REF!</v>
      </c>
      <c r="Z71" t="e">
        <f>AND(#REF!,"AAAAADf+WRk=")</f>
        <v>#REF!</v>
      </c>
      <c r="AA71" t="e">
        <f>AND(#REF!,"AAAAADf+WRo=")</f>
        <v>#REF!</v>
      </c>
      <c r="AB71" t="e">
        <f>AND(#REF!,"AAAAADf+WRs=")</f>
        <v>#REF!</v>
      </c>
      <c r="AC71" t="e">
        <f>AND(#REF!,"AAAAADf+WRw=")</f>
        <v>#REF!</v>
      </c>
      <c r="AD71" t="e">
        <f>AND(#REF!,"AAAAADf+WR0=")</f>
        <v>#REF!</v>
      </c>
      <c r="AE71" t="e">
        <f>AND(#REF!,"AAAAADf+WR4=")</f>
        <v>#REF!</v>
      </c>
      <c r="AF71" t="e">
        <f>AND(#REF!,"AAAAADf+WR8=")</f>
        <v>#REF!</v>
      </c>
      <c r="AG71" t="e">
        <f>AND(#REF!,"AAAAADf+WSA=")</f>
        <v>#REF!</v>
      </c>
      <c r="AH71" t="e">
        <f>AND(#REF!,"AAAAADf+WSE=")</f>
        <v>#REF!</v>
      </c>
      <c r="AI71" t="e">
        <f>AND(#REF!,"AAAAADf+WSI=")</f>
        <v>#REF!</v>
      </c>
      <c r="AJ71" t="e">
        <f>AND(#REF!,"AAAAADf+WSM=")</f>
        <v>#REF!</v>
      </c>
      <c r="AK71" t="e">
        <f>AND(#REF!,"AAAAADf+WSQ=")</f>
        <v>#REF!</v>
      </c>
      <c r="AL71" t="e">
        <f>AND(#REF!,"AAAAADf+WSU=")</f>
        <v>#REF!</v>
      </c>
      <c r="AM71" t="e">
        <f>AND(#REF!,"AAAAADf+WSY=")</f>
        <v>#REF!</v>
      </c>
      <c r="AN71" t="e">
        <f>AND(#REF!,"AAAAADf+WSc=")</f>
        <v>#REF!</v>
      </c>
      <c r="AO71" t="e">
        <f>AND(#REF!,"AAAAADf+WSg=")</f>
        <v>#REF!</v>
      </c>
      <c r="AP71" t="e">
        <f>AND(#REF!,"AAAAADf+WSk=")</f>
        <v>#REF!</v>
      </c>
      <c r="AQ71" t="e">
        <f>AND(#REF!,"AAAAADf+WSo=")</f>
        <v>#REF!</v>
      </c>
      <c r="AR71" t="e">
        <f>AND(#REF!,"AAAAADf+WSs=")</f>
        <v>#REF!</v>
      </c>
      <c r="AS71" t="e">
        <f>AND(#REF!,"AAAAADf+WSw=")</f>
        <v>#REF!</v>
      </c>
      <c r="AT71" t="e">
        <f>AND(#REF!,"AAAAADf+WS0=")</f>
        <v>#REF!</v>
      </c>
      <c r="AU71" t="e">
        <f>AND(#REF!,"AAAAADf+WS4=")</f>
        <v>#REF!</v>
      </c>
      <c r="AV71" t="e">
        <f>AND(#REF!,"AAAAADf+WS8=")</f>
        <v>#REF!</v>
      </c>
      <c r="AW71" t="e">
        <f>AND(#REF!,"AAAAADf+WTA=")</f>
        <v>#REF!</v>
      </c>
      <c r="AX71" t="e">
        <f>AND(#REF!,"AAAAADf+WTE=")</f>
        <v>#REF!</v>
      </c>
      <c r="AY71" t="e">
        <f>AND(#REF!,"AAAAADf+WTI=")</f>
        <v>#REF!</v>
      </c>
      <c r="AZ71" t="e">
        <f>AND(#REF!,"AAAAADf+WTM=")</f>
        <v>#REF!</v>
      </c>
      <c r="BA71" t="e">
        <f>AND(#REF!,"AAAAADf+WTQ=")</f>
        <v>#REF!</v>
      </c>
      <c r="BB71" t="e">
        <f>AND(#REF!,"AAAAADf+WTU=")</f>
        <v>#REF!</v>
      </c>
      <c r="BC71" t="e">
        <f>AND(#REF!,"AAAAADf+WTY=")</f>
        <v>#REF!</v>
      </c>
      <c r="BD71" t="e">
        <f>IF(#REF!,"AAAAADf+WTc=",0)</f>
        <v>#REF!</v>
      </c>
      <c r="BE71" t="e">
        <f>AND(#REF!,"AAAAADf+WTg=")</f>
        <v>#REF!</v>
      </c>
      <c r="BF71" t="e">
        <f>AND(#REF!,"AAAAADf+WTk=")</f>
        <v>#REF!</v>
      </c>
      <c r="BG71" t="e">
        <f>AND(#REF!,"AAAAADf+WTo=")</f>
        <v>#REF!</v>
      </c>
      <c r="BH71" t="e">
        <f>AND(#REF!,"AAAAADf+WTs=")</f>
        <v>#REF!</v>
      </c>
      <c r="BI71" t="e">
        <f>AND(#REF!,"AAAAADf+WTw=")</f>
        <v>#REF!</v>
      </c>
      <c r="BJ71" t="e">
        <f>AND(#REF!,"AAAAADf+WT0=")</f>
        <v>#REF!</v>
      </c>
      <c r="BK71" t="e">
        <f>AND(#REF!,"AAAAADf+WT4=")</f>
        <v>#REF!</v>
      </c>
      <c r="BL71" t="e">
        <f>AND(#REF!,"AAAAADf+WT8=")</f>
        <v>#REF!</v>
      </c>
      <c r="BM71" t="e">
        <f>AND(#REF!,"AAAAADf+WUA=")</f>
        <v>#REF!</v>
      </c>
      <c r="BN71" t="e">
        <f>AND(#REF!,"AAAAADf+WUE=")</f>
        <v>#REF!</v>
      </c>
      <c r="BO71" t="e">
        <f>AND(#REF!,"AAAAADf+WUI=")</f>
        <v>#REF!</v>
      </c>
      <c r="BP71" t="e">
        <f>AND(#REF!,"AAAAADf+WUM=")</f>
        <v>#REF!</v>
      </c>
      <c r="BQ71" t="e">
        <f>AND(#REF!,"AAAAADf+WUQ=")</f>
        <v>#REF!</v>
      </c>
      <c r="BR71" t="e">
        <f>AND(#REF!,"AAAAADf+WUU=")</f>
        <v>#REF!</v>
      </c>
      <c r="BS71" t="e">
        <f>AND(#REF!,"AAAAADf+WUY=")</f>
        <v>#REF!</v>
      </c>
      <c r="BT71" t="e">
        <f>AND(#REF!,"AAAAADf+WUc=")</f>
        <v>#REF!</v>
      </c>
      <c r="BU71" t="e">
        <f>AND(#REF!,"AAAAADf+WUg=")</f>
        <v>#REF!</v>
      </c>
      <c r="BV71" t="e">
        <f>AND(#REF!,"AAAAADf+WUk=")</f>
        <v>#REF!</v>
      </c>
      <c r="BW71" t="e">
        <f>AND(#REF!,"AAAAADf+WUo=")</f>
        <v>#REF!</v>
      </c>
      <c r="BX71" t="e">
        <f>AND(#REF!,"AAAAADf+WUs=")</f>
        <v>#REF!</v>
      </c>
      <c r="BY71" t="e">
        <f>AND(#REF!,"AAAAADf+WUw=")</f>
        <v>#REF!</v>
      </c>
      <c r="BZ71" t="e">
        <f>AND(#REF!,"AAAAADf+WU0=")</f>
        <v>#REF!</v>
      </c>
      <c r="CA71" t="e">
        <f>AND(#REF!,"AAAAADf+WU4=")</f>
        <v>#REF!</v>
      </c>
      <c r="CB71" t="e">
        <f>AND(#REF!,"AAAAADf+WU8=")</f>
        <v>#REF!</v>
      </c>
      <c r="CC71" t="e">
        <f>AND(#REF!,"AAAAADf+WVA=")</f>
        <v>#REF!</v>
      </c>
      <c r="CD71" t="e">
        <f>AND(#REF!,"AAAAADf+WVE=")</f>
        <v>#REF!</v>
      </c>
      <c r="CE71" t="e">
        <f>AND(#REF!,"AAAAADf+WVI=")</f>
        <v>#REF!</v>
      </c>
      <c r="CF71" t="e">
        <f>AND(#REF!,"AAAAADf+WVM=")</f>
        <v>#REF!</v>
      </c>
      <c r="CG71" t="e">
        <f>AND(#REF!,"AAAAADf+WVQ=")</f>
        <v>#REF!</v>
      </c>
      <c r="CH71" t="e">
        <f>AND(#REF!,"AAAAADf+WVU=")</f>
        <v>#REF!</v>
      </c>
      <c r="CI71" t="e">
        <f>AND(#REF!,"AAAAADf+WVY=")</f>
        <v>#REF!</v>
      </c>
      <c r="CJ71" t="e">
        <f>AND(#REF!,"AAAAADf+WVc=")</f>
        <v>#REF!</v>
      </c>
      <c r="CK71" t="e">
        <f>AND(#REF!,"AAAAADf+WVg=")</f>
        <v>#REF!</v>
      </c>
      <c r="CL71" t="e">
        <f>AND(#REF!,"AAAAADf+WVk=")</f>
        <v>#REF!</v>
      </c>
      <c r="CM71" t="e">
        <f>AND(#REF!,"AAAAADf+WVo=")</f>
        <v>#REF!</v>
      </c>
      <c r="CN71" t="e">
        <f>AND(#REF!,"AAAAADf+WVs=")</f>
        <v>#REF!</v>
      </c>
      <c r="CO71" t="e">
        <f>AND(#REF!,"AAAAADf+WVw=")</f>
        <v>#REF!</v>
      </c>
      <c r="CP71" t="e">
        <f>AND(#REF!,"AAAAADf+WV0=")</f>
        <v>#REF!</v>
      </c>
      <c r="CQ71" t="e">
        <f>AND(#REF!,"AAAAADf+WV4=")</f>
        <v>#REF!</v>
      </c>
      <c r="CR71" t="e">
        <f>AND(#REF!,"AAAAADf+WV8=")</f>
        <v>#REF!</v>
      </c>
      <c r="CS71" t="e">
        <f>AND(#REF!,"AAAAADf+WWA=")</f>
        <v>#REF!</v>
      </c>
      <c r="CT71" t="e">
        <f>AND(#REF!,"AAAAADf+WWE=")</f>
        <v>#REF!</v>
      </c>
      <c r="CU71" t="e">
        <f>AND(#REF!,"AAAAADf+WWI=")</f>
        <v>#REF!</v>
      </c>
      <c r="CV71" t="e">
        <f>AND(#REF!,"AAAAADf+WWM=")</f>
        <v>#REF!</v>
      </c>
      <c r="CW71" t="e">
        <f>AND(#REF!,"AAAAADf+WWQ=")</f>
        <v>#REF!</v>
      </c>
      <c r="CX71" t="e">
        <f>AND(#REF!,"AAAAADf+WWU=")</f>
        <v>#REF!</v>
      </c>
      <c r="CY71" t="e">
        <f>AND(#REF!,"AAAAADf+WWY=")</f>
        <v>#REF!</v>
      </c>
      <c r="CZ71" t="e">
        <f>AND(#REF!,"AAAAADf+WWc=")</f>
        <v>#REF!</v>
      </c>
      <c r="DA71" t="e">
        <f>AND(#REF!,"AAAAADf+WWg=")</f>
        <v>#REF!</v>
      </c>
      <c r="DB71" t="e">
        <f>AND(#REF!,"AAAAADf+WWk=")</f>
        <v>#REF!</v>
      </c>
      <c r="DC71" t="e">
        <f>AND(#REF!,"AAAAADf+WWo=")</f>
        <v>#REF!</v>
      </c>
      <c r="DD71" t="e">
        <f>AND(#REF!,"AAAAADf+WWs=")</f>
        <v>#REF!</v>
      </c>
      <c r="DE71" t="e">
        <f>AND(#REF!,"AAAAADf+WWw=")</f>
        <v>#REF!</v>
      </c>
      <c r="DF71" t="e">
        <f>AND(#REF!,"AAAAADf+WW0=")</f>
        <v>#REF!</v>
      </c>
      <c r="DG71" t="e">
        <f>AND(#REF!,"AAAAADf+WW4=")</f>
        <v>#REF!</v>
      </c>
      <c r="DH71" t="e">
        <f>AND(#REF!,"AAAAADf+WW8=")</f>
        <v>#REF!</v>
      </c>
      <c r="DI71" t="e">
        <f>AND(#REF!,"AAAAADf+WXA=")</f>
        <v>#REF!</v>
      </c>
      <c r="DJ71" t="e">
        <f>AND(#REF!,"AAAAADf+WXE=")</f>
        <v>#REF!</v>
      </c>
      <c r="DK71" t="e">
        <f>AND(#REF!,"AAAAADf+WXI=")</f>
        <v>#REF!</v>
      </c>
      <c r="DL71" t="e">
        <f>AND(#REF!,"AAAAADf+WXM=")</f>
        <v>#REF!</v>
      </c>
      <c r="DM71" t="e">
        <f>AND(#REF!,"AAAAADf+WXQ=")</f>
        <v>#REF!</v>
      </c>
      <c r="DN71" t="e">
        <f>AND(#REF!,"AAAAADf+WXU=")</f>
        <v>#REF!</v>
      </c>
      <c r="DO71" t="e">
        <f>AND(#REF!,"AAAAADf+WXY=")</f>
        <v>#REF!</v>
      </c>
      <c r="DP71" t="e">
        <f>AND(#REF!,"AAAAADf+WXc=")</f>
        <v>#REF!</v>
      </c>
      <c r="DQ71" t="e">
        <f>AND(#REF!,"AAAAADf+WXg=")</f>
        <v>#REF!</v>
      </c>
      <c r="DR71" t="e">
        <f>AND(#REF!,"AAAAADf+WXk=")</f>
        <v>#REF!</v>
      </c>
      <c r="DS71" t="e">
        <f>AND(#REF!,"AAAAADf+WXo=")</f>
        <v>#REF!</v>
      </c>
      <c r="DT71" t="e">
        <f>AND(#REF!,"AAAAADf+WXs=")</f>
        <v>#REF!</v>
      </c>
      <c r="DU71" t="e">
        <f>AND(#REF!,"AAAAADf+WXw=")</f>
        <v>#REF!</v>
      </c>
      <c r="DV71" t="e">
        <f>AND(#REF!,"AAAAADf+WX0=")</f>
        <v>#REF!</v>
      </c>
      <c r="DW71" t="e">
        <f>AND(#REF!,"AAAAADf+WX4=")</f>
        <v>#REF!</v>
      </c>
      <c r="DX71" t="e">
        <f>AND(#REF!,"AAAAADf+WX8=")</f>
        <v>#REF!</v>
      </c>
      <c r="DY71" t="e">
        <f>AND(#REF!,"AAAAADf+WYA=")</f>
        <v>#REF!</v>
      </c>
      <c r="DZ71" t="e">
        <f>AND(#REF!,"AAAAADf+WYE=")</f>
        <v>#REF!</v>
      </c>
      <c r="EA71" t="e">
        <f>AND(#REF!,"AAAAADf+WYI=")</f>
        <v>#REF!</v>
      </c>
      <c r="EB71" t="e">
        <f>AND(#REF!,"AAAAADf+WYM=")</f>
        <v>#REF!</v>
      </c>
      <c r="EC71" t="e">
        <f>AND(#REF!,"AAAAADf+WYQ=")</f>
        <v>#REF!</v>
      </c>
      <c r="ED71" t="e">
        <f>AND(#REF!,"AAAAADf+WYU=")</f>
        <v>#REF!</v>
      </c>
      <c r="EE71" t="e">
        <f>AND(#REF!,"AAAAADf+WYY=")</f>
        <v>#REF!</v>
      </c>
      <c r="EF71" t="e">
        <f>AND(#REF!,"AAAAADf+WYc=")</f>
        <v>#REF!</v>
      </c>
      <c r="EG71" t="e">
        <f>AND(#REF!,"AAAAADf+WYg=")</f>
        <v>#REF!</v>
      </c>
      <c r="EH71" t="e">
        <f>AND(#REF!,"AAAAADf+WYk=")</f>
        <v>#REF!</v>
      </c>
      <c r="EI71" t="e">
        <f>AND(#REF!,"AAAAADf+WYo=")</f>
        <v>#REF!</v>
      </c>
      <c r="EJ71" t="e">
        <f>AND(#REF!,"AAAAADf+WYs=")</f>
        <v>#REF!</v>
      </c>
      <c r="EK71" t="e">
        <f>AND(#REF!,"AAAAADf+WYw=")</f>
        <v>#REF!</v>
      </c>
      <c r="EL71" t="e">
        <f>AND(#REF!,"AAAAADf+WY0=")</f>
        <v>#REF!</v>
      </c>
      <c r="EM71" t="e">
        <f>AND(#REF!,"AAAAADf+WY4=")</f>
        <v>#REF!</v>
      </c>
      <c r="EN71" t="e">
        <f>AND(#REF!,"AAAAADf+WY8=")</f>
        <v>#REF!</v>
      </c>
      <c r="EO71" t="e">
        <f>AND(#REF!,"AAAAADf+WZA=")</f>
        <v>#REF!</v>
      </c>
      <c r="EP71" t="e">
        <f>AND(#REF!,"AAAAADf+WZE=")</f>
        <v>#REF!</v>
      </c>
      <c r="EQ71" t="e">
        <f>AND(#REF!,"AAAAADf+WZI=")</f>
        <v>#REF!</v>
      </c>
      <c r="ER71" t="e">
        <f>AND(#REF!,"AAAAADf+WZM=")</f>
        <v>#REF!</v>
      </c>
      <c r="ES71" t="e">
        <f>AND(#REF!,"AAAAADf+WZQ=")</f>
        <v>#REF!</v>
      </c>
      <c r="ET71" t="e">
        <f>AND(#REF!,"AAAAADf+WZU=")</f>
        <v>#REF!</v>
      </c>
      <c r="EU71" t="e">
        <f>AND(#REF!,"AAAAADf+WZY=")</f>
        <v>#REF!</v>
      </c>
      <c r="EV71" t="e">
        <f>AND(#REF!,"AAAAADf+WZc=")</f>
        <v>#REF!</v>
      </c>
      <c r="EW71" t="e">
        <f>AND(#REF!,"AAAAADf+WZg=")</f>
        <v>#REF!</v>
      </c>
      <c r="EX71" t="e">
        <f>AND(#REF!,"AAAAADf+WZk=")</f>
        <v>#REF!</v>
      </c>
      <c r="EY71" t="e">
        <f>AND(#REF!,"AAAAADf+WZo=")</f>
        <v>#REF!</v>
      </c>
      <c r="EZ71" t="e">
        <f>AND(#REF!,"AAAAADf+WZs=")</f>
        <v>#REF!</v>
      </c>
      <c r="FA71" t="e">
        <f>AND(#REF!,"AAAAADf+WZw=")</f>
        <v>#REF!</v>
      </c>
      <c r="FB71" t="e">
        <f>AND(#REF!,"AAAAADf+WZ0=")</f>
        <v>#REF!</v>
      </c>
      <c r="FC71" t="e">
        <f>AND(#REF!,"AAAAADf+WZ4=")</f>
        <v>#REF!</v>
      </c>
      <c r="FD71" t="e">
        <f>AND(#REF!,"AAAAADf+WZ8=")</f>
        <v>#REF!</v>
      </c>
      <c r="FE71" t="e">
        <f>AND(#REF!,"AAAAADf+WaA=")</f>
        <v>#REF!</v>
      </c>
      <c r="FF71" t="e">
        <f>AND(#REF!,"AAAAADf+WaE=")</f>
        <v>#REF!</v>
      </c>
      <c r="FG71" t="e">
        <f>AND(#REF!,"AAAAADf+WaI=")</f>
        <v>#REF!</v>
      </c>
      <c r="FH71" t="e">
        <f>AND(#REF!,"AAAAADf+WaM=")</f>
        <v>#REF!</v>
      </c>
      <c r="FI71" t="e">
        <f>AND(#REF!,"AAAAADf+WaQ=")</f>
        <v>#REF!</v>
      </c>
      <c r="FJ71" t="e">
        <f>AND(#REF!,"AAAAADf+WaU=")</f>
        <v>#REF!</v>
      </c>
      <c r="FK71" t="e">
        <f>AND(#REF!,"AAAAADf+WaY=")</f>
        <v>#REF!</v>
      </c>
      <c r="FL71" t="e">
        <f>AND(#REF!,"AAAAADf+Wac=")</f>
        <v>#REF!</v>
      </c>
      <c r="FM71" t="e">
        <f>AND(#REF!,"AAAAADf+Wag=")</f>
        <v>#REF!</v>
      </c>
      <c r="FN71" t="e">
        <f>AND(#REF!,"AAAAADf+Wak=")</f>
        <v>#REF!</v>
      </c>
      <c r="FO71" t="e">
        <f>AND(#REF!,"AAAAADf+Wao=")</f>
        <v>#REF!</v>
      </c>
      <c r="FP71" t="e">
        <f>AND(#REF!,"AAAAADf+Was=")</f>
        <v>#REF!</v>
      </c>
      <c r="FQ71" t="e">
        <f>AND(#REF!,"AAAAADf+Waw=")</f>
        <v>#REF!</v>
      </c>
      <c r="FR71" t="e">
        <f>AND(#REF!,"AAAAADf+Wa0=")</f>
        <v>#REF!</v>
      </c>
      <c r="FS71" t="e">
        <f>AND(#REF!,"AAAAADf+Wa4=")</f>
        <v>#REF!</v>
      </c>
      <c r="FT71" t="e">
        <f>AND(#REF!,"AAAAADf+Wa8=")</f>
        <v>#REF!</v>
      </c>
      <c r="FU71" t="e">
        <f>AND(#REF!,"AAAAADf+WbA=")</f>
        <v>#REF!</v>
      </c>
      <c r="FV71" t="e">
        <f>AND(#REF!,"AAAAADf+WbE=")</f>
        <v>#REF!</v>
      </c>
      <c r="FW71" t="e">
        <f>AND(#REF!,"AAAAADf+WbI=")</f>
        <v>#REF!</v>
      </c>
      <c r="FX71" t="e">
        <f>AND(#REF!,"AAAAADf+WbM=")</f>
        <v>#REF!</v>
      </c>
      <c r="FY71" t="e">
        <f>AND(#REF!,"AAAAADf+WbQ=")</f>
        <v>#REF!</v>
      </c>
      <c r="FZ71" t="e">
        <f>AND(#REF!,"AAAAADf+WbU=")</f>
        <v>#REF!</v>
      </c>
      <c r="GA71" t="e">
        <f>AND(#REF!,"AAAAADf+WbY=")</f>
        <v>#REF!</v>
      </c>
      <c r="GB71" t="e">
        <f>AND(#REF!,"AAAAADf+Wbc=")</f>
        <v>#REF!</v>
      </c>
      <c r="GC71" t="e">
        <f>AND(#REF!,"AAAAADf+Wbg=")</f>
        <v>#REF!</v>
      </c>
      <c r="GD71" t="e">
        <f>AND(#REF!,"AAAAADf+Wbk=")</f>
        <v>#REF!</v>
      </c>
      <c r="GE71" t="e">
        <f>AND(#REF!,"AAAAADf+Wbo=")</f>
        <v>#REF!</v>
      </c>
      <c r="GF71" t="e">
        <f>AND(#REF!,"AAAAADf+Wbs=")</f>
        <v>#REF!</v>
      </c>
      <c r="GG71" t="e">
        <f>AND(#REF!,"AAAAADf+Wbw=")</f>
        <v>#REF!</v>
      </c>
      <c r="GH71" t="e">
        <f>AND(#REF!,"AAAAADf+Wb0=")</f>
        <v>#REF!</v>
      </c>
      <c r="GI71" t="e">
        <f>AND(#REF!,"AAAAADf+Wb4=")</f>
        <v>#REF!</v>
      </c>
      <c r="GJ71" t="e">
        <f>AND(#REF!,"AAAAADf+Wb8=")</f>
        <v>#REF!</v>
      </c>
      <c r="GK71" t="e">
        <f>AND(#REF!,"AAAAADf+WcA=")</f>
        <v>#REF!</v>
      </c>
      <c r="GL71" t="e">
        <f>AND(#REF!,"AAAAADf+WcE=")</f>
        <v>#REF!</v>
      </c>
      <c r="GM71" t="e">
        <f>AND(#REF!,"AAAAADf+WcI=")</f>
        <v>#REF!</v>
      </c>
      <c r="GN71" t="e">
        <f>AND(#REF!,"AAAAADf+WcM=")</f>
        <v>#REF!</v>
      </c>
      <c r="GO71" t="e">
        <f>AND(#REF!,"AAAAADf+WcQ=")</f>
        <v>#REF!</v>
      </c>
      <c r="GP71" t="e">
        <f>AND(#REF!,"AAAAADf+WcU=")</f>
        <v>#REF!</v>
      </c>
      <c r="GQ71" t="e">
        <f>AND(#REF!,"AAAAADf+WcY=")</f>
        <v>#REF!</v>
      </c>
      <c r="GR71" t="e">
        <f>AND(#REF!,"AAAAADf+Wcc=")</f>
        <v>#REF!</v>
      </c>
      <c r="GS71" t="e">
        <f>AND(#REF!,"AAAAADf+Wcg=")</f>
        <v>#REF!</v>
      </c>
      <c r="GT71" t="e">
        <f>AND(#REF!,"AAAAADf+Wck=")</f>
        <v>#REF!</v>
      </c>
      <c r="GU71" t="e">
        <f>AND(#REF!,"AAAAADf+Wco=")</f>
        <v>#REF!</v>
      </c>
      <c r="GV71" t="e">
        <f>AND(#REF!,"AAAAADf+Wcs=")</f>
        <v>#REF!</v>
      </c>
      <c r="GW71" t="e">
        <f>AND(#REF!,"AAAAADf+Wcw=")</f>
        <v>#REF!</v>
      </c>
      <c r="GX71" t="e">
        <f>AND(#REF!,"AAAAADf+Wc0=")</f>
        <v>#REF!</v>
      </c>
      <c r="GY71" t="e">
        <f>AND(#REF!,"AAAAADf+Wc4=")</f>
        <v>#REF!</v>
      </c>
      <c r="GZ71" t="e">
        <f>AND(#REF!,"AAAAADf+Wc8=")</f>
        <v>#REF!</v>
      </c>
      <c r="HA71" t="e">
        <f>AND(#REF!,"AAAAADf+WdA=")</f>
        <v>#REF!</v>
      </c>
      <c r="HB71" t="e">
        <f>AND(#REF!,"AAAAADf+WdE=")</f>
        <v>#REF!</v>
      </c>
      <c r="HC71" t="e">
        <f>AND(#REF!,"AAAAADf+WdI=")</f>
        <v>#REF!</v>
      </c>
      <c r="HD71" t="e">
        <f>AND(#REF!,"AAAAADf+WdM=")</f>
        <v>#REF!</v>
      </c>
      <c r="HE71" t="e">
        <f>AND(#REF!,"AAAAADf+WdQ=")</f>
        <v>#REF!</v>
      </c>
      <c r="HF71" t="e">
        <f>AND(#REF!,"AAAAADf+WdU=")</f>
        <v>#REF!</v>
      </c>
      <c r="HG71" t="e">
        <f>AND(#REF!,"AAAAADf+WdY=")</f>
        <v>#REF!</v>
      </c>
      <c r="HH71" t="e">
        <f>AND(#REF!,"AAAAADf+Wdc=")</f>
        <v>#REF!</v>
      </c>
      <c r="HI71" t="e">
        <f>AND(#REF!,"AAAAADf+Wdg=")</f>
        <v>#REF!</v>
      </c>
      <c r="HJ71" t="e">
        <f>AND(#REF!,"AAAAADf+Wdk=")</f>
        <v>#REF!</v>
      </c>
      <c r="HK71" t="e">
        <f>AND(#REF!,"AAAAADf+Wdo=")</f>
        <v>#REF!</v>
      </c>
      <c r="HL71" t="e">
        <f>AND(#REF!,"AAAAADf+Wds=")</f>
        <v>#REF!</v>
      </c>
      <c r="HM71" t="e">
        <f>AND(#REF!,"AAAAADf+Wdw=")</f>
        <v>#REF!</v>
      </c>
      <c r="HN71" t="e">
        <f>AND(#REF!,"AAAAADf+Wd0=")</f>
        <v>#REF!</v>
      </c>
      <c r="HO71" t="e">
        <f>AND(#REF!,"AAAAADf+Wd4=")</f>
        <v>#REF!</v>
      </c>
      <c r="HP71" t="e">
        <f>AND(#REF!,"AAAAADf+Wd8=")</f>
        <v>#REF!</v>
      </c>
      <c r="HQ71" t="e">
        <f>AND(#REF!,"AAAAADf+WeA=")</f>
        <v>#REF!</v>
      </c>
      <c r="HR71" t="e">
        <f>AND(#REF!,"AAAAADf+WeE=")</f>
        <v>#REF!</v>
      </c>
      <c r="HS71" t="e">
        <f>AND(#REF!,"AAAAADf+WeI=")</f>
        <v>#REF!</v>
      </c>
      <c r="HT71" t="e">
        <f>AND(#REF!,"AAAAADf+WeM=")</f>
        <v>#REF!</v>
      </c>
      <c r="HU71" t="e">
        <f>AND(#REF!,"AAAAADf+WeQ=")</f>
        <v>#REF!</v>
      </c>
      <c r="HV71" t="e">
        <f>AND(#REF!,"AAAAADf+WeU=")</f>
        <v>#REF!</v>
      </c>
      <c r="HW71" t="e">
        <f>AND(#REF!,"AAAAADf+WeY=")</f>
        <v>#REF!</v>
      </c>
      <c r="HX71" t="e">
        <f>AND(#REF!,"AAAAADf+Wec=")</f>
        <v>#REF!</v>
      </c>
      <c r="HY71" t="e">
        <f>AND(#REF!,"AAAAADf+Weg=")</f>
        <v>#REF!</v>
      </c>
      <c r="HZ71" t="e">
        <f>IF(#REF!,"AAAAADf+Wek=",0)</f>
        <v>#REF!</v>
      </c>
      <c r="IA71" t="e">
        <f>AND(#REF!,"AAAAADf+Weo=")</f>
        <v>#REF!</v>
      </c>
      <c r="IB71" t="e">
        <f>AND(#REF!,"AAAAADf+Wes=")</f>
        <v>#REF!</v>
      </c>
      <c r="IC71" t="e">
        <f>AND(#REF!,"AAAAADf+Wew=")</f>
        <v>#REF!</v>
      </c>
      <c r="ID71" t="e">
        <f>AND(#REF!,"AAAAADf+We0=")</f>
        <v>#REF!</v>
      </c>
      <c r="IE71" t="e">
        <f>AND(#REF!,"AAAAADf+We4=")</f>
        <v>#REF!</v>
      </c>
      <c r="IF71" t="e">
        <f>AND(#REF!,"AAAAADf+We8=")</f>
        <v>#REF!</v>
      </c>
      <c r="IG71" t="e">
        <f>AND(#REF!,"AAAAADf+WfA=")</f>
        <v>#REF!</v>
      </c>
      <c r="IH71" t="e">
        <f>AND(#REF!,"AAAAADf+WfE=")</f>
        <v>#REF!</v>
      </c>
      <c r="II71" t="e">
        <f>AND(#REF!,"AAAAADf+WfI=")</f>
        <v>#REF!</v>
      </c>
      <c r="IJ71" t="e">
        <f>AND(#REF!,"AAAAADf+WfM=")</f>
        <v>#REF!</v>
      </c>
      <c r="IK71" t="e">
        <f>AND(#REF!,"AAAAADf+WfQ=")</f>
        <v>#REF!</v>
      </c>
      <c r="IL71" t="e">
        <f>AND(#REF!,"AAAAADf+WfU=")</f>
        <v>#REF!</v>
      </c>
      <c r="IM71" t="e">
        <f>AND(#REF!,"AAAAADf+WfY=")</f>
        <v>#REF!</v>
      </c>
      <c r="IN71" t="e">
        <f>AND(#REF!,"AAAAADf+Wfc=")</f>
        <v>#REF!</v>
      </c>
      <c r="IO71" t="e">
        <f>AND(#REF!,"AAAAADf+Wfg=")</f>
        <v>#REF!</v>
      </c>
      <c r="IP71" t="e">
        <f>AND(#REF!,"AAAAADf+Wfk=")</f>
        <v>#REF!</v>
      </c>
      <c r="IQ71" t="e">
        <f>AND(#REF!,"AAAAADf+Wfo=")</f>
        <v>#REF!</v>
      </c>
      <c r="IR71" t="e">
        <f>AND(#REF!,"AAAAADf+Wfs=")</f>
        <v>#REF!</v>
      </c>
      <c r="IS71" t="e">
        <f>AND(#REF!,"AAAAADf+Wfw=")</f>
        <v>#REF!</v>
      </c>
      <c r="IT71" t="e">
        <f>AND(#REF!,"AAAAADf+Wf0=")</f>
        <v>#REF!</v>
      </c>
      <c r="IU71" t="e">
        <f>AND(#REF!,"AAAAADf+Wf4=")</f>
        <v>#REF!</v>
      </c>
      <c r="IV71" t="e">
        <f>AND(#REF!,"AAAAADf+Wf8=")</f>
        <v>#REF!</v>
      </c>
    </row>
    <row r="72" spans="1:256" x14ac:dyDescent="0.25">
      <c r="A72" t="e">
        <f>AND(#REF!,"AAAAAB91bwA=")</f>
        <v>#REF!</v>
      </c>
      <c r="B72" t="e">
        <f>AND(#REF!,"AAAAAB91bwE=")</f>
        <v>#REF!</v>
      </c>
      <c r="C72" t="e">
        <f>AND(#REF!,"AAAAAB91bwI=")</f>
        <v>#REF!</v>
      </c>
      <c r="D72" t="e">
        <f>AND(#REF!,"AAAAAB91bwM=")</f>
        <v>#REF!</v>
      </c>
      <c r="E72" t="e">
        <f>AND(#REF!,"AAAAAB91bwQ=")</f>
        <v>#REF!</v>
      </c>
      <c r="F72" t="e">
        <f>AND(#REF!,"AAAAAB91bwU=")</f>
        <v>#REF!</v>
      </c>
      <c r="G72" t="e">
        <f>AND(#REF!,"AAAAAB91bwY=")</f>
        <v>#REF!</v>
      </c>
      <c r="H72" t="e">
        <f>AND(#REF!,"AAAAAB91bwc=")</f>
        <v>#REF!</v>
      </c>
      <c r="I72" t="e">
        <f>AND(#REF!,"AAAAAB91bwg=")</f>
        <v>#REF!</v>
      </c>
      <c r="J72" t="e">
        <f>AND(#REF!,"AAAAAB91bwk=")</f>
        <v>#REF!</v>
      </c>
      <c r="K72" t="e">
        <f>AND(#REF!,"AAAAAB91bwo=")</f>
        <v>#REF!</v>
      </c>
      <c r="L72" t="e">
        <f>AND(#REF!,"AAAAAB91bws=")</f>
        <v>#REF!</v>
      </c>
      <c r="M72" t="e">
        <f>AND(#REF!,"AAAAAB91bww=")</f>
        <v>#REF!</v>
      </c>
      <c r="N72" t="e">
        <f>AND(#REF!,"AAAAAB91bw0=")</f>
        <v>#REF!</v>
      </c>
      <c r="O72" t="e">
        <f>AND(#REF!,"AAAAAB91bw4=")</f>
        <v>#REF!</v>
      </c>
      <c r="P72" t="e">
        <f>AND(#REF!,"AAAAAB91bw8=")</f>
        <v>#REF!</v>
      </c>
      <c r="Q72" t="e">
        <f>AND(#REF!,"AAAAAB91bxA=")</f>
        <v>#REF!</v>
      </c>
      <c r="R72" t="e">
        <f>AND(#REF!,"AAAAAB91bxE=")</f>
        <v>#REF!</v>
      </c>
      <c r="S72" t="e">
        <f>AND(#REF!,"AAAAAB91bxI=")</f>
        <v>#REF!</v>
      </c>
      <c r="T72" t="e">
        <f>AND(#REF!,"AAAAAB91bxM=")</f>
        <v>#REF!</v>
      </c>
      <c r="U72" t="e">
        <f>AND(#REF!,"AAAAAB91bxQ=")</f>
        <v>#REF!</v>
      </c>
      <c r="V72" t="e">
        <f>AND(#REF!,"AAAAAB91bxU=")</f>
        <v>#REF!</v>
      </c>
      <c r="W72" t="e">
        <f>AND(#REF!,"AAAAAB91bxY=")</f>
        <v>#REF!</v>
      </c>
      <c r="X72" t="e">
        <f>AND(#REF!,"AAAAAB91bxc=")</f>
        <v>#REF!</v>
      </c>
      <c r="Y72" t="e">
        <f>AND(#REF!,"AAAAAB91bxg=")</f>
        <v>#REF!</v>
      </c>
      <c r="Z72" t="e">
        <f>AND(#REF!,"AAAAAB91bxk=")</f>
        <v>#REF!</v>
      </c>
      <c r="AA72" t="e">
        <f>AND(#REF!,"AAAAAB91bxo=")</f>
        <v>#REF!</v>
      </c>
      <c r="AB72" t="e">
        <f>AND(#REF!,"AAAAAB91bxs=")</f>
        <v>#REF!</v>
      </c>
      <c r="AC72" t="e">
        <f>AND(#REF!,"AAAAAB91bxw=")</f>
        <v>#REF!</v>
      </c>
      <c r="AD72" t="e">
        <f>AND(#REF!,"AAAAAB91bx0=")</f>
        <v>#REF!</v>
      </c>
      <c r="AE72" t="e">
        <f>AND(#REF!,"AAAAAB91bx4=")</f>
        <v>#REF!</v>
      </c>
      <c r="AF72" t="e">
        <f>AND(#REF!,"AAAAAB91bx8=")</f>
        <v>#REF!</v>
      </c>
      <c r="AG72" t="e">
        <f>AND(#REF!,"AAAAAB91byA=")</f>
        <v>#REF!</v>
      </c>
      <c r="AH72" t="e">
        <f>AND(#REF!,"AAAAAB91byE=")</f>
        <v>#REF!</v>
      </c>
      <c r="AI72" t="e">
        <f>AND(#REF!,"AAAAAB91byI=")</f>
        <v>#REF!</v>
      </c>
      <c r="AJ72" t="e">
        <f>AND(#REF!,"AAAAAB91byM=")</f>
        <v>#REF!</v>
      </c>
      <c r="AK72" t="e">
        <f>AND(#REF!,"AAAAAB91byQ=")</f>
        <v>#REF!</v>
      </c>
      <c r="AL72" t="e">
        <f>AND(#REF!,"AAAAAB91byU=")</f>
        <v>#REF!</v>
      </c>
      <c r="AM72" t="e">
        <f>AND(#REF!,"AAAAAB91byY=")</f>
        <v>#REF!</v>
      </c>
      <c r="AN72" t="e">
        <f>AND(#REF!,"AAAAAB91byc=")</f>
        <v>#REF!</v>
      </c>
      <c r="AO72" t="e">
        <f>AND(#REF!,"AAAAAB91byg=")</f>
        <v>#REF!</v>
      </c>
      <c r="AP72" t="e">
        <f>AND(#REF!,"AAAAAB91byk=")</f>
        <v>#REF!</v>
      </c>
      <c r="AQ72" t="e">
        <f>AND(#REF!,"AAAAAB91byo=")</f>
        <v>#REF!</v>
      </c>
      <c r="AR72" t="e">
        <f>AND(#REF!,"AAAAAB91bys=")</f>
        <v>#REF!</v>
      </c>
      <c r="AS72" t="e">
        <f>AND(#REF!,"AAAAAB91byw=")</f>
        <v>#REF!</v>
      </c>
      <c r="AT72" t="e">
        <f>AND(#REF!,"AAAAAB91by0=")</f>
        <v>#REF!</v>
      </c>
      <c r="AU72" t="e">
        <f>AND(#REF!,"AAAAAB91by4=")</f>
        <v>#REF!</v>
      </c>
      <c r="AV72" t="e">
        <f>AND(#REF!,"AAAAAB91by8=")</f>
        <v>#REF!</v>
      </c>
      <c r="AW72" t="e">
        <f>AND(#REF!,"AAAAAB91bzA=")</f>
        <v>#REF!</v>
      </c>
      <c r="AX72" t="e">
        <f>AND(#REF!,"AAAAAB91bzE=")</f>
        <v>#REF!</v>
      </c>
      <c r="AY72" t="e">
        <f>AND(#REF!,"AAAAAB91bzI=")</f>
        <v>#REF!</v>
      </c>
      <c r="AZ72" t="e">
        <f>AND(#REF!,"AAAAAB91bzM=")</f>
        <v>#REF!</v>
      </c>
      <c r="BA72" t="e">
        <f>AND(#REF!,"AAAAAB91bzQ=")</f>
        <v>#REF!</v>
      </c>
      <c r="BB72" t="e">
        <f>AND(#REF!,"AAAAAB91bzU=")</f>
        <v>#REF!</v>
      </c>
      <c r="BC72" t="e">
        <f>AND(#REF!,"AAAAAB91bzY=")</f>
        <v>#REF!</v>
      </c>
      <c r="BD72" t="e">
        <f>AND(#REF!,"AAAAAB91bzc=")</f>
        <v>#REF!</v>
      </c>
      <c r="BE72" t="e">
        <f>AND(#REF!,"AAAAAB91bzg=")</f>
        <v>#REF!</v>
      </c>
      <c r="BF72" t="e">
        <f>AND(#REF!,"AAAAAB91bzk=")</f>
        <v>#REF!</v>
      </c>
      <c r="BG72" t="e">
        <f>AND(#REF!,"AAAAAB91bzo=")</f>
        <v>#REF!</v>
      </c>
      <c r="BH72" t="e">
        <f>AND(#REF!,"AAAAAB91bzs=")</f>
        <v>#REF!</v>
      </c>
      <c r="BI72" t="e">
        <f>AND(#REF!,"AAAAAB91bzw=")</f>
        <v>#REF!</v>
      </c>
      <c r="BJ72" t="e">
        <f>AND(#REF!,"AAAAAB91bz0=")</f>
        <v>#REF!</v>
      </c>
      <c r="BK72" t="e">
        <f>AND(#REF!,"AAAAAB91bz4=")</f>
        <v>#REF!</v>
      </c>
      <c r="BL72" t="e">
        <f>AND(#REF!,"AAAAAB91bz8=")</f>
        <v>#REF!</v>
      </c>
      <c r="BM72" t="e">
        <f>AND(#REF!,"AAAAAB91b0A=")</f>
        <v>#REF!</v>
      </c>
      <c r="BN72" t="e">
        <f>AND(#REF!,"AAAAAB91b0E=")</f>
        <v>#REF!</v>
      </c>
      <c r="BO72" t="e">
        <f>AND(#REF!,"AAAAAB91b0I=")</f>
        <v>#REF!</v>
      </c>
      <c r="BP72" t="e">
        <f>AND(#REF!,"AAAAAB91b0M=")</f>
        <v>#REF!</v>
      </c>
      <c r="BQ72" t="e">
        <f>AND(#REF!,"AAAAAB91b0Q=")</f>
        <v>#REF!</v>
      </c>
      <c r="BR72" t="e">
        <f>AND(#REF!,"AAAAAB91b0U=")</f>
        <v>#REF!</v>
      </c>
      <c r="BS72" t="e">
        <f>AND(#REF!,"AAAAAB91b0Y=")</f>
        <v>#REF!</v>
      </c>
      <c r="BT72" t="e">
        <f>AND(#REF!,"AAAAAB91b0c=")</f>
        <v>#REF!</v>
      </c>
      <c r="BU72" t="e">
        <f>AND(#REF!,"AAAAAB91b0g=")</f>
        <v>#REF!</v>
      </c>
      <c r="BV72" t="e">
        <f>AND(#REF!,"AAAAAB91b0k=")</f>
        <v>#REF!</v>
      </c>
      <c r="BW72" t="e">
        <f>AND(#REF!,"AAAAAB91b0o=")</f>
        <v>#REF!</v>
      </c>
      <c r="BX72" t="e">
        <f>AND(#REF!,"AAAAAB91b0s=")</f>
        <v>#REF!</v>
      </c>
      <c r="BY72" t="e">
        <f>AND(#REF!,"AAAAAB91b0w=")</f>
        <v>#REF!</v>
      </c>
      <c r="BZ72" t="e">
        <f>AND(#REF!,"AAAAAB91b00=")</f>
        <v>#REF!</v>
      </c>
      <c r="CA72" t="e">
        <f>AND(#REF!,"AAAAAB91b04=")</f>
        <v>#REF!</v>
      </c>
      <c r="CB72" t="e">
        <f>AND(#REF!,"AAAAAB91b08=")</f>
        <v>#REF!</v>
      </c>
      <c r="CC72" t="e">
        <f>AND(#REF!,"AAAAAB91b1A=")</f>
        <v>#REF!</v>
      </c>
      <c r="CD72" t="e">
        <f>AND(#REF!,"AAAAAB91b1E=")</f>
        <v>#REF!</v>
      </c>
      <c r="CE72" t="e">
        <f>AND(#REF!,"AAAAAB91b1I=")</f>
        <v>#REF!</v>
      </c>
      <c r="CF72" t="e">
        <f>AND(#REF!,"AAAAAB91b1M=")</f>
        <v>#REF!</v>
      </c>
      <c r="CG72" t="e">
        <f>AND(#REF!,"AAAAAB91b1Q=")</f>
        <v>#REF!</v>
      </c>
      <c r="CH72" t="e">
        <f>AND(#REF!,"AAAAAB91b1U=")</f>
        <v>#REF!</v>
      </c>
      <c r="CI72" t="e">
        <f>AND(#REF!,"AAAAAB91b1Y=")</f>
        <v>#REF!</v>
      </c>
      <c r="CJ72" t="e">
        <f>AND(#REF!,"AAAAAB91b1c=")</f>
        <v>#REF!</v>
      </c>
      <c r="CK72" t="e">
        <f>AND(#REF!,"AAAAAB91b1g=")</f>
        <v>#REF!</v>
      </c>
      <c r="CL72" t="e">
        <f>AND(#REF!,"AAAAAB91b1k=")</f>
        <v>#REF!</v>
      </c>
      <c r="CM72" t="e">
        <f>AND(#REF!,"AAAAAB91b1o=")</f>
        <v>#REF!</v>
      </c>
      <c r="CN72" t="e">
        <f>AND(#REF!,"AAAAAB91b1s=")</f>
        <v>#REF!</v>
      </c>
      <c r="CO72" t="e">
        <f>AND(#REF!,"AAAAAB91b1w=")</f>
        <v>#REF!</v>
      </c>
      <c r="CP72" t="e">
        <f>AND(#REF!,"AAAAAB91b10=")</f>
        <v>#REF!</v>
      </c>
      <c r="CQ72" t="e">
        <f>AND(#REF!,"AAAAAB91b14=")</f>
        <v>#REF!</v>
      </c>
      <c r="CR72" t="e">
        <f>AND(#REF!,"AAAAAB91b18=")</f>
        <v>#REF!</v>
      </c>
      <c r="CS72" t="e">
        <f>AND(#REF!,"AAAAAB91b2A=")</f>
        <v>#REF!</v>
      </c>
      <c r="CT72" t="e">
        <f>AND(#REF!,"AAAAAB91b2E=")</f>
        <v>#REF!</v>
      </c>
      <c r="CU72" t="e">
        <f>AND(#REF!,"AAAAAB91b2I=")</f>
        <v>#REF!</v>
      </c>
      <c r="CV72" t="e">
        <f>AND(#REF!,"AAAAAB91b2M=")</f>
        <v>#REF!</v>
      </c>
      <c r="CW72" t="e">
        <f>AND(#REF!,"AAAAAB91b2Q=")</f>
        <v>#REF!</v>
      </c>
      <c r="CX72" t="e">
        <f>AND(#REF!,"AAAAAB91b2U=")</f>
        <v>#REF!</v>
      </c>
      <c r="CY72" t="e">
        <f>AND(#REF!,"AAAAAB91b2Y=")</f>
        <v>#REF!</v>
      </c>
      <c r="CZ72" t="e">
        <f>AND(#REF!,"AAAAAB91b2c=")</f>
        <v>#REF!</v>
      </c>
      <c r="DA72" t="e">
        <f>AND(#REF!,"AAAAAB91b2g=")</f>
        <v>#REF!</v>
      </c>
      <c r="DB72" t="e">
        <f>AND(#REF!,"AAAAAB91b2k=")</f>
        <v>#REF!</v>
      </c>
      <c r="DC72" t="e">
        <f>AND(#REF!,"AAAAAB91b2o=")</f>
        <v>#REF!</v>
      </c>
      <c r="DD72" t="e">
        <f>AND(#REF!,"AAAAAB91b2s=")</f>
        <v>#REF!</v>
      </c>
      <c r="DE72" t="e">
        <f>AND(#REF!,"AAAAAB91b2w=")</f>
        <v>#REF!</v>
      </c>
      <c r="DF72" t="e">
        <f>AND(#REF!,"AAAAAB91b20=")</f>
        <v>#REF!</v>
      </c>
      <c r="DG72" t="e">
        <f>AND(#REF!,"AAAAAB91b24=")</f>
        <v>#REF!</v>
      </c>
      <c r="DH72" t="e">
        <f>AND(#REF!,"AAAAAB91b28=")</f>
        <v>#REF!</v>
      </c>
      <c r="DI72" t="e">
        <f>AND(#REF!,"AAAAAB91b3A=")</f>
        <v>#REF!</v>
      </c>
      <c r="DJ72" t="e">
        <f>AND(#REF!,"AAAAAB91b3E=")</f>
        <v>#REF!</v>
      </c>
      <c r="DK72" t="e">
        <f>AND(#REF!,"AAAAAB91b3I=")</f>
        <v>#REF!</v>
      </c>
      <c r="DL72" t="e">
        <f>AND(#REF!,"AAAAAB91b3M=")</f>
        <v>#REF!</v>
      </c>
      <c r="DM72" t="e">
        <f>AND(#REF!,"AAAAAB91b3Q=")</f>
        <v>#REF!</v>
      </c>
      <c r="DN72" t="e">
        <f>AND(#REF!,"AAAAAB91b3U=")</f>
        <v>#REF!</v>
      </c>
      <c r="DO72" t="e">
        <f>AND(#REF!,"AAAAAB91b3Y=")</f>
        <v>#REF!</v>
      </c>
      <c r="DP72" t="e">
        <f>AND(#REF!,"AAAAAB91b3c=")</f>
        <v>#REF!</v>
      </c>
      <c r="DQ72" t="e">
        <f>AND(#REF!,"AAAAAB91b3g=")</f>
        <v>#REF!</v>
      </c>
      <c r="DR72" t="e">
        <f>AND(#REF!,"AAAAAB91b3k=")</f>
        <v>#REF!</v>
      </c>
      <c r="DS72" t="e">
        <f>AND(#REF!,"AAAAAB91b3o=")</f>
        <v>#REF!</v>
      </c>
      <c r="DT72" t="e">
        <f>AND(#REF!,"AAAAAB91b3s=")</f>
        <v>#REF!</v>
      </c>
      <c r="DU72" t="e">
        <f>AND(#REF!,"AAAAAB91b3w=")</f>
        <v>#REF!</v>
      </c>
      <c r="DV72" t="e">
        <f>AND(#REF!,"AAAAAB91b30=")</f>
        <v>#REF!</v>
      </c>
      <c r="DW72" t="e">
        <f>AND(#REF!,"AAAAAB91b34=")</f>
        <v>#REF!</v>
      </c>
      <c r="DX72" t="e">
        <f>AND(#REF!,"AAAAAB91b38=")</f>
        <v>#REF!</v>
      </c>
      <c r="DY72" t="e">
        <f>AND(#REF!,"AAAAAB91b4A=")</f>
        <v>#REF!</v>
      </c>
      <c r="DZ72" t="e">
        <f>AND(#REF!,"AAAAAB91b4E=")</f>
        <v>#REF!</v>
      </c>
      <c r="EA72" t="e">
        <f>AND(#REF!,"AAAAAB91b4I=")</f>
        <v>#REF!</v>
      </c>
      <c r="EB72" t="e">
        <f>AND(#REF!,"AAAAAB91b4M=")</f>
        <v>#REF!</v>
      </c>
      <c r="EC72" t="e">
        <f>AND(#REF!,"AAAAAB91b4Q=")</f>
        <v>#REF!</v>
      </c>
      <c r="ED72" t="e">
        <f>AND(#REF!,"AAAAAB91b4U=")</f>
        <v>#REF!</v>
      </c>
      <c r="EE72" t="e">
        <f>AND(#REF!,"AAAAAB91b4Y=")</f>
        <v>#REF!</v>
      </c>
      <c r="EF72" t="e">
        <f>AND(#REF!,"AAAAAB91b4c=")</f>
        <v>#REF!</v>
      </c>
      <c r="EG72" t="e">
        <f>AND(#REF!,"AAAAAB91b4g=")</f>
        <v>#REF!</v>
      </c>
      <c r="EH72" t="e">
        <f>AND(#REF!,"AAAAAB91b4k=")</f>
        <v>#REF!</v>
      </c>
      <c r="EI72" t="e">
        <f>AND(#REF!,"AAAAAB91b4o=")</f>
        <v>#REF!</v>
      </c>
      <c r="EJ72" t="e">
        <f>AND(#REF!,"AAAAAB91b4s=")</f>
        <v>#REF!</v>
      </c>
      <c r="EK72" t="e">
        <f>AND(#REF!,"AAAAAB91b4w=")</f>
        <v>#REF!</v>
      </c>
      <c r="EL72" t="e">
        <f>AND(#REF!,"AAAAAB91b40=")</f>
        <v>#REF!</v>
      </c>
      <c r="EM72" t="e">
        <f>AND(#REF!,"AAAAAB91b44=")</f>
        <v>#REF!</v>
      </c>
      <c r="EN72" t="e">
        <f>AND(#REF!,"AAAAAB91b48=")</f>
        <v>#REF!</v>
      </c>
      <c r="EO72" t="e">
        <f>AND(#REF!,"AAAAAB91b5A=")</f>
        <v>#REF!</v>
      </c>
      <c r="EP72" t="e">
        <f>AND(#REF!,"AAAAAB91b5E=")</f>
        <v>#REF!</v>
      </c>
      <c r="EQ72" t="e">
        <f>AND(#REF!,"AAAAAB91b5I=")</f>
        <v>#REF!</v>
      </c>
      <c r="ER72" t="e">
        <f>AND(#REF!,"AAAAAB91b5M=")</f>
        <v>#REF!</v>
      </c>
      <c r="ES72" t="e">
        <f>AND(#REF!,"AAAAAB91b5Q=")</f>
        <v>#REF!</v>
      </c>
      <c r="ET72" t="e">
        <f>AND(#REF!,"AAAAAB91b5U=")</f>
        <v>#REF!</v>
      </c>
      <c r="EU72" t="e">
        <f>AND(#REF!,"AAAAAB91b5Y=")</f>
        <v>#REF!</v>
      </c>
      <c r="EV72" t="e">
        <f>AND(#REF!,"AAAAAB91b5c=")</f>
        <v>#REF!</v>
      </c>
      <c r="EW72" t="e">
        <f>AND(#REF!,"AAAAAB91b5g=")</f>
        <v>#REF!</v>
      </c>
      <c r="EX72" t="e">
        <f>AND(#REF!,"AAAAAB91b5k=")</f>
        <v>#REF!</v>
      </c>
      <c r="EY72" t="e">
        <f>AND(#REF!,"AAAAAB91b5o=")</f>
        <v>#REF!</v>
      </c>
      <c r="EZ72" t="e">
        <f>IF(#REF!,"AAAAAB91b5s=",0)</f>
        <v>#REF!</v>
      </c>
      <c r="FA72" t="e">
        <f>AND(#REF!,"AAAAAB91b5w=")</f>
        <v>#REF!</v>
      </c>
      <c r="FB72" t="e">
        <f>AND(#REF!,"AAAAAB91b50=")</f>
        <v>#REF!</v>
      </c>
      <c r="FC72" t="e">
        <f>AND(#REF!,"AAAAAB91b54=")</f>
        <v>#REF!</v>
      </c>
      <c r="FD72" t="e">
        <f>AND(#REF!,"AAAAAB91b58=")</f>
        <v>#REF!</v>
      </c>
      <c r="FE72" t="e">
        <f>AND(#REF!,"AAAAAB91b6A=")</f>
        <v>#REF!</v>
      </c>
      <c r="FF72" t="e">
        <f>AND(#REF!,"AAAAAB91b6E=")</f>
        <v>#REF!</v>
      </c>
      <c r="FG72" t="e">
        <f>AND(#REF!,"AAAAAB91b6I=")</f>
        <v>#REF!</v>
      </c>
      <c r="FH72" t="e">
        <f>AND(#REF!,"AAAAAB91b6M=")</f>
        <v>#REF!</v>
      </c>
      <c r="FI72" t="e">
        <f>AND(#REF!,"AAAAAB91b6Q=")</f>
        <v>#REF!</v>
      </c>
      <c r="FJ72" t="e">
        <f>AND(#REF!,"AAAAAB91b6U=")</f>
        <v>#REF!</v>
      </c>
      <c r="FK72" t="e">
        <f>AND(#REF!,"AAAAAB91b6Y=")</f>
        <v>#REF!</v>
      </c>
      <c r="FL72" t="e">
        <f>AND(#REF!,"AAAAAB91b6c=")</f>
        <v>#REF!</v>
      </c>
      <c r="FM72" t="e">
        <f>AND(#REF!,"AAAAAB91b6g=")</f>
        <v>#REF!</v>
      </c>
      <c r="FN72" t="e">
        <f>AND(#REF!,"AAAAAB91b6k=")</f>
        <v>#REF!</v>
      </c>
      <c r="FO72" t="e">
        <f>AND(#REF!,"AAAAAB91b6o=")</f>
        <v>#REF!</v>
      </c>
      <c r="FP72" t="e">
        <f>AND(#REF!,"AAAAAB91b6s=")</f>
        <v>#REF!</v>
      </c>
      <c r="FQ72" t="e">
        <f>AND(#REF!,"AAAAAB91b6w=")</f>
        <v>#REF!</v>
      </c>
      <c r="FR72" t="e">
        <f>AND(#REF!,"AAAAAB91b60=")</f>
        <v>#REF!</v>
      </c>
      <c r="FS72" t="e">
        <f>AND(#REF!,"AAAAAB91b64=")</f>
        <v>#REF!</v>
      </c>
      <c r="FT72" t="e">
        <f>AND(#REF!,"AAAAAB91b68=")</f>
        <v>#REF!</v>
      </c>
      <c r="FU72" t="e">
        <f>AND(#REF!,"AAAAAB91b7A=")</f>
        <v>#REF!</v>
      </c>
      <c r="FV72" t="e">
        <f>AND(#REF!,"AAAAAB91b7E=")</f>
        <v>#REF!</v>
      </c>
      <c r="FW72" t="e">
        <f>AND(#REF!,"AAAAAB91b7I=")</f>
        <v>#REF!</v>
      </c>
      <c r="FX72" t="e">
        <f>AND(#REF!,"AAAAAB91b7M=")</f>
        <v>#REF!</v>
      </c>
      <c r="FY72" t="e">
        <f>AND(#REF!,"AAAAAB91b7Q=")</f>
        <v>#REF!</v>
      </c>
      <c r="FZ72" t="e">
        <f>AND(#REF!,"AAAAAB91b7U=")</f>
        <v>#REF!</v>
      </c>
      <c r="GA72" t="e">
        <f>AND(#REF!,"AAAAAB91b7Y=")</f>
        <v>#REF!</v>
      </c>
      <c r="GB72" t="e">
        <f>AND(#REF!,"AAAAAB91b7c=")</f>
        <v>#REF!</v>
      </c>
      <c r="GC72" t="e">
        <f>AND(#REF!,"AAAAAB91b7g=")</f>
        <v>#REF!</v>
      </c>
      <c r="GD72" t="e">
        <f>AND(#REF!,"AAAAAB91b7k=")</f>
        <v>#REF!</v>
      </c>
      <c r="GE72" t="e">
        <f>AND(#REF!,"AAAAAB91b7o=")</f>
        <v>#REF!</v>
      </c>
      <c r="GF72" t="e">
        <f>AND(#REF!,"AAAAAB91b7s=")</f>
        <v>#REF!</v>
      </c>
      <c r="GG72" t="e">
        <f>AND(#REF!,"AAAAAB91b7w=")</f>
        <v>#REF!</v>
      </c>
      <c r="GH72" t="e">
        <f>AND(#REF!,"AAAAAB91b70=")</f>
        <v>#REF!</v>
      </c>
      <c r="GI72" t="e">
        <f>AND(#REF!,"AAAAAB91b74=")</f>
        <v>#REF!</v>
      </c>
      <c r="GJ72" t="e">
        <f>AND(#REF!,"AAAAAB91b78=")</f>
        <v>#REF!</v>
      </c>
      <c r="GK72" t="e">
        <f>AND(#REF!,"AAAAAB91b8A=")</f>
        <v>#REF!</v>
      </c>
      <c r="GL72" t="e">
        <f>AND(#REF!,"AAAAAB91b8E=")</f>
        <v>#REF!</v>
      </c>
      <c r="GM72" t="e">
        <f>AND(#REF!,"AAAAAB91b8I=")</f>
        <v>#REF!</v>
      </c>
      <c r="GN72" t="e">
        <f>AND(#REF!,"AAAAAB91b8M=")</f>
        <v>#REF!</v>
      </c>
      <c r="GO72" t="e">
        <f>AND(#REF!,"AAAAAB91b8Q=")</f>
        <v>#REF!</v>
      </c>
      <c r="GP72" t="e">
        <f>AND(#REF!,"AAAAAB91b8U=")</f>
        <v>#REF!</v>
      </c>
      <c r="GQ72" t="e">
        <f>AND(#REF!,"AAAAAB91b8Y=")</f>
        <v>#REF!</v>
      </c>
      <c r="GR72" t="e">
        <f>AND(#REF!,"AAAAAB91b8c=")</f>
        <v>#REF!</v>
      </c>
      <c r="GS72" t="e">
        <f>AND(#REF!,"AAAAAB91b8g=")</f>
        <v>#REF!</v>
      </c>
      <c r="GT72" t="e">
        <f>AND(#REF!,"AAAAAB91b8k=")</f>
        <v>#REF!</v>
      </c>
      <c r="GU72" t="e">
        <f>AND(#REF!,"AAAAAB91b8o=")</f>
        <v>#REF!</v>
      </c>
      <c r="GV72" t="e">
        <f>AND(#REF!,"AAAAAB91b8s=")</f>
        <v>#REF!</v>
      </c>
      <c r="GW72" t="e">
        <f>AND(#REF!,"AAAAAB91b8w=")</f>
        <v>#REF!</v>
      </c>
      <c r="GX72" t="e">
        <f>AND(#REF!,"AAAAAB91b80=")</f>
        <v>#REF!</v>
      </c>
      <c r="GY72" t="e">
        <f>AND(#REF!,"AAAAAB91b84=")</f>
        <v>#REF!</v>
      </c>
      <c r="GZ72" t="e">
        <f>AND(#REF!,"AAAAAB91b88=")</f>
        <v>#REF!</v>
      </c>
      <c r="HA72" t="e">
        <f>AND(#REF!,"AAAAAB91b9A=")</f>
        <v>#REF!</v>
      </c>
      <c r="HB72" t="e">
        <f>AND(#REF!,"AAAAAB91b9E=")</f>
        <v>#REF!</v>
      </c>
      <c r="HC72" t="e">
        <f>AND(#REF!,"AAAAAB91b9I=")</f>
        <v>#REF!</v>
      </c>
      <c r="HD72" t="e">
        <f>AND(#REF!,"AAAAAB91b9M=")</f>
        <v>#REF!</v>
      </c>
      <c r="HE72" t="e">
        <f>AND(#REF!,"AAAAAB91b9Q=")</f>
        <v>#REF!</v>
      </c>
      <c r="HF72" t="e">
        <f>AND(#REF!,"AAAAAB91b9U=")</f>
        <v>#REF!</v>
      </c>
      <c r="HG72" t="e">
        <f>AND(#REF!,"AAAAAB91b9Y=")</f>
        <v>#REF!</v>
      </c>
      <c r="HH72" t="e">
        <f>AND(#REF!,"AAAAAB91b9c=")</f>
        <v>#REF!</v>
      </c>
      <c r="HI72" t="e">
        <f>AND(#REF!,"AAAAAB91b9g=")</f>
        <v>#REF!</v>
      </c>
      <c r="HJ72" t="e">
        <f>AND(#REF!,"AAAAAB91b9k=")</f>
        <v>#REF!</v>
      </c>
      <c r="HK72" t="e">
        <f>AND(#REF!,"AAAAAB91b9o=")</f>
        <v>#REF!</v>
      </c>
      <c r="HL72" t="e">
        <f>AND(#REF!,"AAAAAB91b9s=")</f>
        <v>#REF!</v>
      </c>
      <c r="HM72" t="e">
        <f>AND(#REF!,"AAAAAB91b9w=")</f>
        <v>#REF!</v>
      </c>
      <c r="HN72" t="e">
        <f>AND(#REF!,"AAAAAB91b90=")</f>
        <v>#REF!</v>
      </c>
      <c r="HO72" t="e">
        <f>AND(#REF!,"AAAAAB91b94=")</f>
        <v>#REF!</v>
      </c>
      <c r="HP72" t="e">
        <f>AND(#REF!,"AAAAAB91b98=")</f>
        <v>#REF!</v>
      </c>
      <c r="HQ72" t="e">
        <f>AND(#REF!,"AAAAAB91b+A=")</f>
        <v>#REF!</v>
      </c>
      <c r="HR72" t="e">
        <f>AND(#REF!,"AAAAAB91b+E=")</f>
        <v>#REF!</v>
      </c>
      <c r="HS72" t="e">
        <f>AND(#REF!,"AAAAAB91b+I=")</f>
        <v>#REF!</v>
      </c>
      <c r="HT72" t="e">
        <f>AND(#REF!,"AAAAAB91b+M=")</f>
        <v>#REF!</v>
      </c>
      <c r="HU72" t="e">
        <f>AND(#REF!,"AAAAAB91b+Q=")</f>
        <v>#REF!</v>
      </c>
      <c r="HV72" t="e">
        <f>AND(#REF!,"AAAAAB91b+U=")</f>
        <v>#REF!</v>
      </c>
      <c r="HW72" t="e">
        <f>AND(#REF!,"AAAAAB91b+Y=")</f>
        <v>#REF!</v>
      </c>
      <c r="HX72" t="e">
        <f>AND(#REF!,"AAAAAB91b+c=")</f>
        <v>#REF!</v>
      </c>
      <c r="HY72" t="e">
        <f>AND(#REF!,"AAAAAB91b+g=")</f>
        <v>#REF!</v>
      </c>
      <c r="HZ72" t="e">
        <f>AND(#REF!,"AAAAAB91b+k=")</f>
        <v>#REF!</v>
      </c>
      <c r="IA72" t="e">
        <f>AND(#REF!,"AAAAAB91b+o=")</f>
        <v>#REF!</v>
      </c>
      <c r="IB72" t="e">
        <f>AND(#REF!,"AAAAAB91b+s=")</f>
        <v>#REF!</v>
      </c>
      <c r="IC72" t="e">
        <f>AND(#REF!,"AAAAAB91b+w=")</f>
        <v>#REF!</v>
      </c>
      <c r="ID72" t="e">
        <f>AND(#REF!,"AAAAAB91b+0=")</f>
        <v>#REF!</v>
      </c>
      <c r="IE72" t="e">
        <f>AND(#REF!,"AAAAAB91b+4=")</f>
        <v>#REF!</v>
      </c>
      <c r="IF72" t="e">
        <f>AND(#REF!,"AAAAAB91b+8=")</f>
        <v>#REF!</v>
      </c>
      <c r="IG72" t="e">
        <f>AND(#REF!,"AAAAAB91b/A=")</f>
        <v>#REF!</v>
      </c>
      <c r="IH72" t="e">
        <f>AND(#REF!,"AAAAAB91b/E=")</f>
        <v>#REF!</v>
      </c>
      <c r="II72" t="e">
        <f>AND(#REF!,"AAAAAB91b/I=")</f>
        <v>#REF!</v>
      </c>
      <c r="IJ72" t="e">
        <f>AND(#REF!,"AAAAAB91b/M=")</f>
        <v>#REF!</v>
      </c>
      <c r="IK72" t="e">
        <f>AND(#REF!,"AAAAAB91b/Q=")</f>
        <v>#REF!</v>
      </c>
      <c r="IL72" t="e">
        <f>AND(#REF!,"AAAAAB91b/U=")</f>
        <v>#REF!</v>
      </c>
      <c r="IM72" t="e">
        <f>AND(#REF!,"AAAAAB91b/Y=")</f>
        <v>#REF!</v>
      </c>
      <c r="IN72" t="e">
        <f>AND(#REF!,"AAAAAB91b/c=")</f>
        <v>#REF!</v>
      </c>
      <c r="IO72" t="e">
        <f>AND(#REF!,"AAAAAB91b/g=")</f>
        <v>#REF!</v>
      </c>
      <c r="IP72" t="e">
        <f>AND(#REF!,"AAAAAB91b/k=")</f>
        <v>#REF!</v>
      </c>
      <c r="IQ72" t="e">
        <f>AND(#REF!,"AAAAAB91b/o=")</f>
        <v>#REF!</v>
      </c>
      <c r="IR72" t="e">
        <f>AND(#REF!,"AAAAAB91b/s=")</f>
        <v>#REF!</v>
      </c>
      <c r="IS72" t="e">
        <f>AND(#REF!,"AAAAAB91b/w=")</f>
        <v>#REF!</v>
      </c>
      <c r="IT72" t="e">
        <f>AND(#REF!,"AAAAAB91b/0=")</f>
        <v>#REF!</v>
      </c>
      <c r="IU72" t="e">
        <f>AND(#REF!,"AAAAAB91b/4=")</f>
        <v>#REF!</v>
      </c>
      <c r="IV72" t="e">
        <f>AND(#REF!,"AAAAAB91b/8=")</f>
        <v>#REF!</v>
      </c>
    </row>
    <row r="73" spans="1:256" x14ac:dyDescent="0.25">
      <c r="A73" t="e">
        <f>AND(#REF!,"AAAAAHd/7wA=")</f>
        <v>#REF!</v>
      </c>
      <c r="B73" t="e">
        <f>AND(#REF!,"AAAAAHd/7wE=")</f>
        <v>#REF!</v>
      </c>
      <c r="C73" t="e">
        <f>AND(#REF!,"AAAAAHd/7wI=")</f>
        <v>#REF!</v>
      </c>
      <c r="D73" t="e">
        <f>AND(#REF!,"AAAAAHd/7wM=")</f>
        <v>#REF!</v>
      </c>
      <c r="E73" t="e">
        <f>AND(#REF!,"AAAAAHd/7wQ=")</f>
        <v>#REF!</v>
      </c>
      <c r="F73" t="e">
        <f>AND(#REF!,"AAAAAHd/7wU=")</f>
        <v>#REF!</v>
      </c>
      <c r="G73" t="e">
        <f>AND(#REF!,"AAAAAHd/7wY=")</f>
        <v>#REF!</v>
      </c>
      <c r="H73" t="e">
        <f>AND(#REF!,"AAAAAHd/7wc=")</f>
        <v>#REF!</v>
      </c>
      <c r="I73" t="e">
        <f>AND(#REF!,"AAAAAHd/7wg=")</f>
        <v>#REF!</v>
      </c>
      <c r="J73" t="e">
        <f>AND(#REF!,"AAAAAHd/7wk=")</f>
        <v>#REF!</v>
      </c>
      <c r="K73" t="e">
        <f>AND(#REF!,"AAAAAHd/7wo=")</f>
        <v>#REF!</v>
      </c>
      <c r="L73" t="e">
        <f>AND(#REF!,"AAAAAHd/7ws=")</f>
        <v>#REF!</v>
      </c>
      <c r="M73" t="e">
        <f>AND(#REF!,"AAAAAHd/7ww=")</f>
        <v>#REF!</v>
      </c>
      <c r="N73" t="e">
        <f>AND(#REF!,"AAAAAHd/7w0=")</f>
        <v>#REF!</v>
      </c>
      <c r="O73" t="e">
        <f>AND(#REF!,"AAAAAHd/7w4=")</f>
        <v>#REF!</v>
      </c>
      <c r="P73" t="e">
        <f>AND(#REF!,"AAAAAHd/7w8=")</f>
        <v>#REF!</v>
      </c>
      <c r="Q73" t="e">
        <f>AND(#REF!,"AAAAAHd/7xA=")</f>
        <v>#REF!</v>
      </c>
      <c r="R73" t="e">
        <f>AND(#REF!,"AAAAAHd/7xE=")</f>
        <v>#REF!</v>
      </c>
      <c r="S73" t="e">
        <f>AND(#REF!,"AAAAAHd/7xI=")</f>
        <v>#REF!</v>
      </c>
      <c r="T73" t="e">
        <f>AND(#REF!,"AAAAAHd/7xM=")</f>
        <v>#REF!</v>
      </c>
      <c r="U73" t="e">
        <f>AND(#REF!,"AAAAAHd/7xQ=")</f>
        <v>#REF!</v>
      </c>
      <c r="V73" t="e">
        <f>AND(#REF!,"AAAAAHd/7xU=")</f>
        <v>#REF!</v>
      </c>
      <c r="W73" t="e">
        <f>AND(#REF!,"AAAAAHd/7xY=")</f>
        <v>#REF!</v>
      </c>
      <c r="X73" t="e">
        <f>AND(#REF!,"AAAAAHd/7xc=")</f>
        <v>#REF!</v>
      </c>
      <c r="Y73" t="e">
        <f>AND(#REF!,"AAAAAHd/7xg=")</f>
        <v>#REF!</v>
      </c>
      <c r="Z73" t="e">
        <f>AND(#REF!,"AAAAAHd/7xk=")</f>
        <v>#REF!</v>
      </c>
      <c r="AA73" t="e">
        <f>AND(#REF!,"AAAAAHd/7xo=")</f>
        <v>#REF!</v>
      </c>
      <c r="AB73" t="e">
        <f>AND(#REF!,"AAAAAHd/7xs=")</f>
        <v>#REF!</v>
      </c>
      <c r="AC73" t="e">
        <f>AND(#REF!,"AAAAAHd/7xw=")</f>
        <v>#REF!</v>
      </c>
      <c r="AD73" t="e">
        <f>AND(#REF!,"AAAAAHd/7x0=")</f>
        <v>#REF!</v>
      </c>
      <c r="AE73" t="e">
        <f>AND(#REF!,"AAAAAHd/7x4=")</f>
        <v>#REF!</v>
      </c>
      <c r="AF73" t="e">
        <f>AND(#REF!,"AAAAAHd/7x8=")</f>
        <v>#REF!</v>
      </c>
      <c r="AG73" t="e">
        <f>AND(#REF!,"AAAAAHd/7yA=")</f>
        <v>#REF!</v>
      </c>
      <c r="AH73" t="e">
        <f>AND(#REF!,"AAAAAHd/7yE=")</f>
        <v>#REF!</v>
      </c>
      <c r="AI73" t="e">
        <f>AND(#REF!,"AAAAAHd/7yI=")</f>
        <v>#REF!</v>
      </c>
      <c r="AJ73" t="e">
        <f>AND(#REF!,"AAAAAHd/7yM=")</f>
        <v>#REF!</v>
      </c>
      <c r="AK73" t="e">
        <f>AND(#REF!,"AAAAAHd/7yQ=")</f>
        <v>#REF!</v>
      </c>
      <c r="AL73" t="e">
        <f>AND(#REF!,"AAAAAHd/7yU=")</f>
        <v>#REF!</v>
      </c>
      <c r="AM73" t="e">
        <f>AND(#REF!,"AAAAAHd/7yY=")</f>
        <v>#REF!</v>
      </c>
      <c r="AN73" t="e">
        <f>AND(#REF!,"AAAAAHd/7yc=")</f>
        <v>#REF!</v>
      </c>
      <c r="AO73" t="e">
        <f>AND(#REF!,"AAAAAHd/7yg=")</f>
        <v>#REF!</v>
      </c>
      <c r="AP73" t="e">
        <f>AND(#REF!,"AAAAAHd/7yk=")</f>
        <v>#REF!</v>
      </c>
      <c r="AQ73" t="e">
        <f>AND(#REF!,"AAAAAHd/7yo=")</f>
        <v>#REF!</v>
      </c>
      <c r="AR73" t="e">
        <f>AND(#REF!,"AAAAAHd/7ys=")</f>
        <v>#REF!</v>
      </c>
      <c r="AS73" t="e">
        <f>AND(#REF!,"AAAAAHd/7yw=")</f>
        <v>#REF!</v>
      </c>
      <c r="AT73" t="e">
        <f>AND(#REF!,"AAAAAHd/7y0=")</f>
        <v>#REF!</v>
      </c>
      <c r="AU73" t="e">
        <f>AND(#REF!,"AAAAAHd/7y4=")</f>
        <v>#REF!</v>
      </c>
      <c r="AV73" t="e">
        <f>AND(#REF!,"AAAAAHd/7y8=")</f>
        <v>#REF!</v>
      </c>
      <c r="AW73" t="e">
        <f>AND(#REF!,"AAAAAHd/7zA=")</f>
        <v>#REF!</v>
      </c>
      <c r="AX73" t="e">
        <f>AND(#REF!,"AAAAAHd/7zE=")</f>
        <v>#REF!</v>
      </c>
      <c r="AY73" t="e">
        <f>AND(#REF!,"AAAAAHd/7zI=")</f>
        <v>#REF!</v>
      </c>
      <c r="AZ73" t="e">
        <f>AND(#REF!,"AAAAAHd/7zM=")</f>
        <v>#REF!</v>
      </c>
      <c r="BA73" t="e">
        <f>AND(#REF!,"AAAAAHd/7zQ=")</f>
        <v>#REF!</v>
      </c>
      <c r="BB73" t="e">
        <f>AND(#REF!,"AAAAAHd/7zU=")</f>
        <v>#REF!</v>
      </c>
      <c r="BC73" t="e">
        <f>AND(#REF!,"AAAAAHd/7zY=")</f>
        <v>#REF!</v>
      </c>
      <c r="BD73" t="e">
        <f>AND(#REF!,"AAAAAHd/7zc=")</f>
        <v>#REF!</v>
      </c>
      <c r="BE73" t="e">
        <f>AND(#REF!,"AAAAAHd/7zg=")</f>
        <v>#REF!</v>
      </c>
      <c r="BF73" t="e">
        <f>AND(#REF!,"AAAAAHd/7zk=")</f>
        <v>#REF!</v>
      </c>
      <c r="BG73" t="e">
        <f>AND(#REF!,"AAAAAHd/7zo=")</f>
        <v>#REF!</v>
      </c>
      <c r="BH73" t="e">
        <f>AND(#REF!,"AAAAAHd/7zs=")</f>
        <v>#REF!</v>
      </c>
      <c r="BI73" t="e">
        <f>AND(#REF!,"AAAAAHd/7zw=")</f>
        <v>#REF!</v>
      </c>
      <c r="BJ73" t="e">
        <f>AND(#REF!,"AAAAAHd/7z0=")</f>
        <v>#REF!</v>
      </c>
      <c r="BK73" t="e">
        <f>AND(#REF!,"AAAAAHd/7z4=")</f>
        <v>#REF!</v>
      </c>
      <c r="BL73" t="e">
        <f>AND(#REF!,"AAAAAHd/7z8=")</f>
        <v>#REF!</v>
      </c>
      <c r="BM73" t="e">
        <f>AND(#REF!,"AAAAAHd/70A=")</f>
        <v>#REF!</v>
      </c>
      <c r="BN73" t="e">
        <f>AND(#REF!,"AAAAAHd/70E=")</f>
        <v>#REF!</v>
      </c>
      <c r="BO73" t="e">
        <f>AND(#REF!,"AAAAAHd/70I=")</f>
        <v>#REF!</v>
      </c>
      <c r="BP73" t="e">
        <f>AND(#REF!,"AAAAAHd/70M=")</f>
        <v>#REF!</v>
      </c>
      <c r="BQ73" t="e">
        <f>AND(#REF!,"AAAAAHd/70Q=")</f>
        <v>#REF!</v>
      </c>
      <c r="BR73" t="e">
        <f>AND(#REF!,"AAAAAHd/70U=")</f>
        <v>#REF!</v>
      </c>
      <c r="BS73" t="e">
        <f>AND(#REF!,"AAAAAHd/70Y=")</f>
        <v>#REF!</v>
      </c>
      <c r="BT73" t="e">
        <f>AND(#REF!,"AAAAAHd/70c=")</f>
        <v>#REF!</v>
      </c>
      <c r="BU73" t="e">
        <f>AND(#REF!,"AAAAAHd/70g=")</f>
        <v>#REF!</v>
      </c>
      <c r="BV73" t="e">
        <f>AND(#REF!,"AAAAAHd/70k=")</f>
        <v>#REF!</v>
      </c>
      <c r="BW73" t="e">
        <f>AND(#REF!,"AAAAAHd/70o=")</f>
        <v>#REF!</v>
      </c>
      <c r="BX73" t="e">
        <f>AND(#REF!,"AAAAAHd/70s=")</f>
        <v>#REF!</v>
      </c>
      <c r="BY73" t="e">
        <f>AND(#REF!,"AAAAAHd/70w=")</f>
        <v>#REF!</v>
      </c>
      <c r="BZ73" t="e">
        <f>IF(#REF!,"AAAAAHd/700=",0)</f>
        <v>#REF!</v>
      </c>
      <c r="CA73" t="e">
        <f>AND(#REF!,"AAAAAHd/704=")</f>
        <v>#REF!</v>
      </c>
      <c r="CB73" t="e">
        <f>AND(#REF!,"AAAAAHd/708=")</f>
        <v>#REF!</v>
      </c>
      <c r="CC73" t="e">
        <f>AND(#REF!,"AAAAAHd/71A=")</f>
        <v>#REF!</v>
      </c>
      <c r="CD73" t="e">
        <f>AND(#REF!,"AAAAAHd/71E=")</f>
        <v>#REF!</v>
      </c>
      <c r="CE73" t="e">
        <f>AND(#REF!,"AAAAAHd/71I=")</f>
        <v>#REF!</v>
      </c>
      <c r="CF73" t="e">
        <f>AND(#REF!,"AAAAAHd/71M=")</f>
        <v>#REF!</v>
      </c>
      <c r="CG73" t="e">
        <f>AND(#REF!,"AAAAAHd/71Q=")</f>
        <v>#REF!</v>
      </c>
      <c r="CH73" t="e">
        <f>AND(#REF!,"AAAAAHd/71U=")</f>
        <v>#REF!</v>
      </c>
      <c r="CI73" t="e">
        <f>AND(#REF!,"AAAAAHd/71Y=")</f>
        <v>#REF!</v>
      </c>
      <c r="CJ73" t="e">
        <f>AND(#REF!,"AAAAAHd/71c=")</f>
        <v>#REF!</v>
      </c>
      <c r="CK73" t="e">
        <f>AND(#REF!,"AAAAAHd/71g=")</f>
        <v>#REF!</v>
      </c>
      <c r="CL73" t="e">
        <f>AND(#REF!,"AAAAAHd/71k=")</f>
        <v>#REF!</v>
      </c>
      <c r="CM73" t="e">
        <f>AND(#REF!,"AAAAAHd/71o=")</f>
        <v>#REF!</v>
      </c>
      <c r="CN73" t="e">
        <f>AND(#REF!,"AAAAAHd/71s=")</f>
        <v>#REF!</v>
      </c>
      <c r="CO73" t="e">
        <f>AND(#REF!,"AAAAAHd/71w=")</f>
        <v>#REF!</v>
      </c>
      <c r="CP73" t="e">
        <f>AND(#REF!,"AAAAAHd/710=")</f>
        <v>#REF!</v>
      </c>
      <c r="CQ73" t="e">
        <f>AND(#REF!,"AAAAAHd/714=")</f>
        <v>#REF!</v>
      </c>
      <c r="CR73" t="e">
        <f>AND(#REF!,"AAAAAHd/718=")</f>
        <v>#REF!</v>
      </c>
      <c r="CS73" t="e">
        <f>AND(#REF!,"AAAAAHd/72A=")</f>
        <v>#REF!</v>
      </c>
      <c r="CT73" t="e">
        <f>AND(#REF!,"AAAAAHd/72E=")</f>
        <v>#REF!</v>
      </c>
      <c r="CU73" t="e">
        <f>AND(#REF!,"AAAAAHd/72I=")</f>
        <v>#REF!</v>
      </c>
      <c r="CV73" t="e">
        <f>AND(#REF!,"AAAAAHd/72M=")</f>
        <v>#REF!</v>
      </c>
      <c r="CW73" t="e">
        <f>AND(#REF!,"AAAAAHd/72Q=")</f>
        <v>#REF!</v>
      </c>
      <c r="CX73" t="e">
        <f>AND(#REF!,"AAAAAHd/72U=")</f>
        <v>#REF!</v>
      </c>
      <c r="CY73" t="e">
        <f>AND(#REF!,"AAAAAHd/72Y=")</f>
        <v>#REF!</v>
      </c>
      <c r="CZ73" t="e">
        <f>AND(#REF!,"AAAAAHd/72c=")</f>
        <v>#REF!</v>
      </c>
      <c r="DA73" t="e">
        <f>AND(#REF!,"AAAAAHd/72g=")</f>
        <v>#REF!</v>
      </c>
      <c r="DB73" t="e">
        <f>AND(#REF!,"AAAAAHd/72k=")</f>
        <v>#REF!</v>
      </c>
      <c r="DC73" t="e">
        <f>AND(#REF!,"AAAAAHd/72o=")</f>
        <v>#REF!</v>
      </c>
      <c r="DD73" t="e">
        <f>AND(#REF!,"AAAAAHd/72s=")</f>
        <v>#REF!</v>
      </c>
      <c r="DE73" t="e">
        <f>AND(#REF!,"AAAAAHd/72w=")</f>
        <v>#REF!</v>
      </c>
      <c r="DF73" t="e">
        <f>AND(#REF!,"AAAAAHd/720=")</f>
        <v>#REF!</v>
      </c>
      <c r="DG73" t="e">
        <f>AND(#REF!,"AAAAAHd/724=")</f>
        <v>#REF!</v>
      </c>
      <c r="DH73" t="e">
        <f>AND(#REF!,"AAAAAHd/728=")</f>
        <v>#REF!</v>
      </c>
      <c r="DI73" t="e">
        <f>AND(#REF!,"AAAAAHd/73A=")</f>
        <v>#REF!</v>
      </c>
      <c r="DJ73" t="e">
        <f>AND(#REF!,"AAAAAHd/73E=")</f>
        <v>#REF!</v>
      </c>
      <c r="DK73" t="e">
        <f>AND(#REF!,"AAAAAHd/73I=")</f>
        <v>#REF!</v>
      </c>
      <c r="DL73" t="e">
        <f>AND(#REF!,"AAAAAHd/73M=")</f>
        <v>#REF!</v>
      </c>
      <c r="DM73" t="e">
        <f>AND(#REF!,"AAAAAHd/73Q=")</f>
        <v>#REF!</v>
      </c>
      <c r="DN73" t="e">
        <f>AND(#REF!,"AAAAAHd/73U=")</f>
        <v>#REF!</v>
      </c>
      <c r="DO73" t="e">
        <f>AND(#REF!,"AAAAAHd/73Y=")</f>
        <v>#REF!</v>
      </c>
      <c r="DP73" t="e">
        <f>AND(#REF!,"AAAAAHd/73c=")</f>
        <v>#REF!</v>
      </c>
      <c r="DQ73" t="e">
        <f>AND(#REF!,"AAAAAHd/73g=")</f>
        <v>#REF!</v>
      </c>
      <c r="DR73" t="e">
        <f>AND(#REF!,"AAAAAHd/73k=")</f>
        <v>#REF!</v>
      </c>
      <c r="DS73" t="e">
        <f>AND(#REF!,"AAAAAHd/73o=")</f>
        <v>#REF!</v>
      </c>
      <c r="DT73" t="e">
        <f>AND(#REF!,"AAAAAHd/73s=")</f>
        <v>#REF!</v>
      </c>
      <c r="DU73" t="e">
        <f>AND(#REF!,"AAAAAHd/73w=")</f>
        <v>#REF!</v>
      </c>
      <c r="DV73" t="e">
        <f>AND(#REF!,"AAAAAHd/730=")</f>
        <v>#REF!</v>
      </c>
      <c r="DW73" t="e">
        <f>AND(#REF!,"AAAAAHd/734=")</f>
        <v>#REF!</v>
      </c>
      <c r="DX73" t="e">
        <f>AND(#REF!,"AAAAAHd/738=")</f>
        <v>#REF!</v>
      </c>
      <c r="DY73" t="e">
        <f>AND(#REF!,"AAAAAHd/74A=")</f>
        <v>#REF!</v>
      </c>
      <c r="DZ73" t="e">
        <f>AND(#REF!,"AAAAAHd/74E=")</f>
        <v>#REF!</v>
      </c>
      <c r="EA73" t="e">
        <f>AND(#REF!,"AAAAAHd/74I=")</f>
        <v>#REF!</v>
      </c>
      <c r="EB73" t="e">
        <f>AND(#REF!,"AAAAAHd/74M=")</f>
        <v>#REF!</v>
      </c>
      <c r="EC73" t="e">
        <f>AND(#REF!,"AAAAAHd/74Q=")</f>
        <v>#REF!</v>
      </c>
      <c r="ED73" t="e">
        <f>AND(#REF!,"AAAAAHd/74U=")</f>
        <v>#REF!</v>
      </c>
      <c r="EE73" t="e">
        <f>AND(#REF!,"AAAAAHd/74Y=")</f>
        <v>#REF!</v>
      </c>
      <c r="EF73" t="e">
        <f>AND(#REF!,"AAAAAHd/74c=")</f>
        <v>#REF!</v>
      </c>
      <c r="EG73" t="e">
        <f>AND(#REF!,"AAAAAHd/74g=")</f>
        <v>#REF!</v>
      </c>
      <c r="EH73" t="e">
        <f>AND(#REF!,"AAAAAHd/74k=")</f>
        <v>#REF!</v>
      </c>
      <c r="EI73" t="e">
        <f>AND(#REF!,"AAAAAHd/74o=")</f>
        <v>#REF!</v>
      </c>
      <c r="EJ73" t="e">
        <f>AND(#REF!,"AAAAAHd/74s=")</f>
        <v>#REF!</v>
      </c>
      <c r="EK73" t="e">
        <f>AND(#REF!,"AAAAAHd/74w=")</f>
        <v>#REF!</v>
      </c>
      <c r="EL73" t="e">
        <f>AND(#REF!,"AAAAAHd/740=")</f>
        <v>#REF!</v>
      </c>
      <c r="EM73" t="e">
        <f>AND(#REF!,"AAAAAHd/744=")</f>
        <v>#REF!</v>
      </c>
      <c r="EN73" t="e">
        <f>AND(#REF!,"AAAAAHd/748=")</f>
        <v>#REF!</v>
      </c>
      <c r="EO73" t="e">
        <f>AND(#REF!,"AAAAAHd/75A=")</f>
        <v>#REF!</v>
      </c>
      <c r="EP73" t="e">
        <f>AND(#REF!,"AAAAAHd/75E=")</f>
        <v>#REF!</v>
      </c>
      <c r="EQ73" t="e">
        <f>AND(#REF!,"AAAAAHd/75I=")</f>
        <v>#REF!</v>
      </c>
      <c r="ER73" t="e">
        <f>AND(#REF!,"AAAAAHd/75M=")</f>
        <v>#REF!</v>
      </c>
      <c r="ES73" t="e">
        <f>AND(#REF!,"AAAAAHd/75Q=")</f>
        <v>#REF!</v>
      </c>
      <c r="ET73" t="e">
        <f>AND(#REF!,"AAAAAHd/75U=")</f>
        <v>#REF!</v>
      </c>
      <c r="EU73" t="e">
        <f>AND(#REF!,"AAAAAHd/75Y=")</f>
        <v>#REF!</v>
      </c>
      <c r="EV73" t="e">
        <f>AND(#REF!,"AAAAAHd/75c=")</f>
        <v>#REF!</v>
      </c>
      <c r="EW73" t="e">
        <f>AND(#REF!,"AAAAAHd/75g=")</f>
        <v>#REF!</v>
      </c>
      <c r="EX73" t="e">
        <f>AND(#REF!,"AAAAAHd/75k=")</f>
        <v>#REF!</v>
      </c>
      <c r="EY73" t="e">
        <f>AND(#REF!,"AAAAAHd/75o=")</f>
        <v>#REF!</v>
      </c>
      <c r="EZ73" t="e">
        <f>AND(#REF!,"AAAAAHd/75s=")</f>
        <v>#REF!</v>
      </c>
      <c r="FA73" t="e">
        <f>AND(#REF!,"AAAAAHd/75w=")</f>
        <v>#REF!</v>
      </c>
      <c r="FB73" t="e">
        <f>AND(#REF!,"AAAAAHd/750=")</f>
        <v>#REF!</v>
      </c>
      <c r="FC73" t="e">
        <f>AND(#REF!,"AAAAAHd/754=")</f>
        <v>#REF!</v>
      </c>
      <c r="FD73" t="e">
        <f>AND(#REF!,"AAAAAHd/758=")</f>
        <v>#REF!</v>
      </c>
      <c r="FE73" t="e">
        <f>AND(#REF!,"AAAAAHd/76A=")</f>
        <v>#REF!</v>
      </c>
      <c r="FF73" t="e">
        <f>AND(#REF!,"AAAAAHd/76E=")</f>
        <v>#REF!</v>
      </c>
      <c r="FG73" t="e">
        <f>AND(#REF!,"AAAAAHd/76I=")</f>
        <v>#REF!</v>
      </c>
      <c r="FH73" t="e">
        <f>AND(#REF!,"AAAAAHd/76M=")</f>
        <v>#REF!</v>
      </c>
      <c r="FI73" t="e">
        <f>AND(#REF!,"AAAAAHd/76Q=")</f>
        <v>#REF!</v>
      </c>
      <c r="FJ73" t="e">
        <f>AND(#REF!,"AAAAAHd/76U=")</f>
        <v>#REF!</v>
      </c>
      <c r="FK73" t="e">
        <f>AND(#REF!,"AAAAAHd/76Y=")</f>
        <v>#REF!</v>
      </c>
      <c r="FL73" t="e">
        <f>AND(#REF!,"AAAAAHd/76c=")</f>
        <v>#REF!</v>
      </c>
      <c r="FM73" t="e">
        <f>AND(#REF!,"AAAAAHd/76g=")</f>
        <v>#REF!</v>
      </c>
      <c r="FN73" t="e">
        <f>AND(#REF!,"AAAAAHd/76k=")</f>
        <v>#REF!</v>
      </c>
      <c r="FO73" t="e">
        <f>AND(#REF!,"AAAAAHd/76o=")</f>
        <v>#REF!</v>
      </c>
      <c r="FP73" t="e">
        <f>AND(#REF!,"AAAAAHd/76s=")</f>
        <v>#REF!</v>
      </c>
      <c r="FQ73" t="e">
        <f>AND(#REF!,"AAAAAHd/76w=")</f>
        <v>#REF!</v>
      </c>
      <c r="FR73" t="e">
        <f>AND(#REF!,"AAAAAHd/760=")</f>
        <v>#REF!</v>
      </c>
      <c r="FS73" t="e">
        <f>AND(#REF!,"AAAAAHd/764=")</f>
        <v>#REF!</v>
      </c>
      <c r="FT73" t="e">
        <f>AND(#REF!,"AAAAAHd/768=")</f>
        <v>#REF!</v>
      </c>
      <c r="FU73" t="e">
        <f>AND(#REF!,"AAAAAHd/77A=")</f>
        <v>#REF!</v>
      </c>
      <c r="FV73" t="e">
        <f>AND(#REF!,"AAAAAHd/77E=")</f>
        <v>#REF!</v>
      </c>
      <c r="FW73" t="e">
        <f>AND(#REF!,"AAAAAHd/77I=")</f>
        <v>#REF!</v>
      </c>
      <c r="FX73" t="e">
        <f>AND(#REF!,"AAAAAHd/77M=")</f>
        <v>#REF!</v>
      </c>
      <c r="FY73" t="e">
        <f>AND(#REF!,"AAAAAHd/77Q=")</f>
        <v>#REF!</v>
      </c>
      <c r="FZ73" t="e">
        <f>AND(#REF!,"AAAAAHd/77U=")</f>
        <v>#REF!</v>
      </c>
      <c r="GA73" t="e">
        <f>AND(#REF!,"AAAAAHd/77Y=")</f>
        <v>#REF!</v>
      </c>
      <c r="GB73" t="e">
        <f>AND(#REF!,"AAAAAHd/77c=")</f>
        <v>#REF!</v>
      </c>
      <c r="GC73" t="e">
        <f>AND(#REF!,"AAAAAHd/77g=")</f>
        <v>#REF!</v>
      </c>
      <c r="GD73" t="e">
        <f>AND(#REF!,"AAAAAHd/77k=")</f>
        <v>#REF!</v>
      </c>
      <c r="GE73" t="e">
        <f>AND(#REF!,"AAAAAHd/77o=")</f>
        <v>#REF!</v>
      </c>
      <c r="GF73" t="e">
        <f>AND(#REF!,"AAAAAHd/77s=")</f>
        <v>#REF!</v>
      </c>
      <c r="GG73" t="e">
        <f>AND(#REF!,"AAAAAHd/77w=")</f>
        <v>#REF!</v>
      </c>
      <c r="GH73" t="e">
        <f>AND(#REF!,"AAAAAHd/770=")</f>
        <v>#REF!</v>
      </c>
      <c r="GI73" t="e">
        <f>AND(#REF!,"AAAAAHd/774=")</f>
        <v>#REF!</v>
      </c>
      <c r="GJ73" t="e">
        <f>AND(#REF!,"AAAAAHd/778=")</f>
        <v>#REF!</v>
      </c>
      <c r="GK73" t="e">
        <f>AND(#REF!,"AAAAAHd/78A=")</f>
        <v>#REF!</v>
      </c>
      <c r="GL73" t="e">
        <f>AND(#REF!,"AAAAAHd/78E=")</f>
        <v>#REF!</v>
      </c>
      <c r="GM73" t="e">
        <f>AND(#REF!,"AAAAAHd/78I=")</f>
        <v>#REF!</v>
      </c>
      <c r="GN73" t="e">
        <f>AND(#REF!,"AAAAAHd/78M=")</f>
        <v>#REF!</v>
      </c>
      <c r="GO73" t="e">
        <f>AND(#REF!,"AAAAAHd/78Q=")</f>
        <v>#REF!</v>
      </c>
      <c r="GP73" t="e">
        <f>AND(#REF!,"AAAAAHd/78U=")</f>
        <v>#REF!</v>
      </c>
      <c r="GQ73" t="e">
        <f>AND(#REF!,"AAAAAHd/78Y=")</f>
        <v>#REF!</v>
      </c>
      <c r="GR73" t="e">
        <f>AND(#REF!,"AAAAAHd/78c=")</f>
        <v>#REF!</v>
      </c>
      <c r="GS73" t="e">
        <f>AND(#REF!,"AAAAAHd/78g=")</f>
        <v>#REF!</v>
      </c>
      <c r="GT73" t="e">
        <f>AND(#REF!,"AAAAAHd/78k=")</f>
        <v>#REF!</v>
      </c>
      <c r="GU73" t="e">
        <f>AND(#REF!,"AAAAAHd/78o=")</f>
        <v>#REF!</v>
      </c>
      <c r="GV73" t="e">
        <f>AND(#REF!,"AAAAAHd/78s=")</f>
        <v>#REF!</v>
      </c>
      <c r="GW73" t="e">
        <f>AND(#REF!,"AAAAAHd/78w=")</f>
        <v>#REF!</v>
      </c>
      <c r="GX73" t="e">
        <f>AND(#REF!,"AAAAAHd/780=")</f>
        <v>#REF!</v>
      </c>
      <c r="GY73" t="e">
        <f>AND(#REF!,"AAAAAHd/784=")</f>
        <v>#REF!</v>
      </c>
      <c r="GZ73" t="e">
        <f>AND(#REF!,"AAAAAHd/788=")</f>
        <v>#REF!</v>
      </c>
      <c r="HA73" t="e">
        <f>AND(#REF!,"AAAAAHd/79A=")</f>
        <v>#REF!</v>
      </c>
      <c r="HB73" t="e">
        <f>AND(#REF!,"AAAAAHd/79E=")</f>
        <v>#REF!</v>
      </c>
      <c r="HC73" t="e">
        <f>AND(#REF!,"AAAAAHd/79I=")</f>
        <v>#REF!</v>
      </c>
      <c r="HD73" t="e">
        <f>AND(#REF!,"AAAAAHd/79M=")</f>
        <v>#REF!</v>
      </c>
      <c r="HE73" t="e">
        <f>AND(#REF!,"AAAAAHd/79Q=")</f>
        <v>#REF!</v>
      </c>
      <c r="HF73" t="e">
        <f>AND(#REF!,"AAAAAHd/79U=")</f>
        <v>#REF!</v>
      </c>
      <c r="HG73" t="e">
        <f>AND(#REF!,"AAAAAHd/79Y=")</f>
        <v>#REF!</v>
      </c>
      <c r="HH73" t="e">
        <f>AND(#REF!,"AAAAAHd/79c=")</f>
        <v>#REF!</v>
      </c>
      <c r="HI73" t="e">
        <f>AND(#REF!,"AAAAAHd/79g=")</f>
        <v>#REF!</v>
      </c>
      <c r="HJ73" t="e">
        <f>AND(#REF!,"AAAAAHd/79k=")</f>
        <v>#REF!</v>
      </c>
      <c r="HK73" t="e">
        <f>AND(#REF!,"AAAAAHd/79o=")</f>
        <v>#REF!</v>
      </c>
      <c r="HL73" t="e">
        <f>AND(#REF!,"AAAAAHd/79s=")</f>
        <v>#REF!</v>
      </c>
      <c r="HM73" t="e">
        <f>AND(#REF!,"AAAAAHd/79w=")</f>
        <v>#REF!</v>
      </c>
      <c r="HN73" t="e">
        <f>AND(#REF!,"AAAAAHd/790=")</f>
        <v>#REF!</v>
      </c>
      <c r="HO73" t="e">
        <f>AND(#REF!,"AAAAAHd/794=")</f>
        <v>#REF!</v>
      </c>
      <c r="HP73" t="e">
        <f>AND(#REF!,"AAAAAHd/798=")</f>
        <v>#REF!</v>
      </c>
      <c r="HQ73" t="e">
        <f>AND(#REF!,"AAAAAHd/7+A=")</f>
        <v>#REF!</v>
      </c>
      <c r="HR73" t="e">
        <f>AND(#REF!,"AAAAAHd/7+E=")</f>
        <v>#REF!</v>
      </c>
      <c r="HS73" t="e">
        <f>AND(#REF!,"AAAAAHd/7+I=")</f>
        <v>#REF!</v>
      </c>
      <c r="HT73" t="e">
        <f>AND(#REF!,"AAAAAHd/7+M=")</f>
        <v>#REF!</v>
      </c>
      <c r="HU73" t="e">
        <f>AND(#REF!,"AAAAAHd/7+Q=")</f>
        <v>#REF!</v>
      </c>
      <c r="HV73" t="e">
        <f>AND(#REF!,"AAAAAHd/7+U=")</f>
        <v>#REF!</v>
      </c>
      <c r="HW73" t="e">
        <f>AND(#REF!,"AAAAAHd/7+Y=")</f>
        <v>#REF!</v>
      </c>
      <c r="HX73" t="e">
        <f>AND(#REF!,"AAAAAHd/7+c=")</f>
        <v>#REF!</v>
      </c>
      <c r="HY73" t="e">
        <f>AND(#REF!,"AAAAAHd/7+g=")</f>
        <v>#REF!</v>
      </c>
      <c r="HZ73" t="e">
        <f>AND(#REF!,"AAAAAHd/7+k=")</f>
        <v>#REF!</v>
      </c>
      <c r="IA73" t="e">
        <f>AND(#REF!,"AAAAAHd/7+o=")</f>
        <v>#REF!</v>
      </c>
      <c r="IB73" t="e">
        <f>AND(#REF!,"AAAAAHd/7+s=")</f>
        <v>#REF!</v>
      </c>
      <c r="IC73" t="e">
        <f>AND(#REF!,"AAAAAHd/7+w=")</f>
        <v>#REF!</v>
      </c>
      <c r="ID73" t="e">
        <f>AND(#REF!,"AAAAAHd/7+0=")</f>
        <v>#REF!</v>
      </c>
      <c r="IE73" t="e">
        <f>AND(#REF!,"AAAAAHd/7+4=")</f>
        <v>#REF!</v>
      </c>
      <c r="IF73" t="e">
        <f>AND(#REF!,"AAAAAHd/7+8=")</f>
        <v>#REF!</v>
      </c>
      <c r="IG73" t="e">
        <f>AND(#REF!,"AAAAAHd/7/A=")</f>
        <v>#REF!</v>
      </c>
      <c r="IH73" t="e">
        <f>AND(#REF!,"AAAAAHd/7/E=")</f>
        <v>#REF!</v>
      </c>
      <c r="II73" t="e">
        <f>AND(#REF!,"AAAAAHd/7/I=")</f>
        <v>#REF!</v>
      </c>
      <c r="IJ73" t="e">
        <f>AND(#REF!,"AAAAAHd/7/M=")</f>
        <v>#REF!</v>
      </c>
      <c r="IK73" t="e">
        <f>AND(#REF!,"AAAAAHd/7/Q=")</f>
        <v>#REF!</v>
      </c>
      <c r="IL73" t="e">
        <f>AND(#REF!,"AAAAAHd/7/U=")</f>
        <v>#REF!</v>
      </c>
      <c r="IM73" t="e">
        <f>AND(#REF!,"AAAAAHd/7/Y=")</f>
        <v>#REF!</v>
      </c>
      <c r="IN73" t="e">
        <f>AND(#REF!,"AAAAAHd/7/c=")</f>
        <v>#REF!</v>
      </c>
      <c r="IO73" t="e">
        <f>AND(#REF!,"AAAAAHd/7/g=")</f>
        <v>#REF!</v>
      </c>
      <c r="IP73" t="e">
        <f>AND(#REF!,"AAAAAHd/7/k=")</f>
        <v>#REF!</v>
      </c>
      <c r="IQ73" t="e">
        <f>AND(#REF!,"AAAAAHd/7/o=")</f>
        <v>#REF!</v>
      </c>
      <c r="IR73" t="e">
        <f>AND(#REF!,"AAAAAHd/7/s=")</f>
        <v>#REF!</v>
      </c>
      <c r="IS73" t="e">
        <f>AND(#REF!,"AAAAAHd/7/w=")</f>
        <v>#REF!</v>
      </c>
      <c r="IT73" t="e">
        <f>AND(#REF!,"AAAAAHd/7/0=")</f>
        <v>#REF!</v>
      </c>
      <c r="IU73" t="e">
        <f>AND(#REF!,"AAAAAHd/7/4=")</f>
        <v>#REF!</v>
      </c>
      <c r="IV73" t="e">
        <f>IF(#REF!,"AAAAAHd/7/8=",0)</f>
        <v>#REF!</v>
      </c>
    </row>
    <row r="74" spans="1:256" x14ac:dyDescent="0.25">
      <c r="A74" t="e">
        <f>AND(#REF!,"AAAAAF277wA=")</f>
        <v>#REF!</v>
      </c>
      <c r="B74" t="e">
        <f>AND(#REF!,"AAAAAF277wE=")</f>
        <v>#REF!</v>
      </c>
      <c r="C74" t="e">
        <f>AND(#REF!,"AAAAAF277wI=")</f>
        <v>#REF!</v>
      </c>
      <c r="D74" t="e">
        <f>AND(#REF!,"AAAAAF277wM=")</f>
        <v>#REF!</v>
      </c>
      <c r="E74" t="e">
        <f>AND(#REF!,"AAAAAF277wQ=")</f>
        <v>#REF!</v>
      </c>
      <c r="F74" t="e">
        <f>AND(#REF!,"AAAAAF277wU=")</f>
        <v>#REF!</v>
      </c>
      <c r="G74" t="e">
        <f>AND(#REF!,"AAAAAF277wY=")</f>
        <v>#REF!</v>
      </c>
      <c r="H74" t="e">
        <f>AND(#REF!,"AAAAAF277wc=")</f>
        <v>#REF!</v>
      </c>
      <c r="I74" t="e">
        <f>AND(#REF!,"AAAAAF277wg=")</f>
        <v>#REF!</v>
      </c>
      <c r="J74" t="e">
        <f>AND(#REF!,"AAAAAF277wk=")</f>
        <v>#REF!</v>
      </c>
      <c r="K74" t="e">
        <f>AND(#REF!,"AAAAAF277wo=")</f>
        <v>#REF!</v>
      </c>
      <c r="L74" t="e">
        <f>AND(#REF!,"AAAAAF277ws=")</f>
        <v>#REF!</v>
      </c>
      <c r="M74" t="e">
        <f>AND(#REF!,"AAAAAF277ww=")</f>
        <v>#REF!</v>
      </c>
      <c r="N74" t="e">
        <f>AND(#REF!,"AAAAAF277w0=")</f>
        <v>#REF!</v>
      </c>
      <c r="O74" t="e">
        <f>AND(#REF!,"AAAAAF277w4=")</f>
        <v>#REF!</v>
      </c>
      <c r="P74" t="e">
        <f>AND(#REF!,"AAAAAF277w8=")</f>
        <v>#REF!</v>
      </c>
      <c r="Q74" t="e">
        <f>AND(#REF!,"AAAAAF277xA=")</f>
        <v>#REF!</v>
      </c>
      <c r="R74" t="e">
        <f>AND(#REF!,"AAAAAF277xE=")</f>
        <v>#REF!</v>
      </c>
      <c r="S74" t="e">
        <f>AND(#REF!,"AAAAAF277xI=")</f>
        <v>#REF!</v>
      </c>
      <c r="T74" t="e">
        <f>AND(#REF!,"AAAAAF277xM=")</f>
        <v>#REF!</v>
      </c>
      <c r="U74" t="e">
        <f>AND(#REF!,"AAAAAF277xQ=")</f>
        <v>#REF!</v>
      </c>
      <c r="V74" t="e">
        <f>AND(#REF!,"AAAAAF277xU=")</f>
        <v>#REF!</v>
      </c>
      <c r="W74" t="e">
        <f>AND(#REF!,"AAAAAF277xY=")</f>
        <v>#REF!</v>
      </c>
      <c r="X74" t="e">
        <f>AND(#REF!,"AAAAAF277xc=")</f>
        <v>#REF!</v>
      </c>
      <c r="Y74" t="e">
        <f>AND(#REF!,"AAAAAF277xg=")</f>
        <v>#REF!</v>
      </c>
      <c r="Z74" t="e">
        <f>AND(#REF!,"AAAAAF277xk=")</f>
        <v>#REF!</v>
      </c>
      <c r="AA74" t="e">
        <f>AND(#REF!,"AAAAAF277xo=")</f>
        <v>#REF!</v>
      </c>
      <c r="AB74" t="e">
        <f>AND(#REF!,"AAAAAF277xs=")</f>
        <v>#REF!</v>
      </c>
      <c r="AC74" t="e">
        <f>AND(#REF!,"AAAAAF277xw=")</f>
        <v>#REF!</v>
      </c>
      <c r="AD74" t="e">
        <f>AND(#REF!,"AAAAAF277x0=")</f>
        <v>#REF!</v>
      </c>
      <c r="AE74" t="e">
        <f>AND(#REF!,"AAAAAF277x4=")</f>
        <v>#REF!</v>
      </c>
      <c r="AF74" t="e">
        <f>AND(#REF!,"AAAAAF277x8=")</f>
        <v>#REF!</v>
      </c>
      <c r="AG74" t="e">
        <f>AND(#REF!,"AAAAAF277yA=")</f>
        <v>#REF!</v>
      </c>
      <c r="AH74" t="e">
        <f>AND(#REF!,"AAAAAF277yE=")</f>
        <v>#REF!</v>
      </c>
      <c r="AI74" t="e">
        <f>AND(#REF!,"AAAAAF277yI=")</f>
        <v>#REF!</v>
      </c>
      <c r="AJ74" t="e">
        <f>AND(#REF!,"AAAAAF277yM=")</f>
        <v>#REF!</v>
      </c>
      <c r="AK74" t="e">
        <f>AND(#REF!,"AAAAAF277yQ=")</f>
        <v>#REF!</v>
      </c>
      <c r="AL74" t="e">
        <f>AND(#REF!,"AAAAAF277yU=")</f>
        <v>#REF!</v>
      </c>
      <c r="AM74" t="e">
        <f>AND(#REF!,"AAAAAF277yY=")</f>
        <v>#REF!</v>
      </c>
      <c r="AN74" t="e">
        <f>AND(#REF!,"AAAAAF277yc=")</f>
        <v>#REF!</v>
      </c>
      <c r="AO74" t="e">
        <f>AND(#REF!,"AAAAAF277yg=")</f>
        <v>#REF!</v>
      </c>
      <c r="AP74" t="e">
        <f>AND(#REF!,"AAAAAF277yk=")</f>
        <v>#REF!</v>
      </c>
      <c r="AQ74" t="e">
        <f>AND(#REF!,"AAAAAF277yo=")</f>
        <v>#REF!</v>
      </c>
      <c r="AR74" t="e">
        <f>AND(#REF!,"AAAAAF277ys=")</f>
        <v>#REF!</v>
      </c>
      <c r="AS74" t="e">
        <f>AND(#REF!,"AAAAAF277yw=")</f>
        <v>#REF!</v>
      </c>
      <c r="AT74" t="e">
        <f>AND(#REF!,"AAAAAF277y0=")</f>
        <v>#REF!</v>
      </c>
      <c r="AU74" t="e">
        <f>AND(#REF!,"AAAAAF277y4=")</f>
        <v>#REF!</v>
      </c>
      <c r="AV74" t="e">
        <f>AND(#REF!,"AAAAAF277y8=")</f>
        <v>#REF!</v>
      </c>
      <c r="AW74" t="e">
        <f>AND(#REF!,"AAAAAF277zA=")</f>
        <v>#REF!</v>
      </c>
      <c r="AX74" t="e">
        <f>AND(#REF!,"AAAAAF277zE=")</f>
        <v>#REF!</v>
      </c>
      <c r="AY74" t="e">
        <f>AND(#REF!,"AAAAAF277zI=")</f>
        <v>#REF!</v>
      </c>
      <c r="AZ74" t="e">
        <f>AND(#REF!,"AAAAAF277zM=")</f>
        <v>#REF!</v>
      </c>
      <c r="BA74" t="e">
        <f>AND(#REF!,"AAAAAF277zQ=")</f>
        <v>#REF!</v>
      </c>
      <c r="BB74" t="e">
        <f>AND(#REF!,"AAAAAF277zU=")</f>
        <v>#REF!</v>
      </c>
      <c r="BC74" t="e">
        <f>AND(#REF!,"AAAAAF277zY=")</f>
        <v>#REF!</v>
      </c>
      <c r="BD74" t="e">
        <f>AND(#REF!,"AAAAAF277zc=")</f>
        <v>#REF!</v>
      </c>
      <c r="BE74" t="e">
        <f>AND(#REF!,"AAAAAF277zg=")</f>
        <v>#REF!</v>
      </c>
      <c r="BF74" t="e">
        <f>AND(#REF!,"AAAAAF277zk=")</f>
        <v>#REF!</v>
      </c>
      <c r="BG74" t="e">
        <f>AND(#REF!,"AAAAAF277zo=")</f>
        <v>#REF!</v>
      </c>
      <c r="BH74" t="e">
        <f>AND(#REF!,"AAAAAF277zs=")</f>
        <v>#REF!</v>
      </c>
      <c r="BI74" t="e">
        <f>AND(#REF!,"AAAAAF277zw=")</f>
        <v>#REF!</v>
      </c>
      <c r="BJ74" t="e">
        <f>AND(#REF!,"AAAAAF277z0=")</f>
        <v>#REF!</v>
      </c>
      <c r="BK74" t="e">
        <f>AND(#REF!,"AAAAAF277z4=")</f>
        <v>#REF!</v>
      </c>
      <c r="BL74" t="e">
        <f>AND(#REF!,"AAAAAF277z8=")</f>
        <v>#REF!</v>
      </c>
      <c r="BM74" t="e">
        <f>AND(#REF!,"AAAAAF2770A=")</f>
        <v>#REF!</v>
      </c>
      <c r="BN74" t="e">
        <f>AND(#REF!,"AAAAAF2770E=")</f>
        <v>#REF!</v>
      </c>
      <c r="BO74" t="e">
        <f>AND(#REF!,"AAAAAF2770I=")</f>
        <v>#REF!</v>
      </c>
      <c r="BP74" t="e">
        <f>AND(#REF!,"AAAAAF2770M=")</f>
        <v>#REF!</v>
      </c>
      <c r="BQ74" t="e">
        <f>AND(#REF!,"AAAAAF2770Q=")</f>
        <v>#REF!</v>
      </c>
      <c r="BR74" t="e">
        <f>AND(#REF!,"AAAAAF2770U=")</f>
        <v>#REF!</v>
      </c>
      <c r="BS74" t="e">
        <f>AND(#REF!,"AAAAAF2770Y=")</f>
        <v>#REF!</v>
      </c>
      <c r="BT74" t="e">
        <f>AND(#REF!,"AAAAAF2770c=")</f>
        <v>#REF!</v>
      </c>
      <c r="BU74" t="e">
        <f>AND(#REF!,"AAAAAF2770g=")</f>
        <v>#REF!</v>
      </c>
      <c r="BV74" t="e">
        <f>AND(#REF!,"AAAAAF2770k=")</f>
        <v>#REF!</v>
      </c>
      <c r="BW74" t="e">
        <f>AND(#REF!,"AAAAAF2770o=")</f>
        <v>#REF!</v>
      </c>
      <c r="BX74" t="e">
        <f>AND(#REF!,"AAAAAF2770s=")</f>
        <v>#REF!</v>
      </c>
      <c r="BY74" t="e">
        <f>AND(#REF!,"AAAAAF2770w=")</f>
        <v>#REF!</v>
      </c>
      <c r="BZ74" t="e">
        <f>AND(#REF!,"AAAAAF27700=")</f>
        <v>#REF!</v>
      </c>
      <c r="CA74" t="e">
        <f>AND(#REF!,"AAAAAF27704=")</f>
        <v>#REF!</v>
      </c>
      <c r="CB74" t="e">
        <f>AND(#REF!,"AAAAAF27708=")</f>
        <v>#REF!</v>
      </c>
      <c r="CC74" t="e">
        <f>AND(#REF!,"AAAAAF2771A=")</f>
        <v>#REF!</v>
      </c>
      <c r="CD74" t="e">
        <f>AND(#REF!,"AAAAAF2771E=")</f>
        <v>#REF!</v>
      </c>
      <c r="CE74" t="e">
        <f>AND(#REF!,"AAAAAF2771I=")</f>
        <v>#REF!</v>
      </c>
      <c r="CF74" t="e">
        <f>AND(#REF!,"AAAAAF2771M=")</f>
        <v>#REF!</v>
      </c>
      <c r="CG74" t="e">
        <f>AND(#REF!,"AAAAAF2771Q=")</f>
        <v>#REF!</v>
      </c>
      <c r="CH74" t="e">
        <f>AND(#REF!,"AAAAAF2771U=")</f>
        <v>#REF!</v>
      </c>
      <c r="CI74" t="e">
        <f>AND(#REF!,"AAAAAF2771Y=")</f>
        <v>#REF!</v>
      </c>
      <c r="CJ74" t="e">
        <f>AND(#REF!,"AAAAAF2771c=")</f>
        <v>#REF!</v>
      </c>
      <c r="CK74" t="e">
        <f>AND(#REF!,"AAAAAF2771g=")</f>
        <v>#REF!</v>
      </c>
      <c r="CL74" t="e">
        <f>AND(#REF!,"AAAAAF2771k=")</f>
        <v>#REF!</v>
      </c>
      <c r="CM74" t="e">
        <f>AND(#REF!,"AAAAAF2771o=")</f>
        <v>#REF!</v>
      </c>
      <c r="CN74" t="e">
        <f>AND(#REF!,"AAAAAF2771s=")</f>
        <v>#REF!</v>
      </c>
      <c r="CO74" t="e">
        <f>AND(#REF!,"AAAAAF2771w=")</f>
        <v>#REF!</v>
      </c>
      <c r="CP74" t="e">
        <f>AND(#REF!,"AAAAAF27710=")</f>
        <v>#REF!</v>
      </c>
      <c r="CQ74" t="e">
        <f>AND(#REF!,"AAAAAF27714=")</f>
        <v>#REF!</v>
      </c>
      <c r="CR74" t="e">
        <f>AND(#REF!,"AAAAAF27718=")</f>
        <v>#REF!</v>
      </c>
      <c r="CS74" t="e">
        <f>AND(#REF!,"AAAAAF2772A=")</f>
        <v>#REF!</v>
      </c>
      <c r="CT74" t="e">
        <f>AND(#REF!,"AAAAAF2772E=")</f>
        <v>#REF!</v>
      </c>
      <c r="CU74" t="e">
        <f>AND(#REF!,"AAAAAF2772I=")</f>
        <v>#REF!</v>
      </c>
      <c r="CV74" t="e">
        <f>AND(#REF!,"AAAAAF2772M=")</f>
        <v>#REF!</v>
      </c>
      <c r="CW74" t="e">
        <f>AND(#REF!,"AAAAAF2772Q=")</f>
        <v>#REF!</v>
      </c>
      <c r="CX74" t="e">
        <f>AND(#REF!,"AAAAAF2772U=")</f>
        <v>#REF!</v>
      </c>
      <c r="CY74" t="e">
        <f>AND(#REF!,"AAAAAF2772Y=")</f>
        <v>#REF!</v>
      </c>
      <c r="CZ74" t="e">
        <f>AND(#REF!,"AAAAAF2772c=")</f>
        <v>#REF!</v>
      </c>
      <c r="DA74" t="e">
        <f>AND(#REF!,"AAAAAF2772g=")</f>
        <v>#REF!</v>
      </c>
      <c r="DB74" t="e">
        <f>AND(#REF!,"AAAAAF2772k=")</f>
        <v>#REF!</v>
      </c>
      <c r="DC74" t="e">
        <f>AND(#REF!,"AAAAAF2772o=")</f>
        <v>#REF!</v>
      </c>
      <c r="DD74" t="e">
        <f>AND(#REF!,"AAAAAF2772s=")</f>
        <v>#REF!</v>
      </c>
      <c r="DE74" t="e">
        <f>AND(#REF!,"AAAAAF2772w=")</f>
        <v>#REF!</v>
      </c>
      <c r="DF74" t="e">
        <f>AND(#REF!,"AAAAAF27720=")</f>
        <v>#REF!</v>
      </c>
      <c r="DG74" t="e">
        <f>AND(#REF!,"AAAAAF27724=")</f>
        <v>#REF!</v>
      </c>
      <c r="DH74" t="e">
        <f>AND(#REF!,"AAAAAF27728=")</f>
        <v>#REF!</v>
      </c>
      <c r="DI74" t="e">
        <f>AND(#REF!,"AAAAAF2773A=")</f>
        <v>#REF!</v>
      </c>
      <c r="DJ74" t="e">
        <f>AND(#REF!,"AAAAAF2773E=")</f>
        <v>#REF!</v>
      </c>
      <c r="DK74" t="e">
        <f>AND(#REF!,"AAAAAF2773I=")</f>
        <v>#REF!</v>
      </c>
      <c r="DL74" t="e">
        <f>AND(#REF!,"AAAAAF2773M=")</f>
        <v>#REF!</v>
      </c>
      <c r="DM74" t="e">
        <f>AND(#REF!,"AAAAAF2773Q=")</f>
        <v>#REF!</v>
      </c>
      <c r="DN74" t="e">
        <f>AND(#REF!,"AAAAAF2773U=")</f>
        <v>#REF!</v>
      </c>
      <c r="DO74" t="e">
        <f>AND(#REF!,"AAAAAF2773Y=")</f>
        <v>#REF!</v>
      </c>
      <c r="DP74" t="e">
        <f>AND(#REF!,"AAAAAF2773c=")</f>
        <v>#REF!</v>
      </c>
      <c r="DQ74" t="e">
        <f>AND(#REF!,"AAAAAF2773g=")</f>
        <v>#REF!</v>
      </c>
      <c r="DR74" t="e">
        <f>AND(#REF!,"AAAAAF2773k=")</f>
        <v>#REF!</v>
      </c>
      <c r="DS74" t="e">
        <f>AND(#REF!,"AAAAAF2773o=")</f>
        <v>#REF!</v>
      </c>
      <c r="DT74" t="e">
        <f>AND(#REF!,"AAAAAF2773s=")</f>
        <v>#REF!</v>
      </c>
      <c r="DU74" t="e">
        <f>AND(#REF!,"AAAAAF2773w=")</f>
        <v>#REF!</v>
      </c>
      <c r="DV74" t="e">
        <f>AND(#REF!,"AAAAAF27730=")</f>
        <v>#REF!</v>
      </c>
      <c r="DW74" t="e">
        <f>AND(#REF!,"AAAAAF27734=")</f>
        <v>#REF!</v>
      </c>
      <c r="DX74" t="e">
        <f>AND(#REF!,"AAAAAF27738=")</f>
        <v>#REF!</v>
      </c>
      <c r="DY74" t="e">
        <f>AND(#REF!,"AAAAAF2774A=")</f>
        <v>#REF!</v>
      </c>
      <c r="DZ74" t="e">
        <f>AND(#REF!,"AAAAAF2774E=")</f>
        <v>#REF!</v>
      </c>
      <c r="EA74" t="e">
        <f>AND(#REF!,"AAAAAF2774I=")</f>
        <v>#REF!</v>
      </c>
      <c r="EB74" t="e">
        <f>AND(#REF!,"AAAAAF2774M=")</f>
        <v>#REF!</v>
      </c>
      <c r="EC74" t="e">
        <f>AND(#REF!,"AAAAAF2774Q=")</f>
        <v>#REF!</v>
      </c>
      <c r="ED74" t="e">
        <f>AND(#REF!,"AAAAAF2774U=")</f>
        <v>#REF!</v>
      </c>
      <c r="EE74" t="e">
        <f>AND(#REF!,"AAAAAF2774Y=")</f>
        <v>#REF!</v>
      </c>
      <c r="EF74" t="e">
        <f>AND(#REF!,"AAAAAF2774c=")</f>
        <v>#REF!</v>
      </c>
      <c r="EG74" t="e">
        <f>AND(#REF!,"AAAAAF2774g=")</f>
        <v>#REF!</v>
      </c>
      <c r="EH74" t="e">
        <f>AND(#REF!,"AAAAAF2774k=")</f>
        <v>#REF!</v>
      </c>
      <c r="EI74" t="e">
        <f>AND(#REF!,"AAAAAF2774o=")</f>
        <v>#REF!</v>
      </c>
      <c r="EJ74" t="e">
        <f>AND(#REF!,"AAAAAF2774s=")</f>
        <v>#REF!</v>
      </c>
      <c r="EK74" t="e">
        <f>AND(#REF!,"AAAAAF2774w=")</f>
        <v>#REF!</v>
      </c>
      <c r="EL74" t="e">
        <f>AND(#REF!,"AAAAAF27740=")</f>
        <v>#REF!</v>
      </c>
      <c r="EM74" t="e">
        <f>AND(#REF!,"AAAAAF27744=")</f>
        <v>#REF!</v>
      </c>
      <c r="EN74" t="e">
        <f>AND(#REF!,"AAAAAF27748=")</f>
        <v>#REF!</v>
      </c>
      <c r="EO74" t="e">
        <f>AND(#REF!,"AAAAAF2775A=")</f>
        <v>#REF!</v>
      </c>
      <c r="EP74" t="e">
        <f>AND(#REF!,"AAAAAF2775E=")</f>
        <v>#REF!</v>
      </c>
      <c r="EQ74" t="e">
        <f>AND(#REF!,"AAAAAF2775I=")</f>
        <v>#REF!</v>
      </c>
      <c r="ER74" t="e">
        <f>AND(#REF!,"AAAAAF2775M=")</f>
        <v>#REF!</v>
      </c>
      <c r="ES74" t="e">
        <f>AND(#REF!,"AAAAAF2775Q=")</f>
        <v>#REF!</v>
      </c>
      <c r="ET74" t="e">
        <f>AND(#REF!,"AAAAAF2775U=")</f>
        <v>#REF!</v>
      </c>
      <c r="EU74" t="e">
        <f>AND(#REF!,"AAAAAF2775Y=")</f>
        <v>#REF!</v>
      </c>
      <c r="EV74" t="e">
        <f>AND(#REF!,"AAAAAF2775c=")</f>
        <v>#REF!</v>
      </c>
      <c r="EW74" t="e">
        <f>AND(#REF!,"AAAAAF2775g=")</f>
        <v>#REF!</v>
      </c>
      <c r="EX74" t="e">
        <f>AND(#REF!,"AAAAAF2775k=")</f>
        <v>#REF!</v>
      </c>
      <c r="EY74" t="e">
        <f>AND(#REF!,"AAAAAF2775o=")</f>
        <v>#REF!</v>
      </c>
      <c r="EZ74" t="e">
        <f>AND(#REF!,"AAAAAF2775s=")</f>
        <v>#REF!</v>
      </c>
      <c r="FA74" t="e">
        <f>AND(#REF!,"AAAAAF2775w=")</f>
        <v>#REF!</v>
      </c>
      <c r="FB74" t="e">
        <f>AND(#REF!,"AAAAAF27750=")</f>
        <v>#REF!</v>
      </c>
      <c r="FC74" t="e">
        <f>AND(#REF!,"AAAAAF27754=")</f>
        <v>#REF!</v>
      </c>
      <c r="FD74" t="e">
        <f>AND(#REF!,"AAAAAF27758=")</f>
        <v>#REF!</v>
      </c>
      <c r="FE74" t="e">
        <f>AND(#REF!,"AAAAAF2776A=")</f>
        <v>#REF!</v>
      </c>
      <c r="FF74" t="e">
        <f>AND(#REF!,"AAAAAF2776E=")</f>
        <v>#REF!</v>
      </c>
      <c r="FG74" t="e">
        <f>AND(#REF!,"AAAAAF2776I=")</f>
        <v>#REF!</v>
      </c>
      <c r="FH74" t="e">
        <f>AND(#REF!,"AAAAAF2776M=")</f>
        <v>#REF!</v>
      </c>
      <c r="FI74" t="e">
        <f>AND(#REF!,"AAAAAF2776Q=")</f>
        <v>#REF!</v>
      </c>
      <c r="FJ74" t="e">
        <f>AND(#REF!,"AAAAAF2776U=")</f>
        <v>#REF!</v>
      </c>
      <c r="FK74" t="e">
        <f>AND(#REF!,"AAAAAF2776Y=")</f>
        <v>#REF!</v>
      </c>
      <c r="FL74" t="e">
        <f>AND(#REF!,"AAAAAF2776c=")</f>
        <v>#REF!</v>
      </c>
      <c r="FM74" t="e">
        <f>AND(#REF!,"AAAAAF2776g=")</f>
        <v>#REF!</v>
      </c>
      <c r="FN74" t="e">
        <f>AND(#REF!,"AAAAAF2776k=")</f>
        <v>#REF!</v>
      </c>
      <c r="FO74" t="e">
        <f>AND(#REF!,"AAAAAF2776o=")</f>
        <v>#REF!</v>
      </c>
      <c r="FP74" t="e">
        <f>AND(#REF!,"AAAAAF2776s=")</f>
        <v>#REF!</v>
      </c>
      <c r="FQ74" t="e">
        <f>AND(#REF!,"AAAAAF2776w=")</f>
        <v>#REF!</v>
      </c>
      <c r="FR74" t="e">
        <f>AND(#REF!,"AAAAAF27760=")</f>
        <v>#REF!</v>
      </c>
      <c r="FS74" t="e">
        <f>AND(#REF!,"AAAAAF27764=")</f>
        <v>#REF!</v>
      </c>
      <c r="FT74" t="e">
        <f>AND(#REF!,"AAAAAF27768=")</f>
        <v>#REF!</v>
      </c>
      <c r="FU74" t="e">
        <f>AND(#REF!,"AAAAAF2777A=")</f>
        <v>#REF!</v>
      </c>
      <c r="FV74" t="e">
        <f>IF(#REF!,"AAAAAF2777E=",0)</f>
        <v>#REF!</v>
      </c>
      <c r="FW74" t="e">
        <f>AND(#REF!,"AAAAAF2777I=")</f>
        <v>#REF!</v>
      </c>
      <c r="FX74" t="e">
        <f>AND(#REF!,"AAAAAF2777M=")</f>
        <v>#REF!</v>
      </c>
      <c r="FY74" t="e">
        <f>AND(#REF!,"AAAAAF2777Q=")</f>
        <v>#REF!</v>
      </c>
      <c r="FZ74" t="e">
        <f>AND(#REF!,"AAAAAF2777U=")</f>
        <v>#REF!</v>
      </c>
      <c r="GA74" t="e">
        <f>AND(#REF!,"AAAAAF2777Y=")</f>
        <v>#REF!</v>
      </c>
      <c r="GB74" t="e">
        <f>AND(#REF!,"AAAAAF2777c=")</f>
        <v>#REF!</v>
      </c>
      <c r="GC74" t="e">
        <f>AND(#REF!,"AAAAAF2777g=")</f>
        <v>#REF!</v>
      </c>
      <c r="GD74" t="e">
        <f>AND(#REF!,"AAAAAF2777k=")</f>
        <v>#REF!</v>
      </c>
      <c r="GE74" t="e">
        <f>AND(#REF!,"AAAAAF2777o=")</f>
        <v>#REF!</v>
      </c>
      <c r="GF74" t="e">
        <f>AND(#REF!,"AAAAAF2777s=")</f>
        <v>#REF!</v>
      </c>
      <c r="GG74" t="e">
        <f>AND(#REF!,"AAAAAF2777w=")</f>
        <v>#REF!</v>
      </c>
      <c r="GH74" t="e">
        <f>AND(#REF!,"AAAAAF27770=")</f>
        <v>#REF!</v>
      </c>
      <c r="GI74" t="e">
        <f>AND(#REF!,"AAAAAF27774=")</f>
        <v>#REF!</v>
      </c>
      <c r="GJ74" t="e">
        <f>AND(#REF!,"AAAAAF27778=")</f>
        <v>#REF!</v>
      </c>
      <c r="GK74" t="e">
        <f>AND(#REF!,"AAAAAF2778A=")</f>
        <v>#REF!</v>
      </c>
      <c r="GL74" t="e">
        <f>AND(#REF!,"AAAAAF2778E=")</f>
        <v>#REF!</v>
      </c>
      <c r="GM74" t="e">
        <f>AND(#REF!,"AAAAAF2778I=")</f>
        <v>#REF!</v>
      </c>
      <c r="GN74" t="e">
        <f>AND(#REF!,"AAAAAF2778M=")</f>
        <v>#REF!</v>
      </c>
      <c r="GO74" t="e">
        <f>AND(#REF!,"AAAAAF2778Q=")</f>
        <v>#REF!</v>
      </c>
      <c r="GP74" t="e">
        <f>AND(#REF!,"AAAAAF2778U=")</f>
        <v>#REF!</v>
      </c>
      <c r="GQ74" t="e">
        <f>AND(#REF!,"AAAAAF2778Y=")</f>
        <v>#REF!</v>
      </c>
      <c r="GR74" t="e">
        <f>AND(#REF!,"AAAAAF2778c=")</f>
        <v>#REF!</v>
      </c>
      <c r="GS74" t="e">
        <f>AND(#REF!,"AAAAAF2778g=")</f>
        <v>#REF!</v>
      </c>
      <c r="GT74" t="e">
        <f>AND(#REF!,"AAAAAF2778k=")</f>
        <v>#REF!</v>
      </c>
      <c r="GU74" t="e">
        <f>AND(#REF!,"AAAAAF2778o=")</f>
        <v>#REF!</v>
      </c>
      <c r="GV74" t="e">
        <f>AND(#REF!,"AAAAAF2778s=")</f>
        <v>#REF!</v>
      </c>
      <c r="GW74" t="e">
        <f>AND(#REF!,"AAAAAF2778w=")</f>
        <v>#REF!</v>
      </c>
      <c r="GX74" t="e">
        <f>AND(#REF!,"AAAAAF27780=")</f>
        <v>#REF!</v>
      </c>
      <c r="GY74" t="e">
        <f>AND(#REF!,"AAAAAF27784=")</f>
        <v>#REF!</v>
      </c>
      <c r="GZ74" t="e">
        <f>AND(#REF!,"AAAAAF27788=")</f>
        <v>#REF!</v>
      </c>
      <c r="HA74" t="e">
        <f>AND(#REF!,"AAAAAF2779A=")</f>
        <v>#REF!</v>
      </c>
      <c r="HB74" t="e">
        <f>AND(#REF!,"AAAAAF2779E=")</f>
        <v>#REF!</v>
      </c>
      <c r="HC74" t="e">
        <f>AND(#REF!,"AAAAAF2779I=")</f>
        <v>#REF!</v>
      </c>
      <c r="HD74" t="e">
        <f>AND(#REF!,"AAAAAF2779M=")</f>
        <v>#REF!</v>
      </c>
      <c r="HE74" t="e">
        <f>AND(#REF!,"AAAAAF2779Q=")</f>
        <v>#REF!</v>
      </c>
      <c r="HF74" t="e">
        <f>AND(#REF!,"AAAAAF2779U=")</f>
        <v>#REF!</v>
      </c>
      <c r="HG74" t="e">
        <f>AND(#REF!,"AAAAAF2779Y=")</f>
        <v>#REF!</v>
      </c>
      <c r="HH74" t="e">
        <f>AND(#REF!,"AAAAAF2779c=")</f>
        <v>#REF!</v>
      </c>
      <c r="HI74" t="e">
        <f>AND(#REF!,"AAAAAF2779g=")</f>
        <v>#REF!</v>
      </c>
      <c r="HJ74" t="e">
        <f>AND(#REF!,"AAAAAF2779k=")</f>
        <v>#REF!</v>
      </c>
      <c r="HK74" t="e">
        <f>AND(#REF!,"AAAAAF2779o=")</f>
        <v>#REF!</v>
      </c>
      <c r="HL74" t="e">
        <f>AND(#REF!,"AAAAAF2779s=")</f>
        <v>#REF!</v>
      </c>
      <c r="HM74" t="e">
        <f>AND(#REF!,"AAAAAF2779w=")</f>
        <v>#REF!</v>
      </c>
      <c r="HN74" t="e">
        <f>AND(#REF!,"AAAAAF27790=")</f>
        <v>#REF!</v>
      </c>
      <c r="HO74" t="e">
        <f>AND(#REF!,"AAAAAF27794=")</f>
        <v>#REF!</v>
      </c>
      <c r="HP74" t="e">
        <f>AND(#REF!,"AAAAAF27798=")</f>
        <v>#REF!</v>
      </c>
      <c r="HQ74" t="e">
        <f>AND(#REF!,"AAAAAF277+A=")</f>
        <v>#REF!</v>
      </c>
      <c r="HR74" t="e">
        <f>AND(#REF!,"AAAAAF277+E=")</f>
        <v>#REF!</v>
      </c>
      <c r="HS74" t="e">
        <f>AND(#REF!,"AAAAAF277+I=")</f>
        <v>#REF!</v>
      </c>
      <c r="HT74" t="e">
        <f>AND(#REF!,"AAAAAF277+M=")</f>
        <v>#REF!</v>
      </c>
      <c r="HU74" t="e">
        <f>AND(#REF!,"AAAAAF277+Q=")</f>
        <v>#REF!</v>
      </c>
      <c r="HV74" t="e">
        <f>AND(#REF!,"AAAAAF277+U=")</f>
        <v>#REF!</v>
      </c>
      <c r="HW74" t="e">
        <f>AND(#REF!,"AAAAAF277+Y=")</f>
        <v>#REF!</v>
      </c>
      <c r="HX74" t="e">
        <f>AND(#REF!,"AAAAAF277+c=")</f>
        <v>#REF!</v>
      </c>
      <c r="HY74" t="e">
        <f>AND(#REF!,"AAAAAF277+g=")</f>
        <v>#REF!</v>
      </c>
      <c r="HZ74" t="e">
        <f>AND(#REF!,"AAAAAF277+k=")</f>
        <v>#REF!</v>
      </c>
      <c r="IA74" t="e">
        <f>AND(#REF!,"AAAAAF277+o=")</f>
        <v>#REF!</v>
      </c>
      <c r="IB74" t="e">
        <f>AND(#REF!,"AAAAAF277+s=")</f>
        <v>#REF!</v>
      </c>
      <c r="IC74" t="e">
        <f>AND(#REF!,"AAAAAF277+w=")</f>
        <v>#REF!</v>
      </c>
      <c r="ID74" t="e">
        <f>AND(#REF!,"AAAAAF277+0=")</f>
        <v>#REF!</v>
      </c>
      <c r="IE74" t="e">
        <f>AND(#REF!,"AAAAAF277+4=")</f>
        <v>#REF!</v>
      </c>
      <c r="IF74" t="e">
        <f>AND(#REF!,"AAAAAF277+8=")</f>
        <v>#REF!</v>
      </c>
      <c r="IG74" t="e">
        <f>AND(#REF!,"AAAAAF277/A=")</f>
        <v>#REF!</v>
      </c>
      <c r="IH74" t="e">
        <f>AND(#REF!,"AAAAAF277/E=")</f>
        <v>#REF!</v>
      </c>
      <c r="II74" t="e">
        <f>AND(#REF!,"AAAAAF277/I=")</f>
        <v>#REF!</v>
      </c>
      <c r="IJ74" t="e">
        <f>AND(#REF!,"AAAAAF277/M=")</f>
        <v>#REF!</v>
      </c>
      <c r="IK74" t="e">
        <f>AND(#REF!,"AAAAAF277/Q=")</f>
        <v>#REF!</v>
      </c>
      <c r="IL74" t="e">
        <f>AND(#REF!,"AAAAAF277/U=")</f>
        <v>#REF!</v>
      </c>
      <c r="IM74" t="e">
        <f>AND(#REF!,"AAAAAF277/Y=")</f>
        <v>#REF!</v>
      </c>
      <c r="IN74" t="e">
        <f>AND(#REF!,"AAAAAF277/c=")</f>
        <v>#REF!</v>
      </c>
      <c r="IO74" t="e">
        <f>AND(#REF!,"AAAAAF277/g=")</f>
        <v>#REF!</v>
      </c>
      <c r="IP74" t="e">
        <f>AND(#REF!,"AAAAAF277/k=")</f>
        <v>#REF!</v>
      </c>
      <c r="IQ74" t="e">
        <f>AND(#REF!,"AAAAAF277/o=")</f>
        <v>#REF!</v>
      </c>
      <c r="IR74" t="e">
        <f>AND(#REF!,"AAAAAF277/s=")</f>
        <v>#REF!</v>
      </c>
      <c r="IS74" t="e">
        <f>AND(#REF!,"AAAAAF277/w=")</f>
        <v>#REF!</v>
      </c>
      <c r="IT74" t="e">
        <f>AND(#REF!,"AAAAAF277/0=")</f>
        <v>#REF!</v>
      </c>
      <c r="IU74" t="e">
        <f>AND(#REF!,"AAAAAF277/4=")</f>
        <v>#REF!</v>
      </c>
      <c r="IV74" t="e">
        <f>AND(#REF!,"AAAAAF277/8=")</f>
        <v>#REF!</v>
      </c>
    </row>
    <row r="75" spans="1:256" x14ac:dyDescent="0.25">
      <c r="A75" t="e">
        <f>AND(#REF!,"AAAAAHfd3wA=")</f>
        <v>#REF!</v>
      </c>
      <c r="B75" t="e">
        <f>AND(#REF!,"AAAAAHfd3wE=")</f>
        <v>#REF!</v>
      </c>
      <c r="C75" t="e">
        <f>AND(#REF!,"AAAAAHfd3wI=")</f>
        <v>#REF!</v>
      </c>
      <c r="D75" t="e">
        <f>AND(#REF!,"AAAAAHfd3wM=")</f>
        <v>#REF!</v>
      </c>
      <c r="E75" t="e">
        <f>AND(#REF!,"AAAAAHfd3wQ=")</f>
        <v>#REF!</v>
      </c>
      <c r="F75" t="e">
        <f>AND(#REF!,"AAAAAHfd3wU=")</f>
        <v>#REF!</v>
      </c>
      <c r="G75" t="e">
        <f>AND(#REF!,"AAAAAHfd3wY=")</f>
        <v>#REF!</v>
      </c>
      <c r="H75" t="e">
        <f>AND(#REF!,"AAAAAHfd3wc=")</f>
        <v>#REF!</v>
      </c>
      <c r="I75" t="e">
        <f>AND(#REF!,"AAAAAHfd3wg=")</f>
        <v>#REF!</v>
      </c>
      <c r="J75" t="e">
        <f>AND(#REF!,"AAAAAHfd3wk=")</f>
        <v>#REF!</v>
      </c>
      <c r="K75" t="e">
        <f>AND(#REF!,"AAAAAHfd3wo=")</f>
        <v>#REF!</v>
      </c>
      <c r="L75" t="e">
        <f>AND(#REF!,"AAAAAHfd3ws=")</f>
        <v>#REF!</v>
      </c>
      <c r="M75" t="e">
        <f>AND(#REF!,"AAAAAHfd3ww=")</f>
        <v>#REF!</v>
      </c>
      <c r="N75" t="e">
        <f>AND(#REF!,"AAAAAHfd3w0=")</f>
        <v>#REF!</v>
      </c>
      <c r="O75" t="e">
        <f>AND(#REF!,"AAAAAHfd3w4=")</f>
        <v>#REF!</v>
      </c>
      <c r="P75" t="e">
        <f>AND(#REF!,"AAAAAHfd3w8=")</f>
        <v>#REF!</v>
      </c>
      <c r="Q75" t="e">
        <f>AND(#REF!,"AAAAAHfd3xA=")</f>
        <v>#REF!</v>
      </c>
      <c r="R75" t="e">
        <f>AND(#REF!,"AAAAAHfd3xE=")</f>
        <v>#REF!</v>
      </c>
      <c r="S75" t="e">
        <f>AND(#REF!,"AAAAAHfd3xI=")</f>
        <v>#REF!</v>
      </c>
      <c r="T75" t="e">
        <f>AND(#REF!,"AAAAAHfd3xM=")</f>
        <v>#REF!</v>
      </c>
      <c r="U75" t="e">
        <f>AND(#REF!,"AAAAAHfd3xQ=")</f>
        <v>#REF!</v>
      </c>
      <c r="V75" t="e">
        <f>AND(#REF!,"AAAAAHfd3xU=")</f>
        <v>#REF!</v>
      </c>
      <c r="W75" t="e">
        <f>AND(#REF!,"AAAAAHfd3xY=")</f>
        <v>#REF!</v>
      </c>
      <c r="X75" t="e">
        <f>AND(#REF!,"AAAAAHfd3xc=")</f>
        <v>#REF!</v>
      </c>
      <c r="Y75" t="e">
        <f>AND(#REF!,"AAAAAHfd3xg=")</f>
        <v>#REF!</v>
      </c>
      <c r="Z75" t="e">
        <f>AND(#REF!,"AAAAAHfd3xk=")</f>
        <v>#REF!</v>
      </c>
      <c r="AA75" t="e">
        <f>AND(#REF!,"AAAAAHfd3xo=")</f>
        <v>#REF!</v>
      </c>
      <c r="AB75" t="e">
        <f>AND(#REF!,"AAAAAHfd3xs=")</f>
        <v>#REF!</v>
      </c>
      <c r="AC75" t="e">
        <f>AND(#REF!,"AAAAAHfd3xw=")</f>
        <v>#REF!</v>
      </c>
      <c r="AD75" t="e">
        <f>AND(#REF!,"AAAAAHfd3x0=")</f>
        <v>#REF!</v>
      </c>
      <c r="AE75" t="e">
        <f>AND(#REF!,"AAAAAHfd3x4=")</f>
        <v>#REF!</v>
      </c>
      <c r="AF75" t="e">
        <f>AND(#REF!,"AAAAAHfd3x8=")</f>
        <v>#REF!</v>
      </c>
      <c r="AG75" t="e">
        <f>AND(#REF!,"AAAAAHfd3yA=")</f>
        <v>#REF!</v>
      </c>
      <c r="AH75" t="e">
        <f>AND(#REF!,"AAAAAHfd3yE=")</f>
        <v>#REF!</v>
      </c>
      <c r="AI75" t="e">
        <f>AND(#REF!,"AAAAAHfd3yI=")</f>
        <v>#REF!</v>
      </c>
      <c r="AJ75" t="e">
        <f>AND(#REF!,"AAAAAHfd3yM=")</f>
        <v>#REF!</v>
      </c>
      <c r="AK75" t="e">
        <f>AND(#REF!,"AAAAAHfd3yQ=")</f>
        <v>#REF!</v>
      </c>
      <c r="AL75" t="e">
        <f>AND(#REF!,"AAAAAHfd3yU=")</f>
        <v>#REF!</v>
      </c>
      <c r="AM75" t="e">
        <f>AND(#REF!,"AAAAAHfd3yY=")</f>
        <v>#REF!</v>
      </c>
      <c r="AN75" t="e">
        <f>AND(#REF!,"AAAAAHfd3yc=")</f>
        <v>#REF!</v>
      </c>
      <c r="AO75" t="e">
        <f>AND(#REF!,"AAAAAHfd3yg=")</f>
        <v>#REF!</v>
      </c>
      <c r="AP75" t="e">
        <f>AND(#REF!,"AAAAAHfd3yk=")</f>
        <v>#REF!</v>
      </c>
      <c r="AQ75" t="e">
        <f>AND(#REF!,"AAAAAHfd3yo=")</f>
        <v>#REF!</v>
      </c>
      <c r="AR75" t="e">
        <f>AND(#REF!,"AAAAAHfd3ys=")</f>
        <v>#REF!</v>
      </c>
      <c r="AS75" t="e">
        <f>AND(#REF!,"AAAAAHfd3yw=")</f>
        <v>#REF!</v>
      </c>
      <c r="AT75" t="e">
        <f>AND(#REF!,"AAAAAHfd3y0=")</f>
        <v>#REF!</v>
      </c>
      <c r="AU75" t="e">
        <f>AND(#REF!,"AAAAAHfd3y4=")</f>
        <v>#REF!</v>
      </c>
      <c r="AV75" t="e">
        <f>AND(#REF!,"AAAAAHfd3y8=")</f>
        <v>#REF!</v>
      </c>
      <c r="AW75" t="e">
        <f>AND(#REF!,"AAAAAHfd3zA=")</f>
        <v>#REF!</v>
      </c>
      <c r="AX75" t="e">
        <f>AND(#REF!,"AAAAAHfd3zE=")</f>
        <v>#REF!</v>
      </c>
      <c r="AY75" t="e">
        <f>AND(#REF!,"AAAAAHfd3zI=")</f>
        <v>#REF!</v>
      </c>
      <c r="AZ75" t="e">
        <f>AND(#REF!,"AAAAAHfd3zM=")</f>
        <v>#REF!</v>
      </c>
      <c r="BA75" t="e">
        <f>AND(#REF!,"AAAAAHfd3zQ=")</f>
        <v>#REF!</v>
      </c>
      <c r="BB75" t="e">
        <f>AND(#REF!,"AAAAAHfd3zU=")</f>
        <v>#REF!</v>
      </c>
      <c r="BC75" t="e">
        <f>AND(#REF!,"AAAAAHfd3zY=")</f>
        <v>#REF!</v>
      </c>
      <c r="BD75" t="e">
        <f>AND(#REF!,"AAAAAHfd3zc=")</f>
        <v>#REF!</v>
      </c>
      <c r="BE75" t="e">
        <f>AND(#REF!,"AAAAAHfd3zg=")</f>
        <v>#REF!</v>
      </c>
      <c r="BF75" t="e">
        <f>AND(#REF!,"AAAAAHfd3zk=")</f>
        <v>#REF!</v>
      </c>
      <c r="BG75" t="e">
        <f>AND(#REF!,"AAAAAHfd3zo=")</f>
        <v>#REF!</v>
      </c>
      <c r="BH75" t="e">
        <f>AND(#REF!,"AAAAAHfd3zs=")</f>
        <v>#REF!</v>
      </c>
      <c r="BI75" t="e">
        <f>AND(#REF!,"AAAAAHfd3zw=")</f>
        <v>#REF!</v>
      </c>
      <c r="BJ75" t="e">
        <f>AND(#REF!,"AAAAAHfd3z0=")</f>
        <v>#REF!</v>
      </c>
      <c r="BK75" t="e">
        <f>AND(#REF!,"AAAAAHfd3z4=")</f>
        <v>#REF!</v>
      </c>
      <c r="BL75" t="e">
        <f>AND(#REF!,"AAAAAHfd3z8=")</f>
        <v>#REF!</v>
      </c>
      <c r="BM75" t="e">
        <f>AND(#REF!,"AAAAAHfd30A=")</f>
        <v>#REF!</v>
      </c>
      <c r="BN75" t="e">
        <f>AND(#REF!,"AAAAAHfd30E=")</f>
        <v>#REF!</v>
      </c>
      <c r="BO75" t="e">
        <f>AND(#REF!,"AAAAAHfd30I=")</f>
        <v>#REF!</v>
      </c>
      <c r="BP75" t="e">
        <f>AND(#REF!,"AAAAAHfd30M=")</f>
        <v>#REF!</v>
      </c>
      <c r="BQ75" t="e">
        <f>AND(#REF!,"AAAAAHfd30Q=")</f>
        <v>#REF!</v>
      </c>
      <c r="BR75" t="e">
        <f>AND(#REF!,"AAAAAHfd30U=")</f>
        <v>#REF!</v>
      </c>
      <c r="BS75" t="e">
        <f>AND(#REF!,"AAAAAHfd30Y=")</f>
        <v>#REF!</v>
      </c>
      <c r="BT75" t="e">
        <f>AND(#REF!,"AAAAAHfd30c=")</f>
        <v>#REF!</v>
      </c>
      <c r="BU75" t="e">
        <f>AND(#REF!,"AAAAAHfd30g=")</f>
        <v>#REF!</v>
      </c>
      <c r="BV75" t="e">
        <f>AND(#REF!,"AAAAAHfd30k=")</f>
        <v>#REF!</v>
      </c>
      <c r="BW75" t="e">
        <f>AND(#REF!,"AAAAAHfd30o=")</f>
        <v>#REF!</v>
      </c>
      <c r="BX75" t="e">
        <f>AND(#REF!,"AAAAAHfd30s=")</f>
        <v>#REF!</v>
      </c>
      <c r="BY75" t="e">
        <f>AND(#REF!,"AAAAAHfd30w=")</f>
        <v>#REF!</v>
      </c>
      <c r="BZ75" t="e">
        <f>AND(#REF!,"AAAAAHfd300=")</f>
        <v>#REF!</v>
      </c>
      <c r="CA75" t="e">
        <f>AND(#REF!,"AAAAAHfd304=")</f>
        <v>#REF!</v>
      </c>
      <c r="CB75" t="e">
        <f>AND(#REF!,"AAAAAHfd308=")</f>
        <v>#REF!</v>
      </c>
      <c r="CC75" t="e">
        <f>AND(#REF!,"AAAAAHfd31A=")</f>
        <v>#REF!</v>
      </c>
      <c r="CD75" t="e">
        <f>AND(#REF!,"AAAAAHfd31E=")</f>
        <v>#REF!</v>
      </c>
      <c r="CE75" t="e">
        <f>AND(#REF!,"AAAAAHfd31I=")</f>
        <v>#REF!</v>
      </c>
      <c r="CF75" t="e">
        <f>AND(#REF!,"AAAAAHfd31M=")</f>
        <v>#REF!</v>
      </c>
      <c r="CG75" t="e">
        <f>AND(#REF!,"AAAAAHfd31Q=")</f>
        <v>#REF!</v>
      </c>
      <c r="CH75" t="e">
        <f>AND(#REF!,"AAAAAHfd31U=")</f>
        <v>#REF!</v>
      </c>
      <c r="CI75" t="e">
        <f>AND(#REF!,"AAAAAHfd31Y=")</f>
        <v>#REF!</v>
      </c>
      <c r="CJ75" t="e">
        <f>AND(#REF!,"AAAAAHfd31c=")</f>
        <v>#REF!</v>
      </c>
      <c r="CK75" t="e">
        <f>AND(#REF!,"AAAAAHfd31g=")</f>
        <v>#REF!</v>
      </c>
      <c r="CL75" t="e">
        <f>AND(#REF!,"AAAAAHfd31k=")</f>
        <v>#REF!</v>
      </c>
      <c r="CM75" t="e">
        <f>AND(#REF!,"AAAAAHfd31o=")</f>
        <v>#REF!</v>
      </c>
      <c r="CN75" t="e">
        <f>AND(#REF!,"AAAAAHfd31s=")</f>
        <v>#REF!</v>
      </c>
      <c r="CO75" t="e">
        <f>AND(#REF!,"AAAAAHfd31w=")</f>
        <v>#REF!</v>
      </c>
      <c r="CP75" t="e">
        <f>AND(#REF!,"AAAAAHfd310=")</f>
        <v>#REF!</v>
      </c>
      <c r="CQ75" t="e">
        <f>AND(#REF!,"AAAAAHfd314=")</f>
        <v>#REF!</v>
      </c>
      <c r="CR75" t="e">
        <f>AND(#REF!,"AAAAAHfd318=")</f>
        <v>#REF!</v>
      </c>
      <c r="CS75" t="e">
        <f>AND(#REF!,"AAAAAHfd32A=")</f>
        <v>#REF!</v>
      </c>
      <c r="CT75" t="e">
        <f>AND(#REF!,"AAAAAHfd32E=")</f>
        <v>#REF!</v>
      </c>
      <c r="CU75" t="e">
        <f>AND(#REF!,"AAAAAHfd32I=")</f>
        <v>#REF!</v>
      </c>
      <c r="CV75" t="e">
        <f>IF(#REF!,"AAAAAHfd32M=",0)</f>
        <v>#REF!</v>
      </c>
    </row>
    <row r="76" spans="1:256" x14ac:dyDescent="0.25">
      <c r="A76" t="e">
        <f>AND(#REF!,"AAAAAH/s5QA=")</f>
        <v>#REF!</v>
      </c>
      <c r="B76" t="e">
        <f>AND(#REF!,"AAAAAH/s5QE=")</f>
        <v>#REF!</v>
      </c>
      <c r="C76" t="e">
        <f>AND(#REF!,"AAAAAH/s5QI=")</f>
        <v>#REF!</v>
      </c>
      <c r="D76" t="e">
        <f>AND(#REF!,"AAAAAH/s5QM=")</f>
        <v>#REF!</v>
      </c>
      <c r="E76" t="e">
        <f>AND(#REF!,"AAAAAH/s5QQ=")</f>
        <v>#REF!</v>
      </c>
      <c r="F76" t="e">
        <f>AND(#REF!,"AAAAAH/s5QU=")</f>
        <v>#REF!</v>
      </c>
      <c r="G76" t="e">
        <f>AND(#REF!,"AAAAAH/s5QY=")</f>
        <v>#REF!</v>
      </c>
      <c r="H76" t="e">
        <f>AND(#REF!,"AAAAAH/s5Qc=")</f>
        <v>#REF!</v>
      </c>
      <c r="I76" t="e">
        <f>AND(#REF!,"AAAAAH/s5Qg=")</f>
        <v>#REF!</v>
      </c>
      <c r="J76" t="e">
        <f>AND(#REF!,"AAAAAH/s5Qk=")</f>
        <v>#REF!</v>
      </c>
      <c r="K76" t="e">
        <f>AND(#REF!,"AAAAAH/s5Qo=")</f>
        <v>#REF!</v>
      </c>
      <c r="L76" t="e">
        <f>AND(#REF!,"AAAAAH/s5Qs=")</f>
        <v>#REF!</v>
      </c>
      <c r="M76" t="e">
        <f>AND(#REF!,"AAAAAH/s5Qw=")</f>
        <v>#REF!</v>
      </c>
      <c r="N76" t="e">
        <f>AND(#REF!,"AAAAAH/s5Q0=")</f>
        <v>#REF!</v>
      </c>
      <c r="O76" t="e">
        <f>AND(#REF!,"AAAAAH/s5Q4=")</f>
        <v>#REF!</v>
      </c>
      <c r="P76" t="e">
        <f>AND(#REF!,"AAAAAH/s5Q8=")</f>
        <v>#REF!</v>
      </c>
      <c r="Q76" t="e">
        <f>AND(#REF!,"AAAAAH/s5RA=")</f>
        <v>#REF!</v>
      </c>
      <c r="R76" t="e">
        <f>AND(#REF!,"AAAAAH/s5RE=")</f>
        <v>#REF!</v>
      </c>
      <c r="S76" t="e">
        <f>AND(#REF!,"AAAAAH/s5RI=")</f>
        <v>#REF!</v>
      </c>
      <c r="T76" t="e">
        <f>AND(#REF!,"AAAAAH/s5RM=")</f>
        <v>#REF!</v>
      </c>
      <c r="U76" t="e">
        <f>AND(#REF!,"AAAAAH/s5RQ=")</f>
        <v>#REF!</v>
      </c>
      <c r="V76" t="e">
        <f>AND(#REF!,"AAAAAH/s5RU=")</f>
        <v>#REF!</v>
      </c>
      <c r="W76" t="e">
        <f>AND(#REF!,"AAAAAH/s5RY=")</f>
        <v>#REF!</v>
      </c>
      <c r="X76" t="e">
        <f>AND(#REF!,"AAAAAH/s5Rc=")</f>
        <v>#REF!</v>
      </c>
      <c r="Y76" t="e">
        <f>AND(#REF!,"AAAAAH/s5Rg=")</f>
        <v>#REF!</v>
      </c>
      <c r="Z76" t="e">
        <f>AND(#REF!,"AAAAAH/s5Rk=")</f>
        <v>#REF!</v>
      </c>
      <c r="AA76" t="e">
        <f>AND(#REF!,"AAAAAH/s5Ro=")</f>
        <v>#REF!</v>
      </c>
      <c r="AB76" t="e">
        <f>AND(#REF!,"AAAAAH/s5Rs=")</f>
        <v>#REF!</v>
      </c>
    </row>
    <row r="77" spans="1:256" x14ac:dyDescent="0.25">
      <c r="A77" t="e">
        <f>AND(#REF!,"AAAAAD/f9wA=")</f>
        <v>#REF!</v>
      </c>
      <c r="B77" t="e">
        <f>AND(#REF!,"AAAAAD/f9wE=")</f>
        <v>#REF!</v>
      </c>
      <c r="C77" t="e">
        <f>AND(#REF!,"AAAAAD/f9wI=")</f>
        <v>#REF!</v>
      </c>
      <c r="D77" t="e">
        <f>AND(#REF!,"AAAAAD/f9wM=")</f>
        <v>#REF!</v>
      </c>
      <c r="E77" t="e">
        <f>AND(#REF!,"AAAAAD/f9wQ=")</f>
        <v>#REF!</v>
      </c>
      <c r="F77" t="e">
        <f>AND(#REF!,"AAAAAD/f9wU=")</f>
        <v>#REF!</v>
      </c>
      <c r="G77" t="e">
        <f>AND(#REF!,"AAAAAD/f9wY=")</f>
        <v>#REF!</v>
      </c>
      <c r="H77" t="e">
        <f>AND(#REF!,"AAAAAD/f9wc=")</f>
        <v>#REF!</v>
      </c>
      <c r="I77" t="e">
        <f>AND(#REF!,"AAAAAD/f9wg=")</f>
        <v>#REF!</v>
      </c>
      <c r="J77" t="e">
        <f>AND(#REF!,"AAAAAD/f9wk=")</f>
        <v>#REF!</v>
      </c>
      <c r="K77" t="e">
        <f>AND(#REF!,"AAAAAD/f9wo=")</f>
        <v>#REF!</v>
      </c>
      <c r="L77" t="e">
        <f>AND(#REF!,"AAAAAD/f9ws=")</f>
        <v>#REF!</v>
      </c>
      <c r="M77" t="e">
        <f>AND(#REF!,"AAAAAD/f9ww=")</f>
        <v>#REF!</v>
      </c>
      <c r="N77" t="e">
        <f>AND(#REF!,"AAAAAD/f9w0=")</f>
        <v>#REF!</v>
      </c>
      <c r="O77" t="e">
        <f>AND(#REF!,"AAAAAD/f9w4=")</f>
        <v>#REF!</v>
      </c>
      <c r="P77" t="e">
        <f>AND(#REF!,"AAAAAD/f9w8=")</f>
        <v>#REF!</v>
      </c>
      <c r="Q77" t="e">
        <f>AND(#REF!,"AAAAAD/f9xA=")</f>
        <v>#REF!</v>
      </c>
      <c r="R77" t="e">
        <f>AND(#REF!,"AAAAAD/f9xE=")</f>
        <v>#REF!</v>
      </c>
      <c r="S77" t="e">
        <f>AND(#REF!,"AAAAAD/f9xI=")</f>
        <v>#REF!</v>
      </c>
      <c r="T77" t="e">
        <f>AND(#REF!,"AAAAAD/f9xM=")</f>
        <v>#REF!</v>
      </c>
      <c r="U77" t="e">
        <f>AND(#REF!,"AAAAAD/f9xQ=")</f>
        <v>#REF!</v>
      </c>
      <c r="V77" t="e">
        <f>AND(#REF!,"AAAAAD/f9xU=")</f>
        <v>#REF!</v>
      </c>
      <c r="W77" t="e">
        <f>AND(#REF!,"AAAAAD/f9xY=")</f>
        <v>#REF!</v>
      </c>
      <c r="X77" t="e">
        <f>AND(#REF!,"AAAAAD/f9xc=")</f>
        <v>#REF!</v>
      </c>
      <c r="Y77" t="e">
        <f>AND(#REF!,"AAAAAD/f9xg=")</f>
        <v>#REF!</v>
      </c>
      <c r="Z77" t="e">
        <f>AND(#REF!,"AAAAAD/f9xk=")</f>
        <v>#REF!</v>
      </c>
      <c r="AA77" t="e">
        <f>AND(#REF!,"AAAAAD/f9xo=")</f>
        <v>#REF!</v>
      </c>
      <c r="AB77" t="e">
        <f>AND(#REF!,"AAAAAD/f9xs=")</f>
        <v>#REF!</v>
      </c>
      <c r="AC77" t="e">
        <f>AND(#REF!,"AAAAAD/f9xw=")</f>
        <v>#REF!</v>
      </c>
      <c r="AD77" t="e">
        <f>AND(#REF!,"AAAAAD/f9x0=")</f>
        <v>#REF!</v>
      </c>
      <c r="AE77" t="e">
        <f>AND(#REF!,"AAAAAD/f9x4=")</f>
        <v>#REF!</v>
      </c>
      <c r="AF77" t="e">
        <f>AND(#REF!,"AAAAAD/f9x8=")</f>
        <v>#REF!</v>
      </c>
      <c r="AG77" t="e">
        <f>AND(#REF!,"AAAAAD/f9yA=")</f>
        <v>#REF!</v>
      </c>
      <c r="AH77" t="e">
        <f>AND(#REF!,"AAAAAD/f9yE=")</f>
        <v>#REF!</v>
      </c>
      <c r="AI77" t="e">
        <f>AND(#REF!,"AAAAAD/f9yI=")</f>
        <v>#REF!</v>
      </c>
      <c r="AJ77" t="e">
        <f>AND(#REF!,"AAAAAD/f9yM=")</f>
        <v>#REF!</v>
      </c>
      <c r="AK77" t="e">
        <f>AND(#REF!,"AAAAAD/f9yQ=")</f>
        <v>#REF!</v>
      </c>
      <c r="AL77" t="e">
        <f>AND(#REF!,"AAAAAD/f9yU=")</f>
        <v>#REF!</v>
      </c>
      <c r="AM77" t="e">
        <f>IF(#REF!,"AAAAAD/f9yY=",0)</f>
        <v>#REF!</v>
      </c>
      <c r="AN77" t="e">
        <f>AND(#REF!,"AAAAAD/f9yc=")</f>
        <v>#REF!</v>
      </c>
      <c r="AO77" t="e">
        <f>AND(#REF!,"AAAAAD/f9yg=")</f>
        <v>#REF!</v>
      </c>
      <c r="AP77" t="e">
        <f>AND(#REF!,"AAAAAD/f9yk=")</f>
        <v>#REF!</v>
      </c>
      <c r="AQ77" t="e">
        <f>IF(#REF!,"AAAAAD/f9yo=",0)</f>
        <v>#REF!</v>
      </c>
      <c r="AR77" t="e">
        <f>AND(#REF!,"AAAAAD/f9ys=")</f>
        <v>#REF!</v>
      </c>
      <c r="AS77" t="e">
        <f>AND(#REF!,"AAAAAD/f9yw=")</f>
        <v>#REF!</v>
      </c>
      <c r="AT77" t="e">
        <f>AND(#REF!,"AAAAAD/f9y0=")</f>
        <v>#REF!</v>
      </c>
      <c r="AU77" t="e">
        <f>AND(#REF!,"AAAAAD/f9y4=")</f>
        <v>#REF!</v>
      </c>
      <c r="AV77" t="e">
        <f>AND(#REF!,"AAAAAD/f9y8=")</f>
        <v>#REF!</v>
      </c>
      <c r="AW77" t="e">
        <f>IF(#REF!,"AAAAAD/f9zA=",0)</f>
        <v>#REF!</v>
      </c>
      <c r="AX77" t="e">
        <f>AND(#REF!,"AAAAAD/f9zE=")</f>
        <v>#REF!</v>
      </c>
      <c r="AY77" t="e">
        <f>AND(#REF!,"AAAAAD/f9zI=")</f>
        <v>#REF!</v>
      </c>
      <c r="AZ77" t="e">
        <f>IF(#REF!,"AAAAAD/f9zM=",0)</f>
        <v>#REF!</v>
      </c>
      <c r="BA77" t="e">
        <f>AND(#REF!,"AAAAAD/f9zQ=")</f>
        <v>#REF!</v>
      </c>
      <c r="BB77" t="e">
        <f>AND(#REF!,"AAAAAD/f9zU=")</f>
        <v>#REF!</v>
      </c>
    </row>
    <row r="78" spans="1:256" x14ac:dyDescent="0.25">
      <c r="A78" t="e">
        <f>AND(#REF!,"AAAAAF/OmwA=")</f>
        <v>#REF!</v>
      </c>
      <c r="B78" t="e">
        <f>AND(#REF!,"AAAAAF/OmwE=")</f>
        <v>#REF!</v>
      </c>
      <c r="C78" t="e">
        <f>AND(#REF!,"AAAAAF/OmwI=")</f>
        <v>#REF!</v>
      </c>
      <c r="D78" t="e">
        <f>AND(#REF!,"AAAAAF/OmwM=")</f>
        <v>#REF!</v>
      </c>
      <c r="E78" t="e">
        <f>AND(#REF!,"AAAAAF/OmwQ=")</f>
        <v>#REF!</v>
      </c>
      <c r="F78" t="e">
        <f>AND(#REF!,"AAAAAF/OmwU=")</f>
        <v>#REF!</v>
      </c>
      <c r="G78" t="e">
        <f>AND(#REF!,"AAAAAF/OmwY=")</f>
        <v>#REF!</v>
      </c>
      <c r="H78" t="e">
        <f>AND(#REF!,"AAAAAF/Omwc=")</f>
        <v>#REF!</v>
      </c>
      <c r="I78" t="e">
        <f>AND(#REF!,"AAAAAF/Omwg=")</f>
        <v>#REF!</v>
      </c>
      <c r="J78" t="e">
        <f>AND(#REF!,"AAAAAF/Omwk=")</f>
        <v>#REF!</v>
      </c>
      <c r="K78" t="e">
        <f>AND(#REF!,"AAAAAF/Omwo=")</f>
        <v>#REF!</v>
      </c>
      <c r="L78" t="e">
        <f>AND(#REF!,"AAAAAF/Omws=")</f>
        <v>#REF!</v>
      </c>
      <c r="M78" t="e">
        <f>AND(#REF!,"AAAAAF/Omww=")</f>
        <v>#REF!</v>
      </c>
      <c r="N78" t="e">
        <f>AND(#REF!,"AAAAAF/Omw0=")</f>
        <v>#REF!</v>
      </c>
      <c r="O78" t="e">
        <f>AND(#REF!,"AAAAAF/Omw4=")</f>
        <v>#REF!</v>
      </c>
      <c r="P78" t="e">
        <f>AND(#REF!,"AAAAAF/Omw8=")</f>
        <v>#REF!</v>
      </c>
      <c r="Q78" t="e">
        <f>AND(#REF!,"AAAAAF/OmxA=")</f>
        <v>#REF!</v>
      </c>
      <c r="R78" t="e">
        <f>AND(#REF!,"AAAAAF/OmxE=")</f>
        <v>#REF!</v>
      </c>
      <c r="S78" t="e">
        <f>AND(#REF!,"AAAAAF/OmxI=")</f>
        <v>#REF!</v>
      </c>
      <c r="T78" t="e">
        <f>AND(#REF!,"AAAAAF/OmxM=")</f>
        <v>#REF!</v>
      </c>
      <c r="U78" t="e">
        <f>AND(#REF!,"AAAAAF/OmxQ=")</f>
        <v>#REF!</v>
      </c>
      <c r="V78" t="e">
        <f>AND(#REF!,"AAAAAF/OmxU=")</f>
        <v>#REF!</v>
      </c>
      <c r="W78" t="e">
        <f>AND(#REF!,"AAAAAF/OmxY=")</f>
        <v>#REF!</v>
      </c>
      <c r="X78" t="e">
        <f>AND(#REF!,"AAAAAF/Omxc=")</f>
        <v>#REF!</v>
      </c>
      <c r="Y78" t="e">
        <f>AND(#REF!,"AAAAAF/Omxg=")</f>
        <v>#REF!</v>
      </c>
      <c r="Z78" t="e">
        <f>AND(#REF!,"AAAAAF/Omxk=")</f>
        <v>#REF!</v>
      </c>
      <c r="AA78" t="e">
        <f>AND(#REF!,"AAAAAF/Omxo=")</f>
        <v>#REF!</v>
      </c>
      <c r="AB78" t="e">
        <f>AND(#REF!,"AAAAAF/Omxs=")</f>
        <v>#REF!</v>
      </c>
      <c r="AC78" t="e">
        <f>AND(#REF!,"AAAAAF/Omxw=")</f>
        <v>#REF!</v>
      </c>
      <c r="AD78" t="e">
        <f>AND(#REF!,"AAAAAF/Omx0=")</f>
        <v>#REF!</v>
      </c>
      <c r="AE78" t="e">
        <f>AND(#REF!,"AAAAAF/Omx4=")</f>
        <v>#REF!</v>
      </c>
      <c r="AF78" t="e">
        <f>AND(#REF!,"AAAAAF/Omx8=")</f>
        <v>#REF!</v>
      </c>
      <c r="AG78" t="e">
        <f>AND(#REF!,"AAAAAF/OmyA=")</f>
        <v>#REF!</v>
      </c>
      <c r="AH78" t="e">
        <f>AND(#REF!,"AAAAAF/OmyE=")</f>
        <v>#REF!</v>
      </c>
      <c r="AI78" t="e">
        <f>AND(#REF!,"AAAAAF/OmyI=")</f>
        <v>#REF!</v>
      </c>
      <c r="AJ78" t="e">
        <f>AND(#REF!,"AAAAAF/OmyM=")</f>
        <v>#REF!</v>
      </c>
      <c r="AK78" t="e">
        <f>AND(#REF!,"AAAAAF/OmyQ=")</f>
        <v>#REF!</v>
      </c>
      <c r="AL78" t="e">
        <f>AND(#REF!,"AAAAAF/OmyU=")</f>
        <v>#REF!</v>
      </c>
      <c r="AM78" t="e">
        <f>AND(#REF!,"AAAAAF/OmyY=")</f>
        <v>#REF!</v>
      </c>
      <c r="AN78" t="e">
        <f>AND(#REF!,"AAAAAF/Omyc=")</f>
        <v>#REF!</v>
      </c>
      <c r="AO78" t="e">
        <f>AND(#REF!,"AAAAAF/Omyg=")</f>
        <v>#REF!</v>
      </c>
      <c r="AP78" t="e">
        <f>AND(#REF!,"AAAAAF/Omyk=")</f>
        <v>#REF!</v>
      </c>
      <c r="AQ78" t="e">
        <f>AND(#REF!,"AAAAAF/Omyo=")</f>
        <v>#REF!</v>
      </c>
      <c r="AR78" t="e">
        <f>AND(#REF!,"AAAAAF/Omys=")</f>
        <v>#REF!</v>
      </c>
      <c r="AS78" t="e">
        <f>AND(#REF!,"AAAAAF/Omyw=")</f>
        <v>#REF!</v>
      </c>
      <c r="AT78" t="e">
        <f>AND(#REF!,"AAAAAF/Omy0=")</f>
        <v>#REF!</v>
      </c>
      <c r="AU78" t="e">
        <f>AND(#REF!,"AAAAAF/Omy4=")</f>
        <v>#REF!</v>
      </c>
      <c r="AV78" t="e">
        <f>AND(#REF!,"AAAAAF/Omy8=")</f>
        <v>#REF!</v>
      </c>
      <c r="AW78" t="e">
        <f>AND(#REF!,"AAAAAF/OmzA=")</f>
        <v>#REF!</v>
      </c>
      <c r="AX78" t="e">
        <f>AND(#REF!,"AAAAAF/OmzE=")</f>
        <v>#REF!</v>
      </c>
      <c r="AY78" t="e">
        <f>AND(#REF!,"AAAAAF/OmzI=")</f>
        <v>#REF!</v>
      </c>
      <c r="AZ78" t="e">
        <f>AND(#REF!,"AAAAAF/OmzM=")</f>
        <v>#REF!</v>
      </c>
      <c r="BA78" t="e">
        <f>AND(#REF!,"AAAAAF/OmzQ=")</f>
        <v>#REF!</v>
      </c>
      <c r="BB78" t="e">
        <f>AND(#REF!,"AAAAAF/OmzU=")</f>
        <v>#REF!</v>
      </c>
      <c r="BC78" t="e">
        <f>AND(#REF!,"AAAAAF/OmzY=")</f>
        <v>#REF!</v>
      </c>
      <c r="BD78" t="e">
        <f>AND(#REF!,"AAAAAF/Omzc=")</f>
        <v>#REF!</v>
      </c>
      <c r="BE78" t="e">
        <f>AND(#REF!,"AAAAAF/Omzg=")</f>
        <v>#REF!</v>
      </c>
      <c r="BF78" t="e">
        <f>AND(#REF!,"AAAAAF/Omzk=")</f>
        <v>#REF!</v>
      </c>
      <c r="BG78" t="e">
        <f>AND(#REF!,"AAAAAF/Omzo=")</f>
        <v>#REF!</v>
      </c>
      <c r="BH78" t="e">
        <f>AND(#REF!,"AAAAAF/Omzs=")</f>
        <v>#REF!</v>
      </c>
      <c r="BI78" t="e">
        <f>AND(#REF!,"AAAAAF/Omzw=")</f>
        <v>#REF!</v>
      </c>
      <c r="BJ78" t="e">
        <f>AND(#REF!,"AAAAAF/Omz0=")</f>
        <v>#REF!</v>
      </c>
      <c r="BK78" t="e">
        <f>AND(#REF!,"AAAAAF/Omz4=")</f>
        <v>#REF!</v>
      </c>
      <c r="BL78" t="e">
        <f>AND(#REF!,"AAAAAF/Omz8=")</f>
        <v>#REF!</v>
      </c>
      <c r="BM78" t="e">
        <f>AND(#REF!,"AAAAAF/Om0A=")</f>
        <v>#REF!</v>
      </c>
      <c r="BN78" t="e">
        <f>AND(#REF!,"AAAAAF/Om0E=")</f>
        <v>#REF!</v>
      </c>
      <c r="BO78" t="e">
        <f>AND(#REF!,"AAAAAF/Om0I=")</f>
        <v>#REF!</v>
      </c>
      <c r="BP78" t="e">
        <f>AND(#REF!,"AAAAAF/Om0M=")</f>
        <v>#REF!</v>
      </c>
      <c r="BQ78" t="e">
        <f>AND(#REF!,"AAAAAF/Om0Q=")</f>
        <v>#REF!</v>
      </c>
      <c r="BR78" t="e">
        <f>AND(#REF!,"AAAAAF/Om0U=")</f>
        <v>#REF!</v>
      </c>
      <c r="BS78" t="e">
        <f>AND(#REF!,"AAAAAF/Om0Y=")</f>
        <v>#REF!</v>
      </c>
      <c r="BT78" t="e">
        <f>AND(#REF!,"AAAAAF/Om0c=")</f>
        <v>#REF!</v>
      </c>
      <c r="BU78" t="e">
        <f>AND(#REF!,"AAAAAF/Om0g=")</f>
        <v>#REF!</v>
      </c>
      <c r="BV78" t="e">
        <f>AND(#REF!,"AAAAAF/Om0k=")</f>
        <v>#REF!</v>
      </c>
      <c r="BW78" t="e">
        <f>AND(#REF!,"AAAAAF/Om0o=")</f>
        <v>#REF!</v>
      </c>
      <c r="BX78" t="e">
        <f>AND(#REF!,"AAAAAF/Om0s=")</f>
        <v>#REF!</v>
      </c>
      <c r="BY78" t="e">
        <f>AND(#REF!,"AAAAAF/Om0w=")</f>
        <v>#REF!</v>
      </c>
      <c r="BZ78" t="e">
        <f>AND(#REF!,"AAAAAF/Om00=")</f>
        <v>#REF!</v>
      </c>
      <c r="CA78" t="e">
        <f>AND(#REF!,"AAAAAF/Om04=")</f>
        <v>#REF!</v>
      </c>
      <c r="CB78" t="e">
        <f>AND(#REF!,"AAAAAF/Om08=")</f>
        <v>#REF!</v>
      </c>
      <c r="CC78" t="e">
        <f>AND(#REF!,"AAAAAF/Om1A=")</f>
        <v>#REF!</v>
      </c>
      <c r="CD78" t="e">
        <f>AND(#REF!,"AAAAAF/Om1E=")</f>
        <v>#REF!</v>
      </c>
      <c r="CE78" t="e">
        <f>AND(#REF!,"AAAAAF/Om1I=")</f>
        <v>#REF!</v>
      </c>
      <c r="CF78" t="e">
        <f>AND(#REF!,"AAAAAF/Om1M=")</f>
        <v>#REF!</v>
      </c>
      <c r="CG78" t="e">
        <f>AND(#REF!,"AAAAAF/Om1Q=")</f>
        <v>#REF!</v>
      </c>
      <c r="CH78" t="e">
        <f>AND(#REF!,"AAAAAF/Om1U=")</f>
        <v>#REF!</v>
      </c>
      <c r="CI78" t="e">
        <f>AND(#REF!,"AAAAAF/Om1Y=")</f>
        <v>#REF!</v>
      </c>
      <c r="CJ78" t="e">
        <f>AND(#REF!,"AAAAAF/Om1c=")</f>
        <v>#REF!</v>
      </c>
      <c r="CK78" t="e">
        <f>AND(#REF!,"AAAAAF/Om1g=")</f>
        <v>#REF!</v>
      </c>
      <c r="CL78" t="e">
        <f>AND(#REF!,"AAAAAF/Om1k=")</f>
        <v>#REF!</v>
      </c>
      <c r="CM78" t="e">
        <f>AND(#REF!,"AAAAAF/Om1o=")</f>
        <v>#REF!</v>
      </c>
      <c r="CN78" t="e">
        <f>AND(#REF!,"AAAAAF/Om1s=")</f>
        <v>#REF!</v>
      </c>
      <c r="CO78" t="e">
        <f>AND(#REF!,"AAAAAF/Om1w=")</f>
        <v>#REF!</v>
      </c>
      <c r="CP78" t="e">
        <f>AND(#REF!,"AAAAAF/Om10=")</f>
        <v>#REF!</v>
      </c>
      <c r="CQ78" t="e">
        <f>AND(#REF!,"AAAAAF/Om14=")</f>
        <v>#REF!</v>
      </c>
      <c r="CR78" t="e">
        <f>AND(#REF!,"AAAAAF/Om18=")</f>
        <v>#REF!</v>
      </c>
      <c r="CS78" t="e">
        <f>AND(#REF!,"AAAAAF/Om2A=")</f>
        <v>#REF!</v>
      </c>
      <c r="CT78" t="e">
        <f>AND(#REF!,"AAAAAF/Om2E=")</f>
        <v>#REF!</v>
      </c>
      <c r="CU78" t="e">
        <f>AND(#REF!,"AAAAAF/Om2I=")</f>
        <v>#REF!</v>
      </c>
      <c r="CV78" t="e">
        <f>AND(#REF!,"AAAAAF/Om2M=")</f>
        <v>#REF!</v>
      </c>
      <c r="CW78" t="e">
        <f>AND(#REF!,"AAAAAF/Om2Q=")</f>
        <v>#REF!</v>
      </c>
      <c r="CX78" t="e">
        <f>AND(#REF!,"AAAAAF/Om2U=")</f>
        <v>#REF!</v>
      </c>
      <c r="CY78" t="e">
        <f>AND(#REF!,"AAAAAF/Om2Y=")</f>
        <v>#REF!</v>
      </c>
      <c r="CZ78" t="e">
        <f>AND(#REF!,"AAAAAF/Om2c=")</f>
        <v>#REF!</v>
      </c>
      <c r="DA78" t="e">
        <f>AND(#REF!,"AAAAAF/Om2g=")</f>
        <v>#REF!</v>
      </c>
      <c r="DB78" t="e">
        <f>AND(#REF!,"AAAAAF/Om2k=")</f>
        <v>#REF!</v>
      </c>
      <c r="DC78" t="e">
        <f>AND(#REF!,"AAAAAF/Om2o=")</f>
        <v>#REF!</v>
      </c>
      <c r="DD78" t="e">
        <f>AND(#REF!,"AAAAAF/Om2s=")</f>
        <v>#REF!</v>
      </c>
      <c r="DE78" t="e">
        <f>AND(#REF!,"AAAAAF/Om2w=")</f>
        <v>#REF!</v>
      </c>
      <c r="DF78" t="e">
        <f>AND(#REF!,"AAAAAF/Om20=")</f>
        <v>#REF!</v>
      </c>
      <c r="DG78" t="e">
        <f>AND(#REF!,"AAAAAF/Om24=")</f>
        <v>#REF!</v>
      </c>
      <c r="DH78" t="e">
        <f>AND(#REF!,"AAAAAF/Om28=")</f>
        <v>#REF!</v>
      </c>
      <c r="DI78" t="e">
        <f>AND(#REF!,"AAAAAF/Om3A=")</f>
        <v>#REF!</v>
      </c>
      <c r="DJ78" t="e">
        <f>AND(#REF!,"AAAAAF/Om3E=")</f>
        <v>#REF!</v>
      </c>
      <c r="DK78" t="e">
        <f>AND(#REF!,"AAAAAF/Om3I=")</f>
        <v>#REF!</v>
      </c>
      <c r="DL78" t="e">
        <f>AND(#REF!,"AAAAAF/Om3M=")</f>
        <v>#REF!</v>
      </c>
      <c r="DM78" t="e">
        <f>AND(#REF!,"AAAAAF/Om3Q=")</f>
        <v>#REF!</v>
      </c>
      <c r="DN78" t="e">
        <f>AND(#REF!,"AAAAAF/Om3U=")</f>
        <v>#REF!</v>
      </c>
      <c r="DO78" t="e">
        <f>AND(#REF!,"AAAAAF/Om3Y=")</f>
        <v>#REF!</v>
      </c>
      <c r="DP78" t="e">
        <f>AND(#REF!,"AAAAAF/Om3c=")</f>
        <v>#REF!</v>
      </c>
      <c r="DQ78" t="e">
        <f>AND(#REF!,"AAAAAF/Om3g=")</f>
        <v>#REF!</v>
      </c>
      <c r="DR78" t="e">
        <f>AND(#REF!,"AAAAAF/Om3k=")</f>
        <v>#REF!</v>
      </c>
      <c r="DS78" t="e">
        <f>AND(#REF!,"AAAAAF/Om3o=")</f>
        <v>#REF!</v>
      </c>
      <c r="DT78" t="e">
        <f>AND(#REF!,"AAAAAF/Om3s=")</f>
        <v>#REF!</v>
      </c>
      <c r="DU78" t="e">
        <f>AND(#REF!,"AAAAAF/Om3w=")</f>
        <v>#REF!</v>
      </c>
      <c r="DV78" t="e">
        <f>AND(#REF!,"AAAAAF/Om30=")</f>
        <v>#REF!</v>
      </c>
      <c r="DW78" t="e">
        <f>AND(#REF!,"AAAAAF/Om34=")</f>
        <v>#REF!</v>
      </c>
      <c r="DX78" t="e">
        <f>AND(#REF!,"AAAAAF/Om38=")</f>
        <v>#REF!</v>
      </c>
      <c r="DY78" t="e">
        <f>AND(#REF!,"AAAAAF/Om4A=")</f>
        <v>#REF!</v>
      </c>
      <c r="DZ78" t="e">
        <f>AND(#REF!,"AAAAAF/Om4E=")</f>
        <v>#REF!</v>
      </c>
      <c r="EA78" t="e">
        <f>AND(#REF!,"AAAAAF/Om4I=")</f>
        <v>#REF!</v>
      </c>
      <c r="EB78" t="e">
        <f>AND(#REF!,"AAAAAF/Om4M=")</f>
        <v>#REF!</v>
      </c>
      <c r="EC78" t="e">
        <f>AND(#REF!,"AAAAAF/Om4Q=")</f>
        <v>#REF!</v>
      </c>
      <c r="ED78" t="e">
        <f>AND(#REF!,"AAAAAF/Om4U=")</f>
        <v>#REF!</v>
      </c>
      <c r="EE78" t="e">
        <f>AND(#REF!,"AAAAAF/Om4Y=")</f>
        <v>#REF!</v>
      </c>
      <c r="EF78" t="e">
        <f>AND(#REF!,"AAAAAF/Om4c=")</f>
        <v>#REF!</v>
      </c>
      <c r="EG78" t="e">
        <f>AND(#REF!,"AAAAAF/Om4g=")</f>
        <v>#REF!</v>
      </c>
      <c r="EH78" t="e">
        <f>AND(#REF!,"AAAAAF/Om4k=")</f>
        <v>#REF!</v>
      </c>
      <c r="EI78" t="e">
        <f>AND(#REF!,"AAAAAF/Om4o=")</f>
        <v>#REF!</v>
      </c>
      <c r="EJ78" t="e">
        <f>AND(#REF!,"AAAAAF/Om4s=")</f>
        <v>#REF!</v>
      </c>
      <c r="EK78" t="e">
        <f>AND(#REF!,"AAAAAF/Om4w=")</f>
        <v>#REF!</v>
      </c>
      <c r="EL78" t="e">
        <f>AND(#REF!,"AAAAAF/Om40=")</f>
        <v>#REF!</v>
      </c>
      <c r="EM78" t="e">
        <f>AND(#REF!,"AAAAAF/Om44=")</f>
        <v>#REF!</v>
      </c>
      <c r="EN78" t="e">
        <f>AND(#REF!,"AAAAAF/Om48=")</f>
        <v>#REF!</v>
      </c>
      <c r="EO78" t="e">
        <f>AND(#REF!,"AAAAAF/Om5A=")</f>
        <v>#REF!</v>
      </c>
      <c r="EP78" t="e">
        <f>AND(#REF!,"AAAAAF/Om5E=")</f>
        <v>#REF!</v>
      </c>
      <c r="EQ78" t="e">
        <f>AND(#REF!,"AAAAAF/Om5I=")</f>
        <v>#REF!</v>
      </c>
      <c r="ER78" t="e">
        <f>AND(#REF!,"AAAAAF/Om5M=")</f>
        <v>#REF!</v>
      </c>
      <c r="ES78" t="e">
        <f>AND(#REF!,"AAAAAF/Om5Q=")</f>
        <v>#REF!</v>
      </c>
      <c r="ET78" t="e">
        <f>AND(#REF!,"AAAAAF/Om5U=")</f>
        <v>#REF!</v>
      </c>
      <c r="EU78" t="e">
        <f>AND(#REF!,"AAAAAF/Om5Y=")</f>
        <v>#REF!</v>
      </c>
      <c r="EV78" t="e">
        <f>AND(#REF!,"AAAAAF/Om5c=")</f>
        <v>#REF!</v>
      </c>
      <c r="EW78" t="e">
        <f>AND(#REF!,"AAAAAF/Om5g=")</f>
        <v>#REF!</v>
      </c>
      <c r="EX78" t="e">
        <f>AND(#REF!,"AAAAAF/Om5k=")</f>
        <v>#REF!</v>
      </c>
      <c r="EY78" t="e">
        <f>AND(#REF!,"AAAAAF/Om5o=")</f>
        <v>#REF!</v>
      </c>
      <c r="EZ78" t="e">
        <f>AND(#REF!,"AAAAAF/Om5s=")</f>
        <v>#REF!</v>
      </c>
      <c r="FA78" t="e">
        <f>AND(#REF!,"AAAAAF/Om5w=")</f>
        <v>#REF!</v>
      </c>
      <c r="FB78" t="e">
        <f>AND(#REF!,"AAAAAF/Om50=")</f>
        <v>#REF!</v>
      </c>
      <c r="FC78" t="e">
        <f>AND(#REF!,"AAAAAF/Om54=")</f>
        <v>#REF!</v>
      </c>
      <c r="FD78" t="e">
        <f>AND(#REF!,"AAAAAF/Om58=")</f>
        <v>#REF!</v>
      </c>
      <c r="FE78" t="e">
        <f>AND(#REF!,"AAAAAF/Om6A=")</f>
        <v>#REF!</v>
      </c>
      <c r="FF78" t="e">
        <f>AND(#REF!,"AAAAAF/Om6E=")</f>
        <v>#REF!</v>
      </c>
      <c r="FG78" t="e">
        <f>AND(#REF!,"AAAAAF/Om6I=")</f>
        <v>#REF!</v>
      </c>
      <c r="FH78" t="e">
        <f>AND(#REF!,"AAAAAF/Om6M=")</f>
        <v>#REF!</v>
      </c>
      <c r="FI78" t="e">
        <f>AND(#REF!,"AAAAAF/Om6Q=")</f>
        <v>#REF!</v>
      </c>
      <c r="FJ78" t="e">
        <f>AND(#REF!,"AAAAAF/Om6U=")</f>
        <v>#REF!</v>
      </c>
      <c r="FK78" t="e">
        <f>AND(#REF!,"AAAAAF/Om6Y=")</f>
        <v>#REF!</v>
      </c>
      <c r="FL78" t="e">
        <f>AND(#REF!,"AAAAAF/Om6c=")</f>
        <v>#REF!</v>
      </c>
      <c r="FM78" t="e">
        <f>AND(#REF!,"AAAAAF/Om6g=")</f>
        <v>#REF!</v>
      </c>
      <c r="FN78" t="e">
        <f>AND(#REF!,"AAAAAF/Om6k=")</f>
        <v>#REF!</v>
      </c>
      <c r="FO78" t="e">
        <f>AND(#REF!,"AAAAAF/Om6o=")</f>
        <v>#REF!</v>
      </c>
      <c r="FP78" t="e">
        <f>AND(#REF!,"AAAAAF/Om6s=")</f>
        <v>#REF!</v>
      </c>
      <c r="FQ78" t="e">
        <f>AND(#REF!,"AAAAAF/Om6w=")</f>
        <v>#REF!</v>
      </c>
      <c r="FR78" t="e">
        <f>AND(#REF!,"AAAAAF/Om60=")</f>
        <v>#REF!</v>
      </c>
      <c r="FS78" t="e">
        <f>AND(#REF!,"AAAAAF/Om64=")</f>
        <v>#REF!</v>
      </c>
      <c r="FT78" t="e">
        <f>AND(#REF!,"AAAAAF/Om68=")</f>
        <v>#REF!</v>
      </c>
      <c r="FU78" t="e">
        <f>AND(#REF!,"AAAAAF/Om7A=")</f>
        <v>#REF!</v>
      </c>
      <c r="FV78" t="e">
        <f>AND(#REF!,"AAAAAF/Om7E=")</f>
        <v>#REF!</v>
      </c>
      <c r="FW78" t="e">
        <f>AND(#REF!,"AAAAAF/Om7I=")</f>
        <v>#REF!</v>
      </c>
      <c r="FX78" t="e">
        <f>AND(#REF!,"AAAAAF/Om7M=")</f>
        <v>#REF!</v>
      </c>
      <c r="FY78" t="e">
        <f>AND(#REF!,"AAAAAF/Om7Q=")</f>
        <v>#REF!</v>
      </c>
      <c r="FZ78" t="e">
        <f>AND(#REF!,"AAAAAF/Om7U=")</f>
        <v>#REF!</v>
      </c>
      <c r="GA78" t="e">
        <f>AND(#REF!,"AAAAAF/Om7Y=")</f>
        <v>#REF!</v>
      </c>
      <c r="GB78" t="e">
        <f>AND(#REF!,"AAAAAF/Om7c=")</f>
        <v>#REF!</v>
      </c>
      <c r="GC78" t="e">
        <f>AND(#REF!,"AAAAAF/Om7g=")</f>
        <v>#REF!</v>
      </c>
      <c r="GD78" t="e">
        <f>AND(#REF!,"AAAAAF/Om7k=")</f>
        <v>#REF!</v>
      </c>
      <c r="GE78" t="e">
        <f>AND(#REF!,"AAAAAF/Om7o=")</f>
        <v>#REF!</v>
      </c>
      <c r="GF78" t="e">
        <f>AND(#REF!,"AAAAAF/Om7s=")</f>
        <v>#REF!</v>
      </c>
      <c r="GG78" t="e">
        <f>AND(#REF!,"AAAAAF/Om7w=")</f>
        <v>#REF!</v>
      </c>
      <c r="GH78" t="e">
        <f>AND(#REF!,"AAAAAF/Om70=")</f>
        <v>#REF!</v>
      </c>
      <c r="GI78" t="e">
        <f>AND(#REF!,"AAAAAF/Om74=")</f>
        <v>#REF!</v>
      </c>
      <c r="GJ78" t="e">
        <f>AND(#REF!,"AAAAAF/Om78=")</f>
        <v>#REF!</v>
      </c>
      <c r="GK78" t="e">
        <f>AND(#REF!,"AAAAAF/Om8A=")</f>
        <v>#REF!</v>
      </c>
      <c r="GL78" t="e">
        <f>AND(#REF!,"AAAAAF/Om8E=")</f>
        <v>#REF!</v>
      </c>
      <c r="GM78" t="e">
        <f>AND(#REF!,"AAAAAF/Om8I=")</f>
        <v>#REF!</v>
      </c>
      <c r="GN78" t="e">
        <f>AND(#REF!,"AAAAAF/Om8M=")</f>
        <v>#REF!</v>
      </c>
      <c r="GO78" t="e">
        <f>AND(#REF!,"AAAAAF/Om8Q=")</f>
        <v>#REF!</v>
      </c>
      <c r="GP78" t="e">
        <f>AND(#REF!,"AAAAAF/Om8U=")</f>
        <v>#REF!</v>
      </c>
      <c r="GQ78" t="e">
        <f>AND(#REF!,"AAAAAF/Om8Y=")</f>
        <v>#REF!</v>
      </c>
      <c r="GR78" t="e">
        <f>AND(#REF!,"AAAAAF/Om8c=")</f>
        <v>#REF!</v>
      </c>
      <c r="GS78" t="e">
        <f>AND(#REF!,"AAAAAF/Om8g=")</f>
        <v>#REF!</v>
      </c>
      <c r="GT78" t="e">
        <f>AND(#REF!,"AAAAAF/Om8k=")</f>
        <v>#REF!</v>
      </c>
      <c r="GU78" t="e">
        <f>AND(#REF!,"AAAAAF/Om8o=")</f>
        <v>#REF!</v>
      </c>
      <c r="GV78" t="e">
        <f>AND(#REF!,"AAAAAF/Om8s=")</f>
        <v>#REF!</v>
      </c>
      <c r="GW78" t="e">
        <f>AND(#REF!,"AAAAAF/Om8w=")</f>
        <v>#REF!</v>
      </c>
      <c r="GX78" t="e">
        <f>AND(#REF!,"AAAAAF/Om80=")</f>
        <v>#REF!</v>
      </c>
      <c r="GY78" t="e">
        <f>AND(#REF!,"AAAAAF/Om84=")</f>
        <v>#REF!</v>
      </c>
      <c r="GZ78" t="e">
        <f>AND(#REF!,"AAAAAF/Om88=")</f>
        <v>#REF!</v>
      </c>
      <c r="HA78" t="e">
        <f>AND(#REF!,"AAAAAF/Om9A=")</f>
        <v>#REF!</v>
      </c>
      <c r="HB78" t="e">
        <f>AND(#REF!,"AAAAAF/Om9E=")</f>
        <v>#REF!</v>
      </c>
      <c r="HC78" t="e">
        <f>AND(#REF!,"AAAAAF/Om9I=")</f>
        <v>#REF!</v>
      </c>
      <c r="HD78" t="e">
        <f>AND(#REF!,"AAAAAF/Om9M=")</f>
        <v>#REF!</v>
      </c>
      <c r="HE78" t="e">
        <f>AND(#REF!,"AAAAAF/Om9Q=")</f>
        <v>#REF!</v>
      </c>
      <c r="HF78" t="e">
        <f>AND(#REF!,"AAAAAF/Om9U=")</f>
        <v>#REF!</v>
      </c>
      <c r="HG78" t="e">
        <f>AND(#REF!,"AAAAAF/Om9Y=")</f>
        <v>#REF!</v>
      </c>
      <c r="HH78" t="e">
        <f>AND(#REF!,"AAAAAF/Om9c=")</f>
        <v>#REF!</v>
      </c>
      <c r="HI78" t="e">
        <f>AND(#REF!,"AAAAAF/Om9g=")</f>
        <v>#REF!</v>
      </c>
      <c r="HJ78" t="e">
        <f>AND(#REF!,"AAAAAF/Om9k=")</f>
        <v>#REF!</v>
      </c>
      <c r="HK78" t="e">
        <f>AND(#REF!,"AAAAAF/Om9o=")</f>
        <v>#REF!</v>
      </c>
      <c r="HL78" t="e">
        <f>AND(#REF!,"AAAAAF/Om9s=")</f>
        <v>#REF!</v>
      </c>
      <c r="HM78" t="e">
        <f>AND(#REF!,"AAAAAF/Om9w=")</f>
        <v>#REF!</v>
      </c>
      <c r="HN78" t="e">
        <f>AND(#REF!,"AAAAAF/Om90=")</f>
        <v>#REF!</v>
      </c>
      <c r="HO78" t="e">
        <f>AND(#REF!,"AAAAAF/Om94=")</f>
        <v>#REF!</v>
      </c>
      <c r="HP78" t="e">
        <f>AND(#REF!,"AAAAAF/Om98=")</f>
        <v>#REF!</v>
      </c>
      <c r="HQ78" t="e">
        <f>AND(#REF!,"AAAAAF/Om+A=")</f>
        <v>#REF!</v>
      </c>
      <c r="HR78" t="e">
        <f>AND(#REF!,"AAAAAF/Om+E=")</f>
        <v>#REF!</v>
      </c>
      <c r="HS78" t="e">
        <f>AND(#REF!,"AAAAAF/Om+I=")</f>
        <v>#REF!</v>
      </c>
      <c r="HT78" t="e">
        <f>AND(#REF!,"AAAAAF/Om+M=")</f>
        <v>#REF!</v>
      </c>
      <c r="HU78" t="e">
        <f>AND(#REF!,"AAAAAF/Om+Q=")</f>
        <v>#REF!</v>
      </c>
      <c r="HV78" t="e">
        <f>AND(#REF!,"AAAAAF/Om+U=")</f>
        <v>#REF!</v>
      </c>
      <c r="HW78" t="e">
        <f>AND(#REF!,"AAAAAF/Om+Y=")</f>
        <v>#REF!</v>
      </c>
      <c r="HX78" t="e">
        <f>AND(#REF!,"AAAAAF/Om+c=")</f>
        <v>#REF!</v>
      </c>
      <c r="HY78" t="e">
        <f>AND(#REF!,"AAAAAF/Om+g=")</f>
        <v>#REF!</v>
      </c>
      <c r="HZ78" t="e">
        <f>AND(#REF!,"AAAAAF/Om+k=")</f>
        <v>#REF!</v>
      </c>
      <c r="IA78" t="e">
        <f>AND(#REF!,"AAAAAF/Om+o=")</f>
        <v>#REF!</v>
      </c>
      <c r="IB78" t="e">
        <f>AND(#REF!,"AAAAAF/Om+s=")</f>
        <v>#REF!</v>
      </c>
      <c r="IC78" t="e">
        <f>AND(#REF!,"AAAAAF/Om+w=")</f>
        <v>#REF!</v>
      </c>
      <c r="ID78" t="e">
        <f>AND(#REF!,"AAAAAF/Om+0=")</f>
        <v>#REF!</v>
      </c>
      <c r="IE78" t="e">
        <f>AND(#REF!,"AAAAAF/Om+4=")</f>
        <v>#REF!</v>
      </c>
      <c r="IF78" t="e">
        <f>AND(#REF!,"AAAAAF/Om+8=")</f>
        <v>#REF!</v>
      </c>
      <c r="IG78" t="e">
        <f>AND(#REF!,"AAAAAF/Om/A=")</f>
        <v>#REF!</v>
      </c>
      <c r="IH78" t="e">
        <f>IF(#REF!,"AAAAAF/Om/E=",0)</f>
        <v>#REF!</v>
      </c>
      <c r="II78" t="e">
        <f>AND(#REF!,"AAAAAF/Om/I=")</f>
        <v>#REF!</v>
      </c>
      <c r="IJ78" t="e">
        <f>AND(#REF!,"AAAAAF/Om/M=")</f>
        <v>#REF!</v>
      </c>
      <c r="IK78" t="e">
        <f>AND(#REF!,"AAAAAF/Om/Q=")</f>
        <v>#REF!</v>
      </c>
      <c r="IL78" t="e">
        <f>AND(#REF!,"AAAAAF/Om/U=")</f>
        <v>#REF!</v>
      </c>
      <c r="IM78" t="e">
        <f>AND(#REF!,"AAAAAF/Om/Y=")</f>
        <v>#REF!</v>
      </c>
      <c r="IN78" t="e">
        <f>AND(#REF!,"AAAAAF/Om/c=")</f>
        <v>#REF!</v>
      </c>
      <c r="IO78" t="e">
        <f>AND(#REF!,"AAAAAF/Om/g=")</f>
        <v>#REF!</v>
      </c>
      <c r="IP78" t="e">
        <f>AND(#REF!,"AAAAAF/Om/k=")</f>
        <v>#REF!</v>
      </c>
      <c r="IQ78" t="e">
        <f>AND(#REF!,"AAAAAF/Om/o=")</f>
        <v>#REF!</v>
      </c>
      <c r="IR78" t="e">
        <f>AND(#REF!,"AAAAAF/Om/s=")</f>
        <v>#REF!</v>
      </c>
      <c r="IS78" t="e">
        <f>AND(#REF!,"AAAAAF/Om/w=")</f>
        <v>#REF!</v>
      </c>
      <c r="IT78" t="e">
        <f>AND(#REF!,"AAAAAF/Om/0=")</f>
        <v>#REF!</v>
      </c>
      <c r="IU78" t="e">
        <f>AND(#REF!,"AAAAAF/Om/4=")</f>
        <v>#REF!</v>
      </c>
      <c r="IV78" t="e">
        <f>AND(#REF!,"AAAAAF/Om/8=")</f>
        <v>#REF!</v>
      </c>
    </row>
    <row r="79" spans="1:256" x14ac:dyDescent="0.25">
      <c r="A79" t="e">
        <f>AND(#REF!,"AAAAAHf/qwA=")</f>
        <v>#REF!</v>
      </c>
      <c r="B79" t="e">
        <f>AND(#REF!,"AAAAAHf/qwE=")</f>
        <v>#REF!</v>
      </c>
      <c r="C79" t="e">
        <f>AND(#REF!,"AAAAAHf/qwI=")</f>
        <v>#REF!</v>
      </c>
      <c r="D79" t="e">
        <f>AND(#REF!,"AAAAAHf/qwM=")</f>
        <v>#REF!</v>
      </c>
      <c r="E79" t="e">
        <f>AND(#REF!,"AAAAAHf/qwQ=")</f>
        <v>#REF!</v>
      </c>
      <c r="F79" t="e">
        <f>AND(#REF!,"AAAAAHf/qwU=")</f>
        <v>#REF!</v>
      </c>
      <c r="G79" t="e">
        <f>AND(#REF!,"AAAAAHf/qwY=")</f>
        <v>#REF!</v>
      </c>
      <c r="H79" t="e">
        <f>AND(#REF!,"AAAAAHf/qwc=")</f>
        <v>#REF!</v>
      </c>
      <c r="I79" t="e">
        <f>AND(#REF!,"AAAAAHf/qwg=")</f>
        <v>#REF!</v>
      </c>
      <c r="J79" t="e">
        <f>AND(#REF!,"AAAAAHf/qwk=")</f>
        <v>#REF!</v>
      </c>
      <c r="K79" t="e">
        <f>AND(#REF!,"AAAAAHf/qwo=")</f>
        <v>#REF!</v>
      </c>
      <c r="L79" t="e">
        <f>AND(#REF!,"AAAAAHf/qws=")</f>
        <v>#REF!</v>
      </c>
      <c r="M79" t="e">
        <f>AND(#REF!,"AAAAAHf/qww=")</f>
        <v>#REF!</v>
      </c>
      <c r="N79" t="e">
        <f>AND(#REF!,"AAAAAHf/qw0=")</f>
        <v>#REF!</v>
      </c>
      <c r="O79" t="e">
        <f>AND(#REF!,"AAAAAHf/qw4=")</f>
        <v>#REF!</v>
      </c>
      <c r="P79" t="e">
        <f>AND(#REF!,"AAAAAHf/qw8=")</f>
        <v>#REF!</v>
      </c>
      <c r="Q79" t="e">
        <f>AND(#REF!,"AAAAAHf/qxA=")</f>
        <v>#REF!</v>
      </c>
      <c r="R79" t="e">
        <f>AND(#REF!,"AAAAAHf/qxE=")</f>
        <v>#REF!</v>
      </c>
      <c r="S79" t="e">
        <f>AND(#REF!,"AAAAAHf/qxI=")</f>
        <v>#REF!</v>
      </c>
      <c r="T79" t="e">
        <f>AND(#REF!,"AAAAAHf/qxM=")</f>
        <v>#REF!</v>
      </c>
      <c r="U79" t="e">
        <f>AND(#REF!,"AAAAAHf/qxQ=")</f>
        <v>#REF!</v>
      </c>
      <c r="V79" t="e">
        <f>AND(#REF!,"AAAAAHf/qxU=")</f>
        <v>#REF!</v>
      </c>
      <c r="W79" t="e">
        <f>AND(#REF!,"AAAAAHf/qxY=")</f>
        <v>#REF!</v>
      </c>
      <c r="X79" t="e">
        <f>AND(#REF!,"AAAAAHf/qxc=")</f>
        <v>#REF!</v>
      </c>
      <c r="Y79" t="e">
        <f>AND(#REF!,"AAAAAHf/qxg=")</f>
        <v>#REF!</v>
      </c>
      <c r="Z79" t="e">
        <f>AND(#REF!,"AAAAAHf/qxk=")</f>
        <v>#REF!</v>
      </c>
      <c r="AA79" t="e">
        <f>AND(#REF!,"AAAAAHf/qxo=")</f>
        <v>#REF!</v>
      </c>
      <c r="AB79" t="e">
        <f>AND(#REF!,"AAAAAHf/qxs=")</f>
        <v>#REF!</v>
      </c>
      <c r="AC79" t="e">
        <f>AND(#REF!,"AAAAAHf/qxw=")</f>
        <v>#REF!</v>
      </c>
      <c r="AD79" t="e">
        <f>AND(#REF!,"AAAAAHf/qx0=")</f>
        <v>#REF!</v>
      </c>
      <c r="AE79" t="e">
        <f>AND(#REF!,"AAAAAHf/qx4=")</f>
        <v>#REF!</v>
      </c>
      <c r="AF79" t="e">
        <f>AND(#REF!,"AAAAAHf/qx8=")</f>
        <v>#REF!</v>
      </c>
      <c r="AG79" t="e">
        <f>AND(#REF!,"AAAAAHf/qyA=")</f>
        <v>#REF!</v>
      </c>
      <c r="AH79" t="e">
        <f>AND(#REF!,"AAAAAHf/qyE=")</f>
        <v>#REF!</v>
      </c>
      <c r="AI79" t="e">
        <f>AND(#REF!,"AAAAAHf/qyI=")</f>
        <v>#REF!</v>
      </c>
      <c r="AJ79" t="e">
        <f>AND(#REF!,"AAAAAHf/qyM=")</f>
        <v>#REF!</v>
      </c>
      <c r="AK79" t="e">
        <f>AND(#REF!,"AAAAAHf/qyQ=")</f>
        <v>#REF!</v>
      </c>
      <c r="AL79" t="e">
        <f>AND(#REF!,"AAAAAHf/qyU=")</f>
        <v>#REF!</v>
      </c>
      <c r="AM79" t="e">
        <f>AND(#REF!,"AAAAAHf/qyY=")</f>
        <v>#REF!</v>
      </c>
      <c r="AN79" t="e">
        <f>AND(#REF!,"AAAAAHf/qyc=")</f>
        <v>#REF!</v>
      </c>
      <c r="AO79" t="e">
        <f>AND(#REF!,"AAAAAHf/qyg=")</f>
        <v>#REF!</v>
      </c>
      <c r="AP79" t="e">
        <f>AND(#REF!,"AAAAAHf/qyk=")</f>
        <v>#REF!</v>
      </c>
      <c r="AQ79" t="e">
        <f>AND(#REF!,"AAAAAHf/qyo=")</f>
        <v>#REF!</v>
      </c>
      <c r="AR79" t="e">
        <f>AND(#REF!,"AAAAAHf/qys=")</f>
        <v>#REF!</v>
      </c>
      <c r="AS79" t="e">
        <f>AND(#REF!,"AAAAAHf/qyw=")</f>
        <v>#REF!</v>
      </c>
      <c r="AT79" t="e">
        <f>AND(#REF!,"AAAAAHf/qy0=")</f>
        <v>#REF!</v>
      </c>
      <c r="AU79" t="e">
        <f>AND(#REF!,"AAAAAHf/qy4=")</f>
        <v>#REF!</v>
      </c>
      <c r="AV79" t="e">
        <f>AND(#REF!,"AAAAAHf/qy8=")</f>
        <v>#REF!</v>
      </c>
      <c r="AW79" t="e">
        <f>AND(#REF!,"AAAAAHf/qzA=")</f>
        <v>#REF!</v>
      </c>
      <c r="AX79" t="e">
        <f>AND(#REF!,"AAAAAHf/qzE=")</f>
        <v>#REF!</v>
      </c>
      <c r="AY79" t="e">
        <f>AND(#REF!,"AAAAAHf/qzI=")</f>
        <v>#REF!</v>
      </c>
      <c r="AZ79" t="e">
        <f>AND(#REF!,"AAAAAHf/qzM=")</f>
        <v>#REF!</v>
      </c>
      <c r="BA79" t="e">
        <f>AND(#REF!,"AAAAAHf/qzQ=")</f>
        <v>#REF!</v>
      </c>
      <c r="BB79" t="e">
        <f>AND(#REF!,"AAAAAHf/qzU=")</f>
        <v>#REF!</v>
      </c>
      <c r="BC79" t="e">
        <f>AND(#REF!,"AAAAAHf/qzY=")</f>
        <v>#REF!</v>
      </c>
      <c r="BD79" t="e">
        <f>AND(#REF!,"AAAAAHf/qzc=")</f>
        <v>#REF!</v>
      </c>
      <c r="BE79" t="e">
        <f>AND(#REF!,"AAAAAHf/qzg=")</f>
        <v>#REF!</v>
      </c>
      <c r="BF79" t="e">
        <f>AND(#REF!,"AAAAAHf/qzk=")</f>
        <v>#REF!</v>
      </c>
      <c r="BG79" t="e">
        <f>AND(#REF!,"AAAAAHf/qzo=")</f>
        <v>#REF!</v>
      </c>
      <c r="BH79" t="e">
        <f>AND(#REF!,"AAAAAHf/qzs=")</f>
        <v>#REF!</v>
      </c>
      <c r="BI79" t="e">
        <f>AND(#REF!,"AAAAAHf/qzw=")</f>
        <v>#REF!</v>
      </c>
      <c r="BJ79" t="e">
        <f>AND(#REF!,"AAAAAHf/qz0=")</f>
        <v>#REF!</v>
      </c>
      <c r="BK79" t="e">
        <f>AND(#REF!,"AAAAAHf/qz4=")</f>
        <v>#REF!</v>
      </c>
      <c r="BL79" t="e">
        <f>AND(#REF!,"AAAAAHf/qz8=")</f>
        <v>#REF!</v>
      </c>
      <c r="BM79" t="e">
        <f>AND(#REF!,"AAAAAHf/q0A=")</f>
        <v>#REF!</v>
      </c>
      <c r="BN79" t="e">
        <f>AND(#REF!,"AAAAAHf/q0E=")</f>
        <v>#REF!</v>
      </c>
      <c r="BO79" t="e">
        <f>AND(#REF!,"AAAAAHf/q0I=")</f>
        <v>#REF!</v>
      </c>
      <c r="BP79" t="e">
        <f>AND(#REF!,"AAAAAHf/q0M=")</f>
        <v>#REF!</v>
      </c>
      <c r="BQ79" t="e">
        <f>AND(#REF!,"AAAAAHf/q0Q=")</f>
        <v>#REF!</v>
      </c>
      <c r="BR79" t="e">
        <f>AND(#REF!,"AAAAAHf/q0U=")</f>
        <v>#REF!</v>
      </c>
      <c r="BS79" t="e">
        <f>AND(#REF!,"AAAAAHf/q0Y=")</f>
        <v>#REF!</v>
      </c>
      <c r="BT79" t="e">
        <f>AND(#REF!,"AAAAAHf/q0c=")</f>
        <v>#REF!</v>
      </c>
      <c r="BU79" t="e">
        <f>AND(#REF!,"AAAAAHf/q0g=")</f>
        <v>#REF!</v>
      </c>
      <c r="BV79" t="e">
        <f>AND(#REF!,"AAAAAHf/q0k=")</f>
        <v>#REF!</v>
      </c>
      <c r="BW79" t="e">
        <f>AND(#REF!,"AAAAAHf/q0o=")</f>
        <v>#REF!</v>
      </c>
      <c r="BX79" t="e">
        <f>AND(#REF!,"AAAAAHf/q0s=")</f>
        <v>#REF!</v>
      </c>
      <c r="BY79" t="e">
        <f>AND(#REF!,"AAAAAHf/q0w=")</f>
        <v>#REF!</v>
      </c>
      <c r="BZ79" t="e">
        <f>AND(#REF!,"AAAAAHf/q00=")</f>
        <v>#REF!</v>
      </c>
      <c r="CA79" t="e">
        <f>AND(#REF!,"AAAAAHf/q04=")</f>
        <v>#REF!</v>
      </c>
      <c r="CB79" t="e">
        <f>AND(#REF!,"AAAAAHf/q08=")</f>
        <v>#REF!</v>
      </c>
      <c r="CC79" t="e">
        <f>AND(#REF!,"AAAAAHf/q1A=")</f>
        <v>#REF!</v>
      </c>
      <c r="CD79" t="e">
        <f>AND(#REF!,"AAAAAHf/q1E=")</f>
        <v>#REF!</v>
      </c>
      <c r="CE79" t="e">
        <f>AND(#REF!,"AAAAAHf/q1I=")</f>
        <v>#REF!</v>
      </c>
      <c r="CF79" t="e">
        <f>AND(#REF!,"AAAAAHf/q1M=")</f>
        <v>#REF!</v>
      </c>
      <c r="CG79" t="e">
        <f>AND(#REF!,"AAAAAHf/q1Q=")</f>
        <v>#REF!</v>
      </c>
      <c r="CH79" t="e">
        <f>AND(#REF!,"AAAAAHf/q1U=")</f>
        <v>#REF!</v>
      </c>
      <c r="CI79" t="e">
        <f>AND(#REF!,"AAAAAHf/q1Y=")</f>
        <v>#REF!</v>
      </c>
      <c r="CJ79" t="e">
        <f>AND(#REF!,"AAAAAHf/q1c=")</f>
        <v>#REF!</v>
      </c>
      <c r="CK79" t="e">
        <f>AND(#REF!,"AAAAAHf/q1g=")</f>
        <v>#REF!</v>
      </c>
      <c r="CL79" t="e">
        <f>AND(#REF!,"AAAAAHf/q1k=")</f>
        <v>#REF!</v>
      </c>
      <c r="CM79" t="e">
        <f>AND(#REF!,"AAAAAHf/q1o=")</f>
        <v>#REF!</v>
      </c>
      <c r="CN79" t="e">
        <f>AND(#REF!,"AAAAAHf/q1s=")</f>
        <v>#REF!</v>
      </c>
      <c r="CO79" t="e">
        <f>AND(#REF!,"AAAAAHf/q1w=")</f>
        <v>#REF!</v>
      </c>
      <c r="CP79" t="e">
        <f>AND(#REF!,"AAAAAHf/q10=")</f>
        <v>#REF!</v>
      </c>
      <c r="CQ79" t="e">
        <f>AND(#REF!,"AAAAAHf/q14=")</f>
        <v>#REF!</v>
      </c>
      <c r="CR79" t="e">
        <f>AND(#REF!,"AAAAAHf/q18=")</f>
        <v>#REF!</v>
      </c>
      <c r="CS79" t="e">
        <f>AND(#REF!,"AAAAAHf/q2A=")</f>
        <v>#REF!</v>
      </c>
      <c r="CT79" t="e">
        <f>AND(#REF!,"AAAAAHf/q2E=")</f>
        <v>#REF!</v>
      </c>
      <c r="CU79" t="e">
        <f>AND(#REF!,"AAAAAHf/q2I=")</f>
        <v>#REF!</v>
      </c>
      <c r="CV79" t="e">
        <f>AND(#REF!,"AAAAAHf/q2M=")</f>
        <v>#REF!</v>
      </c>
      <c r="CW79" t="e">
        <f>AND(#REF!,"AAAAAHf/q2Q=")</f>
        <v>#REF!</v>
      </c>
      <c r="CX79" t="e">
        <f>AND(#REF!,"AAAAAHf/q2U=")</f>
        <v>#REF!</v>
      </c>
      <c r="CY79" t="e">
        <f>AND(#REF!,"AAAAAHf/q2Y=")</f>
        <v>#REF!</v>
      </c>
      <c r="CZ79" t="e">
        <f>AND(#REF!,"AAAAAHf/q2c=")</f>
        <v>#REF!</v>
      </c>
      <c r="DA79" t="e">
        <f>AND(#REF!,"AAAAAHf/q2g=")</f>
        <v>#REF!</v>
      </c>
      <c r="DB79" t="e">
        <f>AND(#REF!,"AAAAAHf/q2k=")</f>
        <v>#REF!</v>
      </c>
      <c r="DC79" t="e">
        <f>AND(#REF!,"AAAAAHf/q2o=")</f>
        <v>#REF!</v>
      </c>
      <c r="DD79" t="e">
        <f>AND(#REF!,"AAAAAHf/q2s=")</f>
        <v>#REF!</v>
      </c>
      <c r="DE79" t="e">
        <f>AND(#REF!,"AAAAAHf/q2w=")</f>
        <v>#REF!</v>
      </c>
      <c r="DF79" t="e">
        <f>AND(#REF!,"AAAAAHf/q20=")</f>
        <v>#REF!</v>
      </c>
      <c r="DG79" t="e">
        <f>AND(#REF!,"AAAAAHf/q24=")</f>
        <v>#REF!</v>
      </c>
      <c r="DH79" t="e">
        <f>AND(#REF!,"AAAAAHf/q28=")</f>
        <v>#REF!</v>
      </c>
      <c r="DI79" t="e">
        <f>AND(#REF!,"AAAAAHf/q3A=")</f>
        <v>#REF!</v>
      </c>
      <c r="DJ79" t="e">
        <f>AND(#REF!,"AAAAAHf/q3E=")</f>
        <v>#REF!</v>
      </c>
      <c r="DK79" t="e">
        <f>AND(#REF!,"AAAAAHf/q3I=")</f>
        <v>#REF!</v>
      </c>
      <c r="DL79" t="e">
        <f>AND(#REF!,"AAAAAHf/q3M=")</f>
        <v>#REF!</v>
      </c>
      <c r="DM79" t="e">
        <f>AND(#REF!,"AAAAAHf/q3Q=")</f>
        <v>#REF!</v>
      </c>
      <c r="DN79" t="e">
        <f>AND(#REF!,"AAAAAHf/q3U=")</f>
        <v>#REF!</v>
      </c>
      <c r="DO79" t="e">
        <f>AND(#REF!,"AAAAAHf/q3Y=")</f>
        <v>#REF!</v>
      </c>
      <c r="DP79" t="e">
        <f>AND(#REF!,"AAAAAHf/q3c=")</f>
        <v>#REF!</v>
      </c>
      <c r="DQ79" t="e">
        <f>AND(#REF!,"AAAAAHf/q3g=")</f>
        <v>#REF!</v>
      </c>
      <c r="DR79" t="e">
        <f>AND(#REF!,"AAAAAHf/q3k=")</f>
        <v>#REF!</v>
      </c>
      <c r="DS79" t="e">
        <f>AND(#REF!,"AAAAAHf/q3o=")</f>
        <v>#REF!</v>
      </c>
      <c r="DT79" t="e">
        <f>AND(#REF!,"AAAAAHf/q3s=")</f>
        <v>#REF!</v>
      </c>
      <c r="DU79" t="e">
        <f>AND(#REF!,"AAAAAHf/q3w=")</f>
        <v>#REF!</v>
      </c>
      <c r="DV79" t="e">
        <f>AND(#REF!,"AAAAAHf/q30=")</f>
        <v>#REF!</v>
      </c>
      <c r="DW79" t="e">
        <f>AND(#REF!,"AAAAAHf/q34=")</f>
        <v>#REF!</v>
      </c>
      <c r="DX79" t="e">
        <f>AND(#REF!,"AAAAAHf/q38=")</f>
        <v>#REF!</v>
      </c>
      <c r="DY79" t="e">
        <f>AND(#REF!,"AAAAAHf/q4A=")</f>
        <v>#REF!</v>
      </c>
      <c r="DZ79" t="e">
        <f>AND(#REF!,"AAAAAHf/q4E=")</f>
        <v>#REF!</v>
      </c>
      <c r="EA79" t="e">
        <f>AND(#REF!,"AAAAAHf/q4I=")</f>
        <v>#REF!</v>
      </c>
      <c r="EB79" t="e">
        <f>AND(#REF!,"AAAAAHf/q4M=")</f>
        <v>#REF!</v>
      </c>
      <c r="EC79" t="e">
        <f>AND(#REF!,"AAAAAHf/q4Q=")</f>
        <v>#REF!</v>
      </c>
      <c r="ED79" t="e">
        <f>AND(#REF!,"AAAAAHf/q4U=")</f>
        <v>#REF!</v>
      </c>
      <c r="EE79" t="e">
        <f>AND(#REF!,"AAAAAHf/q4Y=")</f>
        <v>#REF!</v>
      </c>
      <c r="EF79" t="e">
        <f>AND(#REF!,"AAAAAHf/q4c=")</f>
        <v>#REF!</v>
      </c>
      <c r="EG79" t="e">
        <f>AND(#REF!,"AAAAAHf/q4g=")</f>
        <v>#REF!</v>
      </c>
      <c r="EH79" t="e">
        <f>AND(#REF!,"AAAAAHf/q4k=")</f>
        <v>#REF!</v>
      </c>
      <c r="EI79" t="e">
        <f>AND(#REF!,"AAAAAHf/q4o=")</f>
        <v>#REF!</v>
      </c>
      <c r="EJ79" t="e">
        <f>AND(#REF!,"AAAAAHf/q4s=")</f>
        <v>#REF!</v>
      </c>
      <c r="EK79" t="e">
        <f>AND(#REF!,"AAAAAHf/q4w=")</f>
        <v>#REF!</v>
      </c>
      <c r="EL79" t="e">
        <f>AND(#REF!,"AAAAAHf/q40=")</f>
        <v>#REF!</v>
      </c>
      <c r="EM79" t="e">
        <f>AND(#REF!,"AAAAAHf/q44=")</f>
        <v>#REF!</v>
      </c>
      <c r="EN79" t="e">
        <f>AND(#REF!,"AAAAAHf/q48=")</f>
        <v>#REF!</v>
      </c>
      <c r="EO79" t="e">
        <f>AND(#REF!,"AAAAAHf/q5A=")</f>
        <v>#REF!</v>
      </c>
      <c r="EP79" t="e">
        <f>AND(#REF!,"AAAAAHf/q5E=")</f>
        <v>#REF!</v>
      </c>
      <c r="EQ79" t="e">
        <f>AND(#REF!,"AAAAAHf/q5I=")</f>
        <v>#REF!</v>
      </c>
      <c r="ER79" t="e">
        <f>AND(#REF!,"AAAAAHf/q5M=")</f>
        <v>#REF!</v>
      </c>
      <c r="ES79" t="e">
        <f>AND(#REF!,"AAAAAHf/q5Q=")</f>
        <v>#REF!</v>
      </c>
      <c r="ET79" t="e">
        <f>AND(#REF!,"AAAAAHf/q5U=")</f>
        <v>#REF!</v>
      </c>
      <c r="EU79" t="e">
        <f>AND(#REF!,"AAAAAHf/q5Y=")</f>
        <v>#REF!</v>
      </c>
      <c r="EV79" t="e">
        <f>AND(#REF!,"AAAAAHf/q5c=")</f>
        <v>#REF!</v>
      </c>
      <c r="EW79" t="e">
        <f>AND(#REF!,"AAAAAHf/q5g=")</f>
        <v>#REF!</v>
      </c>
      <c r="EX79" t="e">
        <f>AND(#REF!,"AAAAAHf/q5k=")</f>
        <v>#REF!</v>
      </c>
      <c r="EY79" t="e">
        <f>AND(#REF!,"AAAAAHf/q5o=")</f>
        <v>#REF!</v>
      </c>
      <c r="EZ79" t="e">
        <f>AND(#REF!,"AAAAAHf/q5s=")</f>
        <v>#REF!</v>
      </c>
      <c r="FA79" t="e">
        <f>AND(#REF!,"AAAAAHf/q5w=")</f>
        <v>#REF!</v>
      </c>
      <c r="FB79" t="e">
        <f>AND(#REF!,"AAAAAHf/q50=")</f>
        <v>#REF!</v>
      </c>
      <c r="FC79" t="e">
        <f>AND(#REF!,"AAAAAHf/q54=")</f>
        <v>#REF!</v>
      </c>
      <c r="FD79" t="e">
        <f>AND(#REF!,"AAAAAHf/q58=")</f>
        <v>#REF!</v>
      </c>
      <c r="FE79" t="e">
        <f>AND(#REF!,"AAAAAHf/q6A=")</f>
        <v>#REF!</v>
      </c>
      <c r="FF79" t="e">
        <f>AND(#REF!,"AAAAAHf/q6E=")</f>
        <v>#REF!</v>
      </c>
      <c r="FG79" t="e">
        <f>AND(#REF!,"AAAAAHf/q6I=")</f>
        <v>#REF!</v>
      </c>
      <c r="FH79" t="e">
        <f>AND(#REF!,"AAAAAHf/q6M=")</f>
        <v>#REF!</v>
      </c>
      <c r="FI79" t="e">
        <f>AND(#REF!,"AAAAAHf/q6Q=")</f>
        <v>#REF!</v>
      </c>
      <c r="FJ79" t="e">
        <f>AND(#REF!,"AAAAAHf/q6U=")</f>
        <v>#REF!</v>
      </c>
      <c r="FK79" t="e">
        <f>AND(#REF!,"AAAAAHf/q6Y=")</f>
        <v>#REF!</v>
      </c>
      <c r="FL79" t="e">
        <f>AND(#REF!,"AAAAAHf/q6c=")</f>
        <v>#REF!</v>
      </c>
      <c r="FM79" t="e">
        <f>AND(#REF!,"AAAAAHf/q6g=")</f>
        <v>#REF!</v>
      </c>
      <c r="FN79" t="e">
        <f>AND(#REF!,"AAAAAHf/q6k=")</f>
        <v>#REF!</v>
      </c>
      <c r="FO79" t="e">
        <f>AND(#REF!,"AAAAAHf/q6o=")</f>
        <v>#REF!</v>
      </c>
      <c r="FP79" t="e">
        <f>AND(#REF!,"AAAAAHf/q6s=")</f>
        <v>#REF!</v>
      </c>
      <c r="FQ79" t="e">
        <f>AND(#REF!,"AAAAAHf/q6w=")</f>
        <v>#REF!</v>
      </c>
      <c r="FR79" t="e">
        <f>AND(#REF!,"AAAAAHf/q60=")</f>
        <v>#REF!</v>
      </c>
      <c r="FS79" t="e">
        <f>AND(#REF!,"AAAAAHf/q64=")</f>
        <v>#REF!</v>
      </c>
      <c r="FT79" t="e">
        <f>AND(#REF!,"AAAAAHf/q68=")</f>
        <v>#REF!</v>
      </c>
      <c r="FU79" t="e">
        <f>AND(#REF!,"AAAAAHf/q7A=")</f>
        <v>#REF!</v>
      </c>
      <c r="FV79" t="e">
        <f>AND(#REF!,"AAAAAHf/q7E=")</f>
        <v>#REF!</v>
      </c>
      <c r="FW79" t="e">
        <f>AND(#REF!,"AAAAAHf/q7I=")</f>
        <v>#REF!</v>
      </c>
      <c r="FX79" t="e">
        <f>AND(#REF!,"AAAAAHf/q7M=")</f>
        <v>#REF!</v>
      </c>
      <c r="FY79" t="e">
        <f>AND(#REF!,"AAAAAHf/q7Q=")</f>
        <v>#REF!</v>
      </c>
      <c r="FZ79" t="e">
        <f>AND(#REF!,"AAAAAHf/q7U=")</f>
        <v>#REF!</v>
      </c>
      <c r="GA79" t="e">
        <f>AND(#REF!,"AAAAAHf/q7Y=")</f>
        <v>#REF!</v>
      </c>
      <c r="GB79" t="e">
        <f>AND(#REF!,"AAAAAHf/q7c=")</f>
        <v>#REF!</v>
      </c>
      <c r="GC79" t="e">
        <f>AND(#REF!,"AAAAAHf/q7g=")</f>
        <v>#REF!</v>
      </c>
      <c r="GD79" t="e">
        <f>AND(#REF!,"AAAAAHf/q7k=")</f>
        <v>#REF!</v>
      </c>
      <c r="GE79" t="e">
        <f>AND(#REF!,"AAAAAHf/q7o=")</f>
        <v>#REF!</v>
      </c>
      <c r="GF79" t="e">
        <f>AND(#REF!,"AAAAAHf/q7s=")</f>
        <v>#REF!</v>
      </c>
      <c r="GG79" t="e">
        <f>AND(#REF!,"AAAAAHf/q7w=")</f>
        <v>#REF!</v>
      </c>
      <c r="GH79" t="e">
        <f>AND(#REF!,"AAAAAHf/q70=")</f>
        <v>#REF!</v>
      </c>
      <c r="GI79" t="e">
        <f>AND(#REF!,"AAAAAHf/q74=")</f>
        <v>#REF!</v>
      </c>
      <c r="GJ79" t="e">
        <f>AND(#REF!,"AAAAAHf/q78=")</f>
        <v>#REF!</v>
      </c>
      <c r="GK79" t="e">
        <f>AND(#REF!,"AAAAAHf/q8A=")</f>
        <v>#REF!</v>
      </c>
      <c r="GL79" t="e">
        <f>AND(#REF!,"AAAAAHf/q8E=")</f>
        <v>#REF!</v>
      </c>
      <c r="GM79" t="e">
        <f>AND(#REF!,"AAAAAHf/q8I=")</f>
        <v>#REF!</v>
      </c>
      <c r="GN79" t="e">
        <f>AND(#REF!,"AAAAAHf/q8M=")</f>
        <v>#REF!</v>
      </c>
      <c r="GO79" t="e">
        <f>AND(#REF!,"AAAAAHf/q8Q=")</f>
        <v>#REF!</v>
      </c>
      <c r="GP79" t="e">
        <f>AND(#REF!,"AAAAAHf/q8U=")</f>
        <v>#REF!</v>
      </c>
      <c r="GQ79" t="e">
        <f>AND(#REF!,"AAAAAHf/q8Y=")</f>
        <v>#REF!</v>
      </c>
      <c r="GR79" t="e">
        <f>AND(#REF!,"AAAAAHf/q8c=")</f>
        <v>#REF!</v>
      </c>
      <c r="GS79" t="e">
        <f>AND(#REF!,"AAAAAHf/q8g=")</f>
        <v>#REF!</v>
      </c>
      <c r="GT79" t="e">
        <f>AND(#REF!,"AAAAAHf/q8k=")</f>
        <v>#REF!</v>
      </c>
      <c r="GU79" t="e">
        <f>AND(#REF!,"AAAAAHf/q8o=")</f>
        <v>#REF!</v>
      </c>
      <c r="GV79" t="e">
        <f>AND(#REF!,"AAAAAHf/q8s=")</f>
        <v>#REF!</v>
      </c>
      <c r="GW79" t="e">
        <f>AND(#REF!,"AAAAAHf/q8w=")</f>
        <v>#REF!</v>
      </c>
      <c r="GX79" t="e">
        <f>AND(#REF!,"AAAAAHf/q80=")</f>
        <v>#REF!</v>
      </c>
      <c r="GY79" t="e">
        <f>AND(#REF!,"AAAAAHf/q84=")</f>
        <v>#REF!</v>
      </c>
      <c r="GZ79" t="e">
        <f>IF(#REF!,"AAAAAHf/q88=",0)</f>
        <v>#REF!</v>
      </c>
      <c r="HA79" t="e">
        <f>AND(#REF!,"AAAAAHf/q9A=")</f>
        <v>#REF!</v>
      </c>
      <c r="HB79" t="e">
        <f>AND(#REF!,"AAAAAHf/q9E=")</f>
        <v>#REF!</v>
      </c>
      <c r="HC79" t="e">
        <f>AND(#REF!,"AAAAAHf/q9I=")</f>
        <v>#REF!</v>
      </c>
      <c r="HD79" t="e">
        <f>AND(#REF!,"AAAAAHf/q9M=")</f>
        <v>#REF!</v>
      </c>
      <c r="HE79" t="e">
        <f>AND(#REF!,"AAAAAHf/q9Q=")</f>
        <v>#REF!</v>
      </c>
      <c r="HF79" t="e">
        <f>AND(#REF!,"AAAAAHf/q9U=")</f>
        <v>#REF!</v>
      </c>
      <c r="HG79" t="e">
        <f>AND(#REF!,"AAAAAHf/q9Y=")</f>
        <v>#REF!</v>
      </c>
      <c r="HH79" t="e">
        <f>AND(#REF!,"AAAAAHf/q9c=")</f>
        <v>#REF!</v>
      </c>
      <c r="HI79" t="e">
        <f>AND(#REF!,"AAAAAHf/q9g=")</f>
        <v>#REF!</v>
      </c>
      <c r="HJ79" t="e">
        <f>AND(#REF!,"AAAAAHf/q9k=")</f>
        <v>#REF!</v>
      </c>
      <c r="HK79" t="e">
        <f>AND(#REF!,"AAAAAHf/q9o=")</f>
        <v>#REF!</v>
      </c>
      <c r="HL79" t="e">
        <f>AND(#REF!,"AAAAAHf/q9s=")</f>
        <v>#REF!</v>
      </c>
      <c r="HM79" t="e">
        <f>AND(#REF!,"AAAAAHf/q9w=")</f>
        <v>#REF!</v>
      </c>
      <c r="HN79" t="e">
        <f>AND(#REF!,"AAAAAHf/q90=")</f>
        <v>#REF!</v>
      </c>
      <c r="HO79" t="e">
        <f>AND(#REF!,"AAAAAHf/q94=")</f>
        <v>#REF!</v>
      </c>
      <c r="HP79" t="e">
        <f>AND(#REF!,"AAAAAHf/q98=")</f>
        <v>#REF!</v>
      </c>
      <c r="HQ79" t="e">
        <f>AND(#REF!,"AAAAAHf/q+A=")</f>
        <v>#REF!</v>
      </c>
      <c r="HR79" t="e">
        <f>AND(#REF!,"AAAAAHf/q+E=")</f>
        <v>#REF!</v>
      </c>
      <c r="HS79" t="e">
        <f>AND(#REF!,"AAAAAHf/q+I=")</f>
        <v>#REF!</v>
      </c>
      <c r="HT79" t="e">
        <f>AND(#REF!,"AAAAAHf/q+M=")</f>
        <v>#REF!</v>
      </c>
      <c r="HU79" t="e">
        <f>AND(#REF!,"AAAAAHf/q+Q=")</f>
        <v>#REF!</v>
      </c>
      <c r="HV79" t="e">
        <f>AND(#REF!,"AAAAAHf/q+U=")</f>
        <v>#REF!</v>
      </c>
      <c r="HW79" t="e">
        <f>AND(#REF!,"AAAAAHf/q+Y=")</f>
        <v>#REF!</v>
      </c>
      <c r="HX79" t="e">
        <f>AND(#REF!,"AAAAAHf/q+c=")</f>
        <v>#REF!</v>
      </c>
      <c r="HY79" t="e">
        <f>AND(#REF!,"AAAAAHf/q+g=")</f>
        <v>#REF!</v>
      </c>
      <c r="HZ79" t="e">
        <f>AND(#REF!,"AAAAAHf/q+k=")</f>
        <v>#REF!</v>
      </c>
      <c r="IA79" t="e">
        <f>AND(#REF!,"AAAAAHf/q+o=")</f>
        <v>#REF!</v>
      </c>
      <c r="IB79" t="e">
        <f>AND(#REF!,"AAAAAHf/q+s=")</f>
        <v>#REF!</v>
      </c>
      <c r="IC79" t="e">
        <f>AND(#REF!,"AAAAAHf/q+w=")</f>
        <v>#REF!</v>
      </c>
      <c r="ID79" t="e">
        <f>AND(#REF!,"AAAAAHf/q+0=")</f>
        <v>#REF!</v>
      </c>
      <c r="IE79" t="e">
        <f>AND(#REF!,"AAAAAHf/q+4=")</f>
        <v>#REF!</v>
      </c>
      <c r="IF79" t="e">
        <f>AND(#REF!,"AAAAAHf/q+8=")</f>
        <v>#REF!</v>
      </c>
      <c r="IG79" t="e">
        <f>AND(#REF!,"AAAAAHf/q/A=")</f>
        <v>#REF!</v>
      </c>
      <c r="IH79" t="e">
        <f>AND(#REF!,"AAAAAHf/q/E=")</f>
        <v>#REF!</v>
      </c>
      <c r="II79" t="e">
        <f>AND(#REF!,"AAAAAHf/q/I=")</f>
        <v>#REF!</v>
      </c>
      <c r="IJ79" t="e">
        <f>AND(#REF!,"AAAAAHf/q/M=")</f>
        <v>#REF!</v>
      </c>
      <c r="IK79" t="e">
        <f>AND(#REF!,"AAAAAHf/q/Q=")</f>
        <v>#REF!</v>
      </c>
      <c r="IL79" t="e">
        <f>AND(#REF!,"AAAAAHf/q/U=")</f>
        <v>#REF!</v>
      </c>
      <c r="IM79" t="e">
        <f>AND(#REF!,"AAAAAHf/q/Y=")</f>
        <v>#REF!</v>
      </c>
      <c r="IN79" t="e">
        <f>AND(#REF!,"AAAAAHf/q/c=")</f>
        <v>#REF!</v>
      </c>
      <c r="IO79" t="e">
        <f>AND(#REF!,"AAAAAHf/q/g=")</f>
        <v>#REF!</v>
      </c>
      <c r="IP79" t="e">
        <f>AND(#REF!,"AAAAAHf/q/k=")</f>
        <v>#REF!</v>
      </c>
      <c r="IQ79" t="e">
        <f>AND(#REF!,"AAAAAHf/q/o=")</f>
        <v>#REF!</v>
      </c>
      <c r="IR79" t="e">
        <f>AND(#REF!,"AAAAAHf/q/s=")</f>
        <v>#REF!</v>
      </c>
      <c r="IS79" t="e">
        <f>AND(#REF!,"AAAAAHf/q/w=")</f>
        <v>#REF!</v>
      </c>
      <c r="IT79" t="e">
        <f>AND(#REF!,"AAAAAHf/q/0=")</f>
        <v>#REF!</v>
      </c>
      <c r="IU79" t="e">
        <f>AND(#REF!,"AAAAAHf/q/4=")</f>
        <v>#REF!</v>
      </c>
      <c r="IV79" t="e">
        <f>AND(#REF!,"AAAAAHf/q/8=")</f>
        <v>#REF!</v>
      </c>
    </row>
    <row r="80" spans="1:256" x14ac:dyDescent="0.25">
      <c r="A80" t="e">
        <f>AND(#REF!,"AAAAAF3/7wA=")</f>
        <v>#REF!</v>
      </c>
      <c r="B80" t="e">
        <f>AND(#REF!,"AAAAAF3/7wE=")</f>
        <v>#REF!</v>
      </c>
      <c r="C80" t="e">
        <f>AND(#REF!,"AAAAAF3/7wI=")</f>
        <v>#REF!</v>
      </c>
      <c r="D80" t="e">
        <f>AND(#REF!,"AAAAAF3/7wM=")</f>
        <v>#REF!</v>
      </c>
      <c r="E80" t="e">
        <f>AND(#REF!,"AAAAAF3/7wQ=")</f>
        <v>#REF!</v>
      </c>
      <c r="F80" t="e">
        <f>AND(#REF!,"AAAAAF3/7wU=")</f>
        <v>#REF!</v>
      </c>
      <c r="G80" t="e">
        <f>AND(#REF!,"AAAAAF3/7wY=")</f>
        <v>#REF!</v>
      </c>
      <c r="H80" t="e">
        <f>AND(#REF!,"AAAAAF3/7wc=")</f>
        <v>#REF!</v>
      </c>
      <c r="I80" t="e">
        <f>AND(#REF!,"AAAAAF3/7wg=")</f>
        <v>#REF!</v>
      </c>
      <c r="J80" t="e">
        <f>AND(#REF!,"AAAAAF3/7wk=")</f>
        <v>#REF!</v>
      </c>
      <c r="K80" t="e">
        <f>AND(#REF!,"AAAAAF3/7wo=")</f>
        <v>#REF!</v>
      </c>
      <c r="L80" t="e">
        <f>AND(#REF!,"AAAAAF3/7ws=")</f>
        <v>#REF!</v>
      </c>
      <c r="M80" t="e">
        <f>AND(#REF!,"AAAAAF3/7ww=")</f>
        <v>#REF!</v>
      </c>
      <c r="N80" t="e">
        <f>AND(#REF!,"AAAAAF3/7w0=")</f>
        <v>#REF!</v>
      </c>
      <c r="O80" t="e">
        <f>AND(#REF!,"AAAAAF3/7w4=")</f>
        <v>#REF!</v>
      </c>
      <c r="P80" t="e">
        <f>AND(#REF!,"AAAAAF3/7w8=")</f>
        <v>#REF!</v>
      </c>
      <c r="Q80" t="e">
        <f>AND(#REF!,"AAAAAF3/7xA=")</f>
        <v>#REF!</v>
      </c>
      <c r="R80" t="e">
        <f>AND(#REF!,"AAAAAF3/7xE=")</f>
        <v>#REF!</v>
      </c>
      <c r="S80" t="e">
        <f>AND(#REF!,"AAAAAF3/7xI=")</f>
        <v>#REF!</v>
      </c>
      <c r="T80" t="e">
        <f>AND(#REF!,"AAAAAF3/7xM=")</f>
        <v>#REF!</v>
      </c>
      <c r="U80" t="e">
        <f>AND(#REF!,"AAAAAF3/7xQ=")</f>
        <v>#REF!</v>
      </c>
      <c r="V80" t="e">
        <f>AND(#REF!,"AAAAAF3/7xU=")</f>
        <v>#REF!</v>
      </c>
      <c r="W80" t="e">
        <f>AND(#REF!,"AAAAAF3/7xY=")</f>
        <v>#REF!</v>
      </c>
      <c r="X80" t="e">
        <f>AND(#REF!,"AAAAAF3/7xc=")</f>
        <v>#REF!</v>
      </c>
      <c r="Y80" t="e">
        <f>AND(#REF!,"AAAAAF3/7xg=")</f>
        <v>#REF!</v>
      </c>
      <c r="Z80" t="e">
        <f>AND(#REF!,"AAAAAF3/7xk=")</f>
        <v>#REF!</v>
      </c>
      <c r="AA80" t="e">
        <f>AND(#REF!,"AAAAAF3/7xo=")</f>
        <v>#REF!</v>
      </c>
      <c r="AB80" t="e">
        <f>AND(#REF!,"AAAAAF3/7xs=")</f>
        <v>#REF!</v>
      </c>
      <c r="AC80" t="e">
        <f>AND(#REF!,"AAAAAF3/7xw=")</f>
        <v>#REF!</v>
      </c>
      <c r="AD80" t="e">
        <f>AND(#REF!,"AAAAAF3/7x0=")</f>
        <v>#REF!</v>
      </c>
      <c r="AE80" t="e">
        <f>AND(#REF!,"AAAAAF3/7x4=")</f>
        <v>#REF!</v>
      </c>
      <c r="AF80" t="e">
        <f>AND(#REF!,"AAAAAF3/7x8=")</f>
        <v>#REF!</v>
      </c>
      <c r="AG80" t="e">
        <f>AND(#REF!,"AAAAAF3/7yA=")</f>
        <v>#REF!</v>
      </c>
      <c r="AH80" t="e">
        <f>AND(#REF!,"AAAAAF3/7yE=")</f>
        <v>#REF!</v>
      </c>
      <c r="AI80" t="e">
        <f>AND(#REF!,"AAAAAF3/7yI=")</f>
        <v>#REF!</v>
      </c>
      <c r="AJ80" t="e">
        <f>AND(#REF!,"AAAAAF3/7yM=")</f>
        <v>#REF!</v>
      </c>
      <c r="AK80" t="e">
        <f>AND(#REF!,"AAAAAF3/7yQ=")</f>
        <v>#REF!</v>
      </c>
      <c r="AL80" t="e">
        <f>AND(#REF!,"AAAAAF3/7yU=")</f>
        <v>#REF!</v>
      </c>
      <c r="AM80" t="e">
        <f>AND(#REF!,"AAAAAF3/7yY=")</f>
        <v>#REF!</v>
      </c>
      <c r="AN80" t="e">
        <f>AND(#REF!,"AAAAAF3/7yc=")</f>
        <v>#REF!</v>
      </c>
      <c r="AO80" t="e">
        <f>AND(#REF!,"AAAAAF3/7yg=")</f>
        <v>#REF!</v>
      </c>
      <c r="AP80" t="e">
        <f>AND(#REF!,"AAAAAF3/7yk=")</f>
        <v>#REF!</v>
      </c>
      <c r="AQ80" t="e">
        <f>AND(#REF!,"AAAAAF3/7yo=")</f>
        <v>#REF!</v>
      </c>
      <c r="AR80" t="e">
        <f>AND(#REF!,"AAAAAF3/7ys=")</f>
        <v>#REF!</v>
      </c>
      <c r="AS80" t="e">
        <f>AND(#REF!,"AAAAAF3/7yw=")</f>
        <v>#REF!</v>
      </c>
      <c r="AT80" t="e">
        <f>AND(#REF!,"AAAAAF3/7y0=")</f>
        <v>#REF!</v>
      </c>
      <c r="AU80" t="e">
        <f>AND(#REF!,"AAAAAF3/7y4=")</f>
        <v>#REF!</v>
      </c>
      <c r="AV80" t="e">
        <f>AND(#REF!,"AAAAAF3/7y8=")</f>
        <v>#REF!</v>
      </c>
      <c r="AW80" t="e">
        <f>AND(#REF!,"AAAAAF3/7zA=")</f>
        <v>#REF!</v>
      </c>
      <c r="AX80" t="e">
        <f>AND(#REF!,"AAAAAF3/7zE=")</f>
        <v>#REF!</v>
      </c>
      <c r="AY80" t="e">
        <f>AND(#REF!,"AAAAAF3/7zI=")</f>
        <v>#REF!</v>
      </c>
      <c r="AZ80" t="e">
        <f>AND(#REF!,"AAAAAF3/7zM=")</f>
        <v>#REF!</v>
      </c>
      <c r="BA80" t="e">
        <f>AND(#REF!,"AAAAAF3/7zQ=")</f>
        <v>#REF!</v>
      </c>
      <c r="BB80" t="e">
        <f>AND(#REF!,"AAAAAF3/7zU=")</f>
        <v>#REF!</v>
      </c>
      <c r="BC80" t="e">
        <f>AND(#REF!,"AAAAAF3/7zY=")</f>
        <v>#REF!</v>
      </c>
      <c r="BD80" t="e">
        <f>AND(#REF!,"AAAAAF3/7zc=")</f>
        <v>#REF!</v>
      </c>
      <c r="BE80" t="e">
        <f>AND(#REF!,"AAAAAF3/7zg=")</f>
        <v>#REF!</v>
      </c>
      <c r="BF80" t="e">
        <f>AND(#REF!,"AAAAAF3/7zk=")</f>
        <v>#REF!</v>
      </c>
      <c r="BG80" t="e">
        <f>AND(#REF!,"AAAAAF3/7zo=")</f>
        <v>#REF!</v>
      </c>
      <c r="BH80" t="e">
        <f>AND(#REF!,"AAAAAF3/7zs=")</f>
        <v>#REF!</v>
      </c>
      <c r="BI80" t="e">
        <f>AND(#REF!,"AAAAAF3/7zw=")</f>
        <v>#REF!</v>
      </c>
      <c r="BJ80" t="e">
        <f>AND(#REF!,"AAAAAF3/7z0=")</f>
        <v>#REF!</v>
      </c>
      <c r="BK80" t="e">
        <f>AND(#REF!,"AAAAAF3/7z4=")</f>
        <v>#REF!</v>
      </c>
      <c r="BL80" t="e">
        <f>AND(#REF!,"AAAAAF3/7z8=")</f>
        <v>#REF!</v>
      </c>
      <c r="BM80" t="e">
        <f>AND(#REF!,"AAAAAF3/70A=")</f>
        <v>#REF!</v>
      </c>
      <c r="BN80" t="e">
        <f>AND(#REF!,"AAAAAF3/70E=")</f>
        <v>#REF!</v>
      </c>
      <c r="BO80" t="e">
        <f>AND(#REF!,"AAAAAF3/70I=")</f>
        <v>#REF!</v>
      </c>
      <c r="BP80" t="e">
        <f>AND(#REF!,"AAAAAF3/70M=")</f>
        <v>#REF!</v>
      </c>
      <c r="BQ80" t="e">
        <f>AND(#REF!,"AAAAAF3/70Q=")</f>
        <v>#REF!</v>
      </c>
      <c r="BR80" t="e">
        <f>AND(#REF!,"AAAAAF3/70U=")</f>
        <v>#REF!</v>
      </c>
      <c r="BS80" t="e">
        <f>AND(#REF!,"AAAAAF3/70Y=")</f>
        <v>#REF!</v>
      </c>
      <c r="BT80" t="e">
        <f>AND(#REF!,"AAAAAF3/70c=")</f>
        <v>#REF!</v>
      </c>
      <c r="BU80" t="e">
        <f>AND(#REF!,"AAAAAF3/70g=")</f>
        <v>#REF!</v>
      </c>
      <c r="BV80" t="e">
        <f>AND(#REF!,"AAAAAF3/70k=")</f>
        <v>#REF!</v>
      </c>
      <c r="BW80" t="e">
        <f>AND(#REF!,"AAAAAF3/70o=")</f>
        <v>#REF!</v>
      </c>
      <c r="BX80" t="e">
        <f>AND(#REF!,"AAAAAF3/70s=")</f>
        <v>#REF!</v>
      </c>
      <c r="BY80" t="e">
        <f>AND(#REF!,"AAAAAF3/70w=")</f>
        <v>#REF!</v>
      </c>
      <c r="BZ80" t="e">
        <f>AND(#REF!,"AAAAAF3/700=")</f>
        <v>#REF!</v>
      </c>
      <c r="CA80" t="e">
        <f>AND(#REF!,"AAAAAF3/704=")</f>
        <v>#REF!</v>
      </c>
      <c r="CB80" t="e">
        <f>AND(#REF!,"AAAAAF3/708=")</f>
        <v>#REF!</v>
      </c>
      <c r="CC80" t="e">
        <f>AND(#REF!,"AAAAAF3/71A=")</f>
        <v>#REF!</v>
      </c>
      <c r="CD80" t="e">
        <f>AND(#REF!,"AAAAAF3/71E=")</f>
        <v>#REF!</v>
      </c>
      <c r="CE80" t="e">
        <f>AND(#REF!,"AAAAAF3/71I=")</f>
        <v>#REF!</v>
      </c>
      <c r="CF80" t="e">
        <f>AND(#REF!,"AAAAAF3/71M=")</f>
        <v>#REF!</v>
      </c>
      <c r="CG80" t="e">
        <f>AND(#REF!,"AAAAAF3/71Q=")</f>
        <v>#REF!</v>
      </c>
      <c r="CH80" t="e">
        <f>AND(#REF!,"AAAAAF3/71U=")</f>
        <v>#REF!</v>
      </c>
      <c r="CI80" t="e">
        <f>AND(#REF!,"AAAAAF3/71Y=")</f>
        <v>#REF!</v>
      </c>
      <c r="CJ80" t="e">
        <f>AND(#REF!,"AAAAAF3/71c=")</f>
        <v>#REF!</v>
      </c>
      <c r="CK80" t="e">
        <f>AND(#REF!,"AAAAAF3/71g=")</f>
        <v>#REF!</v>
      </c>
      <c r="CL80" t="e">
        <f>AND(#REF!,"AAAAAF3/71k=")</f>
        <v>#REF!</v>
      </c>
      <c r="CM80" t="e">
        <f>AND(#REF!,"AAAAAF3/71o=")</f>
        <v>#REF!</v>
      </c>
      <c r="CN80" t="e">
        <f>AND(#REF!,"AAAAAF3/71s=")</f>
        <v>#REF!</v>
      </c>
      <c r="CO80" t="e">
        <f>AND(#REF!,"AAAAAF3/71w=")</f>
        <v>#REF!</v>
      </c>
      <c r="CP80" t="e">
        <f>AND(#REF!,"AAAAAF3/710=")</f>
        <v>#REF!</v>
      </c>
      <c r="CQ80" t="e">
        <f>AND(#REF!,"AAAAAF3/714=")</f>
        <v>#REF!</v>
      </c>
      <c r="CR80" t="e">
        <f>AND(#REF!,"AAAAAF3/718=")</f>
        <v>#REF!</v>
      </c>
      <c r="CS80" t="e">
        <f>AND(#REF!,"AAAAAF3/72A=")</f>
        <v>#REF!</v>
      </c>
      <c r="CT80" t="e">
        <f>AND(#REF!,"AAAAAF3/72E=")</f>
        <v>#REF!</v>
      </c>
      <c r="CU80" t="e">
        <f>AND(#REF!,"AAAAAF3/72I=")</f>
        <v>#REF!</v>
      </c>
      <c r="CV80" t="e">
        <f>AND(#REF!,"AAAAAF3/72M=")</f>
        <v>#REF!</v>
      </c>
      <c r="CW80" t="e">
        <f>AND(#REF!,"AAAAAF3/72Q=")</f>
        <v>#REF!</v>
      </c>
      <c r="CX80" t="e">
        <f>AND(#REF!,"AAAAAF3/72U=")</f>
        <v>#REF!</v>
      </c>
      <c r="CY80" t="e">
        <f>AND(#REF!,"AAAAAF3/72Y=")</f>
        <v>#REF!</v>
      </c>
      <c r="CZ80" t="e">
        <f>AND(#REF!,"AAAAAF3/72c=")</f>
        <v>#REF!</v>
      </c>
      <c r="DA80" t="e">
        <f>AND(#REF!,"AAAAAF3/72g=")</f>
        <v>#REF!</v>
      </c>
      <c r="DB80" t="e">
        <f>AND(#REF!,"AAAAAF3/72k=")</f>
        <v>#REF!</v>
      </c>
      <c r="DC80" t="e">
        <f>AND(#REF!,"AAAAAF3/72o=")</f>
        <v>#REF!</v>
      </c>
      <c r="DD80" t="e">
        <f>AND(#REF!,"AAAAAF3/72s=")</f>
        <v>#REF!</v>
      </c>
      <c r="DE80" t="e">
        <f>AND(#REF!,"AAAAAF3/72w=")</f>
        <v>#REF!</v>
      </c>
      <c r="DF80" t="e">
        <f>AND(#REF!,"AAAAAF3/720=")</f>
        <v>#REF!</v>
      </c>
      <c r="DG80" t="e">
        <f>AND(#REF!,"AAAAAF3/724=")</f>
        <v>#REF!</v>
      </c>
      <c r="DH80" t="e">
        <f>AND(#REF!,"AAAAAF3/728=")</f>
        <v>#REF!</v>
      </c>
      <c r="DI80" t="e">
        <f>AND(#REF!,"AAAAAF3/73A=")</f>
        <v>#REF!</v>
      </c>
      <c r="DJ80" t="e">
        <f>AND(#REF!,"AAAAAF3/73E=")</f>
        <v>#REF!</v>
      </c>
      <c r="DK80" t="e">
        <f>AND(#REF!,"AAAAAF3/73I=")</f>
        <v>#REF!</v>
      </c>
      <c r="DL80" t="e">
        <f>AND(#REF!,"AAAAAF3/73M=")</f>
        <v>#REF!</v>
      </c>
      <c r="DM80" t="e">
        <f>AND(#REF!,"AAAAAF3/73Q=")</f>
        <v>#REF!</v>
      </c>
      <c r="DN80" t="e">
        <f>AND(#REF!,"AAAAAF3/73U=")</f>
        <v>#REF!</v>
      </c>
      <c r="DO80" t="e">
        <f>AND(#REF!,"AAAAAF3/73Y=")</f>
        <v>#REF!</v>
      </c>
      <c r="DP80" t="e">
        <f>AND(#REF!,"AAAAAF3/73c=")</f>
        <v>#REF!</v>
      </c>
      <c r="DQ80" t="e">
        <f>AND(#REF!,"AAAAAF3/73g=")</f>
        <v>#REF!</v>
      </c>
      <c r="DR80" t="e">
        <f>AND(#REF!,"AAAAAF3/73k=")</f>
        <v>#REF!</v>
      </c>
      <c r="DS80" t="e">
        <f>AND(#REF!,"AAAAAF3/73o=")</f>
        <v>#REF!</v>
      </c>
      <c r="DT80" t="e">
        <f>AND(#REF!,"AAAAAF3/73s=")</f>
        <v>#REF!</v>
      </c>
      <c r="DU80" t="e">
        <f>AND(#REF!,"AAAAAF3/73w=")</f>
        <v>#REF!</v>
      </c>
      <c r="DV80" t="e">
        <f>AND(#REF!,"AAAAAF3/730=")</f>
        <v>#REF!</v>
      </c>
      <c r="DW80" t="e">
        <f>AND(#REF!,"AAAAAF3/734=")</f>
        <v>#REF!</v>
      </c>
      <c r="DX80" t="e">
        <f>AND(#REF!,"AAAAAF3/738=")</f>
        <v>#REF!</v>
      </c>
      <c r="DY80" t="e">
        <f>AND(#REF!,"AAAAAF3/74A=")</f>
        <v>#REF!</v>
      </c>
      <c r="DZ80" t="e">
        <f>AND(#REF!,"AAAAAF3/74E=")</f>
        <v>#REF!</v>
      </c>
      <c r="EA80" t="e">
        <f>AND(#REF!,"AAAAAF3/74I=")</f>
        <v>#REF!</v>
      </c>
      <c r="EB80" t="e">
        <f>AND(#REF!,"AAAAAF3/74M=")</f>
        <v>#REF!</v>
      </c>
      <c r="EC80" t="e">
        <f>AND(#REF!,"AAAAAF3/74Q=")</f>
        <v>#REF!</v>
      </c>
      <c r="ED80" t="e">
        <f>AND(#REF!,"AAAAAF3/74U=")</f>
        <v>#REF!</v>
      </c>
      <c r="EE80" t="e">
        <f>AND(#REF!,"AAAAAF3/74Y=")</f>
        <v>#REF!</v>
      </c>
      <c r="EF80" t="e">
        <f>AND(#REF!,"AAAAAF3/74c=")</f>
        <v>#REF!</v>
      </c>
      <c r="EG80" t="e">
        <f>AND(#REF!,"AAAAAF3/74g=")</f>
        <v>#REF!</v>
      </c>
      <c r="EH80" t="e">
        <f>AND(#REF!,"AAAAAF3/74k=")</f>
        <v>#REF!</v>
      </c>
      <c r="EI80" t="e">
        <f>AND(#REF!,"AAAAAF3/74o=")</f>
        <v>#REF!</v>
      </c>
      <c r="EJ80" t="e">
        <f>AND(#REF!,"AAAAAF3/74s=")</f>
        <v>#REF!</v>
      </c>
      <c r="EK80" t="e">
        <f>IF(#REF!,"AAAAAF3/74w=",0)</f>
        <v>#REF!</v>
      </c>
      <c r="EL80" t="e">
        <f>AND(#REF!,"AAAAAF3/740=")</f>
        <v>#REF!</v>
      </c>
      <c r="EM80" t="e">
        <f>AND(#REF!,"AAAAAF3/744=")</f>
        <v>#REF!</v>
      </c>
      <c r="EN80" t="e">
        <f>AND(#REF!,"AAAAAF3/748=")</f>
        <v>#REF!</v>
      </c>
      <c r="EO80" t="e">
        <f>AND(#REF!,"AAAAAF3/75A=")</f>
        <v>#REF!</v>
      </c>
      <c r="EP80" t="e">
        <f>AND(#REF!,"AAAAAF3/75E=")</f>
        <v>#REF!</v>
      </c>
      <c r="EQ80" t="e">
        <f>AND(#REF!,"AAAAAF3/75I=")</f>
        <v>#REF!</v>
      </c>
      <c r="ER80" t="e">
        <f>AND(#REF!,"AAAAAF3/75M=")</f>
        <v>#REF!</v>
      </c>
      <c r="ES80" t="e">
        <f>AND(#REF!,"AAAAAF3/75Q=")</f>
        <v>#REF!</v>
      </c>
      <c r="ET80" t="e">
        <f>AND(#REF!,"AAAAAF3/75U=")</f>
        <v>#REF!</v>
      </c>
      <c r="EU80" t="e">
        <f>AND(#REF!,"AAAAAF3/75Y=")</f>
        <v>#REF!</v>
      </c>
      <c r="EV80" t="e">
        <f>AND(#REF!,"AAAAAF3/75c=")</f>
        <v>#REF!</v>
      </c>
      <c r="EW80" t="e">
        <f>AND(#REF!,"AAAAAF3/75g=")</f>
        <v>#REF!</v>
      </c>
      <c r="EX80" t="e">
        <f>AND(#REF!,"AAAAAF3/75k=")</f>
        <v>#REF!</v>
      </c>
      <c r="EY80" t="e">
        <f>AND(#REF!,"AAAAAF3/75o=")</f>
        <v>#REF!</v>
      </c>
      <c r="EZ80" t="e">
        <f>AND(#REF!,"AAAAAF3/75s=")</f>
        <v>#REF!</v>
      </c>
      <c r="FA80" t="e">
        <f>AND(#REF!,"AAAAAF3/75w=")</f>
        <v>#REF!</v>
      </c>
      <c r="FB80" t="e">
        <f>AND(#REF!,"AAAAAF3/750=")</f>
        <v>#REF!</v>
      </c>
      <c r="FC80" t="e">
        <f>AND(#REF!,"AAAAAF3/754=")</f>
        <v>#REF!</v>
      </c>
      <c r="FD80" t="e">
        <f>AND(#REF!,"AAAAAF3/758=")</f>
        <v>#REF!</v>
      </c>
      <c r="FE80" t="e">
        <f>AND(#REF!,"AAAAAF3/76A=")</f>
        <v>#REF!</v>
      </c>
      <c r="FF80" t="e">
        <f>AND(#REF!,"AAAAAF3/76E=")</f>
        <v>#REF!</v>
      </c>
      <c r="FG80" t="e">
        <f>AND(#REF!,"AAAAAF3/76I=")</f>
        <v>#REF!</v>
      </c>
      <c r="FH80" t="e">
        <f>AND(#REF!,"AAAAAF3/76M=")</f>
        <v>#REF!</v>
      </c>
      <c r="FI80" t="e">
        <f>AND(#REF!,"AAAAAF3/76Q=")</f>
        <v>#REF!</v>
      </c>
      <c r="FJ80" t="e">
        <f>AND(#REF!,"AAAAAF3/76U=")</f>
        <v>#REF!</v>
      </c>
      <c r="FK80" t="e">
        <f>AND(#REF!,"AAAAAF3/76Y=")</f>
        <v>#REF!</v>
      </c>
      <c r="FL80" t="e">
        <f>AND(#REF!,"AAAAAF3/76c=")</f>
        <v>#REF!</v>
      </c>
      <c r="FM80" t="e">
        <f>AND(#REF!,"AAAAAF3/76g=")</f>
        <v>#REF!</v>
      </c>
      <c r="FN80" t="e">
        <f>AND(#REF!,"AAAAAF3/76k=")</f>
        <v>#REF!</v>
      </c>
      <c r="FO80" t="e">
        <f>AND(#REF!,"AAAAAF3/76o=")</f>
        <v>#REF!</v>
      </c>
      <c r="FP80" t="e">
        <f>AND(#REF!,"AAAAAF3/76s=")</f>
        <v>#REF!</v>
      </c>
      <c r="FQ80" t="e">
        <f>AND(#REF!,"AAAAAF3/76w=")</f>
        <v>#REF!</v>
      </c>
      <c r="FR80" t="e">
        <f>AND(#REF!,"AAAAAF3/760=")</f>
        <v>#REF!</v>
      </c>
      <c r="FS80" t="e">
        <f>AND(#REF!,"AAAAAF3/764=")</f>
        <v>#REF!</v>
      </c>
      <c r="FT80" t="e">
        <f>AND(#REF!,"AAAAAF3/768=")</f>
        <v>#REF!</v>
      </c>
      <c r="FU80" t="e">
        <f>AND(#REF!,"AAAAAF3/77A=")</f>
        <v>#REF!</v>
      </c>
      <c r="FV80" t="e">
        <f>AND(#REF!,"AAAAAF3/77E=")</f>
        <v>#REF!</v>
      </c>
      <c r="FW80" t="e">
        <f>AND(#REF!,"AAAAAF3/77I=")</f>
        <v>#REF!</v>
      </c>
      <c r="FX80" t="e">
        <f>AND(#REF!,"AAAAAF3/77M=")</f>
        <v>#REF!</v>
      </c>
      <c r="FY80" t="e">
        <f>AND(#REF!,"AAAAAF3/77Q=")</f>
        <v>#REF!</v>
      </c>
      <c r="FZ80" t="e">
        <f>AND(#REF!,"AAAAAF3/77U=")</f>
        <v>#REF!</v>
      </c>
      <c r="GA80" t="e">
        <f>AND(#REF!,"AAAAAF3/77Y=")</f>
        <v>#REF!</v>
      </c>
      <c r="GB80" t="e">
        <f>AND(#REF!,"AAAAAF3/77c=")</f>
        <v>#REF!</v>
      </c>
      <c r="GC80" t="e">
        <f>AND(#REF!,"AAAAAF3/77g=")</f>
        <v>#REF!</v>
      </c>
      <c r="GD80" t="e">
        <f>AND(#REF!,"AAAAAF3/77k=")</f>
        <v>#REF!</v>
      </c>
      <c r="GE80" t="e">
        <f>AND(#REF!,"AAAAAF3/77o=")</f>
        <v>#REF!</v>
      </c>
      <c r="GF80" t="e">
        <f>AND(#REF!,"AAAAAF3/77s=")</f>
        <v>#REF!</v>
      </c>
      <c r="GG80" t="e">
        <f>AND(#REF!,"AAAAAF3/77w=")</f>
        <v>#REF!</v>
      </c>
      <c r="GH80" t="e">
        <f>AND(#REF!,"AAAAAF3/770=")</f>
        <v>#REF!</v>
      </c>
      <c r="GI80" t="e">
        <f>AND(#REF!,"AAAAAF3/774=")</f>
        <v>#REF!</v>
      </c>
      <c r="GJ80" t="e">
        <f>AND(#REF!,"AAAAAF3/778=")</f>
        <v>#REF!</v>
      </c>
      <c r="GK80" t="e">
        <f>AND(#REF!,"AAAAAF3/78A=")</f>
        <v>#REF!</v>
      </c>
      <c r="GL80" t="e">
        <f>AND(#REF!,"AAAAAF3/78E=")</f>
        <v>#REF!</v>
      </c>
      <c r="GM80" t="e">
        <f>AND(#REF!,"AAAAAF3/78I=")</f>
        <v>#REF!</v>
      </c>
      <c r="GN80" t="e">
        <f>AND(#REF!,"AAAAAF3/78M=")</f>
        <v>#REF!</v>
      </c>
      <c r="GO80" t="e">
        <f>AND(#REF!,"AAAAAF3/78Q=")</f>
        <v>#REF!</v>
      </c>
      <c r="GP80" t="e">
        <f>AND(#REF!,"AAAAAF3/78U=")</f>
        <v>#REF!</v>
      </c>
      <c r="GQ80" t="e">
        <f>AND(#REF!,"AAAAAF3/78Y=")</f>
        <v>#REF!</v>
      </c>
      <c r="GR80" t="e">
        <f>AND(#REF!,"AAAAAF3/78c=")</f>
        <v>#REF!</v>
      </c>
      <c r="GS80" t="e">
        <f>AND(#REF!,"AAAAAF3/78g=")</f>
        <v>#REF!</v>
      </c>
      <c r="GT80" t="e">
        <f>AND(#REF!,"AAAAAF3/78k=")</f>
        <v>#REF!</v>
      </c>
      <c r="GU80" t="e">
        <f>AND(#REF!,"AAAAAF3/78o=")</f>
        <v>#REF!</v>
      </c>
      <c r="GV80" t="e">
        <f>AND(#REF!,"AAAAAF3/78s=")</f>
        <v>#REF!</v>
      </c>
      <c r="GW80" t="e">
        <f>AND(#REF!,"AAAAAF3/78w=")</f>
        <v>#REF!</v>
      </c>
      <c r="GX80" t="e">
        <f>AND(#REF!,"AAAAAF3/780=")</f>
        <v>#REF!</v>
      </c>
      <c r="GY80" t="e">
        <f>AND(#REF!,"AAAAAF3/784=")</f>
        <v>#REF!</v>
      </c>
      <c r="GZ80" t="e">
        <f>AND(#REF!,"AAAAAF3/788=")</f>
        <v>#REF!</v>
      </c>
      <c r="HA80" t="e">
        <f>AND(#REF!,"AAAAAF3/79A=")</f>
        <v>#REF!</v>
      </c>
      <c r="HB80" t="e">
        <f>AND(#REF!,"AAAAAF3/79E=")</f>
        <v>#REF!</v>
      </c>
      <c r="HC80" t="e">
        <f>AND(#REF!,"AAAAAF3/79I=")</f>
        <v>#REF!</v>
      </c>
      <c r="HD80" t="e">
        <f>AND(#REF!,"AAAAAF3/79M=")</f>
        <v>#REF!</v>
      </c>
      <c r="HE80" t="e">
        <f>AND(#REF!,"AAAAAF3/79Q=")</f>
        <v>#REF!</v>
      </c>
      <c r="HF80" t="e">
        <f>AND(#REF!,"AAAAAF3/79U=")</f>
        <v>#REF!</v>
      </c>
      <c r="HG80" t="e">
        <f>AND(#REF!,"AAAAAF3/79Y=")</f>
        <v>#REF!</v>
      </c>
      <c r="HH80" t="e">
        <f>AND(#REF!,"AAAAAF3/79c=")</f>
        <v>#REF!</v>
      </c>
      <c r="HI80" t="e">
        <f>AND(#REF!,"AAAAAF3/79g=")</f>
        <v>#REF!</v>
      </c>
      <c r="HJ80" t="e">
        <f>AND(#REF!,"AAAAAF3/79k=")</f>
        <v>#REF!</v>
      </c>
      <c r="HK80" t="e">
        <f>AND(#REF!,"AAAAAF3/79o=")</f>
        <v>#REF!</v>
      </c>
      <c r="HL80" t="e">
        <f>AND(#REF!,"AAAAAF3/79s=")</f>
        <v>#REF!</v>
      </c>
      <c r="HM80" t="e">
        <f>AND(#REF!,"AAAAAF3/79w=")</f>
        <v>#REF!</v>
      </c>
      <c r="HN80" t="e">
        <f>AND(#REF!,"AAAAAF3/790=")</f>
        <v>#REF!</v>
      </c>
      <c r="HO80" t="e">
        <f>AND(#REF!,"AAAAAF3/794=")</f>
        <v>#REF!</v>
      </c>
      <c r="HP80" t="e">
        <f>AND(#REF!,"AAAAAF3/798=")</f>
        <v>#REF!</v>
      </c>
      <c r="HQ80" t="e">
        <f>AND(#REF!,"AAAAAF3/7+A=")</f>
        <v>#REF!</v>
      </c>
      <c r="HR80" t="e">
        <f>AND(#REF!,"AAAAAF3/7+E=")</f>
        <v>#REF!</v>
      </c>
      <c r="HS80" t="e">
        <f>AND(#REF!,"AAAAAF3/7+I=")</f>
        <v>#REF!</v>
      </c>
      <c r="HT80" t="e">
        <f>AND(#REF!,"AAAAAF3/7+M=")</f>
        <v>#REF!</v>
      </c>
      <c r="HU80" t="e">
        <f>AND(#REF!,"AAAAAF3/7+Q=")</f>
        <v>#REF!</v>
      </c>
      <c r="HV80" t="e">
        <f>AND(#REF!,"AAAAAF3/7+U=")</f>
        <v>#REF!</v>
      </c>
      <c r="HW80" t="e">
        <f>AND(#REF!,"AAAAAF3/7+Y=")</f>
        <v>#REF!</v>
      </c>
      <c r="HX80" t="e">
        <f>AND(#REF!,"AAAAAF3/7+c=")</f>
        <v>#REF!</v>
      </c>
      <c r="HY80" t="e">
        <f>AND(#REF!,"AAAAAF3/7+g=")</f>
        <v>#REF!</v>
      </c>
      <c r="HZ80" t="e">
        <f>AND(#REF!,"AAAAAF3/7+k=")</f>
        <v>#REF!</v>
      </c>
      <c r="IA80" t="e">
        <f>AND(#REF!,"AAAAAF3/7+o=")</f>
        <v>#REF!</v>
      </c>
      <c r="IB80" t="e">
        <f>AND(#REF!,"AAAAAF3/7+s=")</f>
        <v>#REF!</v>
      </c>
      <c r="IC80" t="e">
        <f>AND(#REF!,"AAAAAF3/7+w=")</f>
        <v>#REF!</v>
      </c>
      <c r="ID80" t="e">
        <f>AND(#REF!,"AAAAAF3/7+0=")</f>
        <v>#REF!</v>
      </c>
      <c r="IE80" t="e">
        <f>AND(#REF!,"AAAAAF3/7+4=")</f>
        <v>#REF!</v>
      </c>
      <c r="IF80" t="e">
        <f>AND(#REF!,"AAAAAF3/7+8=")</f>
        <v>#REF!</v>
      </c>
      <c r="IG80" t="e">
        <f>AND(#REF!,"AAAAAF3/7/A=")</f>
        <v>#REF!</v>
      </c>
      <c r="IH80" t="e">
        <f>AND(#REF!,"AAAAAF3/7/E=")</f>
        <v>#REF!</v>
      </c>
      <c r="II80" t="e">
        <f>AND(#REF!,"AAAAAF3/7/I=")</f>
        <v>#REF!</v>
      </c>
      <c r="IJ80" t="e">
        <f>AND(#REF!,"AAAAAF3/7/M=")</f>
        <v>#REF!</v>
      </c>
      <c r="IK80" t="e">
        <f>AND(#REF!,"AAAAAF3/7/Q=")</f>
        <v>#REF!</v>
      </c>
      <c r="IL80" t="e">
        <f>AND(#REF!,"AAAAAF3/7/U=")</f>
        <v>#REF!</v>
      </c>
      <c r="IM80" t="e">
        <f>AND(#REF!,"AAAAAF3/7/Y=")</f>
        <v>#REF!</v>
      </c>
      <c r="IN80" t="e">
        <f>AND(#REF!,"AAAAAF3/7/c=")</f>
        <v>#REF!</v>
      </c>
      <c r="IO80" t="e">
        <f>AND(#REF!,"AAAAAF3/7/g=")</f>
        <v>#REF!</v>
      </c>
      <c r="IP80" t="e">
        <f>AND(#REF!,"AAAAAF3/7/k=")</f>
        <v>#REF!</v>
      </c>
      <c r="IQ80" t="e">
        <f>AND(#REF!,"AAAAAF3/7/o=")</f>
        <v>#REF!</v>
      </c>
      <c r="IR80" t="e">
        <f>AND(#REF!,"AAAAAF3/7/s=")</f>
        <v>#REF!</v>
      </c>
      <c r="IS80" t="e">
        <f>AND(#REF!,"AAAAAF3/7/w=")</f>
        <v>#REF!</v>
      </c>
      <c r="IT80" t="e">
        <f>AND(#REF!,"AAAAAF3/7/0=")</f>
        <v>#REF!</v>
      </c>
      <c r="IU80" t="e">
        <f>AND(#REF!,"AAAAAF3/7/4=")</f>
        <v>#REF!</v>
      </c>
      <c r="IV80" t="e">
        <f>AND(#REF!,"AAAAAF3/7/8=")</f>
        <v>#REF!</v>
      </c>
    </row>
    <row r="81" spans="1:256" x14ac:dyDescent="0.25">
      <c r="A81" t="e">
        <f>AND(#REF!,"AAAAAB/6jgA=")</f>
        <v>#REF!</v>
      </c>
      <c r="B81" t="e">
        <f>AND(#REF!,"AAAAAB/6jgE=")</f>
        <v>#REF!</v>
      </c>
      <c r="C81" t="e">
        <f>AND(#REF!,"AAAAAB/6jgI=")</f>
        <v>#REF!</v>
      </c>
      <c r="D81" t="e">
        <f>AND(#REF!,"AAAAAB/6jgM=")</f>
        <v>#REF!</v>
      </c>
      <c r="E81" t="e">
        <f>AND(#REF!,"AAAAAB/6jgQ=")</f>
        <v>#REF!</v>
      </c>
      <c r="F81" t="e">
        <f>AND(#REF!,"AAAAAB/6jgU=")</f>
        <v>#REF!</v>
      </c>
      <c r="G81" t="e">
        <f>AND(#REF!,"AAAAAB/6jgY=")</f>
        <v>#REF!</v>
      </c>
      <c r="H81" t="e">
        <f>AND(#REF!,"AAAAAB/6jgc=")</f>
        <v>#REF!</v>
      </c>
      <c r="I81" t="e">
        <f>AND(#REF!,"AAAAAB/6jgg=")</f>
        <v>#REF!</v>
      </c>
      <c r="J81" t="e">
        <f>AND(#REF!,"AAAAAB/6jgk=")</f>
        <v>#REF!</v>
      </c>
      <c r="K81" t="e">
        <f>AND(#REF!,"AAAAAB/6jgo=")</f>
        <v>#REF!</v>
      </c>
      <c r="L81" t="e">
        <f>AND(#REF!,"AAAAAB/6jgs=")</f>
        <v>#REF!</v>
      </c>
      <c r="M81" t="e">
        <f>AND(#REF!,"AAAAAB/6jgw=")</f>
        <v>#REF!</v>
      </c>
      <c r="N81" t="e">
        <f>AND(#REF!,"AAAAAB/6jg0=")</f>
        <v>#REF!</v>
      </c>
      <c r="O81" t="e">
        <f>AND(#REF!,"AAAAAB/6jg4=")</f>
        <v>#REF!</v>
      </c>
      <c r="P81" t="e">
        <f>AND(#REF!,"AAAAAB/6jg8=")</f>
        <v>#REF!</v>
      </c>
      <c r="Q81" t="e">
        <f>AND(#REF!,"AAAAAB/6jhA=")</f>
        <v>#REF!</v>
      </c>
      <c r="R81" t="e">
        <f>AND(#REF!,"AAAAAB/6jhE=")</f>
        <v>#REF!</v>
      </c>
      <c r="S81" t="e">
        <f>AND(#REF!,"AAAAAB/6jhI=")</f>
        <v>#REF!</v>
      </c>
      <c r="T81" t="e">
        <f>AND(#REF!,"AAAAAB/6jhM=")</f>
        <v>#REF!</v>
      </c>
      <c r="U81" t="e">
        <f>AND(#REF!,"AAAAAB/6jhQ=")</f>
        <v>#REF!</v>
      </c>
      <c r="V81" t="e">
        <f>AND(#REF!,"AAAAAB/6jhU=")</f>
        <v>#REF!</v>
      </c>
      <c r="W81" t="e">
        <f>AND(#REF!,"AAAAAB/6jhY=")</f>
        <v>#REF!</v>
      </c>
      <c r="X81" t="e">
        <f>AND(#REF!,"AAAAAB/6jhc=")</f>
        <v>#REF!</v>
      </c>
      <c r="Y81" t="e">
        <f>AND(#REF!,"AAAAAB/6jhg=")</f>
        <v>#REF!</v>
      </c>
      <c r="Z81" t="e">
        <f>AND(#REF!,"AAAAAB/6jhk=")</f>
        <v>#REF!</v>
      </c>
      <c r="AA81" t="e">
        <f>AND(#REF!,"AAAAAB/6jho=")</f>
        <v>#REF!</v>
      </c>
      <c r="AB81" t="e">
        <f>AND(#REF!,"AAAAAB/6jhs=")</f>
        <v>#REF!</v>
      </c>
      <c r="AC81" t="e">
        <f>AND(#REF!,"AAAAAB/6jhw=")</f>
        <v>#REF!</v>
      </c>
      <c r="AD81" t="e">
        <f>AND(#REF!,"AAAAAB/6jh0=")</f>
        <v>#REF!</v>
      </c>
      <c r="AE81" t="e">
        <f>AND(#REF!,"AAAAAB/6jh4=")</f>
        <v>#REF!</v>
      </c>
      <c r="AF81" t="e">
        <f>AND(#REF!,"AAAAAB/6jh8=")</f>
        <v>#REF!</v>
      </c>
      <c r="AG81" t="e">
        <f>AND(#REF!,"AAAAAB/6jiA=")</f>
        <v>#REF!</v>
      </c>
      <c r="AH81" t="e">
        <f>AND(#REF!,"AAAAAB/6jiE=")</f>
        <v>#REF!</v>
      </c>
      <c r="AI81" t="e">
        <f>AND(#REF!,"AAAAAB/6jiI=")</f>
        <v>#REF!</v>
      </c>
      <c r="AJ81" t="e">
        <f>AND(#REF!,"AAAAAB/6jiM=")</f>
        <v>#REF!</v>
      </c>
      <c r="AK81" t="e">
        <f>AND(#REF!,"AAAAAB/6jiQ=")</f>
        <v>#REF!</v>
      </c>
      <c r="AL81" t="e">
        <f>AND(#REF!,"AAAAAB/6jiU=")</f>
        <v>#REF!</v>
      </c>
      <c r="AM81" t="e">
        <f>AND(#REF!,"AAAAAB/6jiY=")</f>
        <v>#REF!</v>
      </c>
      <c r="AN81" t="e">
        <f>AND(#REF!,"AAAAAB/6jic=")</f>
        <v>#REF!</v>
      </c>
      <c r="AO81" t="e">
        <f>AND(#REF!,"AAAAAB/6jig=")</f>
        <v>#REF!</v>
      </c>
      <c r="AP81" t="e">
        <f>AND(#REF!,"AAAAAB/6jik=")</f>
        <v>#REF!</v>
      </c>
      <c r="AQ81" t="e">
        <f>AND(#REF!,"AAAAAB/6jio=")</f>
        <v>#REF!</v>
      </c>
      <c r="AR81" t="e">
        <f>AND(#REF!,"AAAAAB/6jis=")</f>
        <v>#REF!</v>
      </c>
      <c r="AS81" t="e">
        <f>AND(#REF!,"AAAAAB/6jiw=")</f>
        <v>#REF!</v>
      </c>
      <c r="AT81" t="e">
        <f>AND(#REF!,"AAAAAB/6ji0=")</f>
        <v>#REF!</v>
      </c>
      <c r="AU81" t="e">
        <f>AND(#REF!,"AAAAAB/6ji4=")</f>
        <v>#REF!</v>
      </c>
      <c r="AV81" t="e">
        <f>AND(#REF!,"AAAAAB/6ji8=")</f>
        <v>#REF!</v>
      </c>
      <c r="AW81" t="e">
        <f>AND(#REF!,"AAAAAB/6jjA=")</f>
        <v>#REF!</v>
      </c>
      <c r="AX81" t="e">
        <f>AND(#REF!,"AAAAAB/6jjE=")</f>
        <v>#REF!</v>
      </c>
      <c r="AY81" t="e">
        <f>AND(#REF!,"AAAAAB/6jjI=")</f>
        <v>#REF!</v>
      </c>
      <c r="AZ81" t="e">
        <f>AND(#REF!,"AAAAAB/6jjM=")</f>
        <v>#REF!</v>
      </c>
      <c r="BA81" t="e">
        <f>AND(#REF!,"AAAAAB/6jjQ=")</f>
        <v>#REF!</v>
      </c>
      <c r="BB81" t="e">
        <f>AND(#REF!,"AAAAAB/6jjU=")</f>
        <v>#REF!</v>
      </c>
      <c r="BC81" t="e">
        <f>AND(#REF!,"AAAAAB/6jjY=")</f>
        <v>#REF!</v>
      </c>
      <c r="BD81" t="e">
        <f>AND(#REF!,"AAAAAB/6jjc=")</f>
        <v>#REF!</v>
      </c>
      <c r="BE81" t="e">
        <f>AND(#REF!,"AAAAAB/6jjg=")</f>
        <v>#REF!</v>
      </c>
      <c r="BF81" t="e">
        <f>AND(#REF!,"AAAAAB/6jjk=")</f>
        <v>#REF!</v>
      </c>
      <c r="BG81" t="e">
        <f>AND(#REF!,"AAAAAB/6jjo=")</f>
        <v>#REF!</v>
      </c>
      <c r="BH81" t="e">
        <f>AND(#REF!,"AAAAAB/6jjs=")</f>
        <v>#REF!</v>
      </c>
      <c r="BI81" t="e">
        <f>AND(#REF!,"AAAAAB/6jjw=")</f>
        <v>#REF!</v>
      </c>
      <c r="BJ81" t="e">
        <f>AND(#REF!,"AAAAAB/6jj0=")</f>
        <v>#REF!</v>
      </c>
      <c r="BK81" t="e">
        <f>AND(#REF!,"AAAAAB/6jj4=")</f>
        <v>#REF!</v>
      </c>
      <c r="BL81" t="e">
        <f>AND(#REF!,"AAAAAB/6jj8=")</f>
        <v>#REF!</v>
      </c>
      <c r="BM81" t="e">
        <f>AND(#REF!,"AAAAAB/6jkA=")</f>
        <v>#REF!</v>
      </c>
      <c r="BN81" t="e">
        <f>AND(#REF!,"AAAAAB/6jkE=")</f>
        <v>#REF!</v>
      </c>
      <c r="BO81" t="e">
        <f>AND(#REF!,"AAAAAB/6jkI=")</f>
        <v>#REF!</v>
      </c>
      <c r="BP81" t="e">
        <f>AND(#REF!,"AAAAAB/6jkM=")</f>
        <v>#REF!</v>
      </c>
      <c r="BQ81" t="e">
        <f>AND(#REF!,"AAAAAB/6jkQ=")</f>
        <v>#REF!</v>
      </c>
      <c r="BR81" t="e">
        <f>AND(#REF!,"AAAAAB/6jkU=")</f>
        <v>#REF!</v>
      </c>
      <c r="BS81" t="e">
        <f>AND(#REF!,"AAAAAB/6jkY=")</f>
        <v>#REF!</v>
      </c>
      <c r="BT81" t="e">
        <f>AND(#REF!,"AAAAAB/6jkc=")</f>
        <v>#REF!</v>
      </c>
      <c r="BU81" t="e">
        <f>AND(#REF!,"AAAAAB/6jkg=")</f>
        <v>#REF!</v>
      </c>
      <c r="BV81" t="e">
        <f>IF(#REF!,"AAAAAB/6jkk=",0)</f>
        <v>#REF!</v>
      </c>
      <c r="BW81" t="e">
        <f>AND(#REF!,"AAAAAB/6jko=")</f>
        <v>#REF!</v>
      </c>
      <c r="BX81" t="e">
        <f>AND(#REF!,"AAAAAB/6jks=")</f>
        <v>#REF!</v>
      </c>
      <c r="BY81" t="e">
        <f>AND(#REF!,"AAAAAB/6jkw=")</f>
        <v>#REF!</v>
      </c>
      <c r="BZ81" t="e">
        <f>AND(#REF!,"AAAAAB/6jk0=")</f>
        <v>#REF!</v>
      </c>
      <c r="CA81" t="e">
        <f>AND(#REF!,"AAAAAB/6jk4=")</f>
        <v>#REF!</v>
      </c>
      <c r="CB81" t="e">
        <f>AND(#REF!,"AAAAAB/6jk8=")</f>
        <v>#REF!</v>
      </c>
      <c r="CC81" t="e">
        <f>AND(#REF!,"AAAAAB/6jlA=")</f>
        <v>#REF!</v>
      </c>
      <c r="CD81" t="e">
        <f>AND(#REF!,"AAAAAB/6jlE=")</f>
        <v>#REF!</v>
      </c>
      <c r="CE81" t="e">
        <f>AND(#REF!,"AAAAAB/6jlI=")</f>
        <v>#REF!</v>
      </c>
      <c r="CF81" t="e">
        <f>AND(#REF!,"AAAAAB/6jlM=")</f>
        <v>#REF!</v>
      </c>
      <c r="CG81" t="e">
        <f>AND(#REF!,"AAAAAB/6jlQ=")</f>
        <v>#REF!</v>
      </c>
      <c r="CH81" t="e">
        <f>AND(#REF!,"AAAAAB/6jlU=")</f>
        <v>#REF!</v>
      </c>
      <c r="CI81" t="e">
        <f>AND(#REF!,"AAAAAB/6jlY=")</f>
        <v>#REF!</v>
      </c>
      <c r="CJ81" t="e">
        <f>AND(#REF!,"AAAAAB/6jlc=")</f>
        <v>#REF!</v>
      </c>
      <c r="CK81" t="e">
        <f>AND(#REF!,"AAAAAB/6jlg=")</f>
        <v>#REF!</v>
      </c>
      <c r="CL81" t="e">
        <f>AND(#REF!,"AAAAAB/6jlk=")</f>
        <v>#REF!</v>
      </c>
      <c r="CM81" t="e">
        <f>AND(#REF!,"AAAAAB/6jlo=")</f>
        <v>#REF!</v>
      </c>
      <c r="CN81" t="e">
        <f>AND(#REF!,"AAAAAB/6jls=")</f>
        <v>#REF!</v>
      </c>
      <c r="CO81" t="e">
        <f>AND(#REF!,"AAAAAB/6jlw=")</f>
        <v>#REF!</v>
      </c>
      <c r="CP81" t="e">
        <f>AND(#REF!,"AAAAAB/6jl0=")</f>
        <v>#REF!</v>
      </c>
      <c r="CQ81" t="e">
        <f>AND(#REF!,"AAAAAB/6jl4=")</f>
        <v>#REF!</v>
      </c>
      <c r="CR81" t="e">
        <f>AND(#REF!,"AAAAAB/6jl8=")</f>
        <v>#REF!</v>
      </c>
      <c r="CS81" t="e">
        <f>AND(#REF!,"AAAAAB/6jmA=")</f>
        <v>#REF!</v>
      </c>
      <c r="CT81" t="e">
        <f>AND(#REF!,"AAAAAB/6jmE=")</f>
        <v>#REF!</v>
      </c>
      <c r="CU81" t="e">
        <f>AND(#REF!,"AAAAAB/6jmI=")</f>
        <v>#REF!</v>
      </c>
      <c r="CV81" t="e">
        <f>AND(#REF!,"AAAAAB/6jmM=")</f>
        <v>#REF!</v>
      </c>
      <c r="CW81" t="e">
        <f>AND(#REF!,"AAAAAB/6jmQ=")</f>
        <v>#REF!</v>
      </c>
      <c r="CX81" t="e">
        <f>AND(#REF!,"AAAAAB/6jmU=")</f>
        <v>#REF!</v>
      </c>
      <c r="CY81" t="e">
        <f>AND(#REF!,"AAAAAB/6jmY=")</f>
        <v>#REF!</v>
      </c>
      <c r="CZ81" t="e">
        <f>AND(#REF!,"AAAAAB/6jmc=")</f>
        <v>#REF!</v>
      </c>
      <c r="DA81" t="e">
        <f>AND(#REF!,"AAAAAB/6jmg=")</f>
        <v>#REF!</v>
      </c>
      <c r="DB81" t="e">
        <f>AND(#REF!,"AAAAAB/6jmk=")</f>
        <v>#REF!</v>
      </c>
      <c r="DC81" t="e">
        <f>AND(#REF!,"AAAAAB/6jmo=")</f>
        <v>#REF!</v>
      </c>
      <c r="DD81" t="e">
        <f>AND(#REF!,"AAAAAB/6jms=")</f>
        <v>#REF!</v>
      </c>
      <c r="DE81" t="e">
        <f>AND(#REF!,"AAAAAB/6jmw=")</f>
        <v>#REF!</v>
      </c>
      <c r="DF81" t="e">
        <f>AND(#REF!,"AAAAAB/6jm0=")</f>
        <v>#REF!</v>
      </c>
      <c r="DG81" t="e">
        <f>AND(#REF!,"AAAAAB/6jm4=")</f>
        <v>#REF!</v>
      </c>
      <c r="DH81" t="e">
        <f>AND(#REF!,"AAAAAB/6jm8=")</f>
        <v>#REF!</v>
      </c>
      <c r="DI81" t="e">
        <f>AND(#REF!,"AAAAAB/6jnA=")</f>
        <v>#REF!</v>
      </c>
      <c r="DJ81" t="e">
        <f>AND(#REF!,"AAAAAB/6jnE=")</f>
        <v>#REF!</v>
      </c>
      <c r="DK81" t="e">
        <f>AND(#REF!,"AAAAAB/6jnI=")</f>
        <v>#REF!</v>
      </c>
      <c r="DL81" t="e">
        <f>AND(#REF!,"AAAAAB/6jnM=")</f>
        <v>#REF!</v>
      </c>
      <c r="DM81" t="e">
        <f>AND(#REF!,"AAAAAB/6jnQ=")</f>
        <v>#REF!</v>
      </c>
      <c r="DN81" t="e">
        <f>AND(#REF!,"AAAAAB/6jnU=")</f>
        <v>#REF!</v>
      </c>
      <c r="DO81" t="e">
        <f>AND(#REF!,"AAAAAB/6jnY=")</f>
        <v>#REF!</v>
      </c>
      <c r="DP81" t="e">
        <f>AND(#REF!,"AAAAAB/6jnc=")</f>
        <v>#REF!</v>
      </c>
      <c r="DQ81" t="e">
        <f>AND(#REF!,"AAAAAB/6jng=")</f>
        <v>#REF!</v>
      </c>
      <c r="DR81" t="e">
        <f>AND(#REF!,"AAAAAB/6jnk=")</f>
        <v>#REF!</v>
      </c>
      <c r="DS81" t="e">
        <f>AND(#REF!,"AAAAAB/6jno=")</f>
        <v>#REF!</v>
      </c>
      <c r="DT81" t="e">
        <f>AND(#REF!,"AAAAAB/6jns=")</f>
        <v>#REF!</v>
      </c>
      <c r="DU81" t="e">
        <f>AND(#REF!,"AAAAAB/6jnw=")</f>
        <v>#REF!</v>
      </c>
      <c r="DV81" t="e">
        <f>AND(#REF!,"AAAAAB/6jn0=")</f>
        <v>#REF!</v>
      </c>
      <c r="DW81" t="e">
        <f>AND(#REF!,"AAAAAB/6jn4=")</f>
        <v>#REF!</v>
      </c>
      <c r="DX81" t="e">
        <f>AND(#REF!,"AAAAAB/6jn8=")</f>
        <v>#REF!</v>
      </c>
      <c r="DY81" t="e">
        <f>AND(#REF!,"AAAAAB/6joA=")</f>
        <v>#REF!</v>
      </c>
      <c r="DZ81" t="e">
        <f>AND(#REF!,"AAAAAB/6joE=")</f>
        <v>#REF!</v>
      </c>
      <c r="EA81" t="e">
        <f>AND(#REF!,"AAAAAB/6joI=")</f>
        <v>#REF!</v>
      </c>
      <c r="EB81" t="e">
        <f>AND(#REF!,"AAAAAB/6joM=")</f>
        <v>#REF!</v>
      </c>
      <c r="EC81" t="e">
        <f>AND(#REF!,"AAAAAB/6joQ=")</f>
        <v>#REF!</v>
      </c>
      <c r="ED81" t="e">
        <f>AND(#REF!,"AAAAAB/6joU=")</f>
        <v>#REF!</v>
      </c>
      <c r="EE81" t="e">
        <f>AND(#REF!,"AAAAAB/6joY=")</f>
        <v>#REF!</v>
      </c>
      <c r="EF81" t="e">
        <f>AND(#REF!,"AAAAAB/6joc=")</f>
        <v>#REF!</v>
      </c>
      <c r="EG81" t="e">
        <f>AND(#REF!,"AAAAAB/6jog=")</f>
        <v>#REF!</v>
      </c>
      <c r="EH81" t="e">
        <f>AND(#REF!,"AAAAAB/6jok=")</f>
        <v>#REF!</v>
      </c>
      <c r="EI81" t="e">
        <f>AND(#REF!,"AAAAAB/6joo=")</f>
        <v>#REF!</v>
      </c>
      <c r="EJ81" t="e">
        <f>AND(#REF!,"AAAAAB/6jos=")</f>
        <v>#REF!</v>
      </c>
      <c r="EK81" t="e">
        <f>AND(#REF!,"AAAAAB/6jow=")</f>
        <v>#REF!</v>
      </c>
      <c r="EL81" t="e">
        <f>AND(#REF!,"AAAAAB/6jo0=")</f>
        <v>#REF!</v>
      </c>
      <c r="EM81" t="e">
        <f>AND(#REF!,"AAAAAB/6jo4=")</f>
        <v>#REF!</v>
      </c>
      <c r="EN81" t="e">
        <f>AND(#REF!,"AAAAAB/6jo8=")</f>
        <v>#REF!</v>
      </c>
      <c r="EO81" t="e">
        <f>AND(#REF!,"AAAAAB/6jpA=")</f>
        <v>#REF!</v>
      </c>
      <c r="EP81" t="e">
        <f>AND(#REF!,"AAAAAB/6jpE=")</f>
        <v>#REF!</v>
      </c>
      <c r="EQ81" t="e">
        <f>AND(#REF!,"AAAAAB/6jpI=")</f>
        <v>#REF!</v>
      </c>
      <c r="ER81" t="e">
        <f>AND(#REF!,"AAAAAB/6jpM=")</f>
        <v>#REF!</v>
      </c>
      <c r="ES81" t="e">
        <f>AND(#REF!,"AAAAAB/6jpQ=")</f>
        <v>#REF!</v>
      </c>
      <c r="ET81" t="e">
        <f>AND(#REF!,"AAAAAB/6jpU=")</f>
        <v>#REF!</v>
      </c>
      <c r="EU81" t="e">
        <f>AND(#REF!,"AAAAAB/6jpY=")</f>
        <v>#REF!</v>
      </c>
      <c r="EV81" t="e">
        <f>AND(#REF!,"AAAAAB/6jpc=")</f>
        <v>#REF!</v>
      </c>
      <c r="EW81" t="e">
        <f>AND(#REF!,"AAAAAB/6jpg=")</f>
        <v>#REF!</v>
      </c>
      <c r="EX81" t="e">
        <f>AND(#REF!,"AAAAAB/6jpk=")</f>
        <v>#REF!</v>
      </c>
      <c r="EY81" t="e">
        <f>AND(#REF!,"AAAAAB/6jpo=")</f>
        <v>#REF!</v>
      </c>
      <c r="EZ81" t="e">
        <f>AND(#REF!,"AAAAAB/6jps=")</f>
        <v>#REF!</v>
      </c>
      <c r="FA81" t="e">
        <f>AND(#REF!,"AAAAAB/6jpw=")</f>
        <v>#REF!</v>
      </c>
      <c r="FB81" t="e">
        <f>AND(#REF!,"AAAAAB/6jp0=")</f>
        <v>#REF!</v>
      </c>
      <c r="FC81" t="e">
        <f>AND(#REF!,"AAAAAB/6jp4=")</f>
        <v>#REF!</v>
      </c>
      <c r="FD81" t="e">
        <f>AND(#REF!,"AAAAAB/6jp8=")</f>
        <v>#REF!</v>
      </c>
      <c r="FE81" t="e">
        <f>AND(#REF!,"AAAAAB/6jqA=")</f>
        <v>#REF!</v>
      </c>
      <c r="FF81" t="e">
        <f>AND(#REF!,"AAAAAB/6jqE=")</f>
        <v>#REF!</v>
      </c>
      <c r="FG81" t="e">
        <f>AND(#REF!,"AAAAAB/6jqI=")</f>
        <v>#REF!</v>
      </c>
      <c r="FH81" t="e">
        <f>AND(#REF!,"AAAAAB/6jqM=")</f>
        <v>#REF!</v>
      </c>
      <c r="FI81" t="e">
        <f>AND(#REF!,"AAAAAB/6jqQ=")</f>
        <v>#REF!</v>
      </c>
      <c r="FJ81" t="e">
        <f>AND(#REF!,"AAAAAB/6jqU=")</f>
        <v>#REF!</v>
      </c>
      <c r="FK81" t="e">
        <f>AND(#REF!,"AAAAAB/6jqY=")</f>
        <v>#REF!</v>
      </c>
      <c r="FL81" t="e">
        <f>AND(#REF!,"AAAAAB/6jqc=")</f>
        <v>#REF!</v>
      </c>
      <c r="FM81" t="e">
        <f>AND(#REF!,"AAAAAB/6jqg=")</f>
        <v>#REF!</v>
      </c>
      <c r="FN81" t="e">
        <f>AND(#REF!,"AAAAAB/6jqk=")</f>
        <v>#REF!</v>
      </c>
      <c r="FO81" t="e">
        <f>AND(#REF!,"AAAAAB/6jqo=")</f>
        <v>#REF!</v>
      </c>
      <c r="FP81" t="e">
        <f>AND(#REF!,"AAAAAB/6jqs=")</f>
        <v>#REF!</v>
      </c>
      <c r="FQ81" t="e">
        <f>AND(#REF!,"AAAAAB/6jqw=")</f>
        <v>#REF!</v>
      </c>
      <c r="FR81" t="e">
        <f>AND(#REF!,"AAAAAB/6jq0=")</f>
        <v>#REF!</v>
      </c>
      <c r="FS81" t="e">
        <f>AND(#REF!,"AAAAAB/6jq4=")</f>
        <v>#REF!</v>
      </c>
      <c r="FT81" t="e">
        <f>AND(#REF!,"AAAAAB/6jq8=")</f>
        <v>#REF!</v>
      </c>
      <c r="FU81" t="e">
        <f>AND(#REF!,"AAAAAB/6jrA=")</f>
        <v>#REF!</v>
      </c>
      <c r="FV81" t="e">
        <f>AND(#REF!,"AAAAAB/6jrE=")</f>
        <v>#REF!</v>
      </c>
      <c r="FW81" t="e">
        <f>AND(#REF!,"AAAAAB/6jrI=")</f>
        <v>#REF!</v>
      </c>
      <c r="FX81" t="e">
        <f>AND(#REF!,"AAAAAB/6jrM=")</f>
        <v>#REF!</v>
      </c>
      <c r="FY81" t="e">
        <f>AND(#REF!,"AAAAAB/6jrQ=")</f>
        <v>#REF!</v>
      </c>
      <c r="FZ81" t="e">
        <f>AND(#REF!,"AAAAAB/6jrU=")</f>
        <v>#REF!</v>
      </c>
      <c r="GA81" t="e">
        <f>AND(#REF!,"AAAAAB/6jrY=")</f>
        <v>#REF!</v>
      </c>
      <c r="GB81" t="e">
        <f>AND(#REF!,"AAAAAB/6jrc=")</f>
        <v>#REF!</v>
      </c>
      <c r="GC81" t="e">
        <f>AND(#REF!,"AAAAAB/6jrg=")</f>
        <v>#REF!</v>
      </c>
      <c r="GD81" t="e">
        <f>AND(#REF!,"AAAAAB/6jrk=")</f>
        <v>#REF!</v>
      </c>
      <c r="GE81" t="e">
        <f>AND(#REF!,"AAAAAB/6jro=")</f>
        <v>#REF!</v>
      </c>
      <c r="GF81" t="e">
        <f>AND(#REF!,"AAAAAB/6jrs=")</f>
        <v>#REF!</v>
      </c>
      <c r="GG81" t="e">
        <f>AND(#REF!,"AAAAAB/6jrw=")</f>
        <v>#REF!</v>
      </c>
      <c r="GH81" t="e">
        <f>AND(#REF!,"AAAAAB/6jr0=")</f>
        <v>#REF!</v>
      </c>
      <c r="GI81" t="e">
        <f>AND(#REF!,"AAAAAB/6jr4=")</f>
        <v>#REF!</v>
      </c>
      <c r="GJ81" t="e">
        <f>AND(#REF!,"AAAAAB/6jr8=")</f>
        <v>#REF!</v>
      </c>
      <c r="GK81" t="e">
        <f>AND(#REF!,"AAAAAB/6jsA=")</f>
        <v>#REF!</v>
      </c>
      <c r="GL81" t="e">
        <f>AND(#REF!,"AAAAAB/6jsE=")</f>
        <v>#REF!</v>
      </c>
      <c r="GM81" t="e">
        <f>AND(#REF!,"AAAAAB/6jsI=")</f>
        <v>#REF!</v>
      </c>
      <c r="GN81" t="e">
        <f>AND(#REF!,"AAAAAB/6jsM=")</f>
        <v>#REF!</v>
      </c>
      <c r="GO81" t="e">
        <f>AND(#REF!,"AAAAAB/6jsQ=")</f>
        <v>#REF!</v>
      </c>
      <c r="GP81" t="e">
        <f>AND(#REF!,"AAAAAB/6jsU=")</f>
        <v>#REF!</v>
      </c>
      <c r="GQ81" t="e">
        <f>AND(#REF!,"AAAAAB/6jsY=")</f>
        <v>#REF!</v>
      </c>
      <c r="GR81" t="e">
        <f>AND(#REF!,"AAAAAB/6jsc=")</f>
        <v>#REF!</v>
      </c>
      <c r="GS81" t="e">
        <f>AND(#REF!,"AAAAAB/6jsg=")</f>
        <v>#REF!</v>
      </c>
      <c r="GT81" t="e">
        <f>AND(#REF!,"AAAAAB/6jsk=")</f>
        <v>#REF!</v>
      </c>
      <c r="GU81" t="e">
        <f>AND(#REF!,"AAAAAB/6jso=")</f>
        <v>#REF!</v>
      </c>
      <c r="GV81" t="e">
        <f>AND(#REF!,"AAAAAB/6jss=")</f>
        <v>#REF!</v>
      </c>
      <c r="GW81" t="e">
        <f>AND(#REF!,"AAAAAB/6jsw=")</f>
        <v>#REF!</v>
      </c>
      <c r="GX81" t="e">
        <f>AND(#REF!,"AAAAAB/6js0=")</f>
        <v>#REF!</v>
      </c>
      <c r="GY81" t="e">
        <f>AND(#REF!,"AAAAAB/6js4=")</f>
        <v>#REF!</v>
      </c>
      <c r="GZ81" t="e">
        <f>AND(#REF!,"AAAAAB/6js8=")</f>
        <v>#REF!</v>
      </c>
      <c r="HA81" t="e">
        <f>AND(#REF!,"AAAAAB/6jtA=")</f>
        <v>#REF!</v>
      </c>
      <c r="HB81" t="e">
        <f>AND(#REF!,"AAAAAB/6jtE=")</f>
        <v>#REF!</v>
      </c>
      <c r="HC81" t="e">
        <f>AND(#REF!,"AAAAAB/6jtI=")</f>
        <v>#REF!</v>
      </c>
      <c r="HD81" t="e">
        <f>AND(#REF!,"AAAAAB/6jtM=")</f>
        <v>#REF!</v>
      </c>
      <c r="HE81" t="e">
        <f>AND(#REF!,"AAAAAB/6jtQ=")</f>
        <v>#REF!</v>
      </c>
      <c r="HF81" t="e">
        <f>AND(#REF!,"AAAAAB/6jtU=")</f>
        <v>#REF!</v>
      </c>
      <c r="HG81" t="e">
        <f>AND(#REF!,"AAAAAB/6jtY=")</f>
        <v>#REF!</v>
      </c>
      <c r="HH81" t="e">
        <f>AND(#REF!,"AAAAAB/6jtc=")</f>
        <v>#REF!</v>
      </c>
      <c r="HI81" t="e">
        <f>AND(#REF!,"AAAAAB/6jtg=")</f>
        <v>#REF!</v>
      </c>
      <c r="HJ81" t="e">
        <f>AND(#REF!,"AAAAAB/6jtk=")</f>
        <v>#REF!</v>
      </c>
      <c r="HK81" t="e">
        <f>AND(#REF!,"AAAAAB/6jto=")</f>
        <v>#REF!</v>
      </c>
      <c r="HL81" t="e">
        <f>AND(#REF!,"AAAAAB/6jts=")</f>
        <v>#REF!</v>
      </c>
      <c r="HM81" t="e">
        <f>AND(#REF!,"AAAAAB/6jtw=")</f>
        <v>#REF!</v>
      </c>
      <c r="HN81" t="e">
        <f>AND(#REF!,"AAAAAB/6jt0=")</f>
        <v>#REF!</v>
      </c>
      <c r="HO81" t="e">
        <f>AND(#REF!,"AAAAAB/6jt4=")</f>
        <v>#REF!</v>
      </c>
      <c r="HP81" t="e">
        <f>AND(#REF!,"AAAAAB/6jt8=")</f>
        <v>#REF!</v>
      </c>
      <c r="HQ81" t="e">
        <f>AND(#REF!,"AAAAAB/6juA=")</f>
        <v>#REF!</v>
      </c>
      <c r="HR81" t="e">
        <f>AND(#REF!,"AAAAAB/6juE=")</f>
        <v>#REF!</v>
      </c>
      <c r="HS81" t="e">
        <f>AND(#REF!,"AAAAAB/6juI=")</f>
        <v>#REF!</v>
      </c>
      <c r="HT81" t="e">
        <f>AND(#REF!,"AAAAAB/6juM=")</f>
        <v>#REF!</v>
      </c>
      <c r="HU81" t="e">
        <f>AND(#REF!,"AAAAAB/6juQ=")</f>
        <v>#REF!</v>
      </c>
      <c r="HV81" t="e">
        <f>AND(#REF!,"AAAAAB/6juU=")</f>
        <v>#REF!</v>
      </c>
      <c r="HW81" t="e">
        <f>AND(#REF!,"AAAAAB/6juY=")</f>
        <v>#REF!</v>
      </c>
      <c r="HX81" t="e">
        <f>AND(#REF!,"AAAAAB/6juc=")</f>
        <v>#REF!</v>
      </c>
      <c r="HY81" t="e">
        <f>AND(#REF!,"AAAAAB/6jug=")</f>
        <v>#REF!</v>
      </c>
      <c r="HZ81" t="e">
        <f>AND(#REF!,"AAAAAB/6juk=")</f>
        <v>#REF!</v>
      </c>
      <c r="IA81" t="e">
        <f>AND(#REF!,"AAAAAB/6juo=")</f>
        <v>#REF!</v>
      </c>
      <c r="IB81" t="e">
        <f>AND(#REF!,"AAAAAB/6jus=")</f>
        <v>#REF!</v>
      </c>
      <c r="IC81" t="e">
        <f>AND(#REF!,"AAAAAB/6juw=")</f>
        <v>#REF!</v>
      </c>
      <c r="ID81" t="e">
        <f>AND(#REF!,"AAAAAB/6ju0=")</f>
        <v>#REF!</v>
      </c>
      <c r="IE81" t="e">
        <f>AND(#REF!,"AAAAAB/6ju4=")</f>
        <v>#REF!</v>
      </c>
      <c r="IF81" t="e">
        <f>AND(#REF!,"AAAAAB/6ju8=")</f>
        <v>#REF!</v>
      </c>
      <c r="IG81" t="e">
        <f>AND(#REF!,"AAAAAB/6jvA=")</f>
        <v>#REF!</v>
      </c>
      <c r="IH81" t="e">
        <f>AND(#REF!,"AAAAAB/6jvE=")</f>
        <v>#REF!</v>
      </c>
      <c r="II81" t="e">
        <f>AND(#REF!,"AAAAAB/6jvI=")</f>
        <v>#REF!</v>
      </c>
      <c r="IJ81" t="e">
        <f>AND(#REF!,"AAAAAB/6jvM=")</f>
        <v>#REF!</v>
      </c>
      <c r="IK81" t="e">
        <f>AND(#REF!,"AAAAAB/6jvQ=")</f>
        <v>#REF!</v>
      </c>
      <c r="IL81" t="e">
        <f>AND(#REF!,"AAAAAB/6jvU=")</f>
        <v>#REF!</v>
      </c>
      <c r="IM81" t="e">
        <f>AND(#REF!,"AAAAAB/6jvY=")</f>
        <v>#REF!</v>
      </c>
      <c r="IN81" t="e">
        <f>AND(#REF!,"AAAAAB/6jvc=")</f>
        <v>#REF!</v>
      </c>
      <c r="IO81" t="e">
        <f>AND(#REF!,"AAAAAB/6jvg=")</f>
        <v>#REF!</v>
      </c>
      <c r="IP81" t="e">
        <f>AND(#REF!,"AAAAAB/6jvk=")</f>
        <v>#REF!</v>
      </c>
      <c r="IQ81" t="e">
        <f>AND(#REF!,"AAAAAB/6jvo=")</f>
        <v>#REF!</v>
      </c>
      <c r="IR81" t="e">
        <f>AND(#REF!,"AAAAAB/6jvs=")</f>
        <v>#REF!</v>
      </c>
      <c r="IS81" t="e">
        <f>AND(#REF!,"AAAAAB/6jvw=")</f>
        <v>#REF!</v>
      </c>
      <c r="IT81" t="e">
        <f>AND(#REF!,"AAAAAB/6jv0=")</f>
        <v>#REF!</v>
      </c>
      <c r="IU81" t="e">
        <f>AND(#REF!,"AAAAAB/6jv4=")</f>
        <v>#REF!</v>
      </c>
      <c r="IV81" t="e">
        <f>AND(#REF!,"AAAAAB/6jv8=")</f>
        <v>#REF!</v>
      </c>
    </row>
    <row r="82" spans="1:256" x14ac:dyDescent="0.25">
      <c r="A82" t="e">
        <f>AND(#REF!,"AAAAAH7fuQA=")</f>
        <v>#REF!</v>
      </c>
      <c r="B82" t="e">
        <f>AND(#REF!,"AAAAAH7fuQE=")</f>
        <v>#REF!</v>
      </c>
      <c r="C82" t="e">
        <f>AND(#REF!,"AAAAAH7fuQI=")</f>
        <v>#REF!</v>
      </c>
      <c r="D82" t="e">
        <f>AND(#REF!,"AAAAAH7fuQM=")</f>
        <v>#REF!</v>
      </c>
      <c r="E82" t="e">
        <f>AND(#REF!,"AAAAAH7fuQQ=")</f>
        <v>#REF!</v>
      </c>
      <c r="F82" t="e">
        <f>AND(#REF!,"AAAAAH7fuQU=")</f>
        <v>#REF!</v>
      </c>
      <c r="G82" t="e">
        <f>IF(#REF!,"AAAAAH7fuQY=",0)</f>
        <v>#REF!</v>
      </c>
      <c r="H82" t="e">
        <f>AND(#REF!,"AAAAAH7fuQc=")</f>
        <v>#REF!</v>
      </c>
      <c r="I82" t="e">
        <f>AND(#REF!,"AAAAAH7fuQg=")</f>
        <v>#REF!</v>
      </c>
      <c r="J82" t="e">
        <f>AND(#REF!,"AAAAAH7fuQk=")</f>
        <v>#REF!</v>
      </c>
      <c r="K82" t="e">
        <f>AND(#REF!,"AAAAAH7fuQo=")</f>
        <v>#REF!</v>
      </c>
      <c r="L82" t="e">
        <f>AND(#REF!,"AAAAAH7fuQs=")</f>
        <v>#REF!</v>
      </c>
      <c r="M82" t="e">
        <f>AND(#REF!,"AAAAAH7fuQw=")</f>
        <v>#REF!</v>
      </c>
      <c r="N82" t="e">
        <f>AND(#REF!,"AAAAAH7fuQ0=")</f>
        <v>#REF!</v>
      </c>
      <c r="O82" t="e">
        <f>AND(#REF!,"AAAAAH7fuQ4=")</f>
        <v>#REF!</v>
      </c>
      <c r="P82" t="e">
        <f>AND(#REF!,"AAAAAH7fuQ8=")</f>
        <v>#REF!</v>
      </c>
      <c r="Q82" t="e">
        <f>AND(#REF!,"AAAAAH7fuRA=")</f>
        <v>#REF!</v>
      </c>
      <c r="R82" t="e">
        <f>AND(#REF!,"AAAAAH7fuRE=")</f>
        <v>#REF!</v>
      </c>
      <c r="S82" t="e">
        <f>AND(#REF!,"AAAAAH7fuRI=")</f>
        <v>#REF!</v>
      </c>
      <c r="T82" t="e">
        <f>AND(#REF!,"AAAAAH7fuRM=")</f>
        <v>#REF!</v>
      </c>
      <c r="U82" t="e">
        <f>AND(#REF!,"AAAAAH7fuRQ=")</f>
        <v>#REF!</v>
      </c>
      <c r="V82" t="e">
        <f>AND(#REF!,"AAAAAH7fuRU=")</f>
        <v>#REF!</v>
      </c>
      <c r="W82" t="e">
        <f>AND(#REF!,"AAAAAH7fuRY=")</f>
        <v>#REF!</v>
      </c>
      <c r="X82" t="e">
        <f>AND(#REF!,"AAAAAH7fuRc=")</f>
        <v>#REF!</v>
      </c>
      <c r="Y82" t="e">
        <f>AND(#REF!,"AAAAAH7fuRg=")</f>
        <v>#REF!</v>
      </c>
      <c r="Z82" t="e">
        <f>AND(#REF!,"AAAAAH7fuRk=")</f>
        <v>#REF!</v>
      </c>
      <c r="AA82" t="e">
        <f>AND(#REF!,"AAAAAH7fuRo=")</f>
        <v>#REF!</v>
      </c>
      <c r="AB82" t="e">
        <f>AND(#REF!,"AAAAAH7fuRs=")</f>
        <v>#REF!</v>
      </c>
      <c r="AC82" t="e">
        <f>AND(#REF!,"AAAAAH7fuRw=")</f>
        <v>#REF!</v>
      </c>
      <c r="AD82" t="e">
        <f>AND(#REF!,"AAAAAH7fuR0=")</f>
        <v>#REF!</v>
      </c>
      <c r="AE82" t="e">
        <f>AND(#REF!,"AAAAAH7fuR4=")</f>
        <v>#REF!</v>
      </c>
      <c r="AF82" t="e">
        <f>AND(#REF!,"AAAAAH7fuR8=")</f>
        <v>#REF!</v>
      </c>
      <c r="AG82" t="e">
        <f>AND(#REF!,"AAAAAH7fuSA=")</f>
        <v>#REF!</v>
      </c>
      <c r="AH82" t="e">
        <f>AND(#REF!,"AAAAAH7fuSE=")</f>
        <v>#REF!</v>
      </c>
      <c r="AI82" t="e">
        <f>AND(#REF!,"AAAAAH7fuSI=")</f>
        <v>#REF!</v>
      </c>
      <c r="AJ82" t="e">
        <f>AND(#REF!,"AAAAAH7fuSM=")</f>
        <v>#REF!</v>
      </c>
      <c r="AK82" t="e">
        <f>AND(#REF!,"AAAAAH7fuSQ=")</f>
        <v>#REF!</v>
      </c>
      <c r="AL82" t="e">
        <f>AND(#REF!,"AAAAAH7fuSU=")</f>
        <v>#REF!</v>
      </c>
      <c r="AM82" t="e">
        <f>AND(#REF!,"AAAAAH7fuSY=")</f>
        <v>#REF!</v>
      </c>
      <c r="AN82" t="e">
        <f>AND(#REF!,"AAAAAH7fuSc=")</f>
        <v>#REF!</v>
      </c>
      <c r="AO82" t="e">
        <f>AND(#REF!,"AAAAAH7fuSg=")</f>
        <v>#REF!</v>
      </c>
      <c r="AP82" t="e">
        <f>AND(#REF!,"AAAAAH7fuSk=")</f>
        <v>#REF!</v>
      </c>
      <c r="AQ82" t="e">
        <f>AND(#REF!,"AAAAAH7fuSo=")</f>
        <v>#REF!</v>
      </c>
      <c r="AR82" t="e">
        <f>AND(#REF!,"AAAAAH7fuSs=")</f>
        <v>#REF!</v>
      </c>
      <c r="AS82" t="e">
        <f>AND(#REF!,"AAAAAH7fuSw=")</f>
        <v>#REF!</v>
      </c>
      <c r="AT82" t="e">
        <f>AND(#REF!,"AAAAAH7fuS0=")</f>
        <v>#REF!</v>
      </c>
      <c r="AU82" t="e">
        <f>AND(#REF!,"AAAAAH7fuS4=")</f>
        <v>#REF!</v>
      </c>
      <c r="AV82" t="e">
        <f>AND(#REF!,"AAAAAH7fuS8=")</f>
        <v>#REF!</v>
      </c>
      <c r="AW82" t="e">
        <f>AND(#REF!,"AAAAAH7fuTA=")</f>
        <v>#REF!</v>
      </c>
      <c r="AX82" t="e">
        <f>AND(#REF!,"AAAAAH7fuTE=")</f>
        <v>#REF!</v>
      </c>
      <c r="AY82" t="e">
        <f>AND(#REF!,"AAAAAH7fuTI=")</f>
        <v>#REF!</v>
      </c>
      <c r="AZ82" t="e">
        <f>AND(#REF!,"AAAAAH7fuTM=")</f>
        <v>#REF!</v>
      </c>
      <c r="BA82" t="e">
        <f>AND(#REF!,"AAAAAH7fuTQ=")</f>
        <v>#REF!</v>
      </c>
      <c r="BB82" t="e">
        <f>AND(#REF!,"AAAAAH7fuTU=")</f>
        <v>#REF!</v>
      </c>
      <c r="BC82" t="e">
        <f>AND(#REF!,"AAAAAH7fuTY=")</f>
        <v>#REF!</v>
      </c>
      <c r="BD82" t="e">
        <f>AND(#REF!,"AAAAAH7fuTc=")</f>
        <v>#REF!</v>
      </c>
      <c r="BE82" t="e">
        <f>AND(#REF!,"AAAAAH7fuTg=")</f>
        <v>#REF!</v>
      </c>
      <c r="BF82" t="e">
        <f>AND(#REF!,"AAAAAH7fuTk=")</f>
        <v>#REF!</v>
      </c>
      <c r="BG82" t="e">
        <f>AND(#REF!,"AAAAAH7fuTo=")</f>
        <v>#REF!</v>
      </c>
      <c r="BH82" t="e">
        <f>AND(#REF!,"AAAAAH7fuTs=")</f>
        <v>#REF!</v>
      </c>
      <c r="BI82" t="e">
        <f>AND(#REF!,"AAAAAH7fuTw=")</f>
        <v>#REF!</v>
      </c>
      <c r="BJ82" t="e">
        <f>AND(#REF!,"AAAAAH7fuT0=")</f>
        <v>#REF!</v>
      </c>
      <c r="BK82" t="e">
        <f>AND(#REF!,"AAAAAH7fuT4=")</f>
        <v>#REF!</v>
      </c>
      <c r="BL82" t="e">
        <f>AND(#REF!,"AAAAAH7fuT8=")</f>
        <v>#REF!</v>
      </c>
      <c r="BM82" t="e">
        <f>AND(#REF!,"AAAAAH7fuUA=")</f>
        <v>#REF!</v>
      </c>
      <c r="BN82" t="e">
        <f>AND(#REF!,"AAAAAH7fuUE=")</f>
        <v>#REF!</v>
      </c>
      <c r="BO82" t="e">
        <f>AND(#REF!,"AAAAAH7fuUI=")</f>
        <v>#REF!</v>
      </c>
      <c r="BP82" t="e">
        <f>AND(#REF!,"AAAAAH7fuUM=")</f>
        <v>#REF!</v>
      </c>
      <c r="BQ82" t="e">
        <f>AND(#REF!,"AAAAAH7fuUQ=")</f>
        <v>#REF!</v>
      </c>
      <c r="BR82" t="e">
        <f>AND(#REF!,"AAAAAH7fuUU=")</f>
        <v>#REF!</v>
      </c>
      <c r="BS82" t="e">
        <f>AND(#REF!,"AAAAAH7fuUY=")</f>
        <v>#REF!</v>
      </c>
      <c r="BT82" t="e">
        <f>AND(#REF!,"AAAAAH7fuUc=")</f>
        <v>#REF!</v>
      </c>
      <c r="BU82" t="e">
        <f>AND(#REF!,"AAAAAH7fuUg=")</f>
        <v>#REF!</v>
      </c>
      <c r="BV82" t="e">
        <f>AND(#REF!,"AAAAAH7fuUk=")</f>
        <v>#REF!</v>
      </c>
      <c r="BW82" t="e">
        <f>AND(#REF!,"AAAAAH7fuUo=")</f>
        <v>#REF!</v>
      </c>
      <c r="BX82" t="e">
        <f>AND(#REF!,"AAAAAH7fuUs=")</f>
        <v>#REF!</v>
      </c>
      <c r="BY82" t="e">
        <f>AND(#REF!,"AAAAAH7fuUw=")</f>
        <v>#REF!</v>
      </c>
      <c r="BZ82" t="e">
        <f>AND(#REF!,"AAAAAH7fuU0=")</f>
        <v>#REF!</v>
      </c>
      <c r="CA82" t="e">
        <f>AND(#REF!,"AAAAAH7fuU4=")</f>
        <v>#REF!</v>
      </c>
      <c r="CB82" t="e">
        <f>AND(#REF!,"AAAAAH7fuU8=")</f>
        <v>#REF!</v>
      </c>
      <c r="CC82" t="e">
        <f>AND(#REF!,"AAAAAH7fuVA=")</f>
        <v>#REF!</v>
      </c>
      <c r="CD82" t="e">
        <f>AND(#REF!,"AAAAAH7fuVE=")</f>
        <v>#REF!</v>
      </c>
      <c r="CE82" t="e">
        <f>AND(#REF!,"AAAAAH7fuVI=")</f>
        <v>#REF!</v>
      </c>
      <c r="CF82" t="e">
        <f>AND(#REF!,"AAAAAH7fuVM=")</f>
        <v>#REF!</v>
      </c>
      <c r="CG82" t="e">
        <f>AND(#REF!,"AAAAAH7fuVQ=")</f>
        <v>#REF!</v>
      </c>
      <c r="CH82" t="e">
        <f>AND(#REF!,"AAAAAH7fuVU=")</f>
        <v>#REF!</v>
      </c>
      <c r="CI82" t="e">
        <f>AND(#REF!,"AAAAAH7fuVY=")</f>
        <v>#REF!</v>
      </c>
      <c r="CJ82" t="e">
        <f>AND(#REF!,"AAAAAH7fuVc=")</f>
        <v>#REF!</v>
      </c>
      <c r="CK82" t="e">
        <f>AND(#REF!,"AAAAAH7fuVg=")</f>
        <v>#REF!</v>
      </c>
      <c r="CL82" t="e">
        <f>AND(#REF!,"AAAAAH7fuVk=")</f>
        <v>#REF!</v>
      </c>
      <c r="CM82" t="e">
        <f>AND(#REF!,"AAAAAH7fuVo=")</f>
        <v>#REF!</v>
      </c>
      <c r="CN82" t="e">
        <f>AND(#REF!,"AAAAAH7fuVs=")</f>
        <v>#REF!</v>
      </c>
      <c r="CO82" t="e">
        <f>AND(#REF!,"AAAAAH7fuVw=")</f>
        <v>#REF!</v>
      </c>
      <c r="CP82" t="e">
        <f>AND(#REF!,"AAAAAH7fuV0=")</f>
        <v>#REF!</v>
      </c>
      <c r="CQ82" t="e">
        <f>AND(#REF!,"AAAAAH7fuV4=")</f>
        <v>#REF!</v>
      </c>
      <c r="CR82" t="e">
        <f>AND(#REF!,"AAAAAH7fuV8=")</f>
        <v>#REF!</v>
      </c>
      <c r="CS82" t="e">
        <f>AND(#REF!,"AAAAAH7fuWA=")</f>
        <v>#REF!</v>
      </c>
      <c r="CT82" t="e">
        <f>AND(#REF!,"AAAAAH7fuWE=")</f>
        <v>#REF!</v>
      </c>
      <c r="CU82" t="e">
        <f>AND(#REF!,"AAAAAH7fuWI=")</f>
        <v>#REF!</v>
      </c>
      <c r="CV82" t="e">
        <f>AND(#REF!,"AAAAAH7fuWM=")</f>
        <v>#REF!</v>
      </c>
      <c r="CW82" t="e">
        <f>AND(#REF!,"AAAAAH7fuWQ=")</f>
        <v>#REF!</v>
      </c>
      <c r="CX82" t="e">
        <f>AND(#REF!,"AAAAAH7fuWU=")</f>
        <v>#REF!</v>
      </c>
      <c r="CY82" t="e">
        <f>AND(#REF!,"AAAAAH7fuWY=")</f>
        <v>#REF!</v>
      </c>
      <c r="CZ82" t="e">
        <f>AND(#REF!,"AAAAAH7fuWc=")</f>
        <v>#REF!</v>
      </c>
      <c r="DA82" t="e">
        <f>AND(#REF!,"AAAAAH7fuWg=")</f>
        <v>#REF!</v>
      </c>
      <c r="DB82" t="e">
        <f>AND(#REF!,"AAAAAH7fuWk=")</f>
        <v>#REF!</v>
      </c>
      <c r="DC82" t="e">
        <f>AND(#REF!,"AAAAAH7fuWo=")</f>
        <v>#REF!</v>
      </c>
      <c r="DD82" t="e">
        <f>AND(#REF!,"AAAAAH7fuWs=")</f>
        <v>#REF!</v>
      </c>
      <c r="DE82" t="e">
        <f>AND(#REF!,"AAAAAH7fuWw=")</f>
        <v>#REF!</v>
      </c>
      <c r="DF82" t="e">
        <f>AND(#REF!,"AAAAAH7fuW0=")</f>
        <v>#REF!</v>
      </c>
      <c r="DG82" t="e">
        <f>AND(#REF!,"AAAAAH7fuW4=")</f>
        <v>#REF!</v>
      </c>
      <c r="DH82" t="e">
        <f>AND(#REF!,"AAAAAH7fuW8=")</f>
        <v>#REF!</v>
      </c>
      <c r="DI82" t="e">
        <f>AND(#REF!,"AAAAAH7fuXA=")</f>
        <v>#REF!</v>
      </c>
      <c r="DJ82" t="e">
        <f>AND(#REF!,"AAAAAH7fuXE=")</f>
        <v>#REF!</v>
      </c>
      <c r="DK82" t="e">
        <f>AND(#REF!,"AAAAAH7fuXI=")</f>
        <v>#REF!</v>
      </c>
      <c r="DL82" t="e">
        <f>AND(#REF!,"AAAAAH7fuXM=")</f>
        <v>#REF!</v>
      </c>
      <c r="DM82" t="e">
        <f>AND(#REF!,"AAAAAH7fuXQ=")</f>
        <v>#REF!</v>
      </c>
      <c r="DN82" t="e">
        <f>AND(#REF!,"AAAAAH7fuXU=")</f>
        <v>#REF!</v>
      </c>
      <c r="DO82" t="e">
        <f>AND(#REF!,"AAAAAH7fuXY=")</f>
        <v>#REF!</v>
      </c>
      <c r="DP82" t="e">
        <f>AND(#REF!,"AAAAAH7fuXc=")</f>
        <v>#REF!</v>
      </c>
      <c r="DQ82" t="e">
        <f>AND(#REF!,"AAAAAH7fuXg=")</f>
        <v>#REF!</v>
      </c>
      <c r="DR82" t="e">
        <f>AND(#REF!,"AAAAAH7fuXk=")</f>
        <v>#REF!</v>
      </c>
      <c r="DS82" t="e">
        <f>AND(#REF!,"AAAAAH7fuXo=")</f>
        <v>#REF!</v>
      </c>
      <c r="DT82" t="e">
        <f>AND(#REF!,"AAAAAH7fuXs=")</f>
        <v>#REF!</v>
      </c>
      <c r="DU82" t="e">
        <f>AND(#REF!,"AAAAAH7fuXw=")</f>
        <v>#REF!</v>
      </c>
      <c r="DV82" t="e">
        <f>AND(#REF!,"AAAAAH7fuX0=")</f>
        <v>#REF!</v>
      </c>
      <c r="DW82" t="e">
        <f>AND(#REF!,"AAAAAH7fuX4=")</f>
        <v>#REF!</v>
      </c>
      <c r="DX82" t="e">
        <f>AND(#REF!,"AAAAAH7fuX8=")</f>
        <v>#REF!</v>
      </c>
      <c r="DY82" t="e">
        <f>AND(#REF!,"AAAAAH7fuYA=")</f>
        <v>#REF!</v>
      </c>
      <c r="DZ82" t="e">
        <f>AND(#REF!,"AAAAAH7fuYE=")</f>
        <v>#REF!</v>
      </c>
      <c r="EA82" t="e">
        <f>AND(#REF!,"AAAAAH7fuYI=")</f>
        <v>#REF!</v>
      </c>
      <c r="EB82" t="e">
        <f>AND(#REF!,"AAAAAH7fuYM=")</f>
        <v>#REF!</v>
      </c>
      <c r="EC82" t="e">
        <f>AND(#REF!,"AAAAAH7fuYQ=")</f>
        <v>#REF!</v>
      </c>
      <c r="ED82" t="e">
        <f>AND(#REF!,"AAAAAH7fuYU=")</f>
        <v>#REF!</v>
      </c>
      <c r="EE82" t="e">
        <f>AND(#REF!,"AAAAAH7fuYY=")</f>
        <v>#REF!</v>
      </c>
      <c r="EF82" t="e">
        <f>AND(#REF!,"AAAAAH7fuYc=")</f>
        <v>#REF!</v>
      </c>
      <c r="EG82" t="e">
        <f>AND(#REF!,"AAAAAH7fuYg=")</f>
        <v>#REF!</v>
      </c>
      <c r="EH82" t="e">
        <f>AND(#REF!,"AAAAAH7fuYk=")</f>
        <v>#REF!</v>
      </c>
      <c r="EI82" t="e">
        <f>AND(#REF!,"AAAAAH7fuYo=")</f>
        <v>#REF!</v>
      </c>
      <c r="EJ82" t="e">
        <f>AND(#REF!,"AAAAAH7fuYs=")</f>
        <v>#REF!</v>
      </c>
      <c r="EK82" t="e">
        <f>AND(#REF!,"AAAAAH7fuYw=")</f>
        <v>#REF!</v>
      </c>
      <c r="EL82" t="e">
        <f>AND(#REF!,"AAAAAH7fuY0=")</f>
        <v>#REF!</v>
      </c>
      <c r="EM82" t="e">
        <f>AND(#REF!,"AAAAAH7fuY4=")</f>
        <v>#REF!</v>
      </c>
      <c r="EN82" t="e">
        <f>AND(#REF!,"AAAAAH7fuY8=")</f>
        <v>#REF!</v>
      </c>
      <c r="EO82" t="e">
        <f>AND(#REF!,"AAAAAH7fuZA=")</f>
        <v>#REF!</v>
      </c>
      <c r="EP82" t="e">
        <f>AND(#REF!,"AAAAAH7fuZE=")</f>
        <v>#REF!</v>
      </c>
      <c r="EQ82" t="e">
        <f>AND(#REF!,"AAAAAH7fuZI=")</f>
        <v>#REF!</v>
      </c>
      <c r="ER82" t="e">
        <f>AND(#REF!,"AAAAAH7fuZM=")</f>
        <v>#REF!</v>
      </c>
      <c r="ES82" t="e">
        <f>AND(#REF!,"AAAAAH7fuZQ=")</f>
        <v>#REF!</v>
      </c>
      <c r="ET82" t="e">
        <f>AND(#REF!,"AAAAAH7fuZU=")</f>
        <v>#REF!</v>
      </c>
      <c r="EU82" t="e">
        <f>AND(#REF!,"AAAAAH7fuZY=")</f>
        <v>#REF!</v>
      </c>
      <c r="EV82" t="e">
        <f>AND(#REF!,"AAAAAH7fuZc=")</f>
        <v>#REF!</v>
      </c>
      <c r="EW82" t="e">
        <f>AND(#REF!,"AAAAAH7fuZg=")</f>
        <v>#REF!</v>
      </c>
      <c r="EX82" t="e">
        <f>AND(#REF!,"AAAAAH7fuZk=")</f>
        <v>#REF!</v>
      </c>
      <c r="EY82" t="e">
        <f>AND(#REF!,"AAAAAH7fuZo=")</f>
        <v>#REF!</v>
      </c>
      <c r="EZ82" t="e">
        <f>AND(#REF!,"AAAAAH7fuZs=")</f>
        <v>#REF!</v>
      </c>
      <c r="FA82" t="e">
        <f>AND(#REF!,"AAAAAH7fuZw=")</f>
        <v>#REF!</v>
      </c>
      <c r="FB82" t="e">
        <f>AND(#REF!,"AAAAAH7fuZ0=")</f>
        <v>#REF!</v>
      </c>
      <c r="FC82" t="e">
        <f>AND(#REF!,"AAAAAH7fuZ4=")</f>
        <v>#REF!</v>
      </c>
      <c r="FD82" t="e">
        <f>AND(#REF!,"AAAAAH7fuZ8=")</f>
        <v>#REF!</v>
      </c>
      <c r="FE82" t="e">
        <f>AND(#REF!,"AAAAAH7fuaA=")</f>
        <v>#REF!</v>
      </c>
      <c r="FF82" t="e">
        <f>AND(#REF!,"AAAAAH7fuaE=")</f>
        <v>#REF!</v>
      </c>
      <c r="FG82" t="e">
        <f>AND(#REF!,"AAAAAH7fuaI=")</f>
        <v>#REF!</v>
      </c>
      <c r="FH82" t="e">
        <f>AND(#REF!,"AAAAAH7fuaM=")</f>
        <v>#REF!</v>
      </c>
      <c r="FI82" t="e">
        <f>AND(#REF!,"AAAAAH7fuaQ=")</f>
        <v>#REF!</v>
      </c>
      <c r="FJ82" t="e">
        <f>AND(#REF!,"AAAAAH7fuaU=")</f>
        <v>#REF!</v>
      </c>
      <c r="FK82" t="e">
        <f>AND(#REF!,"AAAAAH7fuaY=")</f>
        <v>#REF!</v>
      </c>
      <c r="FL82" t="e">
        <f>AND(#REF!,"AAAAAH7fuac=")</f>
        <v>#REF!</v>
      </c>
      <c r="FM82" t="e">
        <f>AND(#REF!,"AAAAAH7fuag=")</f>
        <v>#REF!</v>
      </c>
      <c r="FN82" t="e">
        <f>AND(#REF!,"AAAAAH7fuak=")</f>
        <v>#REF!</v>
      </c>
      <c r="FO82" t="e">
        <f>AND(#REF!,"AAAAAH7fuao=")</f>
        <v>#REF!</v>
      </c>
      <c r="FP82" t="e">
        <f>AND(#REF!,"AAAAAH7fuas=")</f>
        <v>#REF!</v>
      </c>
      <c r="FQ82" t="e">
        <f>AND(#REF!,"AAAAAH7fuaw=")</f>
        <v>#REF!</v>
      </c>
      <c r="FR82" t="e">
        <f>AND(#REF!,"AAAAAH7fua0=")</f>
        <v>#REF!</v>
      </c>
      <c r="FS82" t="e">
        <f>AND(#REF!,"AAAAAH7fua4=")</f>
        <v>#REF!</v>
      </c>
      <c r="FT82" t="e">
        <f>AND(#REF!,"AAAAAH7fua8=")</f>
        <v>#REF!</v>
      </c>
      <c r="FU82" t="e">
        <f>AND(#REF!,"AAAAAH7fubA=")</f>
        <v>#REF!</v>
      </c>
      <c r="FV82" t="e">
        <f>AND(#REF!,"AAAAAH7fubE=")</f>
        <v>#REF!</v>
      </c>
      <c r="FW82" t="e">
        <f>AND(#REF!,"AAAAAH7fubI=")</f>
        <v>#REF!</v>
      </c>
      <c r="FX82" t="e">
        <f>AND(#REF!,"AAAAAH7fubM=")</f>
        <v>#REF!</v>
      </c>
      <c r="FY82" t="e">
        <f>AND(#REF!,"AAAAAH7fubQ=")</f>
        <v>#REF!</v>
      </c>
      <c r="FZ82" t="e">
        <f>AND(#REF!,"AAAAAH7fubU=")</f>
        <v>#REF!</v>
      </c>
      <c r="GA82" t="e">
        <f>AND(#REF!,"AAAAAH7fubY=")</f>
        <v>#REF!</v>
      </c>
      <c r="GB82" t="e">
        <f>AND(#REF!,"AAAAAH7fubc=")</f>
        <v>#REF!</v>
      </c>
      <c r="GC82" t="e">
        <f>AND(#REF!,"AAAAAH7fubg=")</f>
        <v>#REF!</v>
      </c>
      <c r="GD82" t="e">
        <f>AND(#REF!,"AAAAAH7fubk=")</f>
        <v>#REF!</v>
      </c>
      <c r="GE82" t="e">
        <f>AND(#REF!,"AAAAAH7fubo=")</f>
        <v>#REF!</v>
      </c>
      <c r="GF82" t="e">
        <f>AND(#REF!,"AAAAAH7fubs=")</f>
        <v>#REF!</v>
      </c>
      <c r="GG82" t="e">
        <f>AND(#REF!,"AAAAAH7fubw=")</f>
        <v>#REF!</v>
      </c>
      <c r="GH82" t="e">
        <f>AND(#REF!,"AAAAAH7fub0=")</f>
        <v>#REF!</v>
      </c>
      <c r="GI82" t="e">
        <f>AND(#REF!,"AAAAAH7fub4=")</f>
        <v>#REF!</v>
      </c>
      <c r="GJ82" t="e">
        <f>AND(#REF!,"AAAAAH7fub8=")</f>
        <v>#REF!</v>
      </c>
      <c r="GK82" t="e">
        <f>AND(#REF!,"AAAAAH7fucA=")</f>
        <v>#REF!</v>
      </c>
      <c r="GL82" t="e">
        <f>AND(#REF!,"AAAAAH7fucE=")</f>
        <v>#REF!</v>
      </c>
      <c r="GM82" t="e">
        <f>AND(#REF!,"AAAAAH7fucI=")</f>
        <v>#REF!</v>
      </c>
      <c r="GN82" t="e">
        <f>IF(#REF!,"AAAAAH7fucM=",0)</f>
        <v>#REF!</v>
      </c>
      <c r="GO82" t="e">
        <f>AND(#REF!,"AAAAAH7fucQ=")</f>
        <v>#REF!</v>
      </c>
      <c r="GP82" t="e">
        <f>AND(#REF!,"AAAAAH7fucU=")</f>
        <v>#REF!</v>
      </c>
      <c r="GQ82" t="e">
        <f>AND(#REF!,"AAAAAH7fucY=")</f>
        <v>#REF!</v>
      </c>
      <c r="GR82" t="e">
        <f>AND(#REF!,"AAAAAH7fucc=")</f>
        <v>#REF!</v>
      </c>
      <c r="GS82" t="e">
        <f>AND(#REF!,"AAAAAH7fucg=")</f>
        <v>#REF!</v>
      </c>
      <c r="GT82" t="e">
        <f>AND(#REF!,"AAAAAH7fuck=")</f>
        <v>#REF!</v>
      </c>
      <c r="GU82" t="e">
        <f>AND(#REF!,"AAAAAH7fuco=")</f>
        <v>#REF!</v>
      </c>
      <c r="GV82" t="e">
        <f>AND(#REF!,"AAAAAH7fucs=")</f>
        <v>#REF!</v>
      </c>
      <c r="GW82" t="e">
        <f>AND(#REF!,"AAAAAH7fucw=")</f>
        <v>#REF!</v>
      </c>
      <c r="GX82" t="e">
        <f>AND(#REF!,"AAAAAH7fuc0=")</f>
        <v>#REF!</v>
      </c>
      <c r="GY82" t="e">
        <f>AND(#REF!,"AAAAAH7fuc4=")</f>
        <v>#REF!</v>
      </c>
      <c r="GZ82" t="e">
        <f>AND(#REF!,"AAAAAH7fuc8=")</f>
        <v>#REF!</v>
      </c>
      <c r="HA82" t="e">
        <f>AND(#REF!,"AAAAAH7fudA=")</f>
        <v>#REF!</v>
      </c>
      <c r="HB82" t="e">
        <f>AND(#REF!,"AAAAAH7fudE=")</f>
        <v>#REF!</v>
      </c>
      <c r="HC82" t="e">
        <f>AND(#REF!,"AAAAAH7fudI=")</f>
        <v>#REF!</v>
      </c>
      <c r="HD82" t="e">
        <f>AND(#REF!,"AAAAAH7fudM=")</f>
        <v>#REF!</v>
      </c>
      <c r="HE82" t="e">
        <f>AND(#REF!,"AAAAAH7fudQ=")</f>
        <v>#REF!</v>
      </c>
      <c r="HF82" t="e">
        <f>AND(#REF!,"AAAAAH7fudU=")</f>
        <v>#REF!</v>
      </c>
      <c r="HG82" t="e">
        <f>AND(#REF!,"AAAAAH7fudY=")</f>
        <v>#REF!</v>
      </c>
      <c r="HH82" t="e">
        <f>AND(#REF!,"AAAAAH7fudc=")</f>
        <v>#REF!</v>
      </c>
      <c r="HI82" t="e">
        <f>AND(#REF!,"AAAAAH7fudg=")</f>
        <v>#REF!</v>
      </c>
      <c r="HJ82" t="e">
        <f>AND(#REF!,"AAAAAH7fudk=")</f>
        <v>#REF!</v>
      </c>
      <c r="HK82" t="e">
        <f>AND(#REF!,"AAAAAH7fudo=")</f>
        <v>#REF!</v>
      </c>
      <c r="HL82" t="e">
        <f>AND(#REF!,"AAAAAH7fuds=")</f>
        <v>#REF!</v>
      </c>
      <c r="HM82" t="e">
        <f>AND(#REF!,"AAAAAH7fudw=")</f>
        <v>#REF!</v>
      </c>
      <c r="HN82" t="e">
        <f>AND(#REF!,"AAAAAH7fud0=")</f>
        <v>#REF!</v>
      </c>
      <c r="HO82" t="e">
        <f>AND(#REF!,"AAAAAH7fud4=")</f>
        <v>#REF!</v>
      </c>
      <c r="HP82" t="e">
        <f>AND(#REF!,"AAAAAH7fud8=")</f>
        <v>#REF!</v>
      </c>
      <c r="HQ82" t="e">
        <f>AND(#REF!,"AAAAAH7fueA=")</f>
        <v>#REF!</v>
      </c>
      <c r="HR82" t="e">
        <f>AND(#REF!,"AAAAAH7fueE=")</f>
        <v>#REF!</v>
      </c>
      <c r="HS82" t="e">
        <f>AND(#REF!,"AAAAAH7fueI=")</f>
        <v>#REF!</v>
      </c>
      <c r="HT82" t="e">
        <f>AND(#REF!,"AAAAAH7fueM=")</f>
        <v>#REF!</v>
      </c>
      <c r="HU82" t="e">
        <f>AND(#REF!,"AAAAAH7fueQ=")</f>
        <v>#REF!</v>
      </c>
      <c r="HV82" t="e">
        <f>AND(#REF!,"AAAAAH7fueU=")</f>
        <v>#REF!</v>
      </c>
      <c r="HW82" t="e">
        <f>AND(#REF!,"AAAAAH7fueY=")</f>
        <v>#REF!</v>
      </c>
      <c r="HX82" t="e">
        <f>AND(#REF!,"AAAAAH7fuec=")</f>
        <v>#REF!</v>
      </c>
      <c r="HY82" t="e">
        <f>AND(#REF!,"AAAAAH7fueg=")</f>
        <v>#REF!</v>
      </c>
      <c r="HZ82" t="e">
        <f>AND(#REF!,"AAAAAH7fuek=")</f>
        <v>#REF!</v>
      </c>
      <c r="IA82" t="e">
        <f>AND(#REF!,"AAAAAH7fueo=")</f>
        <v>#REF!</v>
      </c>
      <c r="IB82" t="e">
        <f>AND(#REF!,"AAAAAH7fues=")</f>
        <v>#REF!</v>
      </c>
      <c r="IC82" t="e">
        <f>AND(#REF!,"AAAAAH7fuew=")</f>
        <v>#REF!</v>
      </c>
      <c r="ID82" t="e">
        <f>AND(#REF!,"AAAAAH7fue0=")</f>
        <v>#REF!</v>
      </c>
      <c r="IE82" t="e">
        <f>AND(#REF!,"AAAAAH7fue4=")</f>
        <v>#REF!</v>
      </c>
      <c r="IF82" t="e">
        <f>AND(#REF!,"AAAAAH7fue8=")</f>
        <v>#REF!</v>
      </c>
      <c r="IG82" t="e">
        <f>AND(#REF!,"AAAAAH7fufA=")</f>
        <v>#REF!</v>
      </c>
      <c r="IH82" t="e">
        <f>AND(#REF!,"AAAAAH7fufE=")</f>
        <v>#REF!</v>
      </c>
      <c r="II82" t="e">
        <f>AND(#REF!,"AAAAAH7fufI=")</f>
        <v>#REF!</v>
      </c>
      <c r="IJ82" t="e">
        <f>AND(#REF!,"AAAAAH7fufM=")</f>
        <v>#REF!</v>
      </c>
      <c r="IK82" t="e">
        <f>AND(#REF!,"AAAAAH7fufQ=")</f>
        <v>#REF!</v>
      </c>
      <c r="IL82" t="e">
        <f>AND(#REF!,"AAAAAH7fufU=")</f>
        <v>#REF!</v>
      </c>
      <c r="IM82" t="e">
        <f>AND(#REF!,"AAAAAH7fufY=")</f>
        <v>#REF!</v>
      </c>
      <c r="IN82" t="e">
        <f>AND(#REF!,"AAAAAH7fufc=")</f>
        <v>#REF!</v>
      </c>
      <c r="IO82" t="e">
        <f>AND(#REF!,"AAAAAH7fufg=")</f>
        <v>#REF!</v>
      </c>
      <c r="IP82" t="e">
        <f>AND(#REF!,"AAAAAH7fufk=")</f>
        <v>#REF!</v>
      </c>
      <c r="IQ82" t="e">
        <f>AND(#REF!,"AAAAAH7fufo=")</f>
        <v>#REF!</v>
      </c>
      <c r="IR82" t="e">
        <f>AND(#REF!,"AAAAAH7fufs=")</f>
        <v>#REF!</v>
      </c>
      <c r="IS82" t="e">
        <f>AND(#REF!,"AAAAAH7fufw=")</f>
        <v>#REF!</v>
      </c>
      <c r="IT82" t="e">
        <f>AND(#REF!,"AAAAAH7fuf0=")</f>
        <v>#REF!</v>
      </c>
      <c r="IU82" t="e">
        <f>AND(#REF!,"AAAAAH7fuf4=")</f>
        <v>#REF!</v>
      </c>
      <c r="IV82" t="e">
        <f>AND(#REF!,"AAAAAH7fuf8=")</f>
        <v>#REF!</v>
      </c>
    </row>
    <row r="83" spans="1:256" x14ac:dyDescent="0.25">
      <c r="A83" t="e">
        <f>AND(#REF!,"AAAAAH/7XwA=")</f>
        <v>#REF!</v>
      </c>
      <c r="B83" t="e">
        <f>AND(#REF!,"AAAAAH/7XwE=")</f>
        <v>#REF!</v>
      </c>
      <c r="C83" t="e">
        <f>AND(#REF!,"AAAAAH/7XwI=")</f>
        <v>#REF!</v>
      </c>
      <c r="D83" t="e">
        <f>AND(#REF!,"AAAAAH/7XwM=")</f>
        <v>#REF!</v>
      </c>
      <c r="E83" t="e">
        <f>AND(#REF!,"AAAAAH/7XwQ=")</f>
        <v>#REF!</v>
      </c>
      <c r="F83" t="e">
        <f>AND(#REF!,"AAAAAH/7XwU=")</f>
        <v>#REF!</v>
      </c>
      <c r="G83" t="e">
        <f>AND(#REF!,"AAAAAH/7XwY=")</f>
        <v>#REF!</v>
      </c>
      <c r="H83" t="e">
        <f>AND(#REF!,"AAAAAH/7Xwc=")</f>
        <v>#REF!</v>
      </c>
      <c r="I83" t="e">
        <f>AND(#REF!,"AAAAAH/7Xwg=")</f>
        <v>#REF!</v>
      </c>
      <c r="J83" t="e">
        <f>AND(#REF!,"AAAAAH/7Xwk=")</f>
        <v>#REF!</v>
      </c>
      <c r="K83" t="e">
        <f>AND(#REF!,"AAAAAH/7Xwo=")</f>
        <v>#REF!</v>
      </c>
      <c r="L83" t="e">
        <f>AND(#REF!,"AAAAAH/7Xws=")</f>
        <v>#REF!</v>
      </c>
      <c r="M83" t="e">
        <f>AND(#REF!,"AAAAAH/7Xww=")</f>
        <v>#REF!</v>
      </c>
      <c r="N83" t="e">
        <f>AND(#REF!,"AAAAAH/7Xw0=")</f>
        <v>#REF!</v>
      </c>
      <c r="O83" t="e">
        <f>AND(#REF!,"AAAAAH/7Xw4=")</f>
        <v>#REF!</v>
      </c>
      <c r="P83" t="e">
        <f>AND(#REF!,"AAAAAH/7Xw8=")</f>
        <v>#REF!</v>
      </c>
      <c r="Q83" t="e">
        <f>AND(#REF!,"AAAAAH/7XxA=")</f>
        <v>#REF!</v>
      </c>
      <c r="R83" t="e">
        <f>AND(#REF!,"AAAAAH/7XxE=")</f>
        <v>#REF!</v>
      </c>
      <c r="S83" t="e">
        <f>AND(#REF!,"AAAAAH/7XxI=")</f>
        <v>#REF!</v>
      </c>
      <c r="T83" t="e">
        <f>AND(#REF!,"AAAAAH/7XxM=")</f>
        <v>#REF!</v>
      </c>
      <c r="U83" t="e">
        <f>AND(#REF!,"AAAAAH/7XxQ=")</f>
        <v>#REF!</v>
      </c>
      <c r="V83" t="e">
        <f>AND(#REF!,"AAAAAH/7XxU=")</f>
        <v>#REF!</v>
      </c>
      <c r="W83" t="e">
        <f>AND(#REF!,"AAAAAH/7XxY=")</f>
        <v>#REF!</v>
      </c>
      <c r="X83" t="e">
        <f>AND(#REF!,"AAAAAH/7Xxc=")</f>
        <v>#REF!</v>
      </c>
      <c r="Y83" t="e">
        <f>AND(#REF!,"AAAAAH/7Xxg=")</f>
        <v>#REF!</v>
      </c>
      <c r="Z83" t="e">
        <f>AND(#REF!,"AAAAAH/7Xxk=")</f>
        <v>#REF!</v>
      </c>
      <c r="AA83" t="e">
        <f>AND(#REF!,"AAAAAH/7Xxo=")</f>
        <v>#REF!</v>
      </c>
      <c r="AB83" t="e">
        <f>AND(#REF!,"AAAAAH/7Xxs=")</f>
        <v>#REF!</v>
      </c>
      <c r="AC83" t="e">
        <f>AND(#REF!,"AAAAAH/7Xxw=")</f>
        <v>#REF!</v>
      </c>
      <c r="AD83" t="e">
        <f>AND(#REF!,"AAAAAH/7Xx0=")</f>
        <v>#REF!</v>
      </c>
      <c r="AE83" t="e">
        <f>AND(#REF!,"AAAAAH/7Xx4=")</f>
        <v>#REF!</v>
      </c>
      <c r="AF83" t="e">
        <f>AND(#REF!,"AAAAAH/7Xx8=")</f>
        <v>#REF!</v>
      </c>
      <c r="AG83" t="e">
        <f>AND(#REF!,"AAAAAH/7XyA=")</f>
        <v>#REF!</v>
      </c>
      <c r="AH83" t="e">
        <f>AND(#REF!,"AAAAAH/7XyE=")</f>
        <v>#REF!</v>
      </c>
      <c r="AI83" t="e">
        <f>AND(#REF!,"AAAAAH/7XyI=")</f>
        <v>#REF!</v>
      </c>
      <c r="AJ83" t="e">
        <f>AND(#REF!,"AAAAAH/7XyM=")</f>
        <v>#REF!</v>
      </c>
      <c r="AK83" t="e">
        <f>AND(#REF!,"AAAAAH/7XyQ=")</f>
        <v>#REF!</v>
      </c>
      <c r="AL83" t="e">
        <f>AND(#REF!,"AAAAAH/7XyU=")</f>
        <v>#REF!</v>
      </c>
      <c r="AM83" t="e">
        <f>AND(#REF!,"AAAAAH/7XyY=")</f>
        <v>#REF!</v>
      </c>
      <c r="AN83" t="e">
        <f>AND(#REF!,"AAAAAH/7Xyc=")</f>
        <v>#REF!</v>
      </c>
      <c r="AO83" t="e">
        <f>AND(#REF!,"AAAAAH/7Xyg=")</f>
        <v>#REF!</v>
      </c>
      <c r="AP83" t="e">
        <f>AND(#REF!,"AAAAAH/7Xyk=")</f>
        <v>#REF!</v>
      </c>
      <c r="AQ83" t="e">
        <f>AND(#REF!,"AAAAAH/7Xyo=")</f>
        <v>#REF!</v>
      </c>
      <c r="AR83" t="e">
        <f>AND(#REF!,"AAAAAH/7Xys=")</f>
        <v>#REF!</v>
      </c>
      <c r="AS83" t="e">
        <f>AND(#REF!,"AAAAAH/7Xyw=")</f>
        <v>#REF!</v>
      </c>
      <c r="AT83" t="e">
        <f>AND(#REF!,"AAAAAH/7Xy0=")</f>
        <v>#REF!</v>
      </c>
      <c r="AU83" t="e">
        <f>AND(#REF!,"AAAAAH/7Xy4=")</f>
        <v>#REF!</v>
      </c>
      <c r="AV83" t="e">
        <f>AND(#REF!,"AAAAAH/7Xy8=")</f>
        <v>#REF!</v>
      </c>
      <c r="AW83" t="e">
        <f>AND(#REF!,"AAAAAH/7XzA=")</f>
        <v>#REF!</v>
      </c>
      <c r="AX83" t="e">
        <f>AND(#REF!,"AAAAAH/7XzE=")</f>
        <v>#REF!</v>
      </c>
      <c r="AY83" t="e">
        <f>AND(#REF!,"AAAAAH/7XzI=")</f>
        <v>#REF!</v>
      </c>
      <c r="AZ83" t="e">
        <f>AND(#REF!,"AAAAAH/7XzM=")</f>
        <v>#REF!</v>
      </c>
      <c r="BA83" t="e">
        <f>AND(#REF!,"AAAAAH/7XzQ=")</f>
        <v>#REF!</v>
      </c>
      <c r="BB83" t="e">
        <f>AND(#REF!,"AAAAAH/7XzU=")</f>
        <v>#REF!</v>
      </c>
      <c r="BC83" t="e">
        <f>AND(#REF!,"AAAAAH/7XzY=")</f>
        <v>#REF!</v>
      </c>
      <c r="BD83" t="e">
        <f>AND(#REF!,"AAAAAH/7Xzc=")</f>
        <v>#REF!</v>
      </c>
      <c r="BE83" t="e">
        <f>AND(#REF!,"AAAAAH/7Xzg=")</f>
        <v>#REF!</v>
      </c>
      <c r="BF83" t="e">
        <f>AND(#REF!,"AAAAAH/7Xzk=")</f>
        <v>#REF!</v>
      </c>
      <c r="BG83" t="e">
        <f>AND(#REF!,"AAAAAH/7Xzo=")</f>
        <v>#REF!</v>
      </c>
      <c r="BH83" t="e">
        <f>AND(#REF!,"AAAAAH/7Xzs=")</f>
        <v>#REF!</v>
      </c>
      <c r="BI83" t="e">
        <f>AND(#REF!,"AAAAAH/7Xzw=")</f>
        <v>#REF!</v>
      </c>
      <c r="BJ83" t="e">
        <f>AND(#REF!,"AAAAAH/7Xz0=")</f>
        <v>#REF!</v>
      </c>
      <c r="BK83" t="e">
        <f>AND(#REF!,"AAAAAH/7Xz4=")</f>
        <v>#REF!</v>
      </c>
      <c r="BL83" t="e">
        <f>AND(#REF!,"AAAAAH/7Xz8=")</f>
        <v>#REF!</v>
      </c>
      <c r="BM83" t="e">
        <f>AND(#REF!,"AAAAAH/7X0A=")</f>
        <v>#REF!</v>
      </c>
      <c r="BN83" t="e">
        <f>AND(#REF!,"AAAAAH/7X0E=")</f>
        <v>#REF!</v>
      </c>
      <c r="BO83" t="e">
        <f>AND(#REF!,"AAAAAH/7X0I=")</f>
        <v>#REF!</v>
      </c>
      <c r="BP83" t="e">
        <f>AND(#REF!,"AAAAAH/7X0M=")</f>
        <v>#REF!</v>
      </c>
      <c r="BQ83" t="e">
        <f>AND(#REF!,"AAAAAH/7X0Q=")</f>
        <v>#REF!</v>
      </c>
      <c r="BR83" t="e">
        <f>AND(#REF!,"AAAAAH/7X0U=")</f>
        <v>#REF!</v>
      </c>
      <c r="BS83" t="e">
        <f>AND(#REF!,"AAAAAH/7X0Y=")</f>
        <v>#REF!</v>
      </c>
      <c r="BT83" t="e">
        <f>AND(#REF!,"AAAAAH/7X0c=")</f>
        <v>#REF!</v>
      </c>
      <c r="BU83" t="e">
        <f>AND(#REF!,"AAAAAH/7X0g=")</f>
        <v>#REF!</v>
      </c>
      <c r="BV83" t="e">
        <f>AND(#REF!,"AAAAAH/7X0k=")</f>
        <v>#REF!</v>
      </c>
      <c r="BW83" t="e">
        <f>AND(#REF!,"AAAAAH/7X0o=")</f>
        <v>#REF!</v>
      </c>
      <c r="BX83" t="e">
        <f>AND(#REF!,"AAAAAH/7X0s=")</f>
        <v>#REF!</v>
      </c>
      <c r="BY83" t="e">
        <f>AND(#REF!,"AAAAAH/7X0w=")</f>
        <v>#REF!</v>
      </c>
      <c r="BZ83" t="e">
        <f>AND(#REF!,"AAAAAH/7X00=")</f>
        <v>#REF!</v>
      </c>
      <c r="CA83" t="e">
        <f>AND(#REF!,"AAAAAH/7X04=")</f>
        <v>#REF!</v>
      </c>
      <c r="CB83" t="e">
        <f>AND(#REF!,"AAAAAH/7X08=")</f>
        <v>#REF!</v>
      </c>
      <c r="CC83" t="e">
        <f>AND(#REF!,"AAAAAH/7X1A=")</f>
        <v>#REF!</v>
      </c>
      <c r="CD83" t="e">
        <f>AND(#REF!,"AAAAAH/7X1E=")</f>
        <v>#REF!</v>
      </c>
      <c r="CE83" t="e">
        <f>AND(#REF!,"AAAAAH/7X1I=")</f>
        <v>#REF!</v>
      </c>
      <c r="CF83" t="e">
        <f>AND(#REF!,"AAAAAH/7X1M=")</f>
        <v>#REF!</v>
      </c>
      <c r="CG83" t="e">
        <f>AND(#REF!,"AAAAAH/7X1Q=")</f>
        <v>#REF!</v>
      </c>
      <c r="CH83" t="e">
        <f>AND(#REF!,"AAAAAH/7X1U=")</f>
        <v>#REF!</v>
      </c>
      <c r="CI83" t="e">
        <f>AND(#REF!,"AAAAAH/7X1Y=")</f>
        <v>#REF!</v>
      </c>
      <c r="CJ83" t="e">
        <f>AND(#REF!,"AAAAAH/7X1c=")</f>
        <v>#REF!</v>
      </c>
      <c r="CK83" t="e">
        <f>AND(#REF!,"AAAAAH/7X1g=")</f>
        <v>#REF!</v>
      </c>
      <c r="CL83" t="e">
        <f>AND(#REF!,"AAAAAH/7X1k=")</f>
        <v>#REF!</v>
      </c>
      <c r="CM83" t="e">
        <f>AND(#REF!,"AAAAAH/7X1o=")</f>
        <v>#REF!</v>
      </c>
      <c r="CN83" t="e">
        <f>AND(#REF!,"AAAAAH/7X1s=")</f>
        <v>#REF!</v>
      </c>
      <c r="CO83" t="e">
        <f>AND(#REF!,"AAAAAH/7X1w=")</f>
        <v>#REF!</v>
      </c>
      <c r="CP83" t="e">
        <f>AND(#REF!,"AAAAAH/7X10=")</f>
        <v>#REF!</v>
      </c>
      <c r="CQ83" t="e">
        <f>AND(#REF!,"AAAAAH/7X14=")</f>
        <v>#REF!</v>
      </c>
      <c r="CR83" t="e">
        <f>AND(#REF!,"AAAAAH/7X18=")</f>
        <v>#REF!</v>
      </c>
      <c r="CS83" t="e">
        <f>AND(#REF!,"AAAAAH/7X2A=")</f>
        <v>#REF!</v>
      </c>
      <c r="CT83" t="e">
        <f>AND(#REF!,"AAAAAH/7X2E=")</f>
        <v>#REF!</v>
      </c>
      <c r="CU83" t="e">
        <f>AND(#REF!,"AAAAAH/7X2I=")</f>
        <v>#REF!</v>
      </c>
      <c r="CV83" t="e">
        <f>AND(#REF!,"AAAAAH/7X2M=")</f>
        <v>#REF!</v>
      </c>
      <c r="CW83" t="e">
        <f>AND(#REF!,"AAAAAH/7X2Q=")</f>
        <v>#REF!</v>
      </c>
      <c r="CX83" t="e">
        <f>AND(#REF!,"AAAAAH/7X2U=")</f>
        <v>#REF!</v>
      </c>
      <c r="CY83" t="e">
        <f>AND(#REF!,"AAAAAH/7X2Y=")</f>
        <v>#REF!</v>
      </c>
      <c r="CZ83" t="e">
        <f>AND(#REF!,"AAAAAH/7X2c=")</f>
        <v>#REF!</v>
      </c>
      <c r="DA83" t="e">
        <f>AND(#REF!,"AAAAAH/7X2g=")</f>
        <v>#REF!</v>
      </c>
      <c r="DB83" t="e">
        <f>AND(#REF!,"AAAAAH/7X2k=")</f>
        <v>#REF!</v>
      </c>
      <c r="DC83" t="e">
        <f>AND(#REF!,"AAAAAH/7X2o=")</f>
        <v>#REF!</v>
      </c>
      <c r="DD83" t="e">
        <f>AND(#REF!,"AAAAAH/7X2s=")</f>
        <v>#REF!</v>
      </c>
      <c r="DE83" t="e">
        <f>AND(#REF!,"AAAAAH/7X2w=")</f>
        <v>#REF!</v>
      </c>
      <c r="DF83" t="e">
        <f>AND(#REF!,"AAAAAH/7X20=")</f>
        <v>#REF!</v>
      </c>
      <c r="DG83" t="e">
        <f>AND(#REF!,"AAAAAH/7X24=")</f>
        <v>#REF!</v>
      </c>
      <c r="DH83" t="e">
        <f>AND(#REF!,"AAAAAH/7X28=")</f>
        <v>#REF!</v>
      </c>
      <c r="DI83" t="e">
        <f>AND(#REF!,"AAAAAH/7X3A=")</f>
        <v>#REF!</v>
      </c>
      <c r="DJ83" t="e">
        <f>AND(#REF!,"AAAAAH/7X3E=")</f>
        <v>#REF!</v>
      </c>
      <c r="DK83" t="e">
        <f>AND(#REF!,"AAAAAH/7X3I=")</f>
        <v>#REF!</v>
      </c>
      <c r="DL83" t="e">
        <f>AND(#REF!,"AAAAAH/7X3M=")</f>
        <v>#REF!</v>
      </c>
      <c r="DM83" t="e">
        <f>AND(#REF!,"AAAAAH/7X3Q=")</f>
        <v>#REF!</v>
      </c>
      <c r="DN83" t="e">
        <f>AND(#REF!,"AAAAAH/7X3U=")</f>
        <v>#REF!</v>
      </c>
      <c r="DO83" t="e">
        <f>AND(#REF!,"AAAAAH/7X3Y=")</f>
        <v>#REF!</v>
      </c>
      <c r="DP83" t="e">
        <f>AND(#REF!,"AAAAAH/7X3c=")</f>
        <v>#REF!</v>
      </c>
      <c r="DQ83" t="e">
        <f>AND(#REF!,"AAAAAH/7X3g=")</f>
        <v>#REF!</v>
      </c>
      <c r="DR83" t="e">
        <f>AND(#REF!,"AAAAAH/7X3k=")</f>
        <v>#REF!</v>
      </c>
      <c r="DS83" t="e">
        <f>AND(#REF!,"AAAAAH/7X3o=")</f>
        <v>#REF!</v>
      </c>
      <c r="DT83" t="e">
        <f>AND(#REF!,"AAAAAH/7X3s=")</f>
        <v>#REF!</v>
      </c>
      <c r="DU83" t="e">
        <f>AND(#REF!,"AAAAAH/7X3w=")</f>
        <v>#REF!</v>
      </c>
      <c r="DV83" t="e">
        <f>AND(#REF!,"AAAAAH/7X30=")</f>
        <v>#REF!</v>
      </c>
      <c r="DW83" t="e">
        <f>AND(#REF!,"AAAAAH/7X34=")</f>
        <v>#REF!</v>
      </c>
      <c r="DX83" t="e">
        <f>AND(#REF!,"AAAAAH/7X38=")</f>
        <v>#REF!</v>
      </c>
      <c r="DY83" t="e">
        <f>IF(#REF!,"AAAAAH/7X4A=",0)</f>
        <v>#REF!</v>
      </c>
      <c r="DZ83" t="e">
        <f>AND(#REF!,"AAAAAH/7X4E=")</f>
        <v>#REF!</v>
      </c>
      <c r="EA83" t="e">
        <f>AND(#REF!,"AAAAAH/7X4I=")</f>
        <v>#REF!</v>
      </c>
      <c r="EB83" t="e">
        <f>AND(#REF!,"AAAAAH/7X4M=")</f>
        <v>#REF!</v>
      </c>
      <c r="EC83" t="e">
        <f>AND(#REF!,"AAAAAH/7X4Q=")</f>
        <v>#REF!</v>
      </c>
      <c r="ED83" t="e">
        <f>AND(#REF!,"AAAAAH/7X4U=")</f>
        <v>#REF!</v>
      </c>
      <c r="EE83" t="e">
        <f>AND(#REF!,"AAAAAH/7X4Y=")</f>
        <v>#REF!</v>
      </c>
      <c r="EF83" t="e">
        <f>AND(#REF!,"AAAAAH/7X4c=")</f>
        <v>#REF!</v>
      </c>
      <c r="EG83" t="e">
        <f>AND(#REF!,"AAAAAH/7X4g=")</f>
        <v>#REF!</v>
      </c>
      <c r="EH83" t="e">
        <f>AND(#REF!,"AAAAAH/7X4k=")</f>
        <v>#REF!</v>
      </c>
      <c r="EI83" t="e">
        <f>AND(#REF!,"AAAAAH/7X4o=")</f>
        <v>#REF!</v>
      </c>
      <c r="EJ83" t="e">
        <f>AND(#REF!,"AAAAAH/7X4s=")</f>
        <v>#REF!</v>
      </c>
      <c r="EK83" t="e">
        <f>AND(#REF!,"AAAAAH/7X4w=")</f>
        <v>#REF!</v>
      </c>
      <c r="EL83" t="e">
        <f>AND(#REF!,"AAAAAH/7X40=")</f>
        <v>#REF!</v>
      </c>
      <c r="EM83" t="e">
        <f>AND(#REF!,"AAAAAH/7X44=")</f>
        <v>#REF!</v>
      </c>
      <c r="EN83" t="e">
        <f>AND(#REF!,"AAAAAH/7X48=")</f>
        <v>#REF!</v>
      </c>
      <c r="EO83" t="e">
        <f>AND(#REF!,"AAAAAH/7X5A=")</f>
        <v>#REF!</v>
      </c>
      <c r="EP83" t="e">
        <f>AND(#REF!,"AAAAAH/7X5E=")</f>
        <v>#REF!</v>
      </c>
      <c r="EQ83" t="e">
        <f>AND(#REF!,"AAAAAH/7X5I=")</f>
        <v>#REF!</v>
      </c>
      <c r="ER83" t="e">
        <f>AND(#REF!,"AAAAAH/7X5M=")</f>
        <v>#REF!</v>
      </c>
      <c r="ES83" t="e">
        <f>AND(#REF!,"AAAAAH/7X5Q=")</f>
        <v>#REF!</v>
      </c>
      <c r="ET83" t="e">
        <f>AND(#REF!,"AAAAAH/7X5U=")</f>
        <v>#REF!</v>
      </c>
      <c r="EU83" t="e">
        <f>AND(#REF!,"AAAAAH/7X5Y=")</f>
        <v>#REF!</v>
      </c>
      <c r="EV83" t="e">
        <f>AND(#REF!,"AAAAAH/7X5c=")</f>
        <v>#REF!</v>
      </c>
      <c r="EW83" t="e">
        <f>AND(#REF!,"AAAAAH/7X5g=")</f>
        <v>#REF!</v>
      </c>
      <c r="EX83" t="e">
        <f>AND(#REF!,"AAAAAH/7X5k=")</f>
        <v>#REF!</v>
      </c>
      <c r="EY83" t="e">
        <f>AND(#REF!,"AAAAAH/7X5o=")</f>
        <v>#REF!</v>
      </c>
      <c r="EZ83" t="e">
        <f>AND(#REF!,"AAAAAH/7X5s=")</f>
        <v>#REF!</v>
      </c>
      <c r="FA83" t="e">
        <f>AND(#REF!,"AAAAAH/7X5w=")</f>
        <v>#REF!</v>
      </c>
      <c r="FB83" t="e">
        <f>AND(#REF!,"AAAAAH/7X50=")</f>
        <v>#REF!</v>
      </c>
      <c r="FC83" t="e">
        <f>AND(#REF!,"AAAAAH/7X54=")</f>
        <v>#REF!</v>
      </c>
      <c r="FD83" t="e">
        <f>AND(#REF!,"AAAAAH/7X58=")</f>
        <v>#REF!</v>
      </c>
      <c r="FE83" t="e">
        <f>AND(#REF!,"AAAAAH/7X6A=")</f>
        <v>#REF!</v>
      </c>
      <c r="FF83" t="e">
        <f>AND(#REF!,"AAAAAH/7X6E=")</f>
        <v>#REF!</v>
      </c>
      <c r="FG83" t="e">
        <f>AND(#REF!,"AAAAAH/7X6I=")</f>
        <v>#REF!</v>
      </c>
      <c r="FH83" t="e">
        <f>AND(#REF!,"AAAAAH/7X6M=")</f>
        <v>#REF!</v>
      </c>
      <c r="FI83" t="e">
        <f>AND(#REF!,"AAAAAH/7X6Q=")</f>
        <v>#REF!</v>
      </c>
      <c r="FJ83" t="e">
        <f>AND(#REF!,"AAAAAH/7X6U=")</f>
        <v>#REF!</v>
      </c>
      <c r="FK83" t="e">
        <f>AND(#REF!,"AAAAAH/7X6Y=")</f>
        <v>#REF!</v>
      </c>
      <c r="FL83" t="e">
        <f>AND(#REF!,"AAAAAH/7X6c=")</f>
        <v>#REF!</v>
      </c>
      <c r="FM83" t="e">
        <f>AND(#REF!,"AAAAAH/7X6g=")</f>
        <v>#REF!</v>
      </c>
      <c r="FN83" t="e">
        <f>AND(#REF!,"AAAAAH/7X6k=")</f>
        <v>#REF!</v>
      </c>
      <c r="FO83" t="e">
        <f>AND(#REF!,"AAAAAH/7X6o=")</f>
        <v>#REF!</v>
      </c>
      <c r="FP83" t="e">
        <f>AND(#REF!,"AAAAAH/7X6s=")</f>
        <v>#REF!</v>
      </c>
      <c r="FQ83" t="e">
        <f>AND(#REF!,"AAAAAH/7X6w=")</f>
        <v>#REF!</v>
      </c>
      <c r="FR83" t="e">
        <f>AND(#REF!,"AAAAAH/7X60=")</f>
        <v>#REF!</v>
      </c>
      <c r="FS83" t="e">
        <f>AND(#REF!,"AAAAAH/7X64=")</f>
        <v>#REF!</v>
      </c>
      <c r="FT83" t="e">
        <f>AND(#REF!,"AAAAAH/7X68=")</f>
        <v>#REF!</v>
      </c>
      <c r="FU83" t="e">
        <f>AND(#REF!,"AAAAAH/7X7A=")</f>
        <v>#REF!</v>
      </c>
      <c r="FV83" t="e">
        <f>AND(#REF!,"AAAAAH/7X7E=")</f>
        <v>#REF!</v>
      </c>
      <c r="FW83" t="e">
        <f>AND(#REF!,"AAAAAH/7X7I=")</f>
        <v>#REF!</v>
      </c>
      <c r="FX83" t="e">
        <f>AND(#REF!,"AAAAAH/7X7M=")</f>
        <v>#REF!</v>
      </c>
      <c r="FY83" t="e">
        <f>AND(#REF!,"AAAAAH/7X7Q=")</f>
        <v>#REF!</v>
      </c>
      <c r="FZ83" t="e">
        <f>AND(#REF!,"AAAAAH/7X7U=")</f>
        <v>#REF!</v>
      </c>
      <c r="GA83" t="e">
        <f>AND(#REF!,"AAAAAH/7X7Y=")</f>
        <v>#REF!</v>
      </c>
      <c r="GB83" t="e">
        <f>AND(#REF!,"AAAAAH/7X7c=")</f>
        <v>#REF!</v>
      </c>
      <c r="GC83" t="e">
        <f>AND(#REF!,"AAAAAH/7X7g=")</f>
        <v>#REF!</v>
      </c>
      <c r="GD83" t="e">
        <f>AND(#REF!,"AAAAAH/7X7k=")</f>
        <v>#REF!</v>
      </c>
      <c r="GE83" t="e">
        <f>AND(#REF!,"AAAAAH/7X7o=")</f>
        <v>#REF!</v>
      </c>
      <c r="GF83" t="e">
        <f>AND(#REF!,"AAAAAH/7X7s=")</f>
        <v>#REF!</v>
      </c>
      <c r="GG83" t="e">
        <f>AND(#REF!,"AAAAAH/7X7w=")</f>
        <v>#REF!</v>
      </c>
      <c r="GH83" t="e">
        <f>AND(#REF!,"AAAAAH/7X70=")</f>
        <v>#REF!</v>
      </c>
      <c r="GI83" t="e">
        <f>AND(#REF!,"AAAAAH/7X74=")</f>
        <v>#REF!</v>
      </c>
      <c r="GJ83" t="e">
        <f>AND(#REF!,"AAAAAH/7X78=")</f>
        <v>#REF!</v>
      </c>
      <c r="GK83" t="e">
        <f>AND(#REF!,"AAAAAH/7X8A=")</f>
        <v>#REF!</v>
      </c>
      <c r="GL83" t="e">
        <f>AND(#REF!,"AAAAAH/7X8E=")</f>
        <v>#REF!</v>
      </c>
      <c r="GM83" t="e">
        <f>AND(#REF!,"AAAAAH/7X8I=")</f>
        <v>#REF!</v>
      </c>
      <c r="GN83" t="e">
        <f>AND(#REF!,"AAAAAH/7X8M=")</f>
        <v>#REF!</v>
      </c>
      <c r="GO83" t="e">
        <f>AND(#REF!,"AAAAAH/7X8Q=")</f>
        <v>#REF!</v>
      </c>
      <c r="GP83" t="e">
        <f>AND(#REF!,"AAAAAH/7X8U=")</f>
        <v>#REF!</v>
      </c>
      <c r="GQ83" t="e">
        <f>AND(#REF!,"AAAAAH/7X8Y=")</f>
        <v>#REF!</v>
      </c>
      <c r="GR83" t="e">
        <f>AND(#REF!,"AAAAAH/7X8c=")</f>
        <v>#REF!</v>
      </c>
      <c r="GS83" t="e">
        <f>AND(#REF!,"AAAAAH/7X8g=")</f>
        <v>#REF!</v>
      </c>
      <c r="GT83" t="e">
        <f>AND(#REF!,"AAAAAH/7X8k=")</f>
        <v>#REF!</v>
      </c>
      <c r="GU83" t="e">
        <f>AND(#REF!,"AAAAAH/7X8o=")</f>
        <v>#REF!</v>
      </c>
      <c r="GV83" t="e">
        <f>AND(#REF!,"AAAAAH/7X8s=")</f>
        <v>#REF!</v>
      </c>
      <c r="GW83" t="e">
        <f>AND(#REF!,"AAAAAH/7X8w=")</f>
        <v>#REF!</v>
      </c>
      <c r="GX83" t="e">
        <f>AND(#REF!,"AAAAAH/7X80=")</f>
        <v>#REF!</v>
      </c>
      <c r="GY83" t="e">
        <f>AND(#REF!,"AAAAAH/7X84=")</f>
        <v>#REF!</v>
      </c>
      <c r="GZ83" t="e">
        <f>AND(#REF!,"AAAAAH/7X88=")</f>
        <v>#REF!</v>
      </c>
      <c r="HA83" t="e">
        <f>AND(#REF!,"AAAAAH/7X9A=")</f>
        <v>#REF!</v>
      </c>
      <c r="HB83" t="e">
        <f>AND(#REF!,"AAAAAH/7X9E=")</f>
        <v>#REF!</v>
      </c>
      <c r="HC83" t="e">
        <f>AND(#REF!,"AAAAAH/7X9I=")</f>
        <v>#REF!</v>
      </c>
      <c r="HD83" t="e">
        <f>AND(#REF!,"AAAAAH/7X9M=")</f>
        <v>#REF!</v>
      </c>
      <c r="HE83" t="e">
        <f>AND(#REF!,"AAAAAH/7X9Q=")</f>
        <v>#REF!</v>
      </c>
      <c r="HF83" t="e">
        <f>AND(#REF!,"AAAAAH/7X9U=")</f>
        <v>#REF!</v>
      </c>
      <c r="HG83" t="e">
        <f>AND(#REF!,"AAAAAH/7X9Y=")</f>
        <v>#REF!</v>
      </c>
      <c r="HH83" t="e">
        <f>AND(#REF!,"AAAAAH/7X9c=")</f>
        <v>#REF!</v>
      </c>
      <c r="HI83" t="e">
        <f>AND(#REF!,"AAAAAH/7X9g=")</f>
        <v>#REF!</v>
      </c>
      <c r="HJ83" t="e">
        <f>AND(#REF!,"AAAAAH/7X9k=")</f>
        <v>#REF!</v>
      </c>
      <c r="HK83" t="e">
        <f>AND(#REF!,"AAAAAH/7X9o=")</f>
        <v>#REF!</v>
      </c>
      <c r="HL83" t="e">
        <f>AND(#REF!,"AAAAAH/7X9s=")</f>
        <v>#REF!</v>
      </c>
      <c r="HM83" t="e">
        <f>AND(#REF!,"AAAAAH/7X9w=")</f>
        <v>#REF!</v>
      </c>
      <c r="HN83" t="e">
        <f>AND(#REF!,"AAAAAH/7X90=")</f>
        <v>#REF!</v>
      </c>
      <c r="HO83" t="e">
        <f>AND(#REF!,"AAAAAH/7X94=")</f>
        <v>#REF!</v>
      </c>
      <c r="HP83" t="e">
        <f>AND(#REF!,"AAAAAH/7X98=")</f>
        <v>#REF!</v>
      </c>
      <c r="HQ83" t="e">
        <f>AND(#REF!,"AAAAAH/7X+A=")</f>
        <v>#REF!</v>
      </c>
      <c r="HR83" t="e">
        <f>AND(#REF!,"AAAAAH/7X+E=")</f>
        <v>#REF!</v>
      </c>
      <c r="HS83" t="e">
        <f>AND(#REF!,"AAAAAH/7X+I=")</f>
        <v>#REF!</v>
      </c>
      <c r="HT83" t="e">
        <f>AND(#REF!,"AAAAAH/7X+M=")</f>
        <v>#REF!</v>
      </c>
      <c r="HU83" t="e">
        <f>AND(#REF!,"AAAAAH/7X+Q=")</f>
        <v>#REF!</v>
      </c>
      <c r="HV83" t="e">
        <f>AND(#REF!,"AAAAAH/7X+U=")</f>
        <v>#REF!</v>
      </c>
      <c r="HW83" t="e">
        <f>AND(#REF!,"AAAAAH/7X+Y=")</f>
        <v>#REF!</v>
      </c>
      <c r="HX83" t="e">
        <f>AND(#REF!,"AAAAAH/7X+c=")</f>
        <v>#REF!</v>
      </c>
      <c r="HY83" t="e">
        <f>AND(#REF!,"AAAAAH/7X+g=")</f>
        <v>#REF!</v>
      </c>
      <c r="HZ83" t="e">
        <f>AND(#REF!,"AAAAAH/7X+k=")</f>
        <v>#REF!</v>
      </c>
      <c r="IA83" t="e">
        <f>AND(#REF!,"AAAAAH/7X+o=")</f>
        <v>#REF!</v>
      </c>
      <c r="IB83" t="e">
        <f>AND(#REF!,"AAAAAH/7X+s=")</f>
        <v>#REF!</v>
      </c>
      <c r="IC83" t="e">
        <f>AND(#REF!,"AAAAAH/7X+w=")</f>
        <v>#REF!</v>
      </c>
      <c r="ID83" t="e">
        <f>AND(#REF!,"AAAAAH/7X+0=")</f>
        <v>#REF!</v>
      </c>
      <c r="IE83" t="e">
        <f>AND(#REF!,"AAAAAH/7X+4=")</f>
        <v>#REF!</v>
      </c>
      <c r="IF83" t="e">
        <f>AND(#REF!,"AAAAAH/7X+8=")</f>
        <v>#REF!</v>
      </c>
      <c r="IG83" t="e">
        <f>AND(#REF!,"AAAAAH/7X/A=")</f>
        <v>#REF!</v>
      </c>
      <c r="IH83" t="e">
        <f>AND(#REF!,"AAAAAH/7X/E=")</f>
        <v>#REF!</v>
      </c>
      <c r="II83" t="e">
        <f>AND(#REF!,"AAAAAH/7X/I=")</f>
        <v>#REF!</v>
      </c>
      <c r="IJ83" t="e">
        <f>AND(#REF!,"AAAAAH/7X/M=")</f>
        <v>#REF!</v>
      </c>
      <c r="IK83" t="e">
        <f>AND(#REF!,"AAAAAH/7X/Q=")</f>
        <v>#REF!</v>
      </c>
      <c r="IL83" t="e">
        <f>AND(#REF!,"AAAAAH/7X/U=")</f>
        <v>#REF!</v>
      </c>
      <c r="IM83" t="e">
        <f>AND(#REF!,"AAAAAH/7X/Y=")</f>
        <v>#REF!</v>
      </c>
      <c r="IN83" t="e">
        <f>AND(#REF!,"AAAAAH/7X/c=")</f>
        <v>#REF!</v>
      </c>
      <c r="IO83" t="e">
        <f>AND(#REF!,"AAAAAH/7X/g=")</f>
        <v>#REF!</v>
      </c>
      <c r="IP83" t="e">
        <f>AND(#REF!,"AAAAAH/7X/k=")</f>
        <v>#REF!</v>
      </c>
      <c r="IQ83" t="e">
        <f>AND(#REF!,"AAAAAH/7X/o=")</f>
        <v>#REF!</v>
      </c>
      <c r="IR83" t="e">
        <f>AND(#REF!,"AAAAAH/7X/s=")</f>
        <v>#REF!</v>
      </c>
      <c r="IS83" t="e">
        <f>AND(#REF!,"AAAAAH/7X/w=")</f>
        <v>#REF!</v>
      </c>
      <c r="IT83" t="e">
        <f>AND(#REF!,"AAAAAH/7X/0=")</f>
        <v>#REF!</v>
      </c>
      <c r="IU83" t="e">
        <f>AND(#REF!,"AAAAAH/7X/4=")</f>
        <v>#REF!</v>
      </c>
      <c r="IV83" t="e">
        <f>AND(#REF!,"AAAAAH/7X/8=")</f>
        <v>#REF!</v>
      </c>
    </row>
    <row r="84" spans="1:256" x14ac:dyDescent="0.25">
      <c r="A84" t="e">
        <f>AND(#REF!,"AAAAAHb9/wA=")</f>
        <v>#REF!</v>
      </c>
      <c r="B84" t="e">
        <f>AND(#REF!,"AAAAAHb9/wE=")</f>
        <v>#REF!</v>
      </c>
      <c r="C84" t="e">
        <f>AND(#REF!,"AAAAAHb9/wI=")</f>
        <v>#REF!</v>
      </c>
      <c r="D84" t="e">
        <f>AND(#REF!,"AAAAAHb9/wM=")</f>
        <v>#REF!</v>
      </c>
      <c r="E84" t="e">
        <f>AND(#REF!,"AAAAAHb9/wQ=")</f>
        <v>#REF!</v>
      </c>
      <c r="F84" t="e">
        <f>AND(#REF!,"AAAAAHb9/wU=")</f>
        <v>#REF!</v>
      </c>
      <c r="G84" t="e">
        <f>AND(#REF!,"AAAAAHb9/wY=")</f>
        <v>#REF!</v>
      </c>
      <c r="H84" t="e">
        <f>AND(#REF!,"AAAAAHb9/wc=")</f>
        <v>#REF!</v>
      </c>
      <c r="I84" t="e">
        <f>AND(#REF!,"AAAAAHb9/wg=")</f>
        <v>#REF!</v>
      </c>
      <c r="J84" t="e">
        <f>AND(#REF!,"AAAAAHb9/wk=")</f>
        <v>#REF!</v>
      </c>
      <c r="K84" t="e">
        <f>AND(#REF!,"AAAAAHb9/wo=")</f>
        <v>#REF!</v>
      </c>
      <c r="L84" t="e">
        <f>AND(#REF!,"AAAAAHb9/ws=")</f>
        <v>#REF!</v>
      </c>
      <c r="M84" t="e">
        <f>AND(#REF!,"AAAAAHb9/ww=")</f>
        <v>#REF!</v>
      </c>
      <c r="N84" t="e">
        <f>AND(#REF!,"AAAAAHb9/w0=")</f>
        <v>#REF!</v>
      </c>
      <c r="O84" t="e">
        <f>AND(#REF!,"AAAAAHb9/w4=")</f>
        <v>#REF!</v>
      </c>
      <c r="P84" t="e">
        <f>AND(#REF!,"AAAAAHb9/w8=")</f>
        <v>#REF!</v>
      </c>
      <c r="Q84" t="e">
        <f>AND(#REF!,"AAAAAHb9/xA=")</f>
        <v>#REF!</v>
      </c>
      <c r="R84" t="e">
        <f>AND(#REF!,"AAAAAHb9/xE=")</f>
        <v>#REF!</v>
      </c>
      <c r="S84" t="e">
        <f>AND(#REF!,"AAAAAHb9/xI=")</f>
        <v>#REF!</v>
      </c>
      <c r="T84" t="e">
        <f>AND(#REF!,"AAAAAHb9/xM=")</f>
        <v>#REF!</v>
      </c>
      <c r="U84" t="e">
        <f>AND(#REF!,"AAAAAHb9/xQ=")</f>
        <v>#REF!</v>
      </c>
      <c r="V84" t="e">
        <f>AND(#REF!,"AAAAAHb9/xU=")</f>
        <v>#REF!</v>
      </c>
      <c r="W84" t="e">
        <f>AND(#REF!,"AAAAAHb9/xY=")</f>
        <v>#REF!</v>
      </c>
      <c r="X84" t="e">
        <f>AND(#REF!,"AAAAAHb9/xc=")</f>
        <v>#REF!</v>
      </c>
      <c r="Y84" t="e">
        <f>AND(#REF!,"AAAAAHb9/xg=")</f>
        <v>#REF!</v>
      </c>
      <c r="Z84" t="e">
        <f>AND(#REF!,"AAAAAHb9/xk=")</f>
        <v>#REF!</v>
      </c>
      <c r="AA84" t="e">
        <f>AND(#REF!,"AAAAAHb9/xo=")</f>
        <v>#REF!</v>
      </c>
      <c r="AB84" t="e">
        <f>AND(#REF!,"AAAAAHb9/xs=")</f>
        <v>#REF!</v>
      </c>
      <c r="AC84" t="e">
        <f>AND(#REF!,"AAAAAHb9/xw=")</f>
        <v>#REF!</v>
      </c>
      <c r="AD84" t="e">
        <f>AND(#REF!,"AAAAAHb9/x0=")</f>
        <v>#REF!</v>
      </c>
      <c r="AE84" t="e">
        <f>AND(#REF!,"AAAAAHb9/x4=")</f>
        <v>#REF!</v>
      </c>
      <c r="AF84" t="e">
        <f>AND(#REF!,"AAAAAHb9/x8=")</f>
        <v>#REF!</v>
      </c>
      <c r="AG84" t="e">
        <f>AND(#REF!,"AAAAAHb9/yA=")</f>
        <v>#REF!</v>
      </c>
      <c r="AH84" t="e">
        <f>AND(#REF!,"AAAAAHb9/yE=")</f>
        <v>#REF!</v>
      </c>
      <c r="AI84" t="e">
        <f>AND(#REF!,"AAAAAHb9/yI=")</f>
        <v>#REF!</v>
      </c>
      <c r="AJ84" t="e">
        <f>AND(#REF!,"AAAAAHb9/yM=")</f>
        <v>#REF!</v>
      </c>
      <c r="AK84" t="e">
        <f>AND(#REF!,"AAAAAHb9/yQ=")</f>
        <v>#REF!</v>
      </c>
      <c r="AL84" t="e">
        <f>AND(#REF!,"AAAAAHb9/yU=")</f>
        <v>#REF!</v>
      </c>
      <c r="AM84" t="e">
        <f>AND(#REF!,"AAAAAHb9/yY=")</f>
        <v>#REF!</v>
      </c>
      <c r="AN84" t="e">
        <f>AND(#REF!,"AAAAAHb9/yc=")</f>
        <v>#REF!</v>
      </c>
      <c r="AO84" t="e">
        <f>AND(#REF!,"AAAAAHb9/yg=")</f>
        <v>#REF!</v>
      </c>
      <c r="AP84" t="e">
        <f>AND(#REF!,"AAAAAHb9/yk=")</f>
        <v>#REF!</v>
      </c>
      <c r="AQ84" t="e">
        <f>AND(#REF!,"AAAAAHb9/yo=")</f>
        <v>#REF!</v>
      </c>
      <c r="AR84" t="e">
        <f>AND(#REF!,"AAAAAHb9/ys=")</f>
        <v>#REF!</v>
      </c>
      <c r="AS84" t="e">
        <f>AND(#REF!,"AAAAAHb9/yw=")</f>
        <v>#REF!</v>
      </c>
      <c r="AT84" t="e">
        <f>AND(#REF!,"AAAAAHb9/y0=")</f>
        <v>#REF!</v>
      </c>
      <c r="AU84" t="e">
        <f>AND(#REF!,"AAAAAHb9/y4=")</f>
        <v>#REF!</v>
      </c>
      <c r="AV84" t="e">
        <f>AND(#REF!,"AAAAAHb9/y8=")</f>
        <v>#REF!</v>
      </c>
      <c r="AW84" t="e">
        <f>AND(#REF!,"AAAAAHb9/zA=")</f>
        <v>#REF!</v>
      </c>
      <c r="AX84" t="e">
        <f>AND(#REF!,"AAAAAHb9/zE=")</f>
        <v>#REF!</v>
      </c>
      <c r="AY84" t="e">
        <f>AND(#REF!,"AAAAAHb9/zI=")</f>
        <v>#REF!</v>
      </c>
      <c r="AZ84" t="e">
        <f>AND(#REF!,"AAAAAHb9/zM=")</f>
        <v>#REF!</v>
      </c>
      <c r="BA84" t="e">
        <f>AND(#REF!,"AAAAAHb9/zQ=")</f>
        <v>#REF!</v>
      </c>
      <c r="BB84" t="e">
        <f>AND(#REF!,"AAAAAHb9/zU=")</f>
        <v>#REF!</v>
      </c>
      <c r="BC84" t="e">
        <f>AND(#REF!,"AAAAAHb9/zY=")</f>
        <v>#REF!</v>
      </c>
      <c r="BD84" t="e">
        <f>AND(#REF!,"AAAAAHb9/zc=")</f>
        <v>#REF!</v>
      </c>
      <c r="BE84" t="e">
        <f>AND(#REF!,"AAAAAHb9/zg=")</f>
        <v>#REF!</v>
      </c>
      <c r="BF84" t="e">
        <f>AND(#REF!,"AAAAAHb9/zk=")</f>
        <v>#REF!</v>
      </c>
      <c r="BG84" t="e">
        <f>AND(#REF!,"AAAAAHb9/zo=")</f>
        <v>#REF!</v>
      </c>
      <c r="BH84" t="e">
        <f>AND(#REF!,"AAAAAHb9/zs=")</f>
        <v>#REF!</v>
      </c>
      <c r="BI84" t="e">
        <f>AND(#REF!,"AAAAAHb9/zw=")</f>
        <v>#REF!</v>
      </c>
      <c r="BJ84" t="e">
        <f>IF(#REF!,"AAAAAHb9/z0=",0)</f>
        <v>#REF!</v>
      </c>
      <c r="BK84" t="e">
        <f>AND(#REF!,"AAAAAHb9/z4=")</f>
        <v>#REF!</v>
      </c>
      <c r="BL84" t="e">
        <f>AND(#REF!,"AAAAAHb9/z8=")</f>
        <v>#REF!</v>
      </c>
      <c r="BM84" t="e">
        <f>AND(#REF!,"AAAAAHb9/0A=")</f>
        <v>#REF!</v>
      </c>
      <c r="BN84" t="e">
        <f>AND(#REF!,"AAAAAHb9/0E=")</f>
        <v>#REF!</v>
      </c>
      <c r="BO84" t="e">
        <f>AND(#REF!,"AAAAAHb9/0I=")</f>
        <v>#REF!</v>
      </c>
      <c r="BP84" t="e">
        <f>AND(#REF!,"AAAAAHb9/0M=")</f>
        <v>#REF!</v>
      </c>
      <c r="BQ84" t="e">
        <f>AND(#REF!,"AAAAAHb9/0Q=")</f>
        <v>#REF!</v>
      </c>
      <c r="BR84" t="e">
        <f>AND(#REF!,"AAAAAHb9/0U=")</f>
        <v>#REF!</v>
      </c>
      <c r="BS84" t="e">
        <f>AND(#REF!,"AAAAAHb9/0Y=")</f>
        <v>#REF!</v>
      </c>
      <c r="BT84" t="e">
        <f>AND(#REF!,"AAAAAHb9/0c=")</f>
        <v>#REF!</v>
      </c>
      <c r="BU84" t="e">
        <f>AND(#REF!,"AAAAAHb9/0g=")</f>
        <v>#REF!</v>
      </c>
      <c r="BV84" t="e">
        <f>AND(#REF!,"AAAAAHb9/0k=")</f>
        <v>#REF!</v>
      </c>
      <c r="BW84" t="e">
        <f>AND(#REF!,"AAAAAHb9/0o=")</f>
        <v>#REF!</v>
      </c>
      <c r="BX84" t="e">
        <f>AND(#REF!,"AAAAAHb9/0s=")</f>
        <v>#REF!</v>
      </c>
      <c r="BY84" t="e">
        <f>AND(#REF!,"AAAAAHb9/0w=")</f>
        <v>#REF!</v>
      </c>
      <c r="BZ84" t="e">
        <f>AND(#REF!,"AAAAAHb9/00=")</f>
        <v>#REF!</v>
      </c>
      <c r="CA84" t="e">
        <f>AND(#REF!,"AAAAAHb9/04=")</f>
        <v>#REF!</v>
      </c>
      <c r="CB84" t="e">
        <f>AND(#REF!,"AAAAAHb9/08=")</f>
        <v>#REF!</v>
      </c>
      <c r="CC84" t="e">
        <f>AND(#REF!,"AAAAAHb9/1A=")</f>
        <v>#REF!</v>
      </c>
      <c r="CD84" t="e">
        <f>AND(#REF!,"AAAAAHb9/1E=")</f>
        <v>#REF!</v>
      </c>
      <c r="CE84" t="e">
        <f>AND(#REF!,"AAAAAHb9/1I=")</f>
        <v>#REF!</v>
      </c>
      <c r="CF84" t="e">
        <f>AND(#REF!,"AAAAAHb9/1M=")</f>
        <v>#REF!</v>
      </c>
      <c r="CG84" t="e">
        <f>AND(#REF!,"AAAAAHb9/1Q=")</f>
        <v>#REF!</v>
      </c>
      <c r="CH84" t="e">
        <f>AND(#REF!,"AAAAAHb9/1U=")</f>
        <v>#REF!</v>
      </c>
      <c r="CI84" t="e">
        <f>AND(#REF!,"AAAAAHb9/1Y=")</f>
        <v>#REF!</v>
      </c>
      <c r="CJ84" t="e">
        <f>AND(#REF!,"AAAAAHb9/1c=")</f>
        <v>#REF!</v>
      </c>
      <c r="CK84" t="e">
        <f>AND(#REF!,"AAAAAHb9/1g=")</f>
        <v>#REF!</v>
      </c>
      <c r="CL84" t="e">
        <f>AND(#REF!,"AAAAAHb9/1k=")</f>
        <v>#REF!</v>
      </c>
      <c r="CM84" t="e">
        <f>AND(#REF!,"AAAAAHb9/1o=")</f>
        <v>#REF!</v>
      </c>
      <c r="CN84" t="e">
        <f>AND(#REF!,"AAAAAHb9/1s=")</f>
        <v>#REF!</v>
      </c>
      <c r="CO84" t="e">
        <f>AND(#REF!,"AAAAAHb9/1w=")</f>
        <v>#REF!</v>
      </c>
      <c r="CP84" t="e">
        <f>AND(#REF!,"AAAAAHb9/10=")</f>
        <v>#REF!</v>
      </c>
      <c r="CQ84" t="e">
        <f>AND(#REF!,"AAAAAHb9/14=")</f>
        <v>#REF!</v>
      </c>
      <c r="CR84" t="e">
        <f>AND(#REF!,"AAAAAHb9/18=")</f>
        <v>#REF!</v>
      </c>
      <c r="CS84" t="e">
        <f>AND(#REF!,"AAAAAHb9/2A=")</f>
        <v>#REF!</v>
      </c>
      <c r="CT84" t="e">
        <f>AND(#REF!,"AAAAAHb9/2E=")</f>
        <v>#REF!</v>
      </c>
      <c r="CU84" t="e">
        <f>AND(#REF!,"AAAAAHb9/2I=")</f>
        <v>#REF!</v>
      </c>
      <c r="CV84" t="e">
        <f>AND(#REF!,"AAAAAHb9/2M=")</f>
        <v>#REF!</v>
      </c>
      <c r="CW84" t="e">
        <f>AND(#REF!,"AAAAAHb9/2Q=")</f>
        <v>#REF!</v>
      </c>
      <c r="CX84" t="e">
        <f>AND(#REF!,"AAAAAHb9/2U=")</f>
        <v>#REF!</v>
      </c>
      <c r="CY84" t="e">
        <f>AND(#REF!,"AAAAAHb9/2Y=")</f>
        <v>#REF!</v>
      </c>
      <c r="CZ84" t="e">
        <f>AND(#REF!,"AAAAAHb9/2c=")</f>
        <v>#REF!</v>
      </c>
      <c r="DA84" t="e">
        <f>AND(#REF!,"AAAAAHb9/2g=")</f>
        <v>#REF!</v>
      </c>
      <c r="DB84" t="e">
        <f>AND(#REF!,"AAAAAHb9/2k=")</f>
        <v>#REF!</v>
      </c>
      <c r="DC84" t="e">
        <f>AND(#REF!,"AAAAAHb9/2o=")</f>
        <v>#REF!</v>
      </c>
      <c r="DD84" t="e">
        <f>AND(#REF!,"AAAAAHb9/2s=")</f>
        <v>#REF!</v>
      </c>
      <c r="DE84" t="e">
        <f>AND(#REF!,"AAAAAHb9/2w=")</f>
        <v>#REF!</v>
      </c>
      <c r="DF84" t="e">
        <f>AND(#REF!,"AAAAAHb9/20=")</f>
        <v>#REF!</v>
      </c>
      <c r="DG84" t="e">
        <f>AND(#REF!,"AAAAAHb9/24=")</f>
        <v>#REF!</v>
      </c>
      <c r="DH84" t="e">
        <f>AND(#REF!,"AAAAAHb9/28=")</f>
        <v>#REF!</v>
      </c>
      <c r="DI84" t="e">
        <f>AND(#REF!,"AAAAAHb9/3A=")</f>
        <v>#REF!</v>
      </c>
      <c r="DJ84" t="e">
        <f>AND(#REF!,"AAAAAHb9/3E=")</f>
        <v>#REF!</v>
      </c>
      <c r="DK84" t="e">
        <f>AND(#REF!,"AAAAAHb9/3I=")</f>
        <v>#REF!</v>
      </c>
      <c r="DL84" t="e">
        <f>AND(#REF!,"AAAAAHb9/3M=")</f>
        <v>#REF!</v>
      </c>
      <c r="DM84" t="e">
        <f>AND(#REF!,"AAAAAHb9/3Q=")</f>
        <v>#REF!</v>
      </c>
      <c r="DN84" t="e">
        <f>AND(#REF!,"AAAAAHb9/3U=")</f>
        <v>#REF!</v>
      </c>
      <c r="DO84" t="e">
        <f>AND(#REF!,"AAAAAHb9/3Y=")</f>
        <v>#REF!</v>
      </c>
      <c r="DP84" t="e">
        <f>AND(#REF!,"AAAAAHb9/3c=")</f>
        <v>#REF!</v>
      </c>
      <c r="DQ84" t="e">
        <f>AND(#REF!,"AAAAAHb9/3g=")</f>
        <v>#REF!</v>
      </c>
      <c r="DR84" t="e">
        <f>AND(#REF!,"AAAAAHb9/3k=")</f>
        <v>#REF!</v>
      </c>
      <c r="DS84" t="e">
        <f>AND(#REF!,"AAAAAHb9/3o=")</f>
        <v>#REF!</v>
      </c>
      <c r="DT84" t="e">
        <f>AND(#REF!,"AAAAAHb9/3s=")</f>
        <v>#REF!</v>
      </c>
      <c r="DU84" t="e">
        <f>AND(#REF!,"AAAAAHb9/3w=")</f>
        <v>#REF!</v>
      </c>
      <c r="DV84" t="e">
        <f>AND(#REF!,"AAAAAHb9/30=")</f>
        <v>#REF!</v>
      </c>
      <c r="DW84" t="e">
        <f>AND(#REF!,"AAAAAHb9/34=")</f>
        <v>#REF!</v>
      </c>
      <c r="DX84" t="e">
        <f>AND(#REF!,"AAAAAHb9/38=")</f>
        <v>#REF!</v>
      </c>
      <c r="DY84" t="e">
        <f>AND(#REF!,"AAAAAHb9/4A=")</f>
        <v>#REF!</v>
      </c>
      <c r="DZ84" t="e">
        <f>AND(#REF!,"AAAAAHb9/4E=")</f>
        <v>#REF!</v>
      </c>
      <c r="EA84" t="e">
        <f>AND(#REF!,"AAAAAHb9/4I=")</f>
        <v>#REF!</v>
      </c>
      <c r="EB84" t="e">
        <f>AND(#REF!,"AAAAAHb9/4M=")</f>
        <v>#REF!</v>
      </c>
      <c r="EC84" t="e">
        <f>AND(#REF!,"AAAAAHb9/4Q=")</f>
        <v>#REF!</v>
      </c>
      <c r="ED84" t="e">
        <f>AND(#REF!,"AAAAAHb9/4U=")</f>
        <v>#REF!</v>
      </c>
      <c r="EE84" t="e">
        <f>AND(#REF!,"AAAAAHb9/4Y=")</f>
        <v>#REF!</v>
      </c>
      <c r="EF84" t="e">
        <f>AND(#REF!,"AAAAAHb9/4c=")</f>
        <v>#REF!</v>
      </c>
      <c r="EG84" t="e">
        <f>AND(#REF!,"AAAAAHb9/4g=")</f>
        <v>#REF!</v>
      </c>
      <c r="EH84" t="e">
        <f>AND(#REF!,"AAAAAHb9/4k=")</f>
        <v>#REF!</v>
      </c>
      <c r="EI84" t="e">
        <f>AND(#REF!,"AAAAAHb9/4o=")</f>
        <v>#REF!</v>
      </c>
      <c r="EJ84" t="e">
        <f>AND(#REF!,"AAAAAHb9/4s=")</f>
        <v>#REF!</v>
      </c>
      <c r="EK84" t="e">
        <f>AND(#REF!,"AAAAAHb9/4w=")</f>
        <v>#REF!</v>
      </c>
      <c r="EL84" t="e">
        <f>AND(#REF!,"AAAAAHb9/40=")</f>
        <v>#REF!</v>
      </c>
      <c r="EM84" t="e">
        <f>AND(#REF!,"AAAAAHb9/44=")</f>
        <v>#REF!</v>
      </c>
      <c r="EN84" t="e">
        <f>AND(#REF!,"AAAAAHb9/48=")</f>
        <v>#REF!</v>
      </c>
      <c r="EO84" t="e">
        <f>AND(#REF!,"AAAAAHb9/5A=")</f>
        <v>#REF!</v>
      </c>
      <c r="EP84" t="e">
        <f>AND(#REF!,"AAAAAHb9/5E=")</f>
        <v>#REF!</v>
      </c>
      <c r="EQ84" t="e">
        <f>AND(#REF!,"AAAAAHb9/5I=")</f>
        <v>#REF!</v>
      </c>
      <c r="ER84" t="e">
        <f>AND(#REF!,"AAAAAHb9/5M=")</f>
        <v>#REF!</v>
      </c>
      <c r="ES84" t="e">
        <f>AND(#REF!,"AAAAAHb9/5Q=")</f>
        <v>#REF!</v>
      </c>
      <c r="ET84" t="e">
        <f>AND(#REF!,"AAAAAHb9/5U=")</f>
        <v>#REF!</v>
      </c>
      <c r="EU84" t="e">
        <f>AND(#REF!,"AAAAAHb9/5Y=")</f>
        <v>#REF!</v>
      </c>
      <c r="EV84" t="e">
        <f>AND(#REF!,"AAAAAHb9/5c=")</f>
        <v>#REF!</v>
      </c>
      <c r="EW84" t="e">
        <f>AND(#REF!,"AAAAAHb9/5g=")</f>
        <v>#REF!</v>
      </c>
      <c r="EX84" t="e">
        <f>AND(#REF!,"AAAAAHb9/5k=")</f>
        <v>#REF!</v>
      </c>
      <c r="EY84" t="e">
        <f>AND(#REF!,"AAAAAHb9/5o=")</f>
        <v>#REF!</v>
      </c>
      <c r="EZ84" t="e">
        <f>AND(#REF!,"AAAAAHb9/5s=")</f>
        <v>#REF!</v>
      </c>
      <c r="FA84" t="e">
        <f>AND(#REF!,"AAAAAHb9/5w=")</f>
        <v>#REF!</v>
      </c>
      <c r="FB84" t="e">
        <f>AND(#REF!,"AAAAAHb9/50=")</f>
        <v>#REF!</v>
      </c>
      <c r="FC84" t="e">
        <f>AND(#REF!,"AAAAAHb9/54=")</f>
        <v>#REF!</v>
      </c>
      <c r="FD84" t="e">
        <f>AND(#REF!,"AAAAAHb9/58=")</f>
        <v>#REF!</v>
      </c>
      <c r="FE84" t="e">
        <f>AND(#REF!,"AAAAAHb9/6A=")</f>
        <v>#REF!</v>
      </c>
      <c r="FF84" t="e">
        <f>AND(#REF!,"AAAAAHb9/6E=")</f>
        <v>#REF!</v>
      </c>
      <c r="FG84" t="e">
        <f>AND(#REF!,"AAAAAHb9/6I=")</f>
        <v>#REF!</v>
      </c>
      <c r="FH84" t="e">
        <f>AND(#REF!,"AAAAAHb9/6M=")</f>
        <v>#REF!</v>
      </c>
      <c r="FI84" t="e">
        <f>AND(#REF!,"AAAAAHb9/6Q=")</f>
        <v>#REF!</v>
      </c>
      <c r="FJ84" t="e">
        <f>AND(#REF!,"AAAAAHb9/6U=")</f>
        <v>#REF!</v>
      </c>
      <c r="FK84" t="e">
        <f>AND(#REF!,"AAAAAHb9/6Y=")</f>
        <v>#REF!</v>
      </c>
      <c r="FL84" t="e">
        <f>AND(#REF!,"AAAAAHb9/6c=")</f>
        <v>#REF!</v>
      </c>
      <c r="FM84" t="e">
        <f>AND(#REF!,"AAAAAHb9/6g=")</f>
        <v>#REF!</v>
      </c>
      <c r="FN84" t="e">
        <f>AND(#REF!,"AAAAAHb9/6k=")</f>
        <v>#REF!</v>
      </c>
      <c r="FO84" t="e">
        <f>AND(#REF!,"AAAAAHb9/6o=")</f>
        <v>#REF!</v>
      </c>
      <c r="FP84" t="e">
        <f>AND(#REF!,"AAAAAHb9/6s=")</f>
        <v>#REF!</v>
      </c>
      <c r="FQ84" t="e">
        <f>AND(#REF!,"AAAAAHb9/6w=")</f>
        <v>#REF!</v>
      </c>
      <c r="FR84" t="e">
        <f>AND(#REF!,"AAAAAHb9/60=")</f>
        <v>#REF!</v>
      </c>
      <c r="FS84" t="e">
        <f>AND(#REF!,"AAAAAHb9/64=")</f>
        <v>#REF!</v>
      </c>
      <c r="FT84" t="e">
        <f>AND(#REF!,"AAAAAHb9/68=")</f>
        <v>#REF!</v>
      </c>
      <c r="FU84" t="e">
        <f>AND(#REF!,"AAAAAHb9/7A=")</f>
        <v>#REF!</v>
      </c>
      <c r="FV84" t="e">
        <f>AND(#REF!,"AAAAAHb9/7E=")</f>
        <v>#REF!</v>
      </c>
      <c r="FW84" t="e">
        <f>AND(#REF!,"AAAAAHb9/7I=")</f>
        <v>#REF!</v>
      </c>
      <c r="FX84" t="e">
        <f>AND(#REF!,"AAAAAHb9/7M=")</f>
        <v>#REF!</v>
      </c>
      <c r="FY84" t="e">
        <f>AND(#REF!,"AAAAAHb9/7Q=")</f>
        <v>#REF!</v>
      </c>
      <c r="FZ84" t="e">
        <f>AND(#REF!,"AAAAAHb9/7U=")</f>
        <v>#REF!</v>
      </c>
      <c r="GA84" t="e">
        <f>AND(#REF!,"AAAAAHb9/7Y=")</f>
        <v>#REF!</v>
      </c>
      <c r="GB84" t="e">
        <f>AND(#REF!,"AAAAAHb9/7c=")</f>
        <v>#REF!</v>
      </c>
      <c r="GC84" t="e">
        <f>AND(#REF!,"AAAAAHb9/7g=")</f>
        <v>#REF!</v>
      </c>
      <c r="GD84" t="e">
        <f>AND(#REF!,"AAAAAHb9/7k=")</f>
        <v>#REF!</v>
      </c>
      <c r="GE84" t="e">
        <f>AND(#REF!,"AAAAAHb9/7o=")</f>
        <v>#REF!</v>
      </c>
      <c r="GF84" t="e">
        <f>AND(#REF!,"AAAAAHb9/7s=")</f>
        <v>#REF!</v>
      </c>
      <c r="GG84" t="e">
        <f>AND(#REF!,"AAAAAHb9/7w=")</f>
        <v>#REF!</v>
      </c>
      <c r="GH84" t="e">
        <f>AND(#REF!,"AAAAAHb9/70=")</f>
        <v>#REF!</v>
      </c>
      <c r="GI84" t="e">
        <f>AND(#REF!,"AAAAAHb9/74=")</f>
        <v>#REF!</v>
      </c>
      <c r="GJ84" t="e">
        <f>AND(#REF!,"AAAAAHb9/78=")</f>
        <v>#REF!</v>
      </c>
      <c r="GK84" t="e">
        <f>AND(#REF!,"AAAAAHb9/8A=")</f>
        <v>#REF!</v>
      </c>
      <c r="GL84" t="e">
        <f>AND(#REF!,"AAAAAHb9/8E=")</f>
        <v>#REF!</v>
      </c>
      <c r="GM84" t="e">
        <f>AND(#REF!,"AAAAAHb9/8I=")</f>
        <v>#REF!</v>
      </c>
      <c r="GN84" t="e">
        <f>AND(#REF!,"AAAAAHb9/8M=")</f>
        <v>#REF!</v>
      </c>
      <c r="GO84" t="e">
        <f>AND(#REF!,"AAAAAHb9/8Q=")</f>
        <v>#REF!</v>
      </c>
      <c r="GP84" t="e">
        <f>AND(#REF!,"AAAAAHb9/8U=")</f>
        <v>#REF!</v>
      </c>
      <c r="GQ84" t="e">
        <f>AND(#REF!,"AAAAAHb9/8Y=")</f>
        <v>#REF!</v>
      </c>
      <c r="GR84" t="e">
        <f>AND(#REF!,"AAAAAHb9/8c=")</f>
        <v>#REF!</v>
      </c>
      <c r="GS84" t="e">
        <f>AND(#REF!,"AAAAAHb9/8g=")</f>
        <v>#REF!</v>
      </c>
      <c r="GT84" t="e">
        <f>AND(#REF!,"AAAAAHb9/8k=")</f>
        <v>#REF!</v>
      </c>
      <c r="GU84" t="e">
        <f>AND(#REF!,"AAAAAHb9/8o=")</f>
        <v>#REF!</v>
      </c>
      <c r="GV84" t="e">
        <f>AND(#REF!,"AAAAAHb9/8s=")</f>
        <v>#REF!</v>
      </c>
      <c r="GW84" t="e">
        <f>AND(#REF!,"AAAAAHb9/8w=")</f>
        <v>#REF!</v>
      </c>
      <c r="GX84" t="e">
        <f>AND(#REF!,"AAAAAHb9/80=")</f>
        <v>#REF!</v>
      </c>
      <c r="GY84" t="e">
        <f>AND(#REF!,"AAAAAHb9/84=")</f>
        <v>#REF!</v>
      </c>
      <c r="GZ84" t="e">
        <f>AND(#REF!,"AAAAAHb9/88=")</f>
        <v>#REF!</v>
      </c>
      <c r="HA84" t="e">
        <f>AND(#REF!,"AAAAAHb9/9A=")</f>
        <v>#REF!</v>
      </c>
      <c r="HB84" t="e">
        <f>AND(#REF!,"AAAAAHb9/9E=")</f>
        <v>#REF!</v>
      </c>
      <c r="HC84" t="e">
        <f>AND(#REF!,"AAAAAHb9/9I=")</f>
        <v>#REF!</v>
      </c>
      <c r="HD84" t="e">
        <f>AND(#REF!,"AAAAAHb9/9M=")</f>
        <v>#REF!</v>
      </c>
      <c r="HE84" t="e">
        <f>AND(#REF!,"AAAAAHb9/9Q=")</f>
        <v>#REF!</v>
      </c>
      <c r="HF84" t="e">
        <f>AND(#REF!,"AAAAAHb9/9U=")</f>
        <v>#REF!</v>
      </c>
      <c r="HG84" t="e">
        <f>AND(#REF!,"AAAAAHb9/9Y=")</f>
        <v>#REF!</v>
      </c>
      <c r="HH84" t="e">
        <f>AND(#REF!,"AAAAAHb9/9c=")</f>
        <v>#REF!</v>
      </c>
      <c r="HI84" t="e">
        <f>AND(#REF!,"AAAAAHb9/9g=")</f>
        <v>#REF!</v>
      </c>
      <c r="HJ84" t="e">
        <f>AND(#REF!,"AAAAAHb9/9k=")</f>
        <v>#REF!</v>
      </c>
      <c r="HK84" t="e">
        <f>AND(#REF!,"AAAAAHb9/9o=")</f>
        <v>#REF!</v>
      </c>
      <c r="HL84" t="e">
        <f>AND(#REF!,"AAAAAHb9/9s=")</f>
        <v>#REF!</v>
      </c>
      <c r="HM84" t="e">
        <f>AND(#REF!,"AAAAAHb9/9w=")</f>
        <v>#REF!</v>
      </c>
      <c r="HN84" t="e">
        <f>AND(#REF!,"AAAAAHb9/90=")</f>
        <v>#REF!</v>
      </c>
      <c r="HO84" t="e">
        <f>AND(#REF!,"AAAAAHb9/94=")</f>
        <v>#REF!</v>
      </c>
      <c r="HP84" t="e">
        <f>AND(#REF!,"AAAAAHb9/98=")</f>
        <v>#REF!</v>
      </c>
      <c r="HQ84" t="e">
        <f>AND(#REF!,"AAAAAHb9/+A=")</f>
        <v>#REF!</v>
      </c>
      <c r="HR84" t="e">
        <f>AND(#REF!,"AAAAAHb9/+E=")</f>
        <v>#REF!</v>
      </c>
      <c r="HS84" t="e">
        <f>AND(#REF!,"AAAAAHb9/+I=")</f>
        <v>#REF!</v>
      </c>
      <c r="HT84" t="e">
        <f>AND(#REF!,"AAAAAHb9/+M=")</f>
        <v>#REF!</v>
      </c>
      <c r="HU84" t="e">
        <f>AND(#REF!,"AAAAAHb9/+Q=")</f>
        <v>#REF!</v>
      </c>
      <c r="HV84" t="e">
        <f>AND(#REF!,"AAAAAHb9/+U=")</f>
        <v>#REF!</v>
      </c>
      <c r="HW84" t="e">
        <f>AND(#REF!,"AAAAAHb9/+Y=")</f>
        <v>#REF!</v>
      </c>
      <c r="HX84" t="e">
        <f>AND(#REF!,"AAAAAHb9/+c=")</f>
        <v>#REF!</v>
      </c>
      <c r="HY84" t="e">
        <f>AND(#REF!,"AAAAAHb9/+g=")</f>
        <v>#REF!</v>
      </c>
      <c r="HZ84" t="e">
        <f>AND(#REF!,"AAAAAHb9/+k=")</f>
        <v>#REF!</v>
      </c>
      <c r="IA84" t="e">
        <f>AND(#REF!,"AAAAAHb9/+o=")</f>
        <v>#REF!</v>
      </c>
      <c r="IB84" t="e">
        <f>AND(#REF!,"AAAAAHb9/+s=")</f>
        <v>#REF!</v>
      </c>
      <c r="IC84" t="e">
        <f>AND(#REF!,"AAAAAHb9/+w=")</f>
        <v>#REF!</v>
      </c>
      <c r="ID84" t="e">
        <f>AND(#REF!,"AAAAAHb9/+0=")</f>
        <v>#REF!</v>
      </c>
      <c r="IE84" t="e">
        <f>AND(#REF!,"AAAAAHb9/+4=")</f>
        <v>#REF!</v>
      </c>
      <c r="IF84" t="e">
        <f>AND(#REF!,"AAAAAHb9/+8=")</f>
        <v>#REF!</v>
      </c>
      <c r="IG84" t="e">
        <f>AND(#REF!,"AAAAAHb9//A=")</f>
        <v>#REF!</v>
      </c>
      <c r="IH84" t="e">
        <f>AND(#REF!,"AAAAAHb9//E=")</f>
        <v>#REF!</v>
      </c>
      <c r="II84" t="e">
        <f>AND(#REF!,"AAAAAHb9//I=")</f>
        <v>#REF!</v>
      </c>
      <c r="IJ84" t="e">
        <f>AND(#REF!,"AAAAAHb9//M=")</f>
        <v>#REF!</v>
      </c>
      <c r="IK84" t="e">
        <f>AND(#REF!,"AAAAAHb9//Q=")</f>
        <v>#REF!</v>
      </c>
      <c r="IL84" t="e">
        <f>AND(#REF!,"AAAAAHb9//U=")</f>
        <v>#REF!</v>
      </c>
      <c r="IM84" t="e">
        <f>AND(#REF!,"AAAAAHb9//Y=")</f>
        <v>#REF!</v>
      </c>
      <c r="IN84" t="e">
        <f>AND(#REF!,"AAAAAHb9//c=")</f>
        <v>#REF!</v>
      </c>
      <c r="IO84" t="e">
        <f>AND(#REF!,"AAAAAHb9//g=")</f>
        <v>#REF!</v>
      </c>
      <c r="IP84" t="e">
        <f>AND(#REF!,"AAAAAHb9//k=")</f>
        <v>#REF!</v>
      </c>
      <c r="IQ84" t="e">
        <f>IF(#REF!,"AAAAAHb9//o=",0)</f>
        <v>#REF!</v>
      </c>
      <c r="IR84" t="e">
        <f>AND(#REF!,"AAAAAHb9//s=")</f>
        <v>#REF!</v>
      </c>
      <c r="IS84" t="e">
        <f>AND(#REF!,"AAAAAHb9//w=")</f>
        <v>#REF!</v>
      </c>
      <c r="IT84" t="e">
        <f>AND(#REF!,"AAAAAHb9//0=")</f>
        <v>#REF!</v>
      </c>
      <c r="IU84" t="e">
        <f>AND(#REF!,"AAAAAHb9//4=")</f>
        <v>#REF!</v>
      </c>
      <c r="IV84" t="e">
        <f>AND(#REF!,"AAAAAHb9//8=")</f>
        <v>#REF!</v>
      </c>
    </row>
    <row r="85" spans="1:256" x14ac:dyDescent="0.25">
      <c r="A85" t="e">
        <f>AND(#REF!,"AAAAAH299wA=")</f>
        <v>#REF!</v>
      </c>
      <c r="B85" t="e">
        <f>AND(#REF!,"AAAAAH299wE=")</f>
        <v>#REF!</v>
      </c>
      <c r="C85" t="e">
        <f>AND(#REF!,"AAAAAH299wI=")</f>
        <v>#REF!</v>
      </c>
      <c r="D85" t="e">
        <f>AND(#REF!,"AAAAAH299wM=")</f>
        <v>#REF!</v>
      </c>
      <c r="E85" t="e">
        <f>AND(#REF!,"AAAAAH299wQ=")</f>
        <v>#REF!</v>
      </c>
      <c r="F85" t="e">
        <f>AND(#REF!,"AAAAAH299wU=")</f>
        <v>#REF!</v>
      </c>
      <c r="G85" t="e">
        <f>AND(#REF!,"AAAAAH299wY=")</f>
        <v>#REF!</v>
      </c>
      <c r="H85" t="e">
        <f>AND(#REF!,"AAAAAH299wc=")</f>
        <v>#REF!</v>
      </c>
      <c r="I85" t="e">
        <f>AND(#REF!,"AAAAAH299wg=")</f>
        <v>#REF!</v>
      </c>
      <c r="J85" t="e">
        <f>AND(#REF!,"AAAAAH299wk=")</f>
        <v>#REF!</v>
      </c>
      <c r="K85" t="e">
        <f>AND(#REF!,"AAAAAH299wo=")</f>
        <v>#REF!</v>
      </c>
      <c r="L85" t="e">
        <f>AND(#REF!,"AAAAAH299ws=")</f>
        <v>#REF!</v>
      </c>
      <c r="M85" t="e">
        <f>AND(#REF!,"AAAAAH299ww=")</f>
        <v>#REF!</v>
      </c>
      <c r="N85" t="e">
        <f>AND(#REF!,"AAAAAH299w0=")</f>
        <v>#REF!</v>
      </c>
      <c r="O85" t="e">
        <f>AND(#REF!,"AAAAAH299w4=")</f>
        <v>#REF!</v>
      </c>
      <c r="P85" t="e">
        <f>AND(#REF!,"AAAAAH299w8=")</f>
        <v>#REF!</v>
      </c>
      <c r="Q85" t="e">
        <f>AND(#REF!,"AAAAAH299xA=")</f>
        <v>#REF!</v>
      </c>
      <c r="R85" t="e">
        <f>AND(#REF!,"AAAAAH299xE=")</f>
        <v>#REF!</v>
      </c>
      <c r="S85" t="e">
        <f>AND(#REF!,"AAAAAH299xI=")</f>
        <v>#REF!</v>
      </c>
      <c r="T85" t="e">
        <f>AND(#REF!,"AAAAAH299xM=")</f>
        <v>#REF!</v>
      </c>
      <c r="U85" t="e">
        <f>AND(#REF!,"AAAAAH299xQ=")</f>
        <v>#REF!</v>
      </c>
      <c r="V85" t="e">
        <f>AND(#REF!,"AAAAAH299xU=")</f>
        <v>#REF!</v>
      </c>
      <c r="W85" t="e">
        <f>AND(#REF!,"AAAAAH299xY=")</f>
        <v>#REF!</v>
      </c>
      <c r="X85" t="e">
        <f>AND(#REF!,"AAAAAH299xc=")</f>
        <v>#REF!</v>
      </c>
      <c r="Y85" t="e">
        <f>AND(#REF!,"AAAAAH299xg=")</f>
        <v>#REF!</v>
      </c>
      <c r="Z85" t="e">
        <f>AND(#REF!,"AAAAAH299xk=")</f>
        <v>#REF!</v>
      </c>
      <c r="AA85" t="e">
        <f>AND(#REF!,"AAAAAH299xo=")</f>
        <v>#REF!</v>
      </c>
      <c r="AB85" t="e">
        <f>AND(#REF!,"AAAAAH299xs=")</f>
        <v>#REF!</v>
      </c>
      <c r="AC85" t="e">
        <f>AND(#REF!,"AAAAAH299xw=")</f>
        <v>#REF!</v>
      </c>
      <c r="AD85" t="e">
        <f>AND(#REF!,"AAAAAH299x0=")</f>
        <v>#REF!</v>
      </c>
      <c r="AE85" t="e">
        <f>AND(#REF!,"AAAAAH299x4=")</f>
        <v>#REF!</v>
      </c>
      <c r="AF85" t="e">
        <f>AND(#REF!,"AAAAAH299x8=")</f>
        <v>#REF!</v>
      </c>
      <c r="AG85" t="e">
        <f>AND(#REF!,"AAAAAH299yA=")</f>
        <v>#REF!</v>
      </c>
      <c r="AH85" t="e">
        <f>AND(#REF!,"AAAAAH299yE=")</f>
        <v>#REF!</v>
      </c>
      <c r="AI85" t="e">
        <f>AND(#REF!,"AAAAAH299yI=")</f>
        <v>#REF!</v>
      </c>
      <c r="AJ85" t="e">
        <f>AND(#REF!,"AAAAAH299yM=")</f>
        <v>#REF!</v>
      </c>
      <c r="AK85" t="e">
        <f>AND(#REF!,"AAAAAH299yQ=")</f>
        <v>#REF!</v>
      </c>
      <c r="AL85" t="e">
        <f>AND(#REF!,"AAAAAH299yU=")</f>
        <v>#REF!</v>
      </c>
      <c r="AM85" t="e">
        <f>AND(#REF!,"AAAAAH299yY=")</f>
        <v>#REF!</v>
      </c>
      <c r="AN85" t="e">
        <f>AND(#REF!,"AAAAAH299yc=")</f>
        <v>#REF!</v>
      </c>
      <c r="AO85" t="e">
        <f>AND(#REF!,"AAAAAH299yg=")</f>
        <v>#REF!</v>
      </c>
      <c r="AP85" t="e">
        <f>AND(#REF!,"AAAAAH299yk=")</f>
        <v>#REF!</v>
      </c>
      <c r="AQ85" t="e">
        <f>AND(#REF!,"AAAAAH299yo=")</f>
        <v>#REF!</v>
      </c>
      <c r="AR85" t="e">
        <f>AND(#REF!,"AAAAAH299ys=")</f>
        <v>#REF!</v>
      </c>
      <c r="AS85" t="e">
        <f>AND(#REF!,"AAAAAH299yw=")</f>
        <v>#REF!</v>
      </c>
      <c r="AT85" t="e">
        <f>AND(#REF!,"AAAAAH299y0=")</f>
        <v>#REF!</v>
      </c>
      <c r="AU85" t="e">
        <f>AND(#REF!,"AAAAAH299y4=")</f>
        <v>#REF!</v>
      </c>
      <c r="AV85" t="e">
        <f>AND(#REF!,"AAAAAH299y8=")</f>
        <v>#REF!</v>
      </c>
      <c r="AW85" t="e">
        <f>AND(#REF!,"AAAAAH299zA=")</f>
        <v>#REF!</v>
      </c>
      <c r="AX85" t="e">
        <f>AND(#REF!,"AAAAAH299zE=")</f>
        <v>#REF!</v>
      </c>
      <c r="AY85" t="e">
        <f>AND(#REF!,"AAAAAH299zI=")</f>
        <v>#REF!</v>
      </c>
      <c r="AZ85" t="e">
        <f>AND(#REF!,"AAAAAH299zM=")</f>
        <v>#REF!</v>
      </c>
      <c r="BA85" t="e">
        <f>AND(#REF!,"AAAAAH299zQ=")</f>
        <v>#REF!</v>
      </c>
      <c r="BB85" t="e">
        <f>AND(#REF!,"AAAAAH299zU=")</f>
        <v>#REF!</v>
      </c>
      <c r="BC85" t="e">
        <f>AND(#REF!,"AAAAAH299zY=")</f>
        <v>#REF!</v>
      </c>
      <c r="BD85" t="e">
        <f>AND(#REF!,"AAAAAH299zc=")</f>
        <v>#REF!</v>
      </c>
      <c r="BE85" t="e">
        <f>AND(#REF!,"AAAAAH299zg=")</f>
        <v>#REF!</v>
      </c>
      <c r="BF85" t="e">
        <f>AND(#REF!,"AAAAAH299zk=")</f>
        <v>#REF!</v>
      </c>
      <c r="BG85" t="e">
        <f>AND(#REF!,"AAAAAH299zo=")</f>
        <v>#REF!</v>
      </c>
      <c r="BH85" t="e">
        <f>AND(#REF!,"AAAAAH299zs=")</f>
        <v>#REF!</v>
      </c>
      <c r="BI85" t="e">
        <f>AND(#REF!,"AAAAAH299zw=")</f>
        <v>#REF!</v>
      </c>
      <c r="BJ85" t="e">
        <f>AND(#REF!,"AAAAAH299z0=")</f>
        <v>#REF!</v>
      </c>
      <c r="BK85" t="e">
        <f>AND(#REF!,"AAAAAH299z4=")</f>
        <v>#REF!</v>
      </c>
      <c r="BL85" t="e">
        <f>AND(#REF!,"AAAAAH299z8=")</f>
        <v>#REF!</v>
      </c>
      <c r="BM85" t="e">
        <f>AND(#REF!,"AAAAAH2990A=")</f>
        <v>#REF!</v>
      </c>
      <c r="BN85" t="e">
        <f>AND(#REF!,"AAAAAH2990E=")</f>
        <v>#REF!</v>
      </c>
      <c r="BO85" t="e">
        <f>AND(#REF!,"AAAAAH2990I=")</f>
        <v>#REF!</v>
      </c>
      <c r="BP85" t="e">
        <f>AND(#REF!,"AAAAAH2990M=")</f>
        <v>#REF!</v>
      </c>
      <c r="BQ85" t="e">
        <f>AND(#REF!,"AAAAAH2990Q=")</f>
        <v>#REF!</v>
      </c>
      <c r="BR85" t="e">
        <f>AND(#REF!,"AAAAAH2990U=")</f>
        <v>#REF!</v>
      </c>
      <c r="BS85" t="e">
        <f>AND(#REF!,"AAAAAH2990Y=")</f>
        <v>#REF!</v>
      </c>
      <c r="BT85" t="e">
        <f>AND(#REF!,"AAAAAH2990c=")</f>
        <v>#REF!</v>
      </c>
      <c r="BU85" t="e">
        <f>AND(#REF!,"AAAAAH2990g=")</f>
        <v>#REF!</v>
      </c>
      <c r="BV85" t="e">
        <f>AND(#REF!,"AAAAAH2990k=")</f>
        <v>#REF!</v>
      </c>
      <c r="BW85" t="e">
        <f>AND(#REF!,"AAAAAH2990o=")</f>
        <v>#REF!</v>
      </c>
      <c r="BX85" t="e">
        <f>AND(#REF!,"AAAAAH2990s=")</f>
        <v>#REF!</v>
      </c>
      <c r="BY85" t="e">
        <f>AND(#REF!,"AAAAAH2990w=")</f>
        <v>#REF!</v>
      </c>
      <c r="BZ85" t="e">
        <f>AND(#REF!,"AAAAAH29900=")</f>
        <v>#REF!</v>
      </c>
      <c r="CA85" t="e">
        <f>AND(#REF!,"AAAAAH29904=")</f>
        <v>#REF!</v>
      </c>
      <c r="CB85" t="e">
        <f>AND(#REF!,"AAAAAH29908=")</f>
        <v>#REF!</v>
      </c>
      <c r="CC85" t="e">
        <f>AND(#REF!,"AAAAAH2991A=")</f>
        <v>#REF!</v>
      </c>
      <c r="CD85" t="e">
        <f>AND(#REF!,"AAAAAH2991E=")</f>
        <v>#REF!</v>
      </c>
      <c r="CE85" t="e">
        <f>AND(#REF!,"AAAAAH2991I=")</f>
        <v>#REF!</v>
      </c>
      <c r="CF85" t="e">
        <f>AND(#REF!,"AAAAAH2991M=")</f>
        <v>#REF!</v>
      </c>
      <c r="CG85" t="e">
        <f>AND(#REF!,"AAAAAH2991Q=")</f>
        <v>#REF!</v>
      </c>
      <c r="CH85" t="e">
        <f>AND(#REF!,"AAAAAH2991U=")</f>
        <v>#REF!</v>
      </c>
      <c r="CI85" t="e">
        <f>AND(#REF!,"AAAAAH2991Y=")</f>
        <v>#REF!</v>
      </c>
      <c r="CJ85" t="e">
        <f>AND(#REF!,"AAAAAH2991c=")</f>
        <v>#REF!</v>
      </c>
      <c r="CK85" t="e">
        <f>AND(#REF!,"AAAAAH2991g=")</f>
        <v>#REF!</v>
      </c>
      <c r="CL85" t="e">
        <f>AND(#REF!,"AAAAAH2991k=")</f>
        <v>#REF!</v>
      </c>
      <c r="CM85" t="e">
        <f>AND(#REF!,"AAAAAH2991o=")</f>
        <v>#REF!</v>
      </c>
      <c r="CN85" t="e">
        <f>AND(#REF!,"AAAAAH2991s=")</f>
        <v>#REF!</v>
      </c>
      <c r="CO85" t="e">
        <f>AND(#REF!,"AAAAAH2991w=")</f>
        <v>#REF!</v>
      </c>
      <c r="CP85" t="e">
        <f>AND(#REF!,"AAAAAH29910=")</f>
        <v>#REF!</v>
      </c>
      <c r="CQ85" t="e">
        <f>AND(#REF!,"AAAAAH29914=")</f>
        <v>#REF!</v>
      </c>
      <c r="CR85" t="e">
        <f>AND(#REF!,"AAAAAH29918=")</f>
        <v>#REF!</v>
      </c>
      <c r="CS85" t="e">
        <f>AND(#REF!,"AAAAAH2992A=")</f>
        <v>#REF!</v>
      </c>
      <c r="CT85" t="e">
        <f>AND(#REF!,"AAAAAH2992E=")</f>
        <v>#REF!</v>
      </c>
      <c r="CU85" t="e">
        <f>AND(#REF!,"AAAAAH2992I=")</f>
        <v>#REF!</v>
      </c>
      <c r="CV85" t="e">
        <f>AND(#REF!,"AAAAAH2992M=")</f>
        <v>#REF!</v>
      </c>
      <c r="CW85" t="e">
        <f>AND(#REF!,"AAAAAH2992Q=")</f>
        <v>#REF!</v>
      </c>
      <c r="CX85" t="e">
        <f>AND(#REF!,"AAAAAH2992U=")</f>
        <v>#REF!</v>
      </c>
      <c r="CY85" t="e">
        <f>AND(#REF!,"AAAAAH2992Y=")</f>
        <v>#REF!</v>
      </c>
      <c r="CZ85" t="e">
        <f>AND(#REF!,"AAAAAH2992c=")</f>
        <v>#REF!</v>
      </c>
      <c r="DA85" t="e">
        <f>AND(#REF!,"AAAAAH2992g=")</f>
        <v>#REF!</v>
      </c>
      <c r="DB85" t="e">
        <f>AND(#REF!,"AAAAAH2992k=")</f>
        <v>#REF!</v>
      </c>
      <c r="DC85" t="e">
        <f>AND(#REF!,"AAAAAH2992o=")</f>
        <v>#REF!</v>
      </c>
      <c r="DD85" t="e">
        <f>AND(#REF!,"AAAAAH2992s=")</f>
        <v>#REF!</v>
      </c>
      <c r="DE85" t="e">
        <f>AND(#REF!,"AAAAAH2992w=")</f>
        <v>#REF!</v>
      </c>
      <c r="DF85" t="e">
        <f>AND(#REF!,"AAAAAH29920=")</f>
        <v>#REF!</v>
      </c>
      <c r="DG85" t="e">
        <f>AND(#REF!,"AAAAAH29924=")</f>
        <v>#REF!</v>
      </c>
      <c r="DH85" t="e">
        <f>AND(#REF!,"AAAAAH29928=")</f>
        <v>#REF!</v>
      </c>
      <c r="DI85" t="e">
        <f>AND(#REF!,"AAAAAH2993A=")</f>
        <v>#REF!</v>
      </c>
      <c r="DJ85" t="e">
        <f>AND(#REF!,"AAAAAH2993E=")</f>
        <v>#REF!</v>
      </c>
      <c r="DK85" t="e">
        <f>AND(#REF!,"AAAAAH2993I=")</f>
        <v>#REF!</v>
      </c>
      <c r="DL85" t="e">
        <f>AND(#REF!,"AAAAAH2993M=")</f>
        <v>#REF!</v>
      </c>
      <c r="DM85" t="e">
        <f>AND(#REF!,"AAAAAH2993Q=")</f>
        <v>#REF!</v>
      </c>
      <c r="DN85" t="e">
        <f>AND(#REF!,"AAAAAH2993U=")</f>
        <v>#REF!</v>
      </c>
      <c r="DO85" t="e">
        <f>AND(#REF!,"AAAAAH2993Y=")</f>
        <v>#REF!</v>
      </c>
      <c r="DP85" t="e">
        <f>AND(#REF!,"AAAAAH2993c=")</f>
        <v>#REF!</v>
      </c>
      <c r="DQ85" t="e">
        <f>AND(#REF!,"AAAAAH2993g=")</f>
        <v>#REF!</v>
      </c>
      <c r="DR85" t="e">
        <f>AND(#REF!,"AAAAAH2993k=")</f>
        <v>#REF!</v>
      </c>
      <c r="DS85" t="e">
        <f>AND(#REF!,"AAAAAH2993o=")</f>
        <v>#REF!</v>
      </c>
      <c r="DT85" t="e">
        <f>AND(#REF!,"AAAAAH2993s=")</f>
        <v>#REF!</v>
      </c>
      <c r="DU85" t="e">
        <f>AND(#REF!,"AAAAAH2993w=")</f>
        <v>#REF!</v>
      </c>
      <c r="DV85" t="e">
        <f>AND(#REF!,"AAAAAH29930=")</f>
        <v>#REF!</v>
      </c>
      <c r="DW85" t="e">
        <f>AND(#REF!,"AAAAAH29934=")</f>
        <v>#REF!</v>
      </c>
      <c r="DX85" t="e">
        <f>AND(#REF!,"AAAAAH29938=")</f>
        <v>#REF!</v>
      </c>
      <c r="DY85" t="e">
        <f>AND(#REF!,"AAAAAH2994A=")</f>
        <v>#REF!</v>
      </c>
      <c r="DZ85" t="e">
        <f>AND(#REF!,"AAAAAH2994E=")</f>
        <v>#REF!</v>
      </c>
      <c r="EA85" t="e">
        <f>AND(#REF!,"AAAAAH2994I=")</f>
        <v>#REF!</v>
      </c>
      <c r="EB85" t="e">
        <f>AND(#REF!,"AAAAAH2994M=")</f>
        <v>#REF!</v>
      </c>
      <c r="EC85" t="e">
        <f>AND(#REF!,"AAAAAH2994Q=")</f>
        <v>#REF!</v>
      </c>
      <c r="ED85" t="e">
        <f>AND(#REF!,"AAAAAH2994U=")</f>
        <v>#REF!</v>
      </c>
      <c r="EE85" t="e">
        <f>AND(#REF!,"AAAAAH2994Y=")</f>
        <v>#REF!</v>
      </c>
      <c r="EF85" t="e">
        <f>AND(#REF!,"AAAAAH2994c=")</f>
        <v>#REF!</v>
      </c>
      <c r="EG85" t="e">
        <f>AND(#REF!,"AAAAAH2994g=")</f>
        <v>#REF!</v>
      </c>
      <c r="EH85" t="e">
        <f>AND(#REF!,"AAAAAH2994k=")</f>
        <v>#REF!</v>
      </c>
      <c r="EI85" t="e">
        <f>AND(#REF!,"AAAAAH2994o=")</f>
        <v>#REF!</v>
      </c>
      <c r="EJ85" t="e">
        <f>AND(#REF!,"AAAAAH2994s=")</f>
        <v>#REF!</v>
      </c>
      <c r="EK85" t="e">
        <f>AND(#REF!,"AAAAAH2994w=")</f>
        <v>#REF!</v>
      </c>
      <c r="EL85" t="e">
        <f>AND(#REF!,"AAAAAH29940=")</f>
        <v>#REF!</v>
      </c>
      <c r="EM85" t="e">
        <f>AND(#REF!,"AAAAAH29944=")</f>
        <v>#REF!</v>
      </c>
      <c r="EN85" t="e">
        <f>AND(#REF!,"AAAAAH29948=")</f>
        <v>#REF!</v>
      </c>
      <c r="EO85" t="e">
        <f>AND(#REF!,"AAAAAH2995A=")</f>
        <v>#REF!</v>
      </c>
      <c r="EP85" t="e">
        <f>AND(#REF!,"AAAAAH2995E=")</f>
        <v>#REF!</v>
      </c>
      <c r="EQ85" t="e">
        <f>AND(#REF!,"AAAAAH2995I=")</f>
        <v>#REF!</v>
      </c>
      <c r="ER85" t="e">
        <f>AND(#REF!,"AAAAAH2995M=")</f>
        <v>#REF!</v>
      </c>
      <c r="ES85" t="e">
        <f>AND(#REF!,"AAAAAH2995Q=")</f>
        <v>#REF!</v>
      </c>
      <c r="ET85" t="e">
        <f>AND(#REF!,"AAAAAH2995U=")</f>
        <v>#REF!</v>
      </c>
      <c r="EU85" t="e">
        <f>AND(#REF!,"AAAAAH2995Y=")</f>
        <v>#REF!</v>
      </c>
      <c r="EV85" t="e">
        <f>AND(#REF!,"AAAAAH2995c=")</f>
        <v>#REF!</v>
      </c>
      <c r="EW85" t="e">
        <f>AND(#REF!,"AAAAAH2995g=")</f>
        <v>#REF!</v>
      </c>
      <c r="EX85" t="e">
        <f>AND(#REF!,"AAAAAH2995k=")</f>
        <v>#REF!</v>
      </c>
      <c r="EY85" t="e">
        <f>AND(#REF!,"AAAAAH2995o=")</f>
        <v>#REF!</v>
      </c>
      <c r="EZ85" t="e">
        <f>AND(#REF!,"AAAAAH2995s=")</f>
        <v>#REF!</v>
      </c>
      <c r="FA85" t="e">
        <f>AND(#REF!,"AAAAAH2995w=")</f>
        <v>#REF!</v>
      </c>
      <c r="FB85" t="e">
        <f>AND(#REF!,"AAAAAH29950=")</f>
        <v>#REF!</v>
      </c>
      <c r="FC85" t="e">
        <f>AND(#REF!,"AAAAAH29954=")</f>
        <v>#REF!</v>
      </c>
      <c r="FD85" t="e">
        <f>AND(#REF!,"AAAAAH29958=")</f>
        <v>#REF!</v>
      </c>
      <c r="FE85" t="e">
        <f>AND(#REF!,"AAAAAH2996A=")</f>
        <v>#REF!</v>
      </c>
      <c r="FF85" t="e">
        <f>AND(#REF!,"AAAAAH2996E=")</f>
        <v>#REF!</v>
      </c>
      <c r="FG85" t="e">
        <f>AND(#REF!,"AAAAAH2996I=")</f>
        <v>#REF!</v>
      </c>
      <c r="FH85" t="e">
        <f>AND(#REF!,"AAAAAH2996M=")</f>
        <v>#REF!</v>
      </c>
      <c r="FI85" t="e">
        <f>AND(#REF!,"AAAAAH2996Q=")</f>
        <v>#REF!</v>
      </c>
      <c r="FJ85" t="e">
        <f>AND(#REF!,"AAAAAH2996U=")</f>
        <v>#REF!</v>
      </c>
      <c r="FK85" t="e">
        <f>AND(#REF!,"AAAAAH2996Y=")</f>
        <v>#REF!</v>
      </c>
      <c r="FL85" t="e">
        <f>AND(#REF!,"AAAAAH2996c=")</f>
        <v>#REF!</v>
      </c>
      <c r="FM85" t="e">
        <f>AND(#REF!,"AAAAAH2996g=")</f>
        <v>#REF!</v>
      </c>
      <c r="FN85" t="e">
        <f>AND(#REF!,"AAAAAH2996k=")</f>
        <v>#REF!</v>
      </c>
      <c r="FO85" t="e">
        <f>AND(#REF!,"AAAAAH2996o=")</f>
        <v>#REF!</v>
      </c>
      <c r="FP85" t="e">
        <f>AND(#REF!,"AAAAAH2996s=")</f>
        <v>#REF!</v>
      </c>
      <c r="FQ85" t="e">
        <f>IF(#REF!,"AAAAAH2996w=",0)</f>
        <v>#REF!</v>
      </c>
      <c r="FR85" t="e">
        <f>AND(#REF!,"AAAAAH29960=")</f>
        <v>#REF!</v>
      </c>
      <c r="FS85" t="e">
        <f>AND(#REF!,"AAAAAH29964=")</f>
        <v>#REF!</v>
      </c>
      <c r="FT85" t="e">
        <f>AND(#REF!,"AAAAAH29968=")</f>
        <v>#REF!</v>
      </c>
      <c r="FU85" t="e">
        <f>AND(#REF!,"AAAAAH2997A=")</f>
        <v>#REF!</v>
      </c>
      <c r="FV85" t="e">
        <f>AND(#REF!,"AAAAAH2997E=")</f>
        <v>#REF!</v>
      </c>
      <c r="FW85" t="e">
        <f>AND(#REF!,"AAAAAH2997I=")</f>
        <v>#REF!</v>
      </c>
      <c r="FX85" t="e">
        <f>AND(#REF!,"AAAAAH2997M=")</f>
        <v>#REF!</v>
      </c>
      <c r="FY85" t="e">
        <f>AND(#REF!,"AAAAAH2997Q=")</f>
        <v>#REF!</v>
      </c>
      <c r="FZ85" t="e">
        <f>AND(#REF!,"AAAAAH2997U=")</f>
        <v>#REF!</v>
      </c>
      <c r="GA85" t="e">
        <f>AND(#REF!,"AAAAAH2997Y=")</f>
        <v>#REF!</v>
      </c>
      <c r="GB85" t="e">
        <f>AND(#REF!,"AAAAAH2997c=")</f>
        <v>#REF!</v>
      </c>
      <c r="GC85" t="e">
        <f>AND(#REF!,"AAAAAH2997g=")</f>
        <v>#REF!</v>
      </c>
      <c r="GD85" t="e">
        <f>AND(#REF!,"AAAAAH2997k=")</f>
        <v>#REF!</v>
      </c>
      <c r="GE85" t="e">
        <f>AND(#REF!,"AAAAAH2997o=")</f>
        <v>#REF!</v>
      </c>
      <c r="GF85" t="e">
        <f>AND(#REF!,"AAAAAH2997s=")</f>
        <v>#REF!</v>
      </c>
      <c r="GG85" t="e">
        <f>AND(#REF!,"AAAAAH2997w=")</f>
        <v>#REF!</v>
      </c>
      <c r="GH85" t="e">
        <f>AND(#REF!,"AAAAAH29970=")</f>
        <v>#REF!</v>
      </c>
      <c r="GI85" t="e">
        <f>AND(#REF!,"AAAAAH29974=")</f>
        <v>#REF!</v>
      </c>
      <c r="GJ85" t="e">
        <f>AND(#REF!,"AAAAAH29978=")</f>
        <v>#REF!</v>
      </c>
      <c r="GK85" t="e">
        <f>AND(#REF!,"AAAAAH2998A=")</f>
        <v>#REF!</v>
      </c>
      <c r="GL85" t="e">
        <f>AND(#REF!,"AAAAAH2998E=")</f>
        <v>#REF!</v>
      </c>
      <c r="GM85" t="e">
        <f>AND(#REF!,"AAAAAH2998I=")</f>
        <v>#REF!</v>
      </c>
      <c r="GN85" t="e">
        <f>AND(#REF!,"AAAAAH2998M=")</f>
        <v>#REF!</v>
      </c>
      <c r="GO85" t="e">
        <f>AND(#REF!,"AAAAAH2998Q=")</f>
        <v>#REF!</v>
      </c>
      <c r="GP85" t="e">
        <f>AND(#REF!,"AAAAAH2998U=")</f>
        <v>#REF!</v>
      </c>
      <c r="GQ85" t="e">
        <f>AND(#REF!,"AAAAAH2998Y=")</f>
        <v>#REF!</v>
      </c>
      <c r="GR85" t="e">
        <f>AND(#REF!,"AAAAAH2998c=")</f>
        <v>#REF!</v>
      </c>
      <c r="GS85" t="e">
        <f>AND(#REF!,"AAAAAH2998g=")</f>
        <v>#REF!</v>
      </c>
      <c r="GT85" t="e">
        <f>AND(#REF!,"AAAAAH2998k=")</f>
        <v>#REF!</v>
      </c>
      <c r="GU85" t="e">
        <f>AND(#REF!,"AAAAAH2998o=")</f>
        <v>#REF!</v>
      </c>
      <c r="GV85" t="e">
        <f>AND(#REF!,"AAAAAH2998s=")</f>
        <v>#REF!</v>
      </c>
      <c r="GW85" t="e">
        <f>AND(#REF!,"AAAAAH2998w=")</f>
        <v>#REF!</v>
      </c>
      <c r="GX85" t="e">
        <f>AND(#REF!,"AAAAAH29980=")</f>
        <v>#REF!</v>
      </c>
      <c r="GY85" t="e">
        <f>AND(#REF!,"AAAAAH29984=")</f>
        <v>#REF!</v>
      </c>
      <c r="GZ85" t="e">
        <f>AND(#REF!,"AAAAAH29988=")</f>
        <v>#REF!</v>
      </c>
      <c r="HA85" t="e">
        <f>AND(#REF!,"AAAAAH2999A=")</f>
        <v>#REF!</v>
      </c>
      <c r="HB85" t="e">
        <f>AND(#REF!,"AAAAAH2999E=")</f>
        <v>#REF!</v>
      </c>
      <c r="HC85" t="e">
        <f>AND(#REF!,"AAAAAH2999I=")</f>
        <v>#REF!</v>
      </c>
      <c r="HD85" t="e">
        <f>AND(#REF!,"AAAAAH2999M=")</f>
        <v>#REF!</v>
      </c>
      <c r="HE85" t="e">
        <f>AND(#REF!,"AAAAAH2999Q=")</f>
        <v>#REF!</v>
      </c>
      <c r="HF85" t="e">
        <f>AND(#REF!,"AAAAAH2999U=")</f>
        <v>#REF!</v>
      </c>
      <c r="HG85" t="e">
        <f>AND(#REF!,"AAAAAH2999Y=")</f>
        <v>#REF!</v>
      </c>
      <c r="HH85" t="e">
        <f>AND(#REF!,"AAAAAH2999c=")</f>
        <v>#REF!</v>
      </c>
      <c r="HI85" t="e">
        <f>AND(#REF!,"AAAAAH2999g=")</f>
        <v>#REF!</v>
      </c>
      <c r="HJ85" t="e">
        <f>AND(#REF!,"AAAAAH2999k=")</f>
        <v>#REF!</v>
      </c>
      <c r="HK85" t="e">
        <f>AND(#REF!,"AAAAAH2999o=")</f>
        <v>#REF!</v>
      </c>
      <c r="HL85" t="e">
        <f>AND(#REF!,"AAAAAH2999s=")</f>
        <v>#REF!</v>
      </c>
      <c r="HM85" t="e">
        <f>AND(#REF!,"AAAAAH2999w=")</f>
        <v>#REF!</v>
      </c>
      <c r="HN85" t="e">
        <f>AND(#REF!,"AAAAAH29990=")</f>
        <v>#REF!</v>
      </c>
      <c r="HO85" t="e">
        <f>AND(#REF!,"AAAAAH29994=")</f>
        <v>#REF!</v>
      </c>
      <c r="HP85" t="e">
        <f>AND(#REF!,"AAAAAH29998=")</f>
        <v>#REF!</v>
      </c>
      <c r="HQ85" t="e">
        <f>AND(#REF!,"AAAAAH299+A=")</f>
        <v>#REF!</v>
      </c>
      <c r="HR85" t="e">
        <f>AND(#REF!,"AAAAAH299+E=")</f>
        <v>#REF!</v>
      </c>
      <c r="HS85" t="e">
        <f>AND(#REF!,"AAAAAH299+I=")</f>
        <v>#REF!</v>
      </c>
      <c r="HT85" t="e">
        <f>AND(#REF!,"AAAAAH299+M=")</f>
        <v>#REF!</v>
      </c>
      <c r="HU85" t="e">
        <f>AND(#REF!,"AAAAAH299+Q=")</f>
        <v>#REF!</v>
      </c>
      <c r="HV85" t="e">
        <f>AND(#REF!,"AAAAAH299+U=")</f>
        <v>#REF!</v>
      </c>
      <c r="HW85" t="e">
        <f>AND(#REF!,"AAAAAH299+Y=")</f>
        <v>#REF!</v>
      </c>
      <c r="HX85" t="e">
        <f>AND(#REF!,"AAAAAH299+c=")</f>
        <v>#REF!</v>
      </c>
      <c r="HY85" t="e">
        <f>AND(#REF!,"AAAAAH299+g=")</f>
        <v>#REF!</v>
      </c>
      <c r="HZ85" t="e">
        <f>AND(#REF!,"AAAAAH299+k=")</f>
        <v>#REF!</v>
      </c>
      <c r="IA85" t="e">
        <f>AND(#REF!,"AAAAAH299+o=")</f>
        <v>#REF!</v>
      </c>
      <c r="IB85" t="e">
        <f>AND(#REF!,"AAAAAH299+s=")</f>
        <v>#REF!</v>
      </c>
      <c r="IC85" t="e">
        <f>AND(#REF!,"AAAAAH299+w=")</f>
        <v>#REF!</v>
      </c>
      <c r="ID85" t="e">
        <f>AND(#REF!,"AAAAAH299+0=")</f>
        <v>#REF!</v>
      </c>
      <c r="IE85" t="e">
        <f>AND(#REF!,"AAAAAH299+4=")</f>
        <v>#REF!</v>
      </c>
      <c r="IF85" t="e">
        <f>AND(#REF!,"AAAAAH299+8=")</f>
        <v>#REF!</v>
      </c>
      <c r="IG85" t="e">
        <f>AND(#REF!,"AAAAAH299/A=")</f>
        <v>#REF!</v>
      </c>
      <c r="IH85" t="e">
        <f>AND(#REF!,"AAAAAH299/E=")</f>
        <v>#REF!</v>
      </c>
      <c r="II85" t="e">
        <f>AND(#REF!,"AAAAAH299/I=")</f>
        <v>#REF!</v>
      </c>
      <c r="IJ85" t="e">
        <f>AND(#REF!,"AAAAAH299/M=")</f>
        <v>#REF!</v>
      </c>
      <c r="IK85" t="e">
        <f>AND(#REF!,"AAAAAH299/Q=")</f>
        <v>#REF!</v>
      </c>
      <c r="IL85" t="e">
        <f>AND(#REF!,"AAAAAH299/U=")</f>
        <v>#REF!</v>
      </c>
      <c r="IM85" t="e">
        <f>AND(#REF!,"AAAAAH299/Y=")</f>
        <v>#REF!</v>
      </c>
      <c r="IN85" t="e">
        <f>AND(#REF!,"AAAAAH299/c=")</f>
        <v>#REF!</v>
      </c>
      <c r="IO85" t="e">
        <f>AND(#REF!,"AAAAAH299/g=")</f>
        <v>#REF!</v>
      </c>
      <c r="IP85" t="e">
        <f>AND(#REF!,"AAAAAH299/k=")</f>
        <v>#REF!</v>
      </c>
      <c r="IQ85" t="e">
        <f>AND(#REF!,"AAAAAH299/o=")</f>
        <v>#REF!</v>
      </c>
      <c r="IR85" t="e">
        <f>AND(#REF!,"AAAAAH299/s=")</f>
        <v>#REF!</v>
      </c>
      <c r="IS85" t="e">
        <f>AND(#REF!,"AAAAAH299/w=")</f>
        <v>#REF!</v>
      </c>
      <c r="IT85" t="e">
        <f>AND(#REF!,"AAAAAH299/0=")</f>
        <v>#REF!</v>
      </c>
      <c r="IU85" t="e">
        <f>AND(#REF!,"AAAAAH299/4=")</f>
        <v>#REF!</v>
      </c>
      <c r="IV85" t="e">
        <f>AND(#REF!,"AAAAAH299/8=")</f>
        <v>#REF!</v>
      </c>
    </row>
    <row r="86" spans="1:256" x14ac:dyDescent="0.25">
      <c r="A86" t="e">
        <f>AND(#REF!,"AAAAAH3NXwA=")</f>
        <v>#REF!</v>
      </c>
      <c r="B86" t="e">
        <f>AND(#REF!,"AAAAAH3NXwE=")</f>
        <v>#REF!</v>
      </c>
      <c r="C86" t="e">
        <f>AND(#REF!,"AAAAAH3NXwI=")</f>
        <v>#REF!</v>
      </c>
      <c r="D86" t="e">
        <f>AND(#REF!,"AAAAAH3NXwM=")</f>
        <v>#REF!</v>
      </c>
      <c r="E86" t="e">
        <f>AND(#REF!,"AAAAAH3NXwQ=")</f>
        <v>#REF!</v>
      </c>
      <c r="F86" t="e">
        <f>AND(#REF!,"AAAAAH3NXwU=")</f>
        <v>#REF!</v>
      </c>
      <c r="G86" t="e">
        <f>AND(#REF!,"AAAAAH3NXwY=")</f>
        <v>#REF!</v>
      </c>
      <c r="H86" t="e">
        <f>AND(#REF!,"AAAAAH3NXwc=")</f>
        <v>#REF!</v>
      </c>
      <c r="I86" t="e">
        <f>AND(#REF!,"AAAAAH3NXwg=")</f>
        <v>#REF!</v>
      </c>
      <c r="J86" t="e">
        <f>AND(#REF!,"AAAAAH3NXwk=")</f>
        <v>#REF!</v>
      </c>
      <c r="K86" t="e">
        <f>AND(#REF!,"AAAAAH3NXwo=")</f>
        <v>#REF!</v>
      </c>
      <c r="L86" t="e">
        <f>AND(#REF!,"AAAAAH3NXws=")</f>
        <v>#REF!</v>
      </c>
      <c r="M86" t="e">
        <f>AND(#REF!,"AAAAAH3NXww=")</f>
        <v>#REF!</v>
      </c>
      <c r="N86" t="e">
        <f>AND(#REF!,"AAAAAH3NXw0=")</f>
        <v>#REF!</v>
      </c>
      <c r="O86" t="e">
        <f>AND(#REF!,"AAAAAH3NXw4=")</f>
        <v>#REF!</v>
      </c>
      <c r="P86" t="e">
        <f>AND(#REF!,"AAAAAH3NXw8=")</f>
        <v>#REF!</v>
      </c>
      <c r="Q86" t="e">
        <f>AND(#REF!,"AAAAAH3NXxA=")</f>
        <v>#REF!</v>
      </c>
      <c r="R86" t="e">
        <f>AND(#REF!,"AAAAAH3NXxE=")</f>
        <v>#REF!</v>
      </c>
      <c r="S86" t="e">
        <f>AND(#REF!,"AAAAAH3NXxI=")</f>
        <v>#REF!</v>
      </c>
      <c r="T86" t="e">
        <f>AND(#REF!,"AAAAAH3NXxM=")</f>
        <v>#REF!</v>
      </c>
      <c r="U86" t="e">
        <f>AND(#REF!,"AAAAAH3NXxQ=")</f>
        <v>#REF!</v>
      </c>
      <c r="V86" t="e">
        <f>AND(#REF!,"AAAAAH3NXxU=")</f>
        <v>#REF!</v>
      </c>
      <c r="W86" t="e">
        <f>AND(#REF!,"AAAAAH3NXxY=")</f>
        <v>#REF!</v>
      </c>
      <c r="X86" t="e">
        <f>AND(#REF!,"AAAAAH3NXxc=")</f>
        <v>#REF!</v>
      </c>
      <c r="Y86" t="e">
        <f>AND(#REF!,"AAAAAH3NXxg=")</f>
        <v>#REF!</v>
      </c>
      <c r="Z86" t="e">
        <f>AND(#REF!,"AAAAAH3NXxk=")</f>
        <v>#REF!</v>
      </c>
      <c r="AA86" t="e">
        <f>AND(#REF!,"AAAAAH3NXxo=")</f>
        <v>#REF!</v>
      </c>
      <c r="AB86" t="e">
        <f>AND(#REF!,"AAAAAH3NXxs=")</f>
        <v>#REF!</v>
      </c>
      <c r="AC86" t="e">
        <f>AND(#REF!,"AAAAAH3NXxw=")</f>
        <v>#REF!</v>
      </c>
      <c r="AD86" t="e">
        <f>AND(#REF!,"AAAAAH3NXx0=")</f>
        <v>#REF!</v>
      </c>
      <c r="AE86" t="e">
        <f>AND(#REF!,"AAAAAH3NXx4=")</f>
        <v>#REF!</v>
      </c>
      <c r="AF86" t="e">
        <f>AND(#REF!,"AAAAAH3NXx8=")</f>
        <v>#REF!</v>
      </c>
      <c r="AG86" t="e">
        <f>AND(#REF!,"AAAAAH3NXyA=")</f>
        <v>#REF!</v>
      </c>
      <c r="AH86" t="e">
        <f>AND(#REF!,"AAAAAH3NXyE=")</f>
        <v>#REF!</v>
      </c>
      <c r="AI86" t="e">
        <f>AND(#REF!,"AAAAAH3NXyI=")</f>
        <v>#REF!</v>
      </c>
      <c r="AJ86" t="e">
        <f>AND(#REF!,"AAAAAH3NXyM=")</f>
        <v>#REF!</v>
      </c>
      <c r="AK86" t="e">
        <f>AND(#REF!,"AAAAAH3NXyQ=")</f>
        <v>#REF!</v>
      </c>
      <c r="AL86" t="e">
        <f>AND(#REF!,"AAAAAH3NXyU=")</f>
        <v>#REF!</v>
      </c>
      <c r="AM86" t="e">
        <f>AND(#REF!,"AAAAAH3NXyY=")</f>
        <v>#REF!</v>
      </c>
      <c r="AN86" t="e">
        <f>AND(#REF!,"AAAAAH3NXyc=")</f>
        <v>#REF!</v>
      </c>
      <c r="AO86" t="e">
        <f>AND(#REF!,"AAAAAH3NXyg=")</f>
        <v>#REF!</v>
      </c>
      <c r="AP86" t="e">
        <f>AND(#REF!,"AAAAAH3NXyk=")</f>
        <v>#REF!</v>
      </c>
      <c r="AQ86" t="e">
        <f>AND(#REF!,"AAAAAH3NXyo=")</f>
        <v>#REF!</v>
      </c>
      <c r="AR86" t="e">
        <f>AND(#REF!,"AAAAAH3NXys=")</f>
        <v>#REF!</v>
      </c>
      <c r="AS86" t="e">
        <f>AND(#REF!,"AAAAAH3NXyw=")</f>
        <v>#REF!</v>
      </c>
      <c r="AT86" t="e">
        <f>AND(#REF!,"AAAAAH3NXy0=")</f>
        <v>#REF!</v>
      </c>
      <c r="AU86" t="e">
        <f>AND(#REF!,"AAAAAH3NXy4=")</f>
        <v>#REF!</v>
      </c>
      <c r="AV86" t="e">
        <f>AND(#REF!,"AAAAAH3NXy8=")</f>
        <v>#REF!</v>
      </c>
      <c r="AW86" t="e">
        <f>AND(#REF!,"AAAAAH3NXzA=")</f>
        <v>#REF!</v>
      </c>
      <c r="AX86" t="e">
        <f>AND(#REF!,"AAAAAH3NXzE=")</f>
        <v>#REF!</v>
      </c>
      <c r="AY86" t="e">
        <f>AND(#REF!,"AAAAAH3NXzI=")</f>
        <v>#REF!</v>
      </c>
      <c r="AZ86" t="e">
        <f>AND(#REF!,"AAAAAH3NXzM=")</f>
        <v>#REF!</v>
      </c>
      <c r="BA86" t="e">
        <f>AND(#REF!,"AAAAAH3NXzQ=")</f>
        <v>#REF!</v>
      </c>
      <c r="BB86" t="e">
        <f>AND(#REF!,"AAAAAH3NXzU=")</f>
        <v>#REF!</v>
      </c>
      <c r="BC86" t="e">
        <f>AND(#REF!,"AAAAAH3NXzY=")</f>
        <v>#REF!</v>
      </c>
      <c r="BD86" t="e">
        <f>AND(#REF!,"AAAAAH3NXzc=")</f>
        <v>#REF!</v>
      </c>
      <c r="BE86" t="e">
        <f>AND(#REF!,"AAAAAH3NXzg=")</f>
        <v>#REF!</v>
      </c>
      <c r="BF86" t="e">
        <f>AND(#REF!,"AAAAAH3NXzk=")</f>
        <v>#REF!</v>
      </c>
      <c r="BG86" t="e">
        <f>AND(#REF!,"AAAAAH3NXzo=")</f>
        <v>#REF!</v>
      </c>
      <c r="BH86" t="e">
        <f>AND(#REF!,"AAAAAH3NXzs=")</f>
        <v>#REF!</v>
      </c>
      <c r="BI86" t="e">
        <f>AND(#REF!,"AAAAAH3NXzw=")</f>
        <v>#REF!</v>
      </c>
      <c r="BJ86" t="e">
        <f>AND(#REF!,"AAAAAH3NXz0=")</f>
        <v>#REF!</v>
      </c>
      <c r="BK86" t="e">
        <f>AND(#REF!,"AAAAAH3NXz4=")</f>
        <v>#REF!</v>
      </c>
      <c r="BL86" t="e">
        <f>AND(#REF!,"AAAAAH3NXz8=")</f>
        <v>#REF!</v>
      </c>
      <c r="BM86" t="e">
        <f>AND(#REF!,"AAAAAH3NX0A=")</f>
        <v>#REF!</v>
      </c>
      <c r="BN86" t="e">
        <f>AND(#REF!,"AAAAAH3NX0E=")</f>
        <v>#REF!</v>
      </c>
      <c r="BO86" t="e">
        <f>AND(#REF!,"AAAAAH3NX0I=")</f>
        <v>#REF!</v>
      </c>
      <c r="BP86" t="e">
        <f>AND(#REF!,"AAAAAH3NX0M=")</f>
        <v>#REF!</v>
      </c>
      <c r="BQ86" t="e">
        <f>AND(#REF!,"AAAAAH3NX0Q=")</f>
        <v>#REF!</v>
      </c>
      <c r="BR86" t="e">
        <f>AND(#REF!,"AAAAAH3NX0U=")</f>
        <v>#REF!</v>
      </c>
      <c r="BS86" t="e">
        <f>AND(#REF!,"AAAAAH3NX0Y=")</f>
        <v>#REF!</v>
      </c>
      <c r="BT86" t="e">
        <f>AND(#REF!,"AAAAAH3NX0c=")</f>
        <v>#REF!</v>
      </c>
      <c r="BU86" t="e">
        <f>AND(#REF!,"AAAAAH3NX0g=")</f>
        <v>#REF!</v>
      </c>
      <c r="BV86" t="e">
        <f>AND(#REF!,"AAAAAH3NX0k=")</f>
        <v>#REF!</v>
      </c>
      <c r="BW86" t="e">
        <f>AND(#REF!,"AAAAAH3NX0o=")</f>
        <v>#REF!</v>
      </c>
      <c r="BX86" t="e">
        <f>AND(#REF!,"AAAAAH3NX0s=")</f>
        <v>#REF!</v>
      </c>
      <c r="BY86" t="e">
        <f>AND(#REF!,"AAAAAH3NX0w=")</f>
        <v>#REF!</v>
      </c>
      <c r="BZ86" t="e">
        <f>AND(#REF!,"AAAAAH3NX00=")</f>
        <v>#REF!</v>
      </c>
      <c r="CA86" t="e">
        <f>AND(#REF!,"AAAAAH3NX04=")</f>
        <v>#REF!</v>
      </c>
      <c r="CB86" t="e">
        <f>AND(#REF!,"AAAAAH3NX08=")</f>
        <v>#REF!</v>
      </c>
      <c r="CC86" t="e">
        <f>AND(#REF!,"AAAAAH3NX1A=")</f>
        <v>#REF!</v>
      </c>
      <c r="CD86" t="e">
        <f>AND(#REF!,"AAAAAH3NX1E=")</f>
        <v>#REF!</v>
      </c>
      <c r="CE86" t="e">
        <f>AND(#REF!,"AAAAAH3NX1I=")</f>
        <v>#REF!</v>
      </c>
      <c r="CF86" t="e">
        <f>AND(#REF!,"AAAAAH3NX1M=")</f>
        <v>#REF!</v>
      </c>
      <c r="CG86" t="e">
        <f>AND(#REF!,"AAAAAH3NX1Q=")</f>
        <v>#REF!</v>
      </c>
      <c r="CH86" t="e">
        <f>AND(#REF!,"AAAAAH3NX1U=")</f>
        <v>#REF!</v>
      </c>
      <c r="CI86" t="e">
        <f>AND(#REF!,"AAAAAH3NX1Y=")</f>
        <v>#REF!</v>
      </c>
      <c r="CJ86" t="e">
        <f>AND(#REF!,"AAAAAH3NX1c=")</f>
        <v>#REF!</v>
      </c>
      <c r="CK86" t="e">
        <f>AND(#REF!,"AAAAAH3NX1g=")</f>
        <v>#REF!</v>
      </c>
      <c r="CL86" t="e">
        <f>AND(#REF!,"AAAAAH3NX1k=")</f>
        <v>#REF!</v>
      </c>
      <c r="CM86" t="e">
        <f>AND(#REF!,"AAAAAH3NX1o=")</f>
        <v>#REF!</v>
      </c>
      <c r="CN86" t="e">
        <f>AND(#REF!,"AAAAAH3NX1s=")</f>
        <v>#REF!</v>
      </c>
      <c r="CO86" t="e">
        <f>AND(#REF!,"AAAAAH3NX1w=")</f>
        <v>#REF!</v>
      </c>
      <c r="CP86" t="e">
        <f>AND(#REF!,"AAAAAH3NX10=")</f>
        <v>#REF!</v>
      </c>
      <c r="CQ86" t="e">
        <f>IF(#REF!,"AAAAAH3NX14=",0)</f>
        <v>#REF!</v>
      </c>
      <c r="CR86" t="e">
        <f>AND(#REF!,"AAAAAH3NX18=")</f>
        <v>#REF!</v>
      </c>
      <c r="CS86" t="e">
        <f>AND(#REF!,"AAAAAH3NX2A=")</f>
        <v>#REF!</v>
      </c>
      <c r="CT86" t="e">
        <f>AND(#REF!,"AAAAAH3NX2E=")</f>
        <v>#REF!</v>
      </c>
      <c r="CU86" t="e">
        <f>AND(#REF!,"AAAAAH3NX2I=")</f>
        <v>#REF!</v>
      </c>
      <c r="CV86" t="e">
        <f>AND(#REF!,"AAAAAH3NX2M=")</f>
        <v>#REF!</v>
      </c>
      <c r="CW86" t="e">
        <f>AND(#REF!,"AAAAAH3NX2Q=")</f>
        <v>#REF!</v>
      </c>
      <c r="CX86" t="e">
        <f>AND(#REF!,"AAAAAH3NX2U=")</f>
        <v>#REF!</v>
      </c>
      <c r="CY86" t="e">
        <f>AND(#REF!,"AAAAAH3NX2Y=")</f>
        <v>#REF!</v>
      </c>
      <c r="CZ86" t="e">
        <f>AND(#REF!,"AAAAAH3NX2c=")</f>
        <v>#REF!</v>
      </c>
      <c r="DA86" t="e">
        <f>AND(#REF!,"AAAAAH3NX2g=")</f>
        <v>#REF!</v>
      </c>
      <c r="DB86" t="e">
        <f>AND(#REF!,"AAAAAH3NX2k=")</f>
        <v>#REF!</v>
      </c>
      <c r="DC86" t="e">
        <f>AND(#REF!,"AAAAAH3NX2o=")</f>
        <v>#REF!</v>
      </c>
      <c r="DD86" t="e">
        <f>AND(#REF!,"AAAAAH3NX2s=")</f>
        <v>#REF!</v>
      </c>
      <c r="DE86" t="e">
        <f>AND(#REF!,"AAAAAH3NX2w=")</f>
        <v>#REF!</v>
      </c>
      <c r="DF86" t="e">
        <f>AND(#REF!,"AAAAAH3NX20=")</f>
        <v>#REF!</v>
      </c>
      <c r="DG86" t="e">
        <f>AND(#REF!,"AAAAAH3NX24=")</f>
        <v>#REF!</v>
      </c>
      <c r="DH86" t="e">
        <f>AND(#REF!,"AAAAAH3NX28=")</f>
        <v>#REF!</v>
      </c>
      <c r="DI86" t="e">
        <f>AND(#REF!,"AAAAAH3NX3A=")</f>
        <v>#REF!</v>
      </c>
      <c r="DJ86" t="e">
        <f>AND(#REF!,"AAAAAH3NX3E=")</f>
        <v>#REF!</v>
      </c>
      <c r="DK86" t="e">
        <f>AND(#REF!,"AAAAAH3NX3I=")</f>
        <v>#REF!</v>
      </c>
      <c r="DL86" t="e">
        <f>AND(#REF!,"AAAAAH3NX3M=")</f>
        <v>#REF!</v>
      </c>
      <c r="DM86" t="e">
        <f>AND(#REF!,"AAAAAH3NX3Q=")</f>
        <v>#REF!</v>
      </c>
      <c r="DN86" t="e">
        <f>AND(#REF!,"AAAAAH3NX3U=")</f>
        <v>#REF!</v>
      </c>
      <c r="DO86" t="e">
        <f>AND(#REF!,"AAAAAH3NX3Y=")</f>
        <v>#REF!</v>
      </c>
      <c r="DP86" t="e">
        <f>AND(#REF!,"AAAAAH3NX3c=")</f>
        <v>#REF!</v>
      </c>
      <c r="DQ86" t="e">
        <f>AND(#REF!,"AAAAAH3NX3g=")</f>
        <v>#REF!</v>
      </c>
      <c r="DR86" t="e">
        <f>AND(#REF!,"AAAAAH3NX3k=")</f>
        <v>#REF!</v>
      </c>
      <c r="DS86" t="e">
        <f>AND(#REF!,"AAAAAH3NX3o=")</f>
        <v>#REF!</v>
      </c>
      <c r="DT86" t="e">
        <f>AND(#REF!,"AAAAAH3NX3s=")</f>
        <v>#REF!</v>
      </c>
      <c r="DU86" t="e">
        <f>AND(#REF!,"AAAAAH3NX3w=")</f>
        <v>#REF!</v>
      </c>
      <c r="DV86" t="e">
        <f>AND(#REF!,"AAAAAH3NX30=")</f>
        <v>#REF!</v>
      </c>
      <c r="DW86" t="e">
        <f>AND(#REF!,"AAAAAH3NX34=")</f>
        <v>#REF!</v>
      </c>
      <c r="DX86" t="e">
        <f>AND(#REF!,"AAAAAH3NX38=")</f>
        <v>#REF!</v>
      </c>
      <c r="DY86" t="e">
        <f>AND(#REF!,"AAAAAH3NX4A=")</f>
        <v>#REF!</v>
      </c>
      <c r="DZ86" t="e">
        <f>AND(#REF!,"AAAAAH3NX4E=")</f>
        <v>#REF!</v>
      </c>
      <c r="EA86" t="e">
        <f>AND(#REF!,"AAAAAH3NX4I=")</f>
        <v>#REF!</v>
      </c>
      <c r="EB86" t="e">
        <f>AND(#REF!,"AAAAAH3NX4M=")</f>
        <v>#REF!</v>
      </c>
      <c r="EC86" t="e">
        <f>AND(#REF!,"AAAAAH3NX4Q=")</f>
        <v>#REF!</v>
      </c>
      <c r="ED86" t="e">
        <f>AND(#REF!,"AAAAAH3NX4U=")</f>
        <v>#REF!</v>
      </c>
      <c r="EE86" t="e">
        <f>AND(#REF!,"AAAAAH3NX4Y=")</f>
        <v>#REF!</v>
      </c>
      <c r="EF86" t="e">
        <f>AND(#REF!,"AAAAAH3NX4c=")</f>
        <v>#REF!</v>
      </c>
      <c r="EG86" t="e">
        <f>AND(#REF!,"AAAAAH3NX4g=")</f>
        <v>#REF!</v>
      </c>
      <c r="EH86" t="e">
        <f>AND(#REF!,"AAAAAH3NX4k=")</f>
        <v>#REF!</v>
      </c>
      <c r="EI86" t="e">
        <f>AND(#REF!,"AAAAAH3NX4o=")</f>
        <v>#REF!</v>
      </c>
      <c r="EJ86" t="e">
        <f>AND(#REF!,"AAAAAH3NX4s=")</f>
        <v>#REF!</v>
      </c>
      <c r="EK86" t="e">
        <f>AND(#REF!,"AAAAAH3NX4w=")</f>
        <v>#REF!</v>
      </c>
      <c r="EL86" t="e">
        <f>AND(#REF!,"AAAAAH3NX40=")</f>
        <v>#REF!</v>
      </c>
      <c r="EM86" t="e">
        <f>AND(#REF!,"AAAAAH3NX44=")</f>
        <v>#REF!</v>
      </c>
      <c r="EN86" t="e">
        <f>AND(#REF!,"AAAAAH3NX48=")</f>
        <v>#REF!</v>
      </c>
      <c r="EO86" t="e">
        <f>AND(#REF!,"AAAAAH3NX5A=")</f>
        <v>#REF!</v>
      </c>
      <c r="EP86" t="e">
        <f>AND(#REF!,"AAAAAH3NX5E=")</f>
        <v>#REF!</v>
      </c>
      <c r="EQ86" t="e">
        <f>AND(#REF!,"AAAAAH3NX5I=")</f>
        <v>#REF!</v>
      </c>
      <c r="ER86" t="e">
        <f>AND(#REF!,"AAAAAH3NX5M=")</f>
        <v>#REF!</v>
      </c>
      <c r="ES86" t="e">
        <f>AND(#REF!,"AAAAAH3NX5Q=")</f>
        <v>#REF!</v>
      </c>
      <c r="ET86" t="e">
        <f>AND(#REF!,"AAAAAH3NX5U=")</f>
        <v>#REF!</v>
      </c>
      <c r="EU86" t="e">
        <f>AND(#REF!,"AAAAAH3NX5Y=")</f>
        <v>#REF!</v>
      </c>
      <c r="EV86" t="e">
        <f>AND(#REF!,"AAAAAH3NX5c=")</f>
        <v>#REF!</v>
      </c>
      <c r="EW86" t="e">
        <f>AND(#REF!,"AAAAAH3NX5g=")</f>
        <v>#REF!</v>
      </c>
      <c r="EX86" t="e">
        <f>AND(#REF!,"AAAAAH3NX5k=")</f>
        <v>#REF!</v>
      </c>
      <c r="EY86" t="e">
        <f>AND(#REF!,"AAAAAH3NX5o=")</f>
        <v>#REF!</v>
      </c>
      <c r="EZ86" t="e">
        <f>AND(#REF!,"AAAAAH3NX5s=")</f>
        <v>#REF!</v>
      </c>
      <c r="FA86" t="e">
        <f>AND(#REF!,"AAAAAH3NX5w=")</f>
        <v>#REF!</v>
      </c>
      <c r="FB86" t="e">
        <f>AND(#REF!,"AAAAAH3NX50=")</f>
        <v>#REF!</v>
      </c>
      <c r="FC86" t="e">
        <f>AND(#REF!,"AAAAAH3NX54=")</f>
        <v>#REF!</v>
      </c>
      <c r="FD86" t="e">
        <f>AND(#REF!,"AAAAAH3NX58=")</f>
        <v>#REF!</v>
      </c>
      <c r="FE86" t="e">
        <f>AND(#REF!,"AAAAAH3NX6A=")</f>
        <v>#REF!</v>
      </c>
      <c r="FF86" t="e">
        <f>AND(#REF!,"AAAAAH3NX6E=")</f>
        <v>#REF!</v>
      </c>
      <c r="FG86" t="e">
        <f>AND(#REF!,"AAAAAH3NX6I=")</f>
        <v>#REF!</v>
      </c>
      <c r="FH86" t="e">
        <f>AND(#REF!,"AAAAAH3NX6M=")</f>
        <v>#REF!</v>
      </c>
      <c r="FI86" t="e">
        <f>AND(#REF!,"AAAAAH3NX6Q=")</f>
        <v>#REF!</v>
      </c>
      <c r="FJ86" t="e">
        <f>AND(#REF!,"AAAAAH3NX6U=")</f>
        <v>#REF!</v>
      </c>
      <c r="FK86" t="e">
        <f>AND(#REF!,"AAAAAH3NX6Y=")</f>
        <v>#REF!</v>
      </c>
      <c r="FL86" t="e">
        <f>AND(#REF!,"AAAAAH3NX6c=")</f>
        <v>#REF!</v>
      </c>
      <c r="FM86" t="e">
        <f>AND(#REF!,"AAAAAH3NX6g=")</f>
        <v>#REF!</v>
      </c>
      <c r="FN86" t="e">
        <f>AND(#REF!,"AAAAAH3NX6k=")</f>
        <v>#REF!</v>
      </c>
      <c r="FO86" t="e">
        <f>AND(#REF!,"AAAAAH3NX6o=")</f>
        <v>#REF!</v>
      </c>
      <c r="FP86" t="e">
        <f>AND(#REF!,"AAAAAH3NX6s=")</f>
        <v>#REF!</v>
      </c>
      <c r="FQ86" t="e">
        <f>AND(#REF!,"AAAAAH3NX6w=")</f>
        <v>#REF!</v>
      </c>
      <c r="FR86" t="e">
        <f>AND(#REF!,"AAAAAH3NX60=")</f>
        <v>#REF!</v>
      </c>
      <c r="FS86" t="e">
        <f>AND(#REF!,"AAAAAH3NX64=")</f>
        <v>#REF!</v>
      </c>
      <c r="FT86" t="e">
        <f>AND(#REF!,"AAAAAH3NX68=")</f>
        <v>#REF!</v>
      </c>
      <c r="FU86" t="e">
        <f>AND(#REF!,"AAAAAH3NX7A=")</f>
        <v>#REF!</v>
      </c>
      <c r="FV86" t="e">
        <f>AND(#REF!,"AAAAAH3NX7E=")</f>
        <v>#REF!</v>
      </c>
      <c r="FW86" t="e">
        <f>AND(#REF!,"AAAAAH3NX7I=")</f>
        <v>#REF!</v>
      </c>
      <c r="FX86" t="e">
        <f>AND(#REF!,"AAAAAH3NX7M=")</f>
        <v>#REF!</v>
      </c>
      <c r="FY86" t="e">
        <f>AND(#REF!,"AAAAAH3NX7Q=")</f>
        <v>#REF!</v>
      </c>
      <c r="FZ86" t="e">
        <f>AND(#REF!,"AAAAAH3NX7U=")</f>
        <v>#REF!</v>
      </c>
      <c r="GA86" t="e">
        <f>AND(#REF!,"AAAAAH3NX7Y=")</f>
        <v>#REF!</v>
      </c>
      <c r="GB86" t="e">
        <f>AND(#REF!,"AAAAAH3NX7c=")</f>
        <v>#REF!</v>
      </c>
      <c r="GC86" t="e">
        <f>AND(#REF!,"AAAAAH3NX7g=")</f>
        <v>#REF!</v>
      </c>
      <c r="GD86" t="e">
        <f>AND(#REF!,"AAAAAH3NX7k=")</f>
        <v>#REF!</v>
      </c>
      <c r="GE86" t="e">
        <f>AND(#REF!,"AAAAAH3NX7o=")</f>
        <v>#REF!</v>
      </c>
      <c r="GF86" t="e">
        <f>AND(#REF!,"AAAAAH3NX7s=")</f>
        <v>#REF!</v>
      </c>
      <c r="GG86" t="e">
        <f>AND(#REF!,"AAAAAH3NX7w=")</f>
        <v>#REF!</v>
      </c>
      <c r="GH86" t="e">
        <f>AND(#REF!,"AAAAAH3NX70=")</f>
        <v>#REF!</v>
      </c>
      <c r="GI86" t="e">
        <f>AND(#REF!,"AAAAAH3NX74=")</f>
        <v>#REF!</v>
      </c>
      <c r="GJ86" t="e">
        <f>AND(#REF!,"AAAAAH3NX78=")</f>
        <v>#REF!</v>
      </c>
      <c r="GK86" t="e">
        <f>AND(#REF!,"AAAAAH3NX8A=")</f>
        <v>#REF!</v>
      </c>
      <c r="GL86" t="e">
        <f>AND(#REF!,"AAAAAH3NX8E=")</f>
        <v>#REF!</v>
      </c>
      <c r="GM86" t="e">
        <f>AND(#REF!,"AAAAAH3NX8I=")</f>
        <v>#REF!</v>
      </c>
      <c r="GN86" t="e">
        <f>AND(#REF!,"AAAAAH3NX8M=")</f>
        <v>#REF!</v>
      </c>
      <c r="GO86" t="e">
        <f>AND(#REF!,"AAAAAH3NX8Q=")</f>
        <v>#REF!</v>
      </c>
      <c r="GP86" t="e">
        <f>AND(#REF!,"AAAAAH3NX8U=")</f>
        <v>#REF!</v>
      </c>
      <c r="GQ86" t="e">
        <f>AND(#REF!,"AAAAAH3NX8Y=")</f>
        <v>#REF!</v>
      </c>
      <c r="GR86" t="e">
        <f>AND(#REF!,"AAAAAH3NX8c=")</f>
        <v>#REF!</v>
      </c>
      <c r="GS86" t="e">
        <f>AND(#REF!,"AAAAAH3NX8g=")</f>
        <v>#REF!</v>
      </c>
      <c r="GT86" t="e">
        <f>AND(#REF!,"AAAAAH3NX8k=")</f>
        <v>#REF!</v>
      </c>
      <c r="GU86" t="e">
        <f>AND(#REF!,"AAAAAH3NX8o=")</f>
        <v>#REF!</v>
      </c>
      <c r="GV86" t="e">
        <f>AND(#REF!,"AAAAAH3NX8s=")</f>
        <v>#REF!</v>
      </c>
      <c r="GW86" t="e">
        <f>AND(#REF!,"AAAAAH3NX8w=")</f>
        <v>#REF!</v>
      </c>
      <c r="GX86" t="e">
        <f>AND(#REF!,"AAAAAH3NX80=")</f>
        <v>#REF!</v>
      </c>
      <c r="GY86" t="e">
        <f>AND(#REF!,"AAAAAH3NX84=")</f>
        <v>#REF!</v>
      </c>
      <c r="GZ86" t="e">
        <f>AND(#REF!,"AAAAAH3NX88=")</f>
        <v>#REF!</v>
      </c>
      <c r="HA86" t="e">
        <f>AND(#REF!,"AAAAAH3NX9A=")</f>
        <v>#REF!</v>
      </c>
      <c r="HB86" t="e">
        <f>AND(#REF!,"AAAAAH3NX9E=")</f>
        <v>#REF!</v>
      </c>
      <c r="HC86" t="e">
        <f>AND(#REF!,"AAAAAH3NX9I=")</f>
        <v>#REF!</v>
      </c>
      <c r="HD86" t="e">
        <f>AND(#REF!,"AAAAAH3NX9M=")</f>
        <v>#REF!</v>
      </c>
      <c r="HE86" t="e">
        <f>AND(#REF!,"AAAAAH3NX9Q=")</f>
        <v>#REF!</v>
      </c>
      <c r="HF86" t="e">
        <f>AND(#REF!,"AAAAAH3NX9U=")</f>
        <v>#REF!</v>
      </c>
      <c r="HG86" t="e">
        <f>AND(#REF!,"AAAAAH3NX9Y=")</f>
        <v>#REF!</v>
      </c>
      <c r="HH86" t="e">
        <f>AND(#REF!,"AAAAAH3NX9c=")</f>
        <v>#REF!</v>
      </c>
      <c r="HI86" t="e">
        <f>AND(#REF!,"AAAAAH3NX9g=")</f>
        <v>#REF!</v>
      </c>
      <c r="HJ86" t="e">
        <f>AND(#REF!,"AAAAAH3NX9k=")</f>
        <v>#REF!</v>
      </c>
      <c r="HK86" t="e">
        <f>AND(#REF!,"AAAAAH3NX9o=")</f>
        <v>#REF!</v>
      </c>
      <c r="HL86" t="e">
        <f>AND(#REF!,"AAAAAH3NX9s=")</f>
        <v>#REF!</v>
      </c>
      <c r="HM86" t="e">
        <f>AND(#REF!,"AAAAAH3NX9w=")</f>
        <v>#REF!</v>
      </c>
      <c r="HN86" t="e">
        <f>AND(#REF!,"AAAAAH3NX90=")</f>
        <v>#REF!</v>
      </c>
      <c r="HO86" t="e">
        <f>AND(#REF!,"AAAAAH3NX94=")</f>
        <v>#REF!</v>
      </c>
      <c r="HP86" t="e">
        <f>AND(#REF!,"AAAAAH3NX98=")</f>
        <v>#REF!</v>
      </c>
      <c r="HQ86" t="e">
        <f>AND(#REF!,"AAAAAH3NX+A=")</f>
        <v>#REF!</v>
      </c>
      <c r="HR86" t="e">
        <f>AND(#REF!,"AAAAAH3NX+E=")</f>
        <v>#REF!</v>
      </c>
      <c r="HS86" t="e">
        <f>AND(#REF!,"AAAAAH3NX+I=")</f>
        <v>#REF!</v>
      </c>
      <c r="HT86" t="e">
        <f>AND(#REF!,"AAAAAH3NX+M=")</f>
        <v>#REF!</v>
      </c>
      <c r="HU86" t="e">
        <f>AND(#REF!,"AAAAAH3NX+Q=")</f>
        <v>#REF!</v>
      </c>
      <c r="HV86" t="e">
        <f>AND(#REF!,"AAAAAH3NX+U=")</f>
        <v>#REF!</v>
      </c>
      <c r="HW86" t="e">
        <f>AND(#REF!,"AAAAAH3NX+Y=")</f>
        <v>#REF!</v>
      </c>
      <c r="HX86" t="e">
        <f>AND(#REF!,"AAAAAH3NX+c=")</f>
        <v>#REF!</v>
      </c>
      <c r="HY86" t="e">
        <f>AND(#REF!,"AAAAAH3NX+g=")</f>
        <v>#REF!</v>
      </c>
      <c r="HZ86" t="e">
        <f>AND(#REF!,"AAAAAH3NX+k=")</f>
        <v>#REF!</v>
      </c>
      <c r="IA86" t="e">
        <f>AND(#REF!,"AAAAAH3NX+o=")</f>
        <v>#REF!</v>
      </c>
      <c r="IB86" t="e">
        <f>AND(#REF!,"AAAAAH3NX+s=")</f>
        <v>#REF!</v>
      </c>
      <c r="IC86" t="e">
        <f>AND(#REF!,"AAAAAH3NX+w=")</f>
        <v>#REF!</v>
      </c>
      <c r="ID86" t="e">
        <f>AND(#REF!,"AAAAAH3NX+0=")</f>
        <v>#REF!</v>
      </c>
      <c r="IE86" t="e">
        <f>AND(#REF!,"AAAAAH3NX+4=")</f>
        <v>#REF!</v>
      </c>
      <c r="IF86" t="e">
        <f>AND(#REF!,"AAAAAH3NX+8=")</f>
        <v>#REF!</v>
      </c>
      <c r="IG86" t="e">
        <f>AND(#REF!,"AAAAAH3NX/A=")</f>
        <v>#REF!</v>
      </c>
      <c r="IH86" t="e">
        <f>AND(#REF!,"AAAAAH3NX/E=")</f>
        <v>#REF!</v>
      </c>
      <c r="II86" t="e">
        <f>AND(#REF!,"AAAAAH3NX/I=")</f>
        <v>#REF!</v>
      </c>
      <c r="IJ86" t="e">
        <f>AND(#REF!,"AAAAAH3NX/M=")</f>
        <v>#REF!</v>
      </c>
      <c r="IK86" t="e">
        <f>AND(#REF!,"AAAAAH3NX/Q=")</f>
        <v>#REF!</v>
      </c>
      <c r="IL86" t="e">
        <f>AND(#REF!,"AAAAAH3NX/U=")</f>
        <v>#REF!</v>
      </c>
      <c r="IM86" t="e">
        <f>AND(#REF!,"AAAAAH3NX/Y=")</f>
        <v>#REF!</v>
      </c>
      <c r="IN86" t="e">
        <f>AND(#REF!,"AAAAAH3NX/c=")</f>
        <v>#REF!</v>
      </c>
      <c r="IO86" t="e">
        <f>AND(#REF!,"AAAAAH3NX/g=")</f>
        <v>#REF!</v>
      </c>
      <c r="IP86" t="e">
        <f>AND(#REF!,"AAAAAH3NX/k=")</f>
        <v>#REF!</v>
      </c>
      <c r="IQ86" t="e">
        <f>AND(#REF!,"AAAAAH3NX/o=")</f>
        <v>#REF!</v>
      </c>
      <c r="IR86" t="e">
        <f>AND(#REF!,"AAAAAH3NX/s=")</f>
        <v>#REF!</v>
      </c>
      <c r="IS86" t="e">
        <f>AND(#REF!,"AAAAAH3NX/w=")</f>
        <v>#REF!</v>
      </c>
      <c r="IT86" t="e">
        <f>AND(#REF!,"AAAAAH3NX/0=")</f>
        <v>#REF!</v>
      </c>
      <c r="IU86" t="e">
        <f>AND(#REF!,"AAAAAH3NX/4=")</f>
        <v>#REF!</v>
      </c>
      <c r="IV86" t="e">
        <f>AND(#REF!,"AAAAAH3NX/8=")</f>
        <v>#REF!</v>
      </c>
    </row>
    <row r="87" spans="1:256" x14ac:dyDescent="0.25">
      <c r="A87" t="e">
        <f>AND(#REF!,"AAAAADvzVgA=")</f>
        <v>#REF!</v>
      </c>
      <c r="B87" t="e">
        <f>AND(#REF!,"AAAAADvzVgE=")</f>
        <v>#REF!</v>
      </c>
      <c r="C87" t="e">
        <f>AND(#REF!,"AAAAADvzVgI=")</f>
        <v>#REF!</v>
      </c>
      <c r="D87" t="e">
        <f>AND(#REF!,"AAAAADvzVgM=")</f>
        <v>#REF!</v>
      </c>
      <c r="E87" t="e">
        <f>AND(#REF!,"AAAAADvzVgQ=")</f>
        <v>#REF!</v>
      </c>
      <c r="F87" t="e">
        <f>AND(#REF!,"AAAAADvzVgU=")</f>
        <v>#REF!</v>
      </c>
      <c r="G87" t="e">
        <f>AND(#REF!,"AAAAADvzVgY=")</f>
        <v>#REF!</v>
      </c>
      <c r="H87" t="e">
        <f>AND(#REF!,"AAAAADvzVgc=")</f>
        <v>#REF!</v>
      </c>
      <c r="I87" t="e">
        <f>AND(#REF!,"AAAAADvzVgg=")</f>
        <v>#REF!</v>
      </c>
      <c r="J87" t="e">
        <f>AND(#REF!,"AAAAADvzVgk=")</f>
        <v>#REF!</v>
      </c>
      <c r="K87" t="e">
        <f>AND(#REF!,"AAAAADvzVgo=")</f>
        <v>#REF!</v>
      </c>
      <c r="L87" t="e">
        <f>AND(#REF!,"AAAAADvzVgs=")</f>
        <v>#REF!</v>
      </c>
      <c r="M87" t="e">
        <f>AND(#REF!,"AAAAADvzVgw=")</f>
        <v>#REF!</v>
      </c>
      <c r="N87" t="e">
        <f>AND(#REF!,"AAAAADvzVg0=")</f>
        <v>#REF!</v>
      </c>
      <c r="O87" t="e">
        <f>AND(#REF!,"AAAAADvzVg4=")</f>
        <v>#REF!</v>
      </c>
      <c r="P87" t="e">
        <f>AND(#REF!,"AAAAADvzVg8=")</f>
        <v>#REF!</v>
      </c>
      <c r="Q87" t="e">
        <f>IF(#REF!,"AAAAADvzVhA=",0)</f>
        <v>#REF!</v>
      </c>
      <c r="R87" t="e">
        <f>AND(#REF!,"AAAAADvzVhE=")</f>
        <v>#REF!</v>
      </c>
      <c r="S87" t="e">
        <f>AND(#REF!,"AAAAADvzVhI=")</f>
        <v>#REF!</v>
      </c>
      <c r="T87" t="e">
        <f>AND(#REF!,"AAAAADvzVhM=")</f>
        <v>#REF!</v>
      </c>
      <c r="U87" t="e">
        <f>AND(#REF!,"AAAAADvzVhQ=")</f>
        <v>#REF!</v>
      </c>
      <c r="V87" t="e">
        <f>AND(#REF!,"AAAAADvzVhU=")</f>
        <v>#REF!</v>
      </c>
      <c r="W87" t="e">
        <f>AND(#REF!,"AAAAADvzVhY=")</f>
        <v>#REF!</v>
      </c>
      <c r="X87" t="e">
        <f>AND(#REF!,"AAAAADvzVhc=")</f>
        <v>#REF!</v>
      </c>
      <c r="Y87" t="e">
        <f>AND(#REF!,"AAAAADvzVhg=")</f>
        <v>#REF!</v>
      </c>
      <c r="Z87" t="e">
        <f>AND(#REF!,"AAAAADvzVhk=")</f>
        <v>#REF!</v>
      </c>
      <c r="AA87" t="e">
        <f>AND(#REF!,"AAAAADvzVho=")</f>
        <v>#REF!</v>
      </c>
      <c r="AB87" t="e">
        <f>AND(#REF!,"AAAAADvzVhs=")</f>
        <v>#REF!</v>
      </c>
      <c r="AC87" t="e">
        <f>AND(#REF!,"AAAAADvzVhw=")</f>
        <v>#REF!</v>
      </c>
      <c r="AD87" t="e">
        <f>AND(#REF!,"AAAAADvzVh0=")</f>
        <v>#REF!</v>
      </c>
      <c r="AE87" t="e">
        <f>AND(#REF!,"AAAAADvzVh4=")</f>
        <v>#REF!</v>
      </c>
      <c r="AF87" t="e">
        <f>AND(#REF!,"AAAAADvzVh8=")</f>
        <v>#REF!</v>
      </c>
      <c r="AG87" t="e">
        <f>AND(#REF!,"AAAAADvzViA=")</f>
        <v>#REF!</v>
      </c>
      <c r="AH87" t="e">
        <f>AND(#REF!,"AAAAADvzViE=")</f>
        <v>#REF!</v>
      </c>
      <c r="AI87" t="e">
        <f>AND(#REF!,"AAAAADvzViI=")</f>
        <v>#REF!</v>
      </c>
      <c r="AJ87" t="e">
        <f>AND(#REF!,"AAAAADvzViM=")</f>
        <v>#REF!</v>
      </c>
      <c r="AK87" t="e">
        <f>AND(#REF!,"AAAAADvzViQ=")</f>
        <v>#REF!</v>
      </c>
      <c r="AL87" t="e">
        <f>AND(#REF!,"AAAAADvzViU=")</f>
        <v>#REF!</v>
      </c>
      <c r="AM87" t="e">
        <f>AND(#REF!,"AAAAADvzViY=")</f>
        <v>#REF!</v>
      </c>
      <c r="AN87" t="e">
        <f>AND(#REF!,"AAAAADvzVic=")</f>
        <v>#REF!</v>
      </c>
      <c r="AO87" t="e">
        <f>AND(#REF!,"AAAAADvzVig=")</f>
        <v>#REF!</v>
      </c>
      <c r="AP87" t="e">
        <f>AND(#REF!,"AAAAADvzVik=")</f>
        <v>#REF!</v>
      </c>
      <c r="AQ87" t="e">
        <f>AND(#REF!,"AAAAADvzVio=")</f>
        <v>#REF!</v>
      </c>
      <c r="AR87" t="e">
        <f>AND(#REF!,"AAAAADvzVis=")</f>
        <v>#REF!</v>
      </c>
      <c r="AS87" t="e">
        <f>AND(#REF!,"AAAAADvzViw=")</f>
        <v>#REF!</v>
      </c>
      <c r="AT87" t="e">
        <f>AND(#REF!,"AAAAADvzVi0=")</f>
        <v>#REF!</v>
      </c>
      <c r="AU87" t="e">
        <f>AND(#REF!,"AAAAADvzVi4=")</f>
        <v>#REF!</v>
      </c>
      <c r="AV87" t="e">
        <f>AND(#REF!,"AAAAADvzVi8=")</f>
        <v>#REF!</v>
      </c>
      <c r="AW87" t="e">
        <f>AND(#REF!,"AAAAADvzVjA=")</f>
        <v>#REF!</v>
      </c>
      <c r="AX87" t="e">
        <f>AND(#REF!,"AAAAADvzVjE=")</f>
        <v>#REF!</v>
      </c>
      <c r="AY87" t="e">
        <f>AND(#REF!,"AAAAADvzVjI=")</f>
        <v>#REF!</v>
      </c>
      <c r="AZ87" t="e">
        <f>AND(#REF!,"AAAAADvzVjM=")</f>
        <v>#REF!</v>
      </c>
      <c r="BA87" t="e">
        <f>AND(#REF!,"AAAAADvzVjQ=")</f>
        <v>#REF!</v>
      </c>
      <c r="BB87" t="e">
        <f>AND(#REF!,"AAAAADvzVjU=")</f>
        <v>#REF!</v>
      </c>
      <c r="BC87" t="e">
        <f>AND(#REF!,"AAAAADvzVjY=")</f>
        <v>#REF!</v>
      </c>
      <c r="BD87" t="e">
        <f>AND(#REF!,"AAAAADvzVjc=")</f>
        <v>#REF!</v>
      </c>
      <c r="BE87" t="e">
        <f>AND(#REF!,"AAAAADvzVjg=")</f>
        <v>#REF!</v>
      </c>
      <c r="BF87" t="e">
        <f>AND(#REF!,"AAAAADvzVjk=")</f>
        <v>#REF!</v>
      </c>
      <c r="BG87" t="e">
        <f>AND(#REF!,"AAAAADvzVjo=")</f>
        <v>#REF!</v>
      </c>
      <c r="BH87" t="e">
        <f>AND(#REF!,"AAAAADvzVjs=")</f>
        <v>#REF!</v>
      </c>
      <c r="BI87" t="e">
        <f>AND(#REF!,"AAAAADvzVjw=")</f>
        <v>#REF!</v>
      </c>
      <c r="BJ87" t="e">
        <f>AND(#REF!,"AAAAADvzVj0=")</f>
        <v>#REF!</v>
      </c>
      <c r="BK87" t="e">
        <f>AND(#REF!,"AAAAADvzVj4=")</f>
        <v>#REF!</v>
      </c>
      <c r="BL87" t="e">
        <f>AND(#REF!,"AAAAADvzVj8=")</f>
        <v>#REF!</v>
      </c>
      <c r="BM87" t="e">
        <f>AND(#REF!,"AAAAADvzVkA=")</f>
        <v>#REF!</v>
      </c>
      <c r="BN87" t="e">
        <f>AND(#REF!,"AAAAADvzVkE=")</f>
        <v>#REF!</v>
      </c>
      <c r="BO87" t="e">
        <f>AND(#REF!,"AAAAADvzVkI=")</f>
        <v>#REF!</v>
      </c>
      <c r="BP87" t="e">
        <f>AND(#REF!,"AAAAADvzVkM=")</f>
        <v>#REF!</v>
      </c>
      <c r="BQ87" t="e">
        <f>AND(#REF!,"AAAAADvzVkQ=")</f>
        <v>#REF!</v>
      </c>
      <c r="BR87" t="e">
        <f>AND(#REF!,"AAAAADvzVkU=")</f>
        <v>#REF!</v>
      </c>
      <c r="BS87" t="e">
        <f>AND(#REF!,"AAAAADvzVkY=")</f>
        <v>#REF!</v>
      </c>
      <c r="BT87" t="e">
        <f>AND(#REF!,"AAAAADvzVkc=")</f>
        <v>#REF!</v>
      </c>
      <c r="BU87" t="e">
        <f>AND(#REF!,"AAAAADvzVkg=")</f>
        <v>#REF!</v>
      </c>
      <c r="BV87" t="e">
        <f>AND(#REF!,"AAAAADvzVkk=")</f>
        <v>#REF!</v>
      </c>
      <c r="BW87" t="e">
        <f>AND(#REF!,"AAAAADvzVko=")</f>
        <v>#REF!</v>
      </c>
      <c r="BX87" t="e">
        <f>AND(#REF!,"AAAAADvzVks=")</f>
        <v>#REF!</v>
      </c>
      <c r="BY87" t="e">
        <f>AND(#REF!,"AAAAADvzVkw=")</f>
        <v>#REF!</v>
      </c>
      <c r="BZ87" t="e">
        <f>AND(#REF!,"AAAAADvzVk0=")</f>
        <v>#REF!</v>
      </c>
      <c r="CA87" t="e">
        <f>AND(#REF!,"AAAAADvzVk4=")</f>
        <v>#REF!</v>
      </c>
      <c r="CB87" t="e">
        <f>AND(#REF!,"AAAAADvzVk8=")</f>
        <v>#REF!</v>
      </c>
      <c r="CC87" t="e">
        <f>AND(#REF!,"AAAAADvzVlA=")</f>
        <v>#REF!</v>
      </c>
      <c r="CD87" t="e">
        <f>AND(#REF!,"AAAAADvzVlE=")</f>
        <v>#REF!</v>
      </c>
      <c r="CE87" t="e">
        <f>AND(#REF!,"AAAAADvzVlI=")</f>
        <v>#REF!</v>
      </c>
      <c r="CF87" t="e">
        <f>AND(#REF!,"AAAAADvzVlM=")</f>
        <v>#REF!</v>
      </c>
      <c r="CG87" t="e">
        <f>AND(#REF!,"AAAAADvzVlQ=")</f>
        <v>#REF!</v>
      </c>
      <c r="CH87" t="e">
        <f>AND(#REF!,"AAAAADvzVlU=")</f>
        <v>#REF!</v>
      </c>
      <c r="CI87" t="e">
        <f>AND(#REF!,"AAAAADvzVlY=")</f>
        <v>#REF!</v>
      </c>
      <c r="CJ87" t="e">
        <f>AND(#REF!,"AAAAADvzVlc=")</f>
        <v>#REF!</v>
      </c>
      <c r="CK87" t="e">
        <f>AND(#REF!,"AAAAADvzVlg=")</f>
        <v>#REF!</v>
      </c>
      <c r="CL87" t="e">
        <f>AND(#REF!,"AAAAADvzVlk=")</f>
        <v>#REF!</v>
      </c>
      <c r="CM87" t="e">
        <f>AND(#REF!,"AAAAADvzVlo=")</f>
        <v>#REF!</v>
      </c>
      <c r="CN87" t="e">
        <f>AND(#REF!,"AAAAADvzVls=")</f>
        <v>#REF!</v>
      </c>
      <c r="CO87" t="e">
        <f>AND(#REF!,"AAAAADvzVlw=")</f>
        <v>#REF!</v>
      </c>
      <c r="CP87" t="e">
        <f>AND(#REF!,"AAAAADvzVl0=")</f>
        <v>#REF!</v>
      </c>
      <c r="CQ87" t="e">
        <f>AND(#REF!,"AAAAADvzVl4=")</f>
        <v>#REF!</v>
      </c>
      <c r="CR87" t="e">
        <f>AND(#REF!,"AAAAADvzVl8=")</f>
        <v>#REF!</v>
      </c>
      <c r="CS87" t="e">
        <f>AND(#REF!,"AAAAADvzVmA=")</f>
        <v>#REF!</v>
      </c>
      <c r="CT87" t="e">
        <f>AND(#REF!,"AAAAADvzVmE=")</f>
        <v>#REF!</v>
      </c>
      <c r="CU87" t="e">
        <f>AND(#REF!,"AAAAADvzVmI=")</f>
        <v>#REF!</v>
      </c>
      <c r="CV87" t="e">
        <f>AND(#REF!,"AAAAADvzVmM=")</f>
        <v>#REF!</v>
      </c>
      <c r="CW87" t="e">
        <f>AND(#REF!,"AAAAADvzVmQ=")</f>
        <v>#REF!</v>
      </c>
      <c r="CX87" t="e">
        <f>AND(#REF!,"AAAAADvzVmU=")</f>
        <v>#REF!</v>
      </c>
      <c r="CY87" t="e">
        <f>AND(#REF!,"AAAAADvzVmY=")</f>
        <v>#REF!</v>
      </c>
      <c r="CZ87" t="e">
        <f>AND(#REF!,"AAAAADvzVmc=")</f>
        <v>#REF!</v>
      </c>
      <c r="DA87" t="e">
        <f>AND(#REF!,"AAAAADvzVmg=")</f>
        <v>#REF!</v>
      </c>
      <c r="DB87" t="e">
        <f>AND(#REF!,"AAAAADvzVmk=")</f>
        <v>#REF!</v>
      </c>
      <c r="DC87" t="e">
        <f>AND(#REF!,"AAAAADvzVmo=")</f>
        <v>#REF!</v>
      </c>
      <c r="DD87" t="e">
        <f>AND(#REF!,"AAAAADvzVms=")</f>
        <v>#REF!</v>
      </c>
      <c r="DE87" t="e">
        <f>AND(#REF!,"AAAAADvzVmw=")</f>
        <v>#REF!</v>
      </c>
      <c r="DF87" t="e">
        <f>AND(#REF!,"AAAAADvzVm0=")</f>
        <v>#REF!</v>
      </c>
      <c r="DG87" t="e">
        <f>AND(#REF!,"AAAAADvzVm4=")</f>
        <v>#REF!</v>
      </c>
      <c r="DH87" t="e">
        <f>AND(#REF!,"AAAAADvzVm8=")</f>
        <v>#REF!</v>
      </c>
      <c r="DI87" t="e">
        <f>AND(#REF!,"AAAAADvzVnA=")</f>
        <v>#REF!</v>
      </c>
      <c r="DJ87" t="e">
        <f>AND(#REF!,"AAAAADvzVnE=")</f>
        <v>#REF!</v>
      </c>
      <c r="DK87" t="e">
        <f>AND(#REF!,"AAAAADvzVnI=")</f>
        <v>#REF!</v>
      </c>
      <c r="DL87" t="e">
        <f>AND(#REF!,"AAAAADvzVnM=")</f>
        <v>#REF!</v>
      </c>
      <c r="DM87" t="e">
        <f>AND(#REF!,"AAAAADvzVnQ=")</f>
        <v>#REF!</v>
      </c>
      <c r="DN87" t="e">
        <f>AND(#REF!,"AAAAADvzVnU=")</f>
        <v>#REF!</v>
      </c>
      <c r="DO87" t="e">
        <f>AND(#REF!,"AAAAADvzVnY=")</f>
        <v>#REF!</v>
      </c>
      <c r="DP87" t="e">
        <f>AND(#REF!,"AAAAADvzVnc=")</f>
        <v>#REF!</v>
      </c>
      <c r="DQ87" t="e">
        <f>AND(#REF!,"AAAAADvzVng=")</f>
        <v>#REF!</v>
      </c>
      <c r="DR87" t="e">
        <f>AND(#REF!,"AAAAADvzVnk=")</f>
        <v>#REF!</v>
      </c>
      <c r="DS87" t="e">
        <f>AND(#REF!,"AAAAADvzVno=")</f>
        <v>#REF!</v>
      </c>
      <c r="DT87" t="e">
        <f>AND(#REF!,"AAAAADvzVns=")</f>
        <v>#REF!</v>
      </c>
      <c r="DU87" t="e">
        <f>AND(#REF!,"AAAAADvzVnw=")</f>
        <v>#REF!</v>
      </c>
      <c r="DV87" t="e">
        <f>AND(#REF!,"AAAAADvzVn0=")</f>
        <v>#REF!</v>
      </c>
      <c r="DW87" t="e">
        <f>AND(#REF!,"AAAAADvzVn4=")</f>
        <v>#REF!</v>
      </c>
      <c r="DX87" t="e">
        <f>AND(#REF!,"AAAAADvzVn8=")</f>
        <v>#REF!</v>
      </c>
      <c r="DY87" t="e">
        <f>AND(#REF!,"AAAAADvzVoA=")</f>
        <v>#REF!</v>
      </c>
      <c r="DZ87" t="e">
        <f>AND(#REF!,"AAAAADvzVoE=")</f>
        <v>#REF!</v>
      </c>
      <c r="EA87" t="e">
        <f>AND(#REF!,"AAAAADvzVoI=")</f>
        <v>#REF!</v>
      </c>
      <c r="EB87" t="e">
        <f>AND(#REF!,"AAAAADvzVoM=")</f>
        <v>#REF!</v>
      </c>
      <c r="EC87" t="e">
        <f>AND(#REF!,"AAAAADvzVoQ=")</f>
        <v>#REF!</v>
      </c>
      <c r="ED87" t="e">
        <f>AND(#REF!,"AAAAADvzVoU=")</f>
        <v>#REF!</v>
      </c>
      <c r="EE87" t="e">
        <f>AND(#REF!,"AAAAADvzVoY=")</f>
        <v>#REF!</v>
      </c>
      <c r="EF87" t="e">
        <f>AND(#REF!,"AAAAADvzVoc=")</f>
        <v>#REF!</v>
      </c>
      <c r="EG87" t="e">
        <f>AND(#REF!,"AAAAADvzVog=")</f>
        <v>#REF!</v>
      </c>
      <c r="EH87" t="e">
        <f>AND(#REF!,"AAAAADvzVok=")</f>
        <v>#REF!</v>
      </c>
      <c r="EI87" t="e">
        <f>AND(#REF!,"AAAAADvzVoo=")</f>
        <v>#REF!</v>
      </c>
      <c r="EJ87" t="e">
        <f>AND(#REF!,"AAAAADvzVos=")</f>
        <v>#REF!</v>
      </c>
      <c r="EK87" t="e">
        <f>AND(#REF!,"AAAAADvzVow=")</f>
        <v>#REF!</v>
      </c>
      <c r="EL87" t="e">
        <f>AND(#REF!,"AAAAADvzVo0=")</f>
        <v>#REF!</v>
      </c>
      <c r="EM87" t="e">
        <f>AND(#REF!,"AAAAADvzVo4=")</f>
        <v>#REF!</v>
      </c>
      <c r="EN87" t="e">
        <f>AND(#REF!,"AAAAADvzVo8=")</f>
        <v>#REF!</v>
      </c>
      <c r="EO87" t="e">
        <f>AND(#REF!,"AAAAADvzVpA=")</f>
        <v>#REF!</v>
      </c>
      <c r="EP87" t="e">
        <f>AND(#REF!,"AAAAADvzVpE=")</f>
        <v>#REF!</v>
      </c>
      <c r="EQ87" t="e">
        <f>AND(#REF!,"AAAAADvzVpI=")</f>
        <v>#REF!</v>
      </c>
      <c r="ER87" t="e">
        <f>AND(#REF!,"AAAAADvzVpM=")</f>
        <v>#REF!</v>
      </c>
      <c r="ES87" t="e">
        <f>AND(#REF!,"AAAAADvzVpQ=")</f>
        <v>#REF!</v>
      </c>
      <c r="ET87" t="e">
        <f>AND(#REF!,"AAAAADvzVpU=")</f>
        <v>#REF!</v>
      </c>
      <c r="EU87" t="e">
        <f>AND(#REF!,"AAAAADvzVpY=")</f>
        <v>#REF!</v>
      </c>
      <c r="EV87" t="e">
        <f>AND(#REF!,"AAAAADvzVpc=")</f>
        <v>#REF!</v>
      </c>
      <c r="EW87" t="e">
        <f>AND(#REF!,"AAAAADvzVpg=")</f>
        <v>#REF!</v>
      </c>
      <c r="EX87" t="e">
        <f>AND(#REF!,"AAAAADvzVpk=")</f>
        <v>#REF!</v>
      </c>
      <c r="EY87" t="e">
        <f>AND(#REF!,"AAAAADvzVpo=")</f>
        <v>#REF!</v>
      </c>
      <c r="EZ87" t="e">
        <f>AND(#REF!,"AAAAADvzVps=")</f>
        <v>#REF!</v>
      </c>
      <c r="FA87" t="e">
        <f>AND(#REF!,"AAAAADvzVpw=")</f>
        <v>#REF!</v>
      </c>
      <c r="FB87" t="e">
        <f>AND(#REF!,"AAAAADvzVp0=")</f>
        <v>#REF!</v>
      </c>
      <c r="FC87" t="e">
        <f>AND(#REF!,"AAAAADvzVp4=")</f>
        <v>#REF!</v>
      </c>
      <c r="FD87" t="e">
        <f>AND(#REF!,"AAAAADvzVp8=")</f>
        <v>#REF!</v>
      </c>
      <c r="FE87" t="e">
        <f>AND(#REF!,"AAAAADvzVqA=")</f>
        <v>#REF!</v>
      </c>
      <c r="FF87" t="e">
        <f>AND(#REF!,"AAAAADvzVqE=")</f>
        <v>#REF!</v>
      </c>
      <c r="FG87" t="e">
        <f>AND(#REF!,"AAAAADvzVqI=")</f>
        <v>#REF!</v>
      </c>
      <c r="FH87" t="e">
        <f>AND(#REF!,"AAAAADvzVqM=")</f>
        <v>#REF!</v>
      </c>
      <c r="FI87" t="e">
        <f>AND(#REF!,"AAAAADvzVqQ=")</f>
        <v>#REF!</v>
      </c>
      <c r="FJ87" t="e">
        <f>AND(#REF!,"AAAAADvzVqU=")</f>
        <v>#REF!</v>
      </c>
      <c r="FK87" t="e">
        <f>AND(#REF!,"AAAAADvzVqY=")</f>
        <v>#REF!</v>
      </c>
      <c r="FL87" t="e">
        <f>AND(#REF!,"AAAAADvzVqc=")</f>
        <v>#REF!</v>
      </c>
      <c r="FM87" t="e">
        <f>AND(#REF!,"AAAAADvzVqg=")</f>
        <v>#REF!</v>
      </c>
      <c r="FN87" t="e">
        <f>AND(#REF!,"AAAAADvzVqk=")</f>
        <v>#REF!</v>
      </c>
      <c r="FO87" t="e">
        <f>AND(#REF!,"AAAAADvzVqo=")</f>
        <v>#REF!</v>
      </c>
      <c r="FP87" t="e">
        <f>AND(#REF!,"AAAAADvzVqs=")</f>
        <v>#REF!</v>
      </c>
      <c r="FQ87" t="e">
        <f>AND(#REF!,"AAAAADvzVqw=")</f>
        <v>#REF!</v>
      </c>
      <c r="FR87" t="e">
        <f>AND(#REF!,"AAAAADvzVq0=")</f>
        <v>#REF!</v>
      </c>
      <c r="FS87" t="e">
        <f>AND(#REF!,"AAAAADvzVq4=")</f>
        <v>#REF!</v>
      </c>
      <c r="FT87" t="e">
        <f>AND(#REF!,"AAAAADvzVq8=")</f>
        <v>#REF!</v>
      </c>
      <c r="FU87" t="e">
        <f>AND(#REF!,"AAAAADvzVrA=")</f>
        <v>#REF!</v>
      </c>
      <c r="FV87" t="e">
        <f>AND(#REF!,"AAAAADvzVrE=")</f>
        <v>#REF!</v>
      </c>
      <c r="FW87" t="e">
        <f>AND(#REF!,"AAAAADvzVrI=")</f>
        <v>#REF!</v>
      </c>
      <c r="FX87" t="e">
        <f>AND(#REF!,"AAAAADvzVrM=")</f>
        <v>#REF!</v>
      </c>
      <c r="FY87" t="e">
        <f>AND(#REF!,"AAAAADvzVrQ=")</f>
        <v>#REF!</v>
      </c>
      <c r="FZ87" t="e">
        <f>AND(#REF!,"AAAAADvzVrU=")</f>
        <v>#REF!</v>
      </c>
      <c r="GA87" t="e">
        <f>AND(#REF!,"AAAAADvzVrY=")</f>
        <v>#REF!</v>
      </c>
      <c r="GB87" t="e">
        <f>AND(#REF!,"AAAAADvzVrc=")</f>
        <v>#REF!</v>
      </c>
      <c r="GC87" t="e">
        <f>AND(#REF!,"AAAAADvzVrg=")</f>
        <v>#REF!</v>
      </c>
      <c r="GD87" t="e">
        <f>AND(#REF!,"AAAAADvzVrk=")</f>
        <v>#REF!</v>
      </c>
      <c r="GE87" t="e">
        <f>AND(#REF!,"AAAAADvzVro=")</f>
        <v>#REF!</v>
      </c>
      <c r="GF87" t="e">
        <f>AND(#REF!,"AAAAADvzVrs=")</f>
        <v>#REF!</v>
      </c>
      <c r="GG87" t="e">
        <f>AND(#REF!,"AAAAADvzVrw=")</f>
        <v>#REF!</v>
      </c>
      <c r="GH87" t="e">
        <f>AND(#REF!,"AAAAADvzVr0=")</f>
        <v>#REF!</v>
      </c>
      <c r="GI87" t="e">
        <f>AND(#REF!,"AAAAADvzVr4=")</f>
        <v>#REF!</v>
      </c>
      <c r="GJ87" t="e">
        <f>AND(#REF!,"AAAAADvzVr8=")</f>
        <v>#REF!</v>
      </c>
      <c r="GK87" t="e">
        <f>AND(#REF!,"AAAAADvzVsA=")</f>
        <v>#REF!</v>
      </c>
      <c r="GL87" t="e">
        <f>AND(#REF!,"AAAAADvzVsE=")</f>
        <v>#REF!</v>
      </c>
      <c r="GM87" t="e">
        <f>IF(#REF!,"AAAAADvzVsI=",0)</f>
        <v>#REF!</v>
      </c>
      <c r="GN87" t="e">
        <f>AND(#REF!,"AAAAADvzVsM=")</f>
        <v>#REF!</v>
      </c>
      <c r="GO87" t="e">
        <f>AND(#REF!,"AAAAADvzVsQ=")</f>
        <v>#REF!</v>
      </c>
      <c r="GP87" t="e">
        <f>AND(#REF!,"AAAAADvzVsU=")</f>
        <v>#REF!</v>
      </c>
      <c r="GQ87" t="e">
        <f>AND(#REF!,"AAAAADvzVsY=")</f>
        <v>#REF!</v>
      </c>
      <c r="GR87" t="e">
        <f>AND(#REF!,"AAAAADvzVsc=")</f>
        <v>#REF!</v>
      </c>
      <c r="GS87" t="e">
        <f>AND(#REF!,"AAAAADvzVsg=")</f>
        <v>#REF!</v>
      </c>
      <c r="GT87" t="e">
        <f>AND(#REF!,"AAAAADvzVsk=")</f>
        <v>#REF!</v>
      </c>
      <c r="GU87" t="e">
        <f>AND(#REF!,"AAAAADvzVso=")</f>
        <v>#REF!</v>
      </c>
      <c r="GV87" t="e">
        <f>AND(#REF!,"AAAAADvzVss=")</f>
        <v>#REF!</v>
      </c>
      <c r="GW87" t="e">
        <f>AND(#REF!,"AAAAADvzVsw=")</f>
        <v>#REF!</v>
      </c>
      <c r="GX87" t="e">
        <f>AND(#REF!,"AAAAADvzVs0=")</f>
        <v>#REF!</v>
      </c>
      <c r="GY87" t="e">
        <f>AND(#REF!,"AAAAADvzVs4=")</f>
        <v>#REF!</v>
      </c>
      <c r="GZ87" t="e">
        <f>AND(#REF!,"AAAAADvzVs8=")</f>
        <v>#REF!</v>
      </c>
      <c r="HA87" t="e">
        <f>AND(#REF!,"AAAAADvzVtA=")</f>
        <v>#REF!</v>
      </c>
      <c r="HB87" t="e">
        <f>AND(#REF!,"AAAAADvzVtE=")</f>
        <v>#REF!</v>
      </c>
      <c r="HC87" t="e">
        <f>AND(#REF!,"AAAAADvzVtI=")</f>
        <v>#REF!</v>
      </c>
      <c r="HD87" t="e">
        <f>AND(#REF!,"AAAAADvzVtM=")</f>
        <v>#REF!</v>
      </c>
      <c r="HE87" t="e">
        <f>AND(#REF!,"AAAAADvzVtQ=")</f>
        <v>#REF!</v>
      </c>
      <c r="HF87" t="e">
        <f>AND(#REF!,"AAAAADvzVtU=")</f>
        <v>#REF!</v>
      </c>
      <c r="HG87" t="e">
        <f>AND(#REF!,"AAAAADvzVtY=")</f>
        <v>#REF!</v>
      </c>
      <c r="HH87" t="e">
        <f>AND(#REF!,"AAAAADvzVtc=")</f>
        <v>#REF!</v>
      </c>
      <c r="HI87" t="e">
        <f>AND(#REF!,"AAAAADvzVtg=")</f>
        <v>#REF!</v>
      </c>
      <c r="HJ87" t="e">
        <f>AND(#REF!,"AAAAADvzVtk=")</f>
        <v>#REF!</v>
      </c>
      <c r="HK87" t="e">
        <f>AND(#REF!,"AAAAADvzVto=")</f>
        <v>#REF!</v>
      </c>
      <c r="HL87" t="e">
        <f>AND(#REF!,"AAAAADvzVts=")</f>
        <v>#REF!</v>
      </c>
      <c r="HM87" t="e">
        <f>AND(#REF!,"AAAAADvzVtw=")</f>
        <v>#REF!</v>
      </c>
      <c r="HN87" t="e">
        <f>AND(#REF!,"AAAAADvzVt0=")</f>
        <v>#REF!</v>
      </c>
      <c r="HO87" t="e">
        <f>AND(#REF!,"AAAAADvzVt4=")</f>
        <v>#REF!</v>
      </c>
      <c r="HP87" t="e">
        <f>AND(#REF!,"AAAAADvzVt8=")</f>
        <v>#REF!</v>
      </c>
      <c r="HQ87" t="e">
        <f>AND(#REF!,"AAAAADvzVuA=")</f>
        <v>#REF!</v>
      </c>
      <c r="HR87" t="e">
        <f>AND(#REF!,"AAAAADvzVuE=")</f>
        <v>#REF!</v>
      </c>
      <c r="HS87" t="e">
        <f>AND(#REF!,"AAAAADvzVuI=")</f>
        <v>#REF!</v>
      </c>
      <c r="HT87" t="e">
        <f>AND(#REF!,"AAAAADvzVuM=")</f>
        <v>#REF!</v>
      </c>
      <c r="HU87" t="e">
        <f>AND(#REF!,"AAAAADvzVuQ=")</f>
        <v>#REF!</v>
      </c>
      <c r="HV87" t="e">
        <f>AND(#REF!,"AAAAADvzVuU=")</f>
        <v>#REF!</v>
      </c>
      <c r="HW87" t="e">
        <f>AND(#REF!,"AAAAADvzVuY=")</f>
        <v>#REF!</v>
      </c>
      <c r="HX87" t="e">
        <f>AND(#REF!,"AAAAADvzVuc=")</f>
        <v>#REF!</v>
      </c>
      <c r="HY87" t="e">
        <f>AND(#REF!,"AAAAADvzVug=")</f>
        <v>#REF!</v>
      </c>
      <c r="HZ87" t="e">
        <f>AND(#REF!,"AAAAADvzVuk=")</f>
        <v>#REF!</v>
      </c>
      <c r="IA87" t="e">
        <f>AND(#REF!,"AAAAADvzVuo=")</f>
        <v>#REF!</v>
      </c>
      <c r="IB87" t="e">
        <f>AND(#REF!,"AAAAADvzVus=")</f>
        <v>#REF!</v>
      </c>
      <c r="IC87" t="e">
        <f>AND(#REF!,"AAAAADvzVuw=")</f>
        <v>#REF!</v>
      </c>
      <c r="ID87" t="e">
        <f>AND(#REF!,"AAAAADvzVu0=")</f>
        <v>#REF!</v>
      </c>
      <c r="IE87" t="e">
        <f>AND(#REF!,"AAAAADvzVu4=")</f>
        <v>#REF!</v>
      </c>
      <c r="IF87" t="e">
        <f>AND(#REF!,"AAAAADvzVu8=")</f>
        <v>#REF!</v>
      </c>
      <c r="IG87" t="e">
        <f>AND(#REF!,"AAAAADvzVvA=")</f>
        <v>#REF!</v>
      </c>
      <c r="IH87" t="e">
        <f>AND(#REF!,"AAAAADvzVvE=")</f>
        <v>#REF!</v>
      </c>
      <c r="II87" t="e">
        <f>AND(#REF!,"AAAAADvzVvI=")</f>
        <v>#REF!</v>
      </c>
      <c r="IJ87" t="e">
        <f>AND(#REF!,"AAAAADvzVvM=")</f>
        <v>#REF!</v>
      </c>
      <c r="IK87" t="e">
        <f>AND(#REF!,"AAAAADvzVvQ=")</f>
        <v>#REF!</v>
      </c>
      <c r="IL87" t="e">
        <f>AND(#REF!,"AAAAADvzVvU=")</f>
        <v>#REF!</v>
      </c>
      <c r="IM87" t="e">
        <f>AND(#REF!,"AAAAADvzVvY=")</f>
        <v>#REF!</v>
      </c>
      <c r="IN87" t="e">
        <f>AND(#REF!,"AAAAADvzVvc=")</f>
        <v>#REF!</v>
      </c>
      <c r="IO87" t="e">
        <f>AND(#REF!,"AAAAADvzVvg=")</f>
        <v>#REF!</v>
      </c>
      <c r="IP87" t="e">
        <f>AND(#REF!,"AAAAADvzVvk=")</f>
        <v>#REF!</v>
      </c>
      <c r="IQ87" t="e">
        <f>AND(#REF!,"AAAAADvzVvo=")</f>
        <v>#REF!</v>
      </c>
      <c r="IR87" t="e">
        <f>AND(#REF!,"AAAAADvzVvs=")</f>
        <v>#REF!</v>
      </c>
      <c r="IS87" t="e">
        <f>AND(#REF!,"AAAAADvzVvw=")</f>
        <v>#REF!</v>
      </c>
      <c r="IT87" t="e">
        <f>AND(#REF!,"AAAAADvzVv0=")</f>
        <v>#REF!</v>
      </c>
      <c r="IU87" t="e">
        <f>AND(#REF!,"AAAAADvzVv4=")</f>
        <v>#REF!</v>
      </c>
      <c r="IV87" t="e">
        <f>AND(#REF!,"AAAAADvzVv8=")</f>
        <v>#REF!</v>
      </c>
    </row>
    <row r="88" spans="1:256" x14ac:dyDescent="0.25">
      <c r="A88" t="e">
        <f>AND(#REF!,"AAAAAAbu7AA=")</f>
        <v>#REF!</v>
      </c>
      <c r="B88" t="e">
        <f>AND(#REF!,"AAAAAAbu7AE=")</f>
        <v>#REF!</v>
      </c>
      <c r="C88" t="e">
        <f>AND(#REF!,"AAAAAAbu7AI=")</f>
        <v>#REF!</v>
      </c>
      <c r="D88" t="e">
        <f>AND(#REF!,"AAAAAAbu7AM=")</f>
        <v>#REF!</v>
      </c>
      <c r="E88" t="e">
        <f>AND(#REF!,"AAAAAAbu7AQ=")</f>
        <v>#REF!</v>
      </c>
      <c r="F88" t="e">
        <f>AND(#REF!,"AAAAAAbu7AU=")</f>
        <v>#REF!</v>
      </c>
      <c r="G88" t="e">
        <f>AND(#REF!,"AAAAAAbu7AY=")</f>
        <v>#REF!</v>
      </c>
      <c r="H88" t="e">
        <f>AND(#REF!,"AAAAAAbu7Ac=")</f>
        <v>#REF!</v>
      </c>
      <c r="I88" t="e">
        <f>AND(#REF!,"AAAAAAbu7Ag=")</f>
        <v>#REF!</v>
      </c>
      <c r="J88" t="e">
        <f>AND(#REF!,"AAAAAAbu7Ak=")</f>
        <v>#REF!</v>
      </c>
      <c r="K88" t="e">
        <f>AND(#REF!,"AAAAAAbu7Ao=")</f>
        <v>#REF!</v>
      </c>
      <c r="L88" t="e">
        <f>AND(#REF!,"AAAAAAbu7As=")</f>
        <v>#REF!</v>
      </c>
      <c r="M88" t="e">
        <f>AND(#REF!,"AAAAAAbu7Aw=")</f>
        <v>#REF!</v>
      </c>
      <c r="N88" t="e">
        <f>AND(#REF!,"AAAAAAbu7A0=")</f>
        <v>#REF!</v>
      </c>
      <c r="O88" t="e">
        <f>AND(#REF!,"AAAAAAbu7A4=")</f>
        <v>#REF!</v>
      </c>
      <c r="P88" t="e">
        <f>AND(#REF!,"AAAAAAbu7A8=")</f>
        <v>#REF!</v>
      </c>
      <c r="Q88" t="e">
        <f>AND(#REF!,"AAAAAAbu7BA=")</f>
        <v>#REF!</v>
      </c>
      <c r="R88" t="e">
        <f>AND(#REF!,"AAAAAAbu7BE=")</f>
        <v>#REF!</v>
      </c>
      <c r="S88" t="e">
        <f>AND(#REF!,"AAAAAAbu7BI=")</f>
        <v>#REF!</v>
      </c>
      <c r="T88" t="e">
        <f>AND(#REF!,"AAAAAAbu7BM=")</f>
        <v>#REF!</v>
      </c>
      <c r="U88" t="e">
        <f>AND(#REF!,"AAAAAAbu7BQ=")</f>
        <v>#REF!</v>
      </c>
      <c r="V88" t="e">
        <f>AND(#REF!,"AAAAAAbu7BU=")</f>
        <v>#REF!</v>
      </c>
      <c r="W88" t="e">
        <f>AND(#REF!,"AAAAAAbu7BY=")</f>
        <v>#REF!</v>
      </c>
      <c r="X88" t="e">
        <f>AND(#REF!,"AAAAAAbu7Bc=")</f>
        <v>#REF!</v>
      </c>
      <c r="Y88" t="e">
        <f>AND(#REF!,"AAAAAAbu7Bg=")</f>
        <v>#REF!</v>
      </c>
      <c r="Z88" t="e">
        <f>AND(#REF!,"AAAAAAbu7Bk=")</f>
        <v>#REF!</v>
      </c>
      <c r="AA88" t="e">
        <f>AND(#REF!,"AAAAAAbu7Bo=")</f>
        <v>#REF!</v>
      </c>
      <c r="AB88" t="e">
        <f>AND(#REF!,"AAAAAAbu7Bs=")</f>
        <v>#REF!</v>
      </c>
      <c r="AC88" t="e">
        <f>AND(#REF!,"AAAAAAbu7Bw=")</f>
        <v>#REF!</v>
      </c>
      <c r="AD88" t="e">
        <f>AND(#REF!,"AAAAAAbu7B0=")</f>
        <v>#REF!</v>
      </c>
      <c r="AE88" t="e">
        <f>AND(#REF!,"AAAAAAbu7B4=")</f>
        <v>#REF!</v>
      </c>
      <c r="AF88" t="e">
        <f>AND(#REF!,"AAAAAAbu7B8=")</f>
        <v>#REF!</v>
      </c>
      <c r="AG88" t="e">
        <f>AND(#REF!,"AAAAAAbu7CA=")</f>
        <v>#REF!</v>
      </c>
      <c r="AH88" t="e">
        <f>AND(#REF!,"AAAAAAbu7CE=")</f>
        <v>#REF!</v>
      </c>
      <c r="AI88" t="e">
        <f>AND(#REF!,"AAAAAAbu7CI=")</f>
        <v>#REF!</v>
      </c>
      <c r="AJ88" t="e">
        <f>AND(#REF!,"AAAAAAbu7CM=")</f>
        <v>#REF!</v>
      </c>
      <c r="AK88" t="e">
        <f>AND(#REF!,"AAAAAAbu7CQ=")</f>
        <v>#REF!</v>
      </c>
      <c r="AL88" t="e">
        <f>AND(#REF!,"AAAAAAbu7CU=")</f>
        <v>#REF!</v>
      </c>
      <c r="AM88" t="e">
        <f>AND(#REF!,"AAAAAAbu7CY=")</f>
        <v>#REF!</v>
      </c>
      <c r="AN88" t="e">
        <f>AND(#REF!,"AAAAAAbu7Cc=")</f>
        <v>#REF!</v>
      </c>
      <c r="AO88" t="e">
        <f>AND(#REF!,"AAAAAAbu7Cg=")</f>
        <v>#REF!</v>
      </c>
      <c r="AP88" t="e">
        <f>AND(#REF!,"AAAAAAbu7Ck=")</f>
        <v>#REF!</v>
      </c>
      <c r="AQ88" t="e">
        <f>AND(#REF!,"AAAAAAbu7Co=")</f>
        <v>#REF!</v>
      </c>
      <c r="AR88" t="e">
        <f>AND(#REF!,"AAAAAAbu7Cs=")</f>
        <v>#REF!</v>
      </c>
      <c r="AS88" t="e">
        <f>AND(#REF!,"AAAAAAbu7Cw=")</f>
        <v>#REF!</v>
      </c>
      <c r="AT88" t="e">
        <f>AND(#REF!,"AAAAAAbu7C0=")</f>
        <v>#REF!</v>
      </c>
      <c r="AU88" t="e">
        <f>AND(#REF!,"AAAAAAbu7C4=")</f>
        <v>#REF!</v>
      </c>
      <c r="AV88" t="e">
        <f>AND(#REF!,"AAAAAAbu7C8=")</f>
        <v>#REF!</v>
      </c>
      <c r="AW88" t="e">
        <f>AND(#REF!,"AAAAAAbu7DA=")</f>
        <v>#REF!</v>
      </c>
      <c r="AX88" t="e">
        <f>AND(#REF!,"AAAAAAbu7DE=")</f>
        <v>#REF!</v>
      </c>
      <c r="AY88" t="e">
        <f>AND(#REF!,"AAAAAAbu7DI=")</f>
        <v>#REF!</v>
      </c>
      <c r="AZ88" t="e">
        <f>AND(#REF!,"AAAAAAbu7DM=")</f>
        <v>#REF!</v>
      </c>
      <c r="BA88" t="e">
        <f>AND(#REF!,"AAAAAAbu7DQ=")</f>
        <v>#REF!</v>
      </c>
      <c r="BB88" t="e">
        <f>AND(#REF!,"AAAAAAbu7DU=")</f>
        <v>#REF!</v>
      </c>
      <c r="BC88" t="e">
        <f>AND(#REF!,"AAAAAAbu7DY=")</f>
        <v>#REF!</v>
      </c>
      <c r="BD88" t="e">
        <f>AND(#REF!,"AAAAAAbu7Dc=")</f>
        <v>#REF!</v>
      </c>
      <c r="BE88" t="e">
        <f>AND(#REF!,"AAAAAAbu7Dg=")</f>
        <v>#REF!</v>
      </c>
      <c r="BF88" t="e">
        <f>AND(#REF!,"AAAAAAbu7Dk=")</f>
        <v>#REF!</v>
      </c>
      <c r="BG88" t="e">
        <f>AND(#REF!,"AAAAAAbu7Do=")</f>
        <v>#REF!</v>
      </c>
      <c r="BH88" t="e">
        <f>AND(#REF!,"AAAAAAbu7Ds=")</f>
        <v>#REF!</v>
      </c>
      <c r="BI88" t="e">
        <f>AND(#REF!,"AAAAAAbu7Dw=")</f>
        <v>#REF!</v>
      </c>
      <c r="BJ88" t="e">
        <f>AND(#REF!,"AAAAAAbu7D0=")</f>
        <v>#REF!</v>
      </c>
      <c r="BK88" t="e">
        <f>AND(#REF!,"AAAAAAbu7D4=")</f>
        <v>#REF!</v>
      </c>
      <c r="BL88" t="e">
        <f>AND(#REF!,"AAAAAAbu7D8=")</f>
        <v>#REF!</v>
      </c>
      <c r="BM88" t="e">
        <f>AND(#REF!,"AAAAAAbu7EA=")</f>
        <v>#REF!</v>
      </c>
      <c r="BN88" t="e">
        <f>AND(#REF!,"AAAAAAbu7EE=")</f>
        <v>#REF!</v>
      </c>
      <c r="BO88" t="e">
        <f>AND(#REF!,"AAAAAAbu7EI=")</f>
        <v>#REF!</v>
      </c>
      <c r="BP88" t="e">
        <f>AND(#REF!,"AAAAAAbu7EM=")</f>
        <v>#REF!</v>
      </c>
      <c r="BQ88" t="e">
        <f>AND(#REF!,"AAAAAAbu7EQ=")</f>
        <v>#REF!</v>
      </c>
      <c r="BR88" t="e">
        <f>AND(#REF!,"AAAAAAbu7EU=")</f>
        <v>#REF!</v>
      </c>
      <c r="BS88" t="e">
        <f>AND(#REF!,"AAAAAAbu7EY=")</f>
        <v>#REF!</v>
      </c>
      <c r="BT88" t="e">
        <f>AND(#REF!,"AAAAAAbu7Ec=")</f>
        <v>#REF!</v>
      </c>
      <c r="BU88" t="e">
        <f>AND(#REF!,"AAAAAAbu7Eg=")</f>
        <v>#REF!</v>
      </c>
      <c r="BV88" t="e">
        <f>AND(#REF!,"AAAAAAbu7Ek=")</f>
        <v>#REF!</v>
      </c>
      <c r="BW88" t="e">
        <f>AND(#REF!,"AAAAAAbu7Eo=")</f>
        <v>#REF!</v>
      </c>
      <c r="BX88" t="e">
        <f>AND(#REF!,"AAAAAAbu7Es=")</f>
        <v>#REF!</v>
      </c>
      <c r="BY88" t="e">
        <f>AND(#REF!,"AAAAAAbu7Ew=")</f>
        <v>#REF!</v>
      </c>
      <c r="BZ88" t="e">
        <f>AND(#REF!,"AAAAAAbu7E0=")</f>
        <v>#REF!</v>
      </c>
      <c r="CA88" t="e">
        <f>AND(#REF!,"AAAAAAbu7E4=")</f>
        <v>#REF!</v>
      </c>
      <c r="CB88" t="e">
        <f>AND(#REF!,"AAAAAAbu7E8=")</f>
        <v>#REF!</v>
      </c>
      <c r="CC88" t="e">
        <f>AND(#REF!,"AAAAAAbu7FA=")</f>
        <v>#REF!</v>
      </c>
      <c r="CD88" t="e">
        <f>AND(#REF!,"AAAAAAbu7FE=")</f>
        <v>#REF!</v>
      </c>
      <c r="CE88" t="e">
        <f>AND(#REF!,"AAAAAAbu7FI=")</f>
        <v>#REF!</v>
      </c>
      <c r="CF88" t="e">
        <f>AND(#REF!,"AAAAAAbu7FM=")</f>
        <v>#REF!</v>
      </c>
      <c r="CG88" t="e">
        <f>AND(#REF!,"AAAAAAbu7FQ=")</f>
        <v>#REF!</v>
      </c>
      <c r="CH88" t="e">
        <f>AND(#REF!,"AAAAAAbu7FU=")</f>
        <v>#REF!</v>
      </c>
      <c r="CI88" t="e">
        <f>AND(#REF!,"AAAAAAbu7FY=")</f>
        <v>#REF!</v>
      </c>
      <c r="CJ88" t="e">
        <f>AND(#REF!,"AAAAAAbu7Fc=")</f>
        <v>#REF!</v>
      </c>
      <c r="CK88" t="e">
        <f>AND(#REF!,"AAAAAAbu7Fg=")</f>
        <v>#REF!</v>
      </c>
      <c r="CL88" t="e">
        <f>AND(#REF!,"AAAAAAbu7Fk=")</f>
        <v>#REF!</v>
      </c>
      <c r="CM88" t="e">
        <f>AND(#REF!,"AAAAAAbu7Fo=")</f>
        <v>#REF!</v>
      </c>
      <c r="CN88" t="e">
        <f>AND(#REF!,"AAAAAAbu7Fs=")</f>
        <v>#REF!</v>
      </c>
      <c r="CO88" t="e">
        <f>AND(#REF!,"AAAAAAbu7Fw=")</f>
        <v>#REF!</v>
      </c>
      <c r="CP88" t="e">
        <f>AND(#REF!,"AAAAAAbu7F0=")</f>
        <v>#REF!</v>
      </c>
      <c r="CQ88" t="e">
        <f>AND(#REF!,"AAAAAAbu7F4=")</f>
        <v>#REF!</v>
      </c>
      <c r="CR88" t="e">
        <f>AND(#REF!,"AAAAAAbu7F8=")</f>
        <v>#REF!</v>
      </c>
      <c r="CS88" t="e">
        <f>AND(#REF!,"AAAAAAbu7GA=")</f>
        <v>#REF!</v>
      </c>
      <c r="CT88" t="e">
        <f>AND(#REF!,"AAAAAAbu7GE=")</f>
        <v>#REF!</v>
      </c>
      <c r="CU88" t="e">
        <f>AND(#REF!,"AAAAAAbu7GI=")</f>
        <v>#REF!</v>
      </c>
      <c r="CV88" t="e">
        <f>AND(#REF!,"AAAAAAbu7GM=")</f>
        <v>#REF!</v>
      </c>
      <c r="CW88" t="e">
        <f>AND(#REF!,"AAAAAAbu7GQ=")</f>
        <v>#REF!</v>
      </c>
      <c r="CX88" t="e">
        <f>AND(#REF!,"AAAAAAbu7GU=")</f>
        <v>#REF!</v>
      </c>
      <c r="CY88" t="e">
        <f>AND(#REF!,"AAAAAAbu7GY=")</f>
        <v>#REF!</v>
      </c>
      <c r="CZ88" t="e">
        <f>AND(#REF!,"AAAAAAbu7Gc=")</f>
        <v>#REF!</v>
      </c>
      <c r="DA88" t="e">
        <f>AND(#REF!,"AAAAAAbu7Gg=")</f>
        <v>#REF!</v>
      </c>
      <c r="DB88" t="e">
        <f>AND(#REF!,"AAAAAAbu7Gk=")</f>
        <v>#REF!</v>
      </c>
      <c r="DC88" t="e">
        <f>AND(#REF!,"AAAAAAbu7Go=")</f>
        <v>#REF!</v>
      </c>
      <c r="DD88" t="e">
        <f>AND(#REF!,"AAAAAAbu7Gs=")</f>
        <v>#REF!</v>
      </c>
      <c r="DE88" t="e">
        <f>AND(#REF!,"AAAAAAbu7Gw=")</f>
        <v>#REF!</v>
      </c>
      <c r="DF88" t="e">
        <f>AND(#REF!,"AAAAAAbu7G0=")</f>
        <v>#REF!</v>
      </c>
      <c r="DG88" t="e">
        <f>AND(#REF!,"AAAAAAbu7G4=")</f>
        <v>#REF!</v>
      </c>
      <c r="DH88" t="e">
        <f>AND(#REF!,"AAAAAAbu7G8=")</f>
        <v>#REF!</v>
      </c>
      <c r="DI88" t="e">
        <f>AND(#REF!,"AAAAAAbu7HA=")</f>
        <v>#REF!</v>
      </c>
      <c r="DJ88" t="e">
        <f>AND(#REF!,"AAAAAAbu7HE=")</f>
        <v>#REF!</v>
      </c>
      <c r="DK88" t="e">
        <f>AND(#REF!,"AAAAAAbu7HI=")</f>
        <v>#REF!</v>
      </c>
      <c r="DL88" t="e">
        <f>AND(#REF!,"AAAAAAbu7HM=")</f>
        <v>#REF!</v>
      </c>
      <c r="DM88" t="e">
        <f>IF(#REF!,"AAAAAAbu7HQ=",0)</f>
        <v>#REF!</v>
      </c>
      <c r="DN88" t="e">
        <f>AND(#REF!,"AAAAAAbu7HU=")</f>
        <v>#REF!</v>
      </c>
      <c r="DO88" t="e">
        <f>AND(#REF!,"AAAAAAbu7HY=")</f>
        <v>#REF!</v>
      </c>
      <c r="DP88" t="e">
        <f>AND(#REF!,"AAAAAAbu7Hc=")</f>
        <v>#REF!</v>
      </c>
      <c r="DQ88" t="e">
        <f>AND(#REF!,"AAAAAAbu7Hg=")</f>
        <v>#REF!</v>
      </c>
      <c r="DR88" t="e">
        <f>AND(#REF!,"AAAAAAbu7Hk=")</f>
        <v>#REF!</v>
      </c>
      <c r="DS88" t="e">
        <f>AND(#REF!,"AAAAAAbu7Ho=")</f>
        <v>#REF!</v>
      </c>
      <c r="DT88" t="e">
        <f>AND(#REF!,"AAAAAAbu7Hs=")</f>
        <v>#REF!</v>
      </c>
      <c r="DU88" t="e">
        <f>AND(#REF!,"AAAAAAbu7Hw=")</f>
        <v>#REF!</v>
      </c>
      <c r="DV88" t="e">
        <f>AND(#REF!,"AAAAAAbu7H0=")</f>
        <v>#REF!</v>
      </c>
      <c r="DW88" t="e">
        <f>AND(#REF!,"AAAAAAbu7H4=")</f>
        <v>#REF!</v>
      </c>
      <c r="DX88" t="e">
        <f>AND(#REF!,"AAAAAAbu7H8=")</f>
        <v>#REF!</v>
      </c>
      <c r="DY88" t="e">
        <f>AND(#REF!,"AAAAAAbu7IA=")</f>
        <v>#REF!</v>
      </c>
      <c r="DZ88" t="e">
        <f>AND(#REF!,"AAAAAAbu7IE=")</f>
        <v>#REF!</v>
      </c>
      <c r="EA88" t="e">
        <f>AND(#REF!,"AAAAAAbu7II=")</f>
        <v>#REF!</v>
      </c>
      <c r="EB88" t="e">
        <f>AND(#REF!,"AAAAAAbu7IM=")</f>
        <v>#REF!</v>
      </c>
      <c r="EC88" t="e">
        <f>AND(#REF!,"AAAAAAbu7IQ=")</f>
        <v>#REF!</v>
      </c>
      <c r="ED88" t="e">
        <f>AND(#REF!,"AAAAAAbu7IU=")</f>
        <v>#REF!</v>
      </c>
      <c r="EE88" t="e">
        <f>AND(#REF!,"AAAAAAbu7IY=")</f>
        <v>#REF!</v>
      </c>
      <c r="EF88" t="e">
        <f>AND(#REF!,"AAAAAAbu7Ic=")</f>
        <v>#REF!</v>
      </c>
      <c r="EG88" t="e">
        <f>AND(#REF!,"AAAAAAbu7Ig=")</f>
        <v>#REF!</v>
      </c>
      <c r="EH88" t="e">
        <f>AND(#REF!,"AAAAAAbu7Ik=")</f>
        <v>#REF!</v>
      </c>
      <c r="EI88" t="e">
        <f>AND(#REF!,"AAAAAAbu7Io=")</f>
        <v>#REF!</v>
      </c>
      <c r="EJ88" t="e">
        <f>AND(#REF!,"AAAAAAbu7Is=")</f>
        <v>#REF!</v>
      </c>
      <c r="EK88" t="e">
        <f>AND(#REF!,"AAAAAAbu7Iw=")</f>
        <v>#REF!</v>
      </c>
      <c r="EL88" t="e">
        <f>AND(#REF!,"AAAAAAbu7I0=")</f>
        <v>#REF!</v>
      </c>
      <c r="EM88" t="e">
        <f>AND(#REF!,"AAAAAAbu7I4=")</f>
        <v>#REF!</v>
      </c>
      <c r="EN88" t="e">
        <f>AND(#REF!,"AAAAAAbu7I8=")</f>
        <v>#REF!</v>
      </c>
      <c r="EO88" t="e">
        <f>AND(#REF!,"AAAAAAbu7JA=")</f>
        <v>#REF!</v>
      </c>
      <c r="EP88" t="e">
        <f>AND(#REF!,"AAAAAAbu7JE=")</f>
        <v>#REF!</v>
      </c>
      <c r="EQ88" t="e">
        <f>AND(#REF!,"AAAAAAbu7JI=")</f>
        <v>#REF!</v>
      </c>
      <c r="ER88" t="e">
        <f>AND(#REF!,"AAAAAAbu7JM=")</f>
        <v>#REF!</v>
      </c>
      <c r="ES88" t="e">
        <f>AND(#REF!,"AAAAAAbu7JQ=")</f>
        <v>#REF!</v>
      </c>
      <c r="ET88" t="e">
        <f>AND(#REF!,"AAAAAAbu7JU=")</f>
        <v>#REF!</v>
      </c>
      <c r="EU88" t="e">
        <f>AND(#REF!,"AAAAAAbu7JY=")</f>
        <v>#REF!</v>
      </c>
      <c r="EV88" t="e">
        <f>AND(#REF!,"AAAAAAbu7Jc=")</f>
        <v>#REF!</v>
      </c>
      <c r="EW88" t="e">
        <f>AND(#REF!,"AAAAAAbu7Jg=")</f>
        <v>#REF!</v>
      </c>
      <c r="EX88" t="e">
        <f>AND(#REF!,"AAAAAAbu7Jk=")</f>
        <v>#REF!</v>
      </c>
      <c r="EY88" t="e">
        <f>AND(#REF!,"AAAAAAbu7Jo=")</f>
        <v>#REF!</v>
      </c>
      <c r="EZ88" t="e">
        <f>AND(#REF!,"AAAAAAbu7Js=")</f>
        <v>#REF!</v>
      </c>
      <c r="FA88" t="e">
        <f>AND(#REF!,"AAAAAAbu7Jw=")</f>
        <v>#REF!</v>
      </c>
      <c r="FB88" t="e">
        <f>AND(#REF!,"AAAAAAbu7J0=")</f>
        <v>#REF!</v>
      </c>
      <c r="FC88" t="e">
        <f>AND(#REF!,"AAAAAAbu7J4=")</f>
        <v>#REF!</v>
      </c>
      <c r="FD88" t="e">
        <f>AND(#REF!,"AAAAAAbu7J8=")</f>
        <v>#REF!</v>
      </c>
      <c r="FE88" t="e">
        <f>AND(#REF!,"AAAAAAbu7KA=")</f>
        <v>#REF!</v>
      </c>
      <c r="FF88" t="e">
        <f>AND(#REF!,"AAAAAAbu7KE=")</f>
        <v>#REF!</v>
      </c>
      <c r="FG88" t="e">
        <f>AND(#REF!,"AAAAAAbu7KI=")</f>
        <v>#REF!</v>
      </c>
      <c r="FH88" t="e">
        <f>AND(#REF!,"AAAAAAbu7KM=")</f>
        <v>#REF!</v>
      </c>
      <c r="FI88" t="e">
        <f>AND(#REF!,"AAAAAAbu7KQ=")</f>
        <v>#REF!</v>
      </c>
      <c r="FJ88" t="e">
        <f>AND(#REF!,"AAAAAAbu7KU=")</f>
        <v>#REF!</v>
      </c>
      <c r="FK88" t="e">
        <f>AND(#REF!,"AAAAAAbu7KY=")</f>
        <v>#REF!</v>
      </c>
      <c r="FL88" t="e">
        <f>AND(#REF!,"AAAAAAbu7Kc=")</f>
        <v>#REF!</v>
      </c>
      <c r="FM88" t="e">
        <f>AND(#REF!,"AAAAAAbu7Kg=")</f>
        <v>#REF!</v>
      </c>
      <c r="FN88" t="e">
        <f>AND(#REF!,"AAAAAAbu7Kk=")</f>
        <v>#REF!</v>
      </c>
      <c r="FO88" t="e">
        <f>AND(#REF!,"AAAAAAbu7Ko=")</f>
        <v>#REF!</v>
      </c>
      <c r="FP88" t="e">
        <f>AND(#REF!,"AAAAAAbu7Ks=")</f>
        <v>#REF!</v>
      </c>
      <c r="FQ88" t="e">
        <f>AND(#REF!,"AAAAAAbu7Kw=")</f>
        <v>#REF!</v>
      </c>
      <c r="FR88" t="e">
        <f>AND(#REF!,"AAAAAAbu7K0=")</f>
        <v>#REF!</v>
      </c>
      <c r="FS88" t="e">
        <f>AND(#REF!,"AAAAAAbu7K4=")</f>
        <v>#REF!</v>
      </c>
      <c r="FT88" t="e">
        <f>AND(#REF!,"AAAAAAbu7K8=")</f>
        <v>#REF!</v>
      </c>
      <c r="FU88" t="e">
        <f>AND(#REF!,"AAAAAAbu7LA=")</f>
        <v>#REF!</v>
      </c>
      <c r="FV88" t="e">
        <f>AND(#REF!,"AAAAAAbu7LE=")</f>
        <v>#REF!</v>
      </c>
      <c r="FW88" t="e">
        <f>AND(#REF!,"AAAAAAbu7LI=")</f>
        <v>#REF!</v>
      </c>
      <c r="FX88" t="e">
        <f>AND(#REF!,"AAAAAAbu7LM=")</f>
        <v>#REF!</v>
      </c>
      <c r="FY88" t="e">
        <f>AND(#REF!,"AAAAAAbu7LQ=")</f>
        <v>#REF!</v>
      </c>
      <c r="FZ88" t="e">
        <f>AND(#REF!,"AAAAAAbu7LU=")</f>
        <v>#REF!</v>
      </c>
      <c r="GA88" t="e">
        <f>AND(#REF!,"AAAAAAbu7LY=")</f>
        <v>#REF!</v>
      </c>
      <c r="GB88" t="e">
        <f>AND(#REF!,"AAAAAAbu7Lc=")</f>
        <v>#REF!</v>
      </c>
      <c r="GC88" t="e">
        <f>AND(#REF!,"AAAAAAbu7Lg=")</f>
        <v>#REF!</v>
      </c>
      <c r="GD88" t="e">
        <f>AND(#REF!,"AAAAAAbu7Lk=")</f>
        <v>#REF!</v>
      </c>
      <c r="GE88" t="e">
        <f>AND(#REF!,"AAAAAAbu7Lo=")</f>
        <v>#REF!</v>
      </c>
      <c r="GF88" t="e">
        <f>AND(#REF!,"AAAAAAbu7Ls=")</f>
        <v>#REF!</v>
      </c>
      <c r="GG88" t="e">
        <f>AND(#REF!,"AAAAAAbu7Lw=")</f>
        <v>#REF!</v>
      </c>
      <c r="GH88" t="e">
        <f>AND(#REF!,"AAAAAAbu7L0=")</f>
        <v>#REF!</v>
      </c>
      <c r="GI88" t="e">
        <f>AND(#REF!,"AAAAAAbu7L4=")</f>
        <v>#REF!</v>
      </c>
      <c r="GJ88" t="e">
        <f>AND(#REF!,"AAAAAAbu7L8=")</f>
        <v>#REF!</v>
      </c>
      <c r="GK88" t="e">
        <f>AND(#REF!,"AAAAAAbu7MA=")</f>
        <v>#REF!</v>
      </c>
      <c r="GL88" t="e">
        <f>AND(#REF!,"AAAAAAbu7ME=")</f>
        <v>#REF!</v>
      </c>
      <c r="GM88" t="e">
        <f>AND(#REF!,"AAAAAAbu7MI=")</f>
        <v>#REF!</v>
      </c>
      <c r="GN88" t="e">
        <f>AND(#REF!,"AAAAAAbu7MM=")</f>
        <v>#REF!</v>
      </c>
      <c r="GO88" t="e">
        <f>AND(#REF!,"AAAAAAbu7MQ=")</f>
        <v>#REF!</v>
      </c>
      <c r="GP88" t="e">
        <f>AND(#REF!,"AAAAAAbu7MU=")</f>
        <v>#REF!</v>
      </c>
      <c r="GQ88" t="e">
        <f>AND(#REF!,"AAAAAAbu7MY=")</f>
        <v>#REF!</v>
      </c>
      <c r="GR88" t="e">
        <f>AND(#REF!,"AAAAAAbu7Mc=")</f>
        <v>#REF!</v>
      </c>
      <c r="GS88" t="e">
        <f>AND(#REF!,"AAAAAAbu7Mg=")</f>
        <v>#REF!</v>
      </c>
      <c r="GT88" t="e">
        <f>AND(#REF!,"AAAAAAbu7Mk=")</f>
        <v>#REF!</v>
      </c>
      <c r="GU88" t="e">
        <f>AND(#REF!,"AAAAAAbu7Mo=")</f>
        <v>#REF!</v>
      </c>
      <c r="GV88" t="e">
        <f>AND(#REF!,"AAAAAAbu7Ms=")</f>
        <v>#REF!</v>
      </c>
      <c r="GW88" t="e">
        <f>AND(#REF!,"AAAAAAbu7Mw=")</f>
        <v>#REF!</v>
      </c>
      <c r="GX88" t="e">
        <f>AND(#REF!,"AAAAAAbu7M0=")</f>
        <v>#REF!</v>
      </c>
      <c r="GY88" t="e">
        <f>AND(#REF!,"AAAAAAbu7M4=")</f>
        <v>#REF!</v>
      </c>
      <c r="GZ88" t="e">
        <f>AND(#REF!,"AAAAAAbu7M8=")</f>
        <v>#REF!</v>
      </c>
      <c r="HA88" t="e">
        <f>AND(#REF!,"AAAAAAbu7NA=")</f>
        <v>#REF!</v>
      </c>
      <c r="HB88" t="e">
        <f>AND(#REF!,"AAAAAAbu7NE=")</f>
        <v>#REF!</v>
      </c>
      <c r="HC88" t="e">
        <f>AND(#REF!,"AAAAAAbu7NI=")</f>
        <v>#REF!</v>
      </c>
      <c r="HD88" t="e">
        <f>AND(#REF!,"AAAAAAbu7NM=")</f>
        <v>#REF!</v>
      </c>
      <c r="HE88" t="e">
        <f>AND(#REF!,"AAAAAAbu7NQ=")</f>
        <v>#REF!</v>
      </c>
      <c r="HF88" t="e">
        <f>AND(#REF!,"AAAAAAbu7NU=")</f>
        <v>#REF!</v>
      </c>
      <c r="HG88" t="e">
        <f>AND(#REF!,"AAAAAAbu7NY=")</f>
        <v>#REF!</v>
      </c>
      <c r="HH88" t="e">
        <f>AND(#REF!,"AAAAAAbu7Nc=")</f>
        <v>#REF!</v>
      </c>
      <c r="HI88" t="e">
        <f>AND(#REF!,"AAAAAAbu7Ng=")</f>
        <v>#REF!</v>
      </c>
      <c r="HJ88" t="e">
        <f>AND(#REF!,"AAAAAAbu7Nk=")</f>
        <v>#REF!</v>
      </c>
      <c r="HK88" t="e">
        <f>AND(#REF!,"AAAAAAbu7No=")</f>
        <v>#REF!</v>
      </c>
      <c r="HL88" t="e">
        <f>AND(#REF!,"AAAAAAbu7Ns=")</f>
        <v>#REF!</v>
      </c>
      <c r="HM88" t="e">
        <f>AND(#REF!,"AAAAAAbu7Nw=")</f>
        <v>#REF!</v>
      </c>
      <c r="HN88" t="e">
        <f>AND(#REF!,"AAAAAAbu7N0=")</f>
        <v>#REF!</v>
      </c>
      <c r="HO88" t="e">
        <f>AND(#REF!,"AAAAAAbu7N4=")</f>
        <v>#REF!</v>
      </c>
      <c r="HP88" t="e">
        <f>AND(#REF!,"AAAAAAbu7N8=")</f>
        <v>#REF!</v>
      </c>
      <c r="HQ88" t="e">
        <f>AND(#REF!,"AAAAAAbu7OA=")</f>
        <v>#REF!</v>
      </c>
      <c r="HR88" t="e">
        <f>AND(#REF!,"AAAAAAbu7OE=")</f>
        <v>#REF!</v>
      </c>
      <c r="HS88" t="e">
        <f>AND(#REF!,"AAAAAAbu7OI=")</f>
        <v>#REF!</v>
      </c>
      <c r="HT88" t="e">
        <f>AND(#REF!,"AAAAAAbu7OM=")</f>
        <v>#REF!</v>
      </c>
      <c r="HU88" t="e">
        <f>AND(#REF!,"AAAAAAbu7OQ=")</f>
        <v>#REF!</v>
      </c>
      <c r="HV88" t="e">
        <f>AND(#REF!,"AAAAAAbu7OU=")</f>
        <v>#REF!</v>
      </c>
      <c r="HW88" t="e">
        <f>AND(#REF!,"AAAAAAbu7OY=")</f>
        <v>#REF!</v>
      </c>
      <c r="HX88" t="e">
        <f>AND(#REF!,"AAAAAAbu7Oc=")</f>
        <v>#REF!</v>
      </c>
      <c r="HY88" t="e">
        <f>AND(#REF!,"AAAAAAbu7Og=")</f>
        <v>#REF!</v>
      </c>
      <c r="HZ88" t="e">
        <f>AND(#REF!,"AAAAAAbu7Ok=")</f>
        <v>#REF!</v>
      </c>
      <c r="IA88" t="e">
        <f>AND(#REF!,"AAAAAAbu7Oo=")</f>
        <v>#REF!</v>
      </c>
      <c r="IB88" t="e">
        <f>AND(#REF!,"AAAAAAbu7Os=")</f>
        <v>#REF!</v>
      </c>
      <c r="IC88" t="e">
        <f>AND(#REF!,"AAAAAAbu7Ow=")</f>
        <v>#REF!</v>
      </c>
      <c r="ID88" t="e">
        <f>AND(#REF!,"AAAAAAbu7O0=")</f>
        <v>#REF!</v>
      </c>
      <c r="IE88" t="e">
        <f>AND(#REF!,"AAAAAAbu7O4=")</f>
        <v>#REF!</v>
      </c>
      <c r="IF88" t="e">
        <f>AND(#REF!,"AAAAAAbu7O8=")</f>
        <v>#REF!</v>
      </c>
      <c r="IG88" t="e">
        <f>AND(#REF!,"AAAAAAbu7PA=")</f>
        <v>#REF!</v>
      </c>
      <c r="IH88" t="e">
        <f>AND(#REF!,"AAAAAAbu7PE=")</f>
        <v>#REF!</v>
      </c>
      <c r="II88" t="e">
        <f>AND(#REF!,"AAAAAAbu7PI=")</f>
        <v>#REF!</v>
      </c>
      <c r="IJ88" t="e">
        <f>AND(#REF!,"AAAAAAbu7PM=")</f>
        <v>#REF!</v>
      </c>
      <c r="IK88" t="e">
        <f>AND(#REF!,"AAAAAAbu7PQ=")</f>
        <v>#REF!</v>
      </c>
      <c r="IL88" t="e">
        <f>AND(#REF!,"AAAAAAbu7PU=")</f>
        <v>#REF!</v>
      </c>
      <c r="IM88" t="e">
        <f>AND(#REF!,"AAAAAAbu7PY=")</f>
        <v>#REF!</v>
      </c>
      <c r="IN88" t="e">
        <f>AND(#REF!,"AAAAAAbu7Pc=")</f>
        <v>#REF!</v>
      </c>
      <c r="IO88" t="e">
        <f>AND(#REF!,"AAAAAAbu7Pg=")</f>
        <v>#REF!</v>
      </c>
      <c r="IP88" t="e">
        <f>AND(#REF!,"AAAAAAbu7Pk=")</f>
        <v>#REF!</v>
      </c>
      <c r="IQ88" t="e">
        <f>AND(#REF!,"AAAAAAbu7Po=")</f>
        <v>#REF!</v>
      </c>
      <c r="IR88" t="e">
        <f>AND(#REF!,"AAAAAAbu7Ps=")</f>
        <v>#REF!</v>
      </c>
      <c r="IS88" t="e">
        <f>AND(#REF!,"AAAAAAbu7Pw=")</f>
        <v>#REF!</v>
      </c>
      <c r="IT88" t="e">
        <f>AND(#REF!,"AAAAAAbu7P0=")</f>
        <v>#REF!</v>
      </c>
      <c r="IU88" t="e">
        <f>AND(#REF!,"AAAAAAbu7P4=")</f>
        <v>#REF!</v>
      </c>
      <c r="IV88" t="e">
        <f>AND(#REF!,"AAAAAAbu7P8=")</f>
        <v>#REF!</v>
      </c>
    </row>
    <row r="89" spans="1:256" x14ac:dyDescent="0.25">
      <c r="A89" t="e">
        <f>AND(#REF!,"AAAAAH0/5QA=")</f>
        <v>#REF!</v>
      </c>
      <c r="B89" t="e">
        <f>AND(#REF!,"AAAAAH0/5QE=")</f>
        <v>#REF!</v>
      </c>
      <c r="C89" t="e">
        <f>AND(#REF!,"AAAAAH0/5QI=")</f>
        <v>#REF!</v>
      </c>
      <c r="D89" t="e">
        <f>AND(#REF!,"AAAAAH0/5QM=")</f>
        <v>#REF!</v>
      </c>
      <c r="E89" t="e">
        <f>AND(#REF!,"AAAAAH0/5QQ=")</f>
        <v>#REF!</v>
      </c>
      <c r="F89" t="e">
        <f>AND(#REF!,"AAAAAH0/5QU=")</f>
        <v>#REF!</v>
      </c>
      <c r="G89" t="e">
        <f>AND(#REF!,"AAAAAH0/5QY=")</f>
        <v>#REF!</v>
      </c>
      <c r="H89" t="e">
        <f>AND(#REF!,"AAAAAH0/5Qc=")</f>
        <v>#REF!</v>
      </c>
      <c r="I89" t="e">
        <f>AND(#REF!,"AAAAAH0/5Qg=")</f>
        <v>#REF!</v>
      </c>
      <c r="J89" t="e">
        <f>AND(#REF!,"AAAAAH0/5Qk=")</f>
        <v>#REF!</v>
      </c>
      <c r="K89" t="e">
        <f>AND(#REF!,"AAAAAH0/5Qo=")</f>
        <v>#REF!</v>
      </c>
      <c r="L89" t="e">
        <f>AND(#REF!,"AAAAAH0/5Qs=")</f>
        <v>#REF!</v>
      </c>
      <c r="M89" t="e">
        <f>AND(#REF!,"AAAAAH0/5Qw=")</f>
        <v>#REF!</v>
      </c>
      <c r="N89" t="e">
        <f>AND(#REF!,"AAAAAH0/5Q0=")</f>
        <v>#REF!</v>
      </c>
      <c r="O89" t="e">
        <f>AND(#REF!,"AAAAAH0/5Q4=")</f>
        <v>#REF!</v>
      </c>
      <c r="P89" t="e">
        <f>AND(#REF!,"AAAAAH0/5Q8=")</f>
        <v>#REF!</v>
      </c>
      <c r="Q89" t="e">
        <f>AND(#REF!,"AAAAAH0/5RA=")</f>
        <v>#REF!</v>
      </c>
      <c r="R89" t="e">
        <f>AND(#REF!,"AAAAAH0/5RE=")</f>
        <v>#REF!</v>
      </c>
      <c r="S89" t="e">
        <f>AND(#REF!,"AAAAAH0/5RI=")</f>
        <v>#REF!</v>
      </c>
      <c r="T89" t="e">
        <f>AND(#REF!,"AAAAAH0/5RM=")</f>
        <v>#REF!</v>
      </c>
      <c r="U89" t="e">
        <f>AND(#REF!,"AAAAAH0/5RQ=")</f>
        <v>#REF!</v>
      </c>
      <c r="V89" t="e">
        <f>AND(#REF!,"AAAAAH0/5RU=")</f>
        <v>#REF!</v>
      </c>
      <c r="W89" t="e">
        <f>AND(#REF!,"AAAAAH0/5RY=")</f>
        <v>#REF!</v>
      </c>
      <c r="X89" t="e">
        <f>AND(#REF!,"AAAAAH0/5Rc=")</f>
        <v>#REF!</v>
      </c>
      <c r="Y89" t="e">
        <f>AND(#REF!,"AAAAAH0/5Rg=")</f>
        <v>#REF!</v>
      </c>
      <c r="Z89" t="e">
        <f>AND(#REF!,"AAAAAH0/5Rk=")</f>
        <v>#REF!</v>
      </c>
      <c r="AA89" t="e">
        <f>AND(#REF!,"AAAAAH0/5Ro=")</f>
        <v>#REF!</v>
      </c>
      <c r="AB89" t="e">
        <f>AND(#REF!,"AAAAAH0/5Rs=")</f>
        <v>#REF!</v>
      </c>
      <c r="AC89" t="e">
        <f>AND(#REF!,"AAAAAH0/5Rw=")</f>
        <v>#REF!</v>
      </c>
      <c r="AD89" t="e">
        <f>AND(#REF!,"AAAAAH0/5R0=")</f>
        <v>#REF!</v>
      </c>
      <c r="AE89" t="e">
        <f>AND(#REF!,"AAAAAH0/5R4=")</f>
        <v>#REF!</v>
      </c>
      <c r="AF89" t="e">
        <f>AND(#REF!,"AAAAAH0/5R8=")</f>
        <v>#REF!</v>
      </c>
      <c r="AG89" t="e">
        <f>AND(#REF!,"AAAAAH0/5SA=")</f>
        <v>#REF!</v>
      </c>
      <c r="AH89" t="e">
        <f>AND(#REF!,"AAAAAH0/5SE=")</f>
        <v>#REF!</v>
      </c>
      <c r="AI89" t="e">
        <f>AND(#REF!,"AAAAAH0/5SI=")</f>
        <v>#REF!</v>
      </c>
      <c r="AJ89" t="e">
        <f>AND(#REF!,"AAAAAH0/5SM=")</f>
        <v>#REF!</v>
      </c>
      <c r="AK89" t="e">
        <f>AND(#REF!,"AAAAAH0/5SQ=")</f>
        <v>#REF!</v>
      </c>
      <c r="AL89" t="e">
        <f>AND(#REF!,"AAAAAH0/5SU=")</f>
        <v>#REF!</v>
      </c>
      <c r="AM89" t="e">
        <f>IF(#REF!,"AAAAAH0/5SY=",0)</f>
        <v>#REF!</v>
      </c>
      <c r="AN89" t="e">
        <f>AND(#REF!,"AAAAAH0/5Sc=")</f>
        <v>#REF!</v>
      </c>
      <c r="AO89" t="e">
        <f>AND(#REF!,"AAAAAH0/5Sg=")</f>
        <v>#REF!</v>
      </c>
      <c r="AP89" t="e">
        <f>AND(#REF!,"AAAAAH0/5Sk=")</f>
        <v>#REF!</v>
      </c>
      <c r="AQ89" t="e">
        <f>AND(#REF!,"AAAAAH0/5So=")</f>
        <v>#REF!</v>
      </c>
      <c r="AR89" t="e">
        <f>AND(#REF!,"AAAAAH0/5Ss=")</f>
        <v>#REF!</v>
      </c>
      <c r="AS89" t="e">
        <f>AND(#REF!,"AAAAAH0/5Sw=")</f>
        <v>#REF!</v>
      </c>
      <c r="AT89" t="e">
        <f>AND(#REF!,"AAAAAH0/5S0=")</f>
        <v>#REF!</v>
      </c>
      <c r="AU89" t="e">
        <f>AND(#REF!,"AAAAAH0/5S4=")</f>
        <v>#REF!</v>
      </c>
      <c r="AV89" t="e">
        <f>AND(#REF!,"AAAAAH0/5S8=")</f>
        <v>#REF!</v>
      </c>
      <c r="AW89" t="e">
        <f>AND(#REF!,"AAAAAH0/5TA=")</f>
        <v>#REF!</v>
      </c>
      <c r="AX89" t="e">
        <f>AND(#REF!,"AAAAAH0/5TE=")</f>
        <v>#REF!</v>
      </c>
      <c r="AY89" t="e">
        <f>AND(#REF!,"AAAAAH0/5TI=")</f>
        <v>#REF!</v>
      </c>
      <c r="AZ89" t="e">
        <f>AND(#REF!,"AAAAAH0/5TM=")</f>
        <v>#REF!</v>
      </c>
      <c r="BA89" t="e">
        <f>AND(#REF!,"AAAAAH0/5TQ=")</f>
        <v>#REF!</v>
      </c>
      <c r="BB89" t="e">
        <f>AND(#REF!,"AAAAAH0/5TU=")</f>
        <v>#REF!</v>
      </c>
      <c r="BC89" t="e">
        <f>AND(#REF!,"AAAAAH0/5TY=")</f>
        <v>#REF!</v>
      </c>
      <c r="BD89" t="e">
        <f>AND(#REF!,"AAAAAH0/5Tc=")</f>
        <v>#REF!</v>
      </c>
      <c r="BE89" t="e">
        <f>AND(#REF!,"AAAAAH0/5Tg=")</f>
        <v>#REF!</v>
      </c>
      <c r="BF89" t="e">
        <f>AND(#REF!,"AAAAAH0/5Tk=")</f>
        <v>#REF!</v>
      </c>
      <c r="BG89" t="e">
        <f>AND(#REF!,"AAAAAH0/5To=")</f>
        <v>#REF!</v>
      </c>
      <c r="BH89" t="e">
        <f>AND(#REF!,"AAAAAH0/5Ts=")</f>
        <v>#REF!</v>
      </c>
      <c r="BI89" t="e">
        <f>AND(#REF!,"AAAAAH0/5Tw=")</f>
        <v>#REF!</v>
      </c>
      <c r="BJ89" t="e">
        <f>AND(#REF!,"AAAAAH0/5T0=")</f>
        <v>#REF!</v>
      </c>
      <c r="BK89" t="e">
        <f>AND(#REF!,"AAAAAH0/5T4=")</f>
        <v>#REF!</v>
      </c>
      <c r="BL89" t="e">
        <f>AND(#REF!,"AAAAAH0/5T8=")</f>
        <v>#REF!</v>
      </c>
      <c r="BM89" t="e">
        <f>AND(#REF!,"AAAAAH0/5UA=")</f>
        <v>#REF!</v>
      </c>
      <c r="BN89" t="e">
        <f>AND(#REF!,"AAAAAH0/5UE=")</f>
        <v>#REF!</v>
      </c>
      <c r="BO89" t="e">
        <f>AND(#REF!,"AAAAAH0/5UI=")</f>
        <v>#REF!</v>
      </c>
      <c r="BP89" t="e">
        <f>AND(#REF!,"AAAAAH0/5UM=")</f>
        <v>#REF!</v>
      </c>
      <c r="BQ89" t="e">
        <f>AND(#REF!,"AAAAAH0/5UQ=")</f>
        <v>#REF!</v>
      </c>
      <c r="BR89" t="e">
        <f>AND(#REF!,"AAAAAH0/5UU=")</f>
        <v>#REF!</v>
      </c>
      <c r="BS89" t="e">
        <f>AND(#REF!,"AAAAAH0/5UY=")</f>
        <v>#REF!</v>
      </c>
      <c r="BT89" t="e">
        <f>AND(#REF!,"AAAAAH0/5Uc=")</f>
        <v>#REF!</v>
      </c>
      <c r="BU89" t="e">
        <f>AND(#REF!,"AAAAAH0/5Ug=")</f>
        <v>#REF!</v>
      </c>
      <c r="BV89" t="e">
        <f>AND(#REF!,"AAAAAH0/5Uk=")</f>
        <v>#REF!</v>
      </c>
      <c r="BW89" t="e">
        <f>AND(#REF!,"AAAAAH0/5Uo=")</f>
        <v>#REF!</v>
      </c>
      <c r="BX89" t="e">
        <f>AND(#REF!,"AAAAAH0/5Us=")</f>
        <v>#REF!</v>
      </c>
      <c r="BY89" t="e">
        <f>AND(#REF!,"AAAAAH0/5Uw=")</f>
        <v>#REF!</v>
      </c>
      <c r="BZ89" t="e">
        <f>AND(#REF!,"AAAAAH0/5U0=")</f>
        <v>#REF!</v>
      </c>
      <c r="CA89" t="e">
        <f>AND(#REF!,"AAAAAH0/5U4=")</f>
        <v>#REF!</v>
      </c>
      <c r="CB89" t="e">
        <f>AND(#REF!,"AAAAAH0/5U8=")</f>
        <v>#REF!</v>
      </c>
      <c r="CC89" t="e">
        <f>AND(#REF!,"AAAAAH0/5VA=")</f>
        <v>#REF!</v>
      </c>
      <c r="CD89" t="e">
        <f>AND(#REF!,"AAAAAH0/5VE=")</f>
        <v>#REF!</v>
      </c>
      <c r="CE89" t="e">
        <f>AND(#REF!,"AAAAAH0/5VI=")</f>
        <v>#REF!</v>
      </c>
      <c r="CF89" t="e">
        <f>AND(#REF!,"AAAAAH0/5VM=")</f>
        <v>#REF!</v>
      </c>
      <c r="CG89" t="e">
        <f>AND(#REF!,"AAAAAH0/5VQ=")</f>
        <v>#REF!</v>
      </c>
      <c r="CH89" t="e">
        <f>AND(#REF!,"AAAAAH0/5VU=")</f>
        <v>#REF!</v>
      </c>
      <c r="CI89" t="e">
        <f>AND(#REF!,"AAAAAH0/5VY=")</f>
        <v>#REF!</v>
      </c>
      <c r="CJ89" t="e">
        <f>AND(#REF!,"AAAAAH0/5Vc=")</f>
        <v>#REF!</v>
      </c>
      <c r="CK89" t="e">
        <f>AND(#REF!,"AAAAAH0/5Vg=")</f>
        <v>#REF!</v>
      </c>
      <c r="CL89" t="e">
        <f>AND(#REF!,"AAAAAH0/5Vk=")</f>
        <v>#REF!</v>
      </c>
      <c r="CM89" t="e">
        <f>AND(#REF!,"AAAAAH0/5Vo=")</f>
        <v>#REF!</v>
      </c>
      <c r="CN89" t="e">
        <f>AND(#REF!,"AAAAAH0/5Vs=")</f>
        <v>#REF!</v>
      </c>
      <c r="CO89" t="e">
        <f>AND(#REF!,"AAAAAH0/5Vw=")</f>
        <v>#REF!</v>
      </c>
      <c r="CP89" t="e">
        <f>AND(#REF!,"AAAAAH0/5V0=")</f>
        <v>#REF!</v>
      </c>
      <c r="CQ89" t="e">
        <f>AND(#REF!,"AAAAAH0/5V4=")</f>
        <v>#REF!</v>
      </c>
      <c r="CR89" t="e">
        <f>AND(#REF!,"AAAAAH0/5V8=")</f>
        <v>#REF!</v>
      </c>
      <c r="CS89" t="e">
        <f>AND(#REF!,"AAAAAH0/5WA=")</f>
        <v>#REF!</v>
      </c>
      <c r="CT89" t="e">
        <f>AND(#REF!,"AAAAAH0/5WE=")</f>
        <v>#REF!</v>
      </c>
      <c r="CU89" t="e">
        <f>AND(#REF!,"AAAAAH0/5WI=")</f>
        <v>#REF!</v>
      </c>
      <c r="CV89" t="e">
        <f>AND(#REF!,"AAAAAH0/5WM=")</f>
        <v>#REF!</v>
      </c>
      <c r="CW89" t="e">
        <f>AND(#REF!,"AAAAAH0/5WQ=")</f>
        <v>#REF!</v>
      </c>
      <c r="CX89" t="e">
        <f>AND(#REF!,"AAAAAH0/5WU=")</f>
        <v>#REF!</v>
      </c>
      <c r="CY89" t="e">
        <f>AND(#REF!,"AAAAAH0/5WY=")</f>
        <v>#REF!</v>
      </c>
      <c r="CZ89" t="e">
        <f>AND(#REF!,"AAAAAH0/5Wc=")</f>
        <v>#REF!</v>
      </c>
      <c r="DA89" t="e">
        <f>AND(#REF!,"AAAAAH0/5Wg=")</f>
        <v>#REF!</v>
      </c>
      <c r="DB89" t="e">
        <f>AND(#REF!,"AAAAAH0/5Wk=")</f>
        <v>#REF!</v>
      </c>
      <c r="DC89" t="e">
        <f>AND(#REF!,"AAAAAH0/5Wo=")</f>
        <v>#REF!</v>
      </c>
      <c r="DD89" t="e">
        <f>AND(#REF!,"AAAAAH0/5Ws=")</f>
        <v>#REF!</v>
      </c>
      <c r="DE89" t="e">
        <f>AND(#REF!,"AAAAAH0/5Ww=")</f>
        <v>#REF!</v>
      </c>
      <c r="DF89" t="e">
        <f>AND(#REF!,"AAAAAH0/5W0=")</f>
        <v>#REF!</v>
      </c>
      <c r="DG89" t="e">
        <f>AND(#REF!,"AAAAAH0/5W4=")</f>
        <v>#REF!</v>
      </c>
      <c r="DH89" t="e">
        <f>AND(#REF!,"AAAAAH0/5W8=")</f>
        <v>#REF!</v>
      </c>
      <c r="DI89" t="e">
        <f>AND(#REF!,"AAAAAH0/5XA=")</f>
        <v>#REF!</v>
      </c>
      <c r="DJ89" t="e">
        <f>AND(#REF!,"AAAAAH0/5XE=")</f>
        <v>#REF!</v>
      </c>
      <c r="DK89" t="e">
        <f>AND(#REF!,"AAAAAH0/5XI=")</f>
        <v>#REF!</v>
      </c>
      <c r="DL89" t="e">
        <f>AND(#REF!,"AAAAAH0/5XM=")</f>
        <v>#REF!</v>
      </c>
      <c r="DM89" t="e">
        <f>AND(#REF!,"AAAAAH0/5XQ=")</f>
        <v>#REF!</v>
      </c>
      <c r="DN89" t="e">
        <f>AND(#REF!,"AAAAAH0/5XU=")</f>
        <v>#REF!</v>
      </c>
      <c r="DO89" t="e">
        <f>AND(#REF!,"AAAAAH0/5XY=")</f>
        <v>#REF!</v>
      </c>
      <c r="DP89" t="e">
        <f>AND(#REF!,"AAAAAH0/5Xc=")</f>
        <v>#REF!</v>
      </c>
      <c r="DQ89" t="e">
        <f>AND(#REF!,"AAAAAH0/5Xg=")</f>
        <v>#REF!</v>
      </c>
      <c r="DR89" t="e">
        <f>AND(#REF!,"AAAAAH0/5Xk=")</f>
        <v>#REF!</v>
      </c>
      <c r="DS89" t="e">
        <f>AND(#REF!,"AAAAAH0/5Xo=")</f>
        <v>#REF!</v>
      </c>
      <c r="DT89" t="e">
        <f>AND(#REF!,"AAAAAH0/5Xs=")</f>
        <v>#REF!</v>
      </c>
      <c r="DU89" t="e">
        <f>AND(#REF!,"AAAAAH0/5Xw=")</f>
        <v>#REF!</v>
      </c>
      <c r="DV89" t="e">
        <f>AND(#REF!,"AAAAAH0/5X0=")</f>
        <v>#REF!</v>
      </c>
      <c r="DW89" t="e">
        <f>AND(#REF!,"AAAAAH0/5X4=")</f>
        <v>#REF!</v>
      </c>
      <c r="DX89" t="e">
        <f>AND(#REF!,"AAAAAH0/5X8=")</f>
        <v>#REF!</v>
      </c>
      <c r="DY89" t="e">
        <f>AND(#REF!,"AAAAAH0/5YA=")</f>
        <v>#REF!</v>
      </c>
      <c r="DZ89" t="e">
        <f>AND(#REF!,"AAAAAH0/5YE=")</f>
        <v>#REF!</v>
      </c>
      <c r="EA89" t="e">
        <f>AND(#REF!,"AAAAAH0/5YI=")</f>
        <v>#REF!</v>
      </c>
      <c r="EB89" t="e">
        <f>AND(#REF!,"AAAAAH0/5YM=")</f>
        <v>#REF!</v>
      </c>
      <c r="EC89" t="e">
        <f>AND(#REF!,"AAAAAH0/5YQ=")</f>
        <v>#REF!</v>
      </c>
      <c r="ED89" t="e">
        <f>AND(#REF!,"AAAAAH0/5YU=")</f>
        <v>#REF!</v>
      </c>
      <c r="EE89" t="e">
        <f>AND(#REF!,"AAAAAH0/5YY=")</f>
        <v>#REF!</v>
      </c>
      <c r="EF89" t="e">
        <f>AND(#REF!,"AAAAAH0/5Yc=")</f>
        <v>#REF!</v>
      </c>
      <c r="EG89" t="e">
        <f>AND(#REF!,"AAAAAH0/5Yg=")</f>
        <v>#REF!</v>
      </c>
      <c r="EH89" t="e">
        <f>AND(#REF!,"AAAAAH0/5Yk=")</f>
        <v>#REF!</v>
      </c>
      <c r="EI89" t="e">
        <f>AND(#REF!,"AAAAAH0/5Yo=")</f>
        <v>#REF!</v>
      </c>
      <c r="EJ89" t="e">
        <f>AND(#REF!,"AAAAAH0/5Ys=")</f>
        <v>#REF!</v>
      </c>
      <c r="EK89" t="e">
        <f>AND(#REF!,"AAAAAH0/5Yw=")</f>
        <v>#REF!</v>
      </c>
      <c r="EL89" t="e">
        <f>AND(#REF!,"AAAAAH0/5Y0=")</f>
        <v>#REF!</v>
      </c>
      <c r="EM89" t="e">
        <f>AND(#REF!,"AAAAAH0/5Y4=")</f>
        <v>#REF!</v>
      </c>
      <c r="EN89" t="e">
        <f>AND(#REF!,"AAAAAH0/5Y8=")</f>
        <v>#REF!</v>
      </c>
      <c r="EO89" t="e">
        <f>AND(#REF!,"AAAAAH0/5ZA=")</f>
        <v>#REF!</v>
      </c>
      <c r="EP89" t="e">
        <f>AND(#REF!,"AAAAAH0/5ZE=")</f>
        <v>#REF!</v>
      </c>
      <c r="EQ89" t="e">
        <f>AND(#REF!,"AAAAAH0/5ZI=")</f>
        <v>#REF!</v>
      </c>
      <c r="ER89" t="e">
        <f>AND(#REF!,"AAAAAH0/5ZM=")</f>
        <v>#REF!</v>
      </c>
      <c r="ES89" t="e">
        <f>AND(#REF!,"AAAAAH0/5ZQ=")</f>
        <v>#REF!</v>
      </c>
      <c r="ET89" t="e">
        <f>AND(#REF!,"AAAAAH0/5ZU=")</f>
        <v>#REF!</v>
      </c>
      <c r="EU89" t="e">
        <f>AND(#REF!,"AAAAAH0/5ZY=")</f>
        <v>#REF!</v>
      </c>
      <c r="EV89" t="e">
        <f>AND(#REF!,"AAAAAH0/5Zc=")</f>
        <v>#REF!</v>
      </c>
      <c r="EW89" t="e">
        <f>AND(#REF!,"AAAAAH0/5Zg=")</f>
        <v>#REF!</v>
      </c>
      <c r="EX89" t="e">
        <f>AND(#REF!,"AAAAAH0/5Zk=")</f>
        <v>#REF!</v>
      </c>
      <c r="EY89" t="e">
        <f>AND(#REF!,"AAAAAH0/5Zo=")</f>
        <v>#REF!</v>
      </c>
      <c r="EZ89" t="e">
        <f>AND(#REF!,"AAAAAH0/5Zs=")</f>
        <v>#REF!</v>
      </c>
      <c r="FA89" t="e">
        <f>AND(#REF!,"AAAAAH0/5Zw=")</f>
        <v>#REF!</v>
      </c>
      <c r="FB89" t="e">
        <f>AND(#REF!,"AAAAAH0/5Z0=")</f>
        <v>#REF!</v>
      </c>
      <c r="FC89" t="e">
        <f>AND(#REF!,"AAAAAH0/5Z4=")</f>
        <v>#REF!</v>
      </c>
      <c r="FD89" t="e">
        <f>AND(#REF!,"AAAAAH0/5Z8=")</f>
        <v>#REF!</v>
      </c>
      <c r="FE89" t="e">
        <f>AND(#REF!,"AAAAAH0/5aA=")</f>
        <v>#REF!</v>
      </c>
      <c r="FF89" t="e">
        <f>AND(#REF!,"AAAAAH0/5aE=")</f>
        <v>#REF!</v>
      </c>
      <c r="FG89" t="e">
        <f>AND(#REF!,"AAAAAH0/5aI=")</f>
        <v>#REF!</v>
      </c>
      <c r="FH89" t="e">
        <f>AND(#REF!,"AAAAAH0/5aM=")</f>
        <v>#REF!</v>
      </c>
      <c r="FI89" t="e">
        <f>AND(#REF!,"AAAAAH0/5aQ=")</f>
        <v>#REF!</v>
      </c>
      <c r="FJ89" t="e">
        <f>AND(#REF!,"AAAAAH0/5aU=")</f>
        <v>#REF!</v>
      </c>
      <c r="FK89" t="e">
        <f>AND(#REF!,"AAAAAH0/5aY=")</f>
        <v>#REF!</v>
      </c>
      <c r="FL89" t="e">
        <f>AND(#REF!,"AAAAAH0/5ac=")</f>
        <v>#REF!</v>
      </c>
      <c r="FM89" t="e">
        <f>AND(#REF!,"AAAAAH0/5ag=")</f>
        <v>#REF!</v>
      </c>
      <c r="FN89" t="e">
        <f>AND(#REF!,"AAAAAH0/5ak=")</f>
        <v>#REF!</v>
      </c>
      <c r="FO89" t="e">
        <f>AND(#REF!,"AAAAAH0/5ao=")</f>
        <v>#REF!</v>
      </c>
      <c r="FP89" t="e">
        <f>AND(#REF!,"AAAAAH0/5as=")</f>
        <v>#REF!</v>
      </c>
      <c r="FQ89" t="e">
        <f>AND(#REF!,"AAAAAH0/5aw=")</f>
        <v>#REF!</v>
      </c>
      <c r="FR89" t="e">
        <f>AND(#REF!,"AAAAAH0/5a0=")</f>
        <v>#REF!</v>
      </c>
      <c r="FS89" t="e">
        <f>AND(#REF!,"AAAAAH0/5a4=")</f>
        <v>#REF!</v>
      </c>
      <c r="FT89" t="e">
        <f>AND(#REF!,"AAAAAH0/5a8=")</f>
        <v>#REF!</v>
      </c>
      <c r="FU89" t="e">
        <f>AND(#REF!,"AAAAAH0/5bA=")</f>
        <v>#REF!</v>
      </c>
      <c r="FV89" t="e">
        <f>AND(#REF!,"AAAAAH0/5bE=")</f>
        <v>#REF!</v>
      </c>
      <c r="FW89" t="e">
        <f>AND(#REF!,"AAAAAH0/5bI=")</f>
        <v>#REF!</v>
      </c>
      <c r="FX89" t="e">
        <f>AND(#REF!,"AAAAAH0/5bM=")</f>
        <v>#REF!</v>
      </c>
      <c r="FY89" t="e">
        <f>AND(#REF!,"AAAAAH0/5bQ=")</f>
        <v>#REF!</v>
      </c>
      <c r="FZ89" t="e">
        <f>AND(#REF!,"AAAAAH0/5bU=")</f>
        <v>#REF!</v>
      </c>
      <c r="GA89" t="e">
        <f>AND(#REF!,"AAAAAH0/5bY=")</f>
        <v>#REF!</v>
      </c>
      <c r="GB89" t="e">
        <f>AND(#REF!,"AAAAAH0/5bc=")</f>
        <v>#REF!</v>
      </c>
      <c r="GC89" t="e">
        <f>AND(#REF!,"AAAAAH0/5bg=")</f>
        <v>#REF!</v>
      </c>
      <c r="GD89" t="e">
        <f>AND(#REF!,"AAAAAH0/5bk=")</f>
        <v>#REF!</v>
      </c>
      <c r="GE89" t="e">
        <f>AND(#REF!,"AAAAAH0/5bo=")</f>
        <v>#REF!</v>
      </c>
      <c r="GF89" t="e">
        <f>AND(#REF!,"AAAAAH0/5bs=")</f>
        <v>#REF!</v>
      </c>
      <c r="GG89" t="e">
        <f>AND(#REF!,"AAAAAH0/5bw=")</f>
        <v>#REF!</v>
      </c>
      <c r="GH89" t="e">
        <f>AND(#REF!,"AAAAAH0/5b0=")</f>
        <v>#REF!</v>
      </c>
      <c r="GI89" t="e">
        <f>AND(#REF!,"AAAAAH0/5b4=")</f>
        <v>#REF!</v>
      </c>
      <c r="GJ89" t="e">
        <f>AND(#REF!,"AAAAAH0/5b8=")</f>
        <v>#REF!</v>
      </c>
      <c r="GK89" t="e">
        <f>AND(#REF!,"AAAAAH0/5cA=")</f>
        <v>#REF!</v>
      </c>
      <c r="GL89" t="e">
        <f>AND(#REF!,"AAAAAH0/5cE=")</f>
        <v>#REF!</v>
      </c>
      <c r="GM89" t="e">
        <f>AND(#REF!,"AAAAAH0/5cI=")</f>
        <v>#REF!</v>
      </c>
      <c r="GN89" t="e">
        <f>AND(#REF!,"AAAAAH0/5cM=")</f>
        <v>#REF!</v>
      </c>
      <c r="GO89" t="e">
        <f>AND(#REF!,"AAAAAH0/5cQ=")</f>
        <v>#REF!</v>
      </c>
      <c r="GP89" t="e">
        <f>AND(#REF!,"AAAAAH0/5cU=")</f>
        <v>#REF!</v>
      </c>
      <c r="GQ89" t="e">
        <f>AND(#REF!,"AAAAAH0/5cY=")</f>
        <v>#REF!</v>
      </c>
      <c r="GR89" t="e">
        <f>AND(#REF!,"AAAAAH0/5cc=")</f>
        <v>#REF!</v>
      </c>
      <c r="GS89" t="e">
        <f>AND(#REF!,"AAAAAH0/5cg=")</f>
        <v>#REF!</v>
      </c>
      <c r="GT89" t="e">
        <f>AND(#REF!,"AAAAAH0/5ck=")</f>
        <v>#REF!</v>
      </c>
      <c r="GU89" t="e">
        <f>AND(#REF!,"AAAAAH0/5co=")</f>
        <v>#REF!</v>
      </c>
      <c r="GV89" t="e">
        <f>AND(#REF!,"AAAAAH0/5cs=")</f>
        <v>#REF!</v>
      </c>
      <c r="GW89" t="e">
        <f>AND(#REF!,"AAAAAH0/5cw=")</f>
        <v>#REF!</v>
      </c>
      <c r="GX89" t="e">
        <f>AND(#REF!,"AAAAAH0/5c0=")</f>
        <v>#REF!</v>
      </c>
      <c r="GY89" t="e">
        <f>AND(#REF!,"AAAAAH0/5c4=")</f>
        <v>#REF!</v>
      </c>
      <c r="GZ89" t="e">
        <f>AND(#REF!,"AAAAAH0/5c8=")</f>
        <v>#REF!</v>
      </c>
      <c r="HA89" t="e">
        <f>AND(#REF!,"AAAAAH0/5dA=")</f>
        <v>#REF!</v>
      </c>
      <c r="HB89" t="e">
        <f>AND(#REF!,"AAAAAH0/5dE=")</f>
        <v>#REF!</v>
      </c>
      <c r="HC89" t="e">
        <f>AND(#REF!,"AAAAAH0/5dI=")</f>
        <v>#REF!</v>
      </c>
      <c r="HD89" t="e">
        <f>AND(#REF!,"AAAAAH0/5dM=")</f>
        <v>#REF!</v>
      </c>
      <c r="HE89" t="e">
        <f>AND(#REF!,"AAAAAH0/5dQ=")</f>
        <v>#REF!</v>
      </c>
      <c r="HF89" t="e">
        <f>AND(#REF!,"AAAAAH0/5dU=")</f>
        <v>#REF!</v>
      </c>
      <c r="HG89" t="e">
        <f>AND(#REF!,"AAAAAH0/5dY=")</f>
        <v>#REF!</v>
      </c>
      <c r="HH89" t="e">
        <f>AND(#REF!,"AAAAAH0/5dc=")</f>
        <v>#REF!</v>
      </c>
      <c r="HI89" t="e">
        <f>IF(#REF!,"AAAAAH0/5dg=",0)</f>
        <v>#REF!</v>
      </c>
      <c r="HJ89" t="e">
        <f>AND(#REF!,"AAAAAH0/5dk=")</f>
        <v>#REF!</v>
      </c>
      <c r="HK89" t="e">
        <f>AND(#REF!,"AAAAAH0/5do=")</f>
        <v>#REF!</v>
      </c>
      <c r="HL89" t="e">
        <f>AND(#REF!,"AAAAAH0/5ds=")</f>
        <v>#REF!</v>
      </c>
      <c r="HM89" t="e">
        <f>AND(#REF!,"AAAAAH0/5dw=")</f>
        <v>#REF!</v>
      </c>
      <c r="HN89" t="e">
        <f>AND(#REF!,"AAAAAH0/5d0=")</f>
        <v>#REF!</v>
      </c>
      <c r="HO89" t="e">
        <f>AND(#REF!,"AAAAAH0/5d4=")</f>
        <v>#REF!</v>
      </c>
      <c r="HP89" t="e">
        <f>AND(#REF!,"AAAAAH0/5d8=")</f>
        <v>#REF!</v>
      </c>
      <c r="HQ89" t="e">
        <f>AND(#REF!,"AAAAAH0/5eA=")</f>
        <v>#REF!</v>
      </c>
      <c r="HR89" t="e">
        <f>AND(#REF!,"AAAAAH0/5eE=")</f>
        <v>#REF!</v>
      </c>
      <c r="HS89" t="e">
        <f>AND(#REF!,"AAAAAH0/5eI=")</f>
        <v>#REF!</v>
      </c>
      <c r="HT89" t="e">
        <f>AND(#REF!,"AAAAAH0/5eM=")</f>
        <v>#REF!</v>
      </c>
      <c r="HU89" t="e">
        <f>AND(#REF!,"AAAAAH0/5eQ=")</f>
        <v>#REF!</v>
      </c>
      <c r="HV89" t="e">
        <f>AND(#REF!,"AAAAAH0/5eU=")</f>
        <v>#REF!</v>
      </c>
      <c r="HW89" t="e">
        <f>AND(#REF!,"AAAAAH0/5eY=")</f>
        <v>#REF!</v>
      </c>
      <c r="HX89" t="e">
        <f>AND(#REF!,"AAAAAH0/5ec=")</f>
        <v>#REF!</v>
      </c>
      <c r="HY89" t="e">
        <f>AND(#REF!,"AAAAAH0/5eg=")</f>
        <v>#REF!</v>
      </c>
      <c r="HZ89" t="e">
        <f>AND(#REF!,"AAAAAH0/5ek=")</f>
        <v>#REF!</v>
      </c>
      <c r="IA89" t="e">
        <f>AND(#REF!,"AAAAAH0/5eo=")</f>
        <v>#REF!</v>
      </c>
      <c r="IB89" t="e">
        <f>AND(#REF!,"AAAAAH0/5es=")</f>
        <v>#REF!</v>
      </c>
      <c r="IC89" t="e">
        <f>AND(#REF!,"AAAAAH0/5ew=")</f>
        <v>#REF!</v>
      </c>
      <c r="ID89" t="e">
        <f>AND(#REF!,"AAAAAH0/5e0=")</f>
        <v>#REF!</v>
      </c>
      <c r="IE89" t="e">
        <f>AND(#REF!,"AAAAAH0/5e4=")</f>
        <v>#REF!</v>
      </c>
      <c r="IF89" t="e">
        <f>AND(#REF!,"AAAAAH0/5e8=")</f>
        <v>#REF!</v>
      </c>
      <c r="IG89" t="e">
        <f>AND(#REF!,"AAAAAH0/5fA=")</f>
        <v>#REF!</v>
      </c>
      <c r="IH89" t="e">
        <f>AND(#REF!,"AAAAAH0/5fE=")</f>
        <v>#REF!</v>
      </c>
      <c r="II89" t="e">
        <f>AND(#REF!,"AAAAAH0/5fI=")</f>
        <v>#REF!</v>
      </c>
      <c r="IJ89" t="e">
        <f>AND(#REF!,"AAAAAH0/5fM=")</f>
        <v>#REF!</v>
      </c>
      <c r="IK89" t="e">
        <f>AND(#REF!,"AAAAAH0/5fQ=")</f>
        <v>#REF!</v>
      </c>
      <c r="IL89" t="e">
        <f>AND(#REF!,"AAAAAH0/5fU=")</f>
        <v>#REF!</v>
      </c>
      <c r="IM89" t="e">
        <f>AND(#REF!,"AAAAAH0/5fY=")</f>
        <v>#REF!</v>
      </c>
      <c r="IN89" t="e">
        <f>AND(#REF!,"AAAAAH0/5fc=")</f>
        <v>#REF!</v>
      </c>
      <c r="IO89" t="e">
        <f>AND(#REF!,"AAAAAH0/5fg=")</f>
        <v>#REF!</v>
      </c>
      <c r="IP89" t="e">
        <f>AND(#REF!,"AAAAAH0/5fk=")</f>
        <v>#REF!</v>
      </c>
      <c r="IQ89" t="e">
        <f>AND(#REF!,"AAAAAH0/5fo=")</f>
        <v>#REF!</v>
      </c>
      <c r="IR89" t="e">
        <f>AND(#REF!,"AAAAAH0/5fs=")</f>
        <v>#REF!</v>
      </c>
      <c r="IS89" t="e">
        <f>AND(#REF!,"AAAAAH0/5fw=")</f>
        <v>#REF!</v>
      </c>
      <c r="IT89" t="e">
        <f>AND(#REF!,"AAAAAH0/5f0=")</f>
        <v>#REF!</v>
      </c>
      <c r="IU89" t="e">
        <f>AND(#REF!,"AAAAAH0/5f4=")</f>
        <v>#REF!</v>
      </c>
      <c r="IV89" t="e">
        <f>AND(#REF!,"AAAAAH0/5f8=")</f>
        <v>#REF!</v>
      </c>
    </row>
    <row r="90" spans="1:256" x14ac:dyDescent="0.25">
      <c r="A90" t="e">
        <f>AND(#REF!,"AAAAAFDdvgA=")</f>
        <v>#REF!</v>
      </c>
      <c r="B90" t="e">
        <f>AND(#REF!,"AAAAAFDdvgE=")</f>
        <v>#REF!</v>
      </c>
      <c r="C90" t="e">
        <f>AND(#REF!,"AAAAAFDdvgI=")</f>
        <v>#REF!</v>
      </c>
      <c r="D90" t="e">
        <f>AND(#REF!,"AAAAAFDdvgM=")</f>
        <v>#REF!</v>
      </c>
      <c r="E90" t="e">
        <f>AND(#REF!,"AAAAAFDdvgQ=")</f>
        <v>#REF!</v>
      </c>
      <c r="F90" t="e">
        <f>AND(#REF!,"AAAAAFDdvgU=")</f>
        <v>#REF!</v>
      </c>
      <c r="G90" t="e">
        <f>AND(#REF!,"AAAAAFDdvgY=")</f>
        <v>#REF!</v>
      </c>
      <c r="H90" t="e">
        <f>AND(#REF!,"AAAAAFDdvgc=")</f>
        <v>#REF!</v>
      </c>
      <c r="I90" t="e">
        <f>AND(#REF!,"AAAAAFDdvgg=")</f>
        <v>#REF!</v>
      </c>
      <c r="J90" t="e">
        <f>AND(#REF!,"AAAAAFDdvgk=")</f>
        <v>#REF!</v>
      </c>
      <c r="K90" t="e">
        <f>AND(#REF!,"AAAAAFDdvgo=")</f>
        <v>#REF!</v>
      </c>
      <c r="L90" t="e">
        <f>AND(#REF!,"AAAAAFDdvgs=")</f>
        <v>#REF!</v>
      </c>
      <c r="M90" t="e">
        <f>AND(#REF!,"AAAAAFDdvgw=")</f>
        <v>#REF!</v>
      </c>
      <c r="N90" t="e">
        <f>AND(#REF!,"AAAAAFDdvg0=")</f>
        <v>#REF!</v>
      </c>
      <c r="O90" t="e">
        <f>AND(#REF!,"AAAAAFDdvg4=")</f>
        <v>#REF!</v>
      </c>
      <c r="P90" t="e">
        <f>AND(#REF!,"AAAAAFDdvg8=")</f>
        <v>#REF!</v>
      </c>
      <c r="Q90" t="e">
        <f>AND(#REF!,"AAAAAFDdvhA=")</f>
        <v>#REF!</v>
      </c>
      <c r="R90" t="e">
        <f>AND(#REF!,"AAAAAFDdvhE=")</f>
        <v>#REF!</v>
      </c>
      <c r="S90" t="e">
        <f>AND(#REF!,"AAAAAFDdvhI=")</f>
        <v>#REF!</v>
      </c>
      <c r="T90" t="e">
        <f>AND(#REF!,"AAAAAFDdvhM=")</f>
        <v>#REF!</v>
      </c>
      <c r="U90" t="e">
        <f>AND(#REF!,"AAAAAFDdvhQ=")</f>
        <v>#REF!</v>
      </c>
      <c r="V90" t="e">
        <f>AND(#REF!,"AAAAAFDdvhU=")</f>
        <v>#REF!</v>
      </c>
      <c r="W90" t="e">
        <f>AND(#REF!,"AAAAAFDdvhY=")</f>
        <v>#REF!</v>
      </c>
      <c r="X90" t="e">
        <f>AND(#REF!,"AAAAAFDdvhc=")</f>
        <v>#REF!</v>
      </c>
      <c r="Y90" t="e">
        <f>AND(#REF!,"AAAAAFDdvhg=")</f>
        <v>#REF!</v>
      </c>
      <c r="Z90" t="e">
        <f>AND(#REF!,"AAAAAFDdvhk=")</f>
        <v>#REF!</v>
      </c>
      <c r="AA90" t="e">
        <f>AND(#REF!,"AAAAAFDdvho=")</f>
        <v>#REF!</v>
      </c>
      <c r="AB90" t="e">
        <f>AND(#REF!,"AAAAAFDdvhs=")</f>
        <v>#REF!</v>
      </c>
      <c r="AC90" t="e">
        <f>AND(#REF!,"AAAAAFDdvhw=")</f>
        <v>#REF!</v>
      </c>
      <c r="AD90" t="e">
        <f>AND(#REF!,"AAAAAFDdvh0=")</f>
        <v>#REF!</v>
      </c>
      <c r="AE90" t="e">
        <f>AND(#REF!,"AAAAAFDdvh4=")</f>
        <v>#REF!</v>
      </c>
      <c r="AF90" t="e">
        <f>AND(#REF!,"AAAAAFDdvh8=")</f>
        <v>#REF!</v>
      </c>
      <c r="AG90" t="e">
        <f>AND(#REF!,"AAAAAFDdviA=")</f>
        <v>#REF!</v>
      </c>
      <c r="AH90" t="e">
        <f>AND(#REF!,"AAAAAFDdviE=")</f>
        <v>#REF!</v>
      </c>
      <c r="AI90" t="e">
        <f>AND(#REF!,"AAAAAFDdviI=")</f>
        <v>#REF!</v>
      </c>
      <c r="AJ90" t="e">
        <f>AND(#REF!,"AAAAAFDdviM=")</f>
        <v>#REF!</v>
      </c>
      <c r="AK90" t="e">
        <f>AND(#REF!,"AAAAAFDdviQ=")</f>
        <v>#REF!</v>
      </c>
      <c r="AL90" t="e">
        <f>AND(#REF!,"AAAAAFDdviU=")</f>
        <v>#REF!</v>
      </c>
      <c r="AM90" t="e">
        <f>AND(#REF!,"AAAAAFDdviY=")</f>
        <v>#REF!</v>
      </c>
      <c r="AN90" t="e">
        <f>AND(#REF!,"AAAAAFDdvic=")</f>
        <v>#REF!</v>
      </c>
      <c r="AO90" t="e">
        <f>AND(#REF!,"AAAAAFDdvig=")</f>
        <v>#REF!</v>
      </c>
      <c r="AP90" t="e">
        <f>AND(#REF!,"AAAAAFDdvik=")</f>
        <v>#REF!</v>
      </c>
      <c r="AQ90" t="e">
        <f>AND(#REF!,"AAAAAFDdvio=")</f>
        <v>#REF!</v>
      </c>
      <c r="AR90" t="e">
        <f>AND(#REF!,"AAAAAFDdvis=")</f>
        <v>#REF!</v>
      </c>
      <c r="AS90" t="e">
        <f>AND(#REF!,"AAAAAFDdviw=")</f>
        <v>#REF!</v>
      </c>
      <c r="AT90" t="e">
        <f>AND(#REF!,"AAAAAFDdvi0=")</f>
        <v>#REF!</v>
      </c>
      <c r="AU90" t="e">
        <f>AND(#REF!,"AAAAAFDdvi4=")</f>
        <v>#REF!</v>
      </c>
      <c r="AV90" t="e">
        <f>AND(#REF!,"AAAAAFDdvi8=")</f>
        <v>#REF!</v>
      </c>
      <c r="AW90" t="e">
        <f>AND(#REF!,"AAAAAFDdvjA=")</f>
        <v>#REF!</v>
      </c>
      <c r="AX90" t="e">
        <f>AND(#REF!,"AAAAAFDdvjE=")</f>
        <v>#REF!</v>
      </c>
      <c r="AY90" t="e">
        <f>AND(#REF!,"AAAAAFDdvjI=")</f>
        <v>#REF!</v>
      </c>
      <c r="AZ90" t="e">
        <f>AND(#REF!,"AAAAAFDdvjM=")</f>
        <v>#REF!</v>
      </c>
      <c r="BA90" t="e">
        <f>AND(#REF!,"AAAAAFDdvjQ=")</f>
        <v>#REF!</v>
      </c>
      <c r="BB90" t="e">
        <f>AND(#REF!,"AAAAAFDdvjU=")</f>
        <v>#REF!</v>
      </c>
      <c r="BC90" t="e">
        <f>AND(#REF!,"AAAAAFDdvjY=")</f>
        <v>#REF!</v>
      </c>
      <c r="BD90" t="e">
        <f>AND(#REF!,"AAAAAFDdvjc=")</f>
        <v>#REF!</v>
      </c>
      <c r="BE90" t="e">
        <f>AND(#REF!,"AAAAAFDdvjg=")</f>
        <v>#REF!</v>
      </c>
      <c r="BF90" t="e">
        <f>AND(#REF!,"AAAAAFDdvjk=")</f>
        <v>#REF!</v>
      </c>
      <c r="BG90" t="e">
        <f>AND(#REF!,"AAAAAFDdvjo=")</f>
        <v>#REF!</v>
      </c>
      <c r="BH90" t="e">
        <f>AND(#REF!,"AAAAAFDdvjs=")</f>
        <v>#REF!</v>
      </c>
      <c r="BI90" t="e">
        <f>AND(#REF!,"AAAAAFDdvjw=")</f>
        <v>#REF!</v>
      </c>
      <c r="BJ90" t="e">
        <f>AND(#REF!,"AAAAAFDdvj0=")</f>
        <v>#REF!</v>
      </c>
      <c r="BK90" t="e">
        <f>AND(#REF!,"AAAAAFDdvj4=")</f>
        <v>#REF!</v>
      </c>
      <c r="BL90" t="e">
        <f>AND(#REF!,"AAAAAFDdvj8=")</f>
        <v>#REF!</v>
      </c>
      <c r="BM90" t="e">
        <f>AND(#REF!,"AAAAAFDdvkA=")</f>
        <v>#REF!</v>
      </c>
      <c r="BN90" t="e">
        <f>AND(#REF!,"AAAAAFDdvkE=")</f>
        <v>#REF!</v>
      </c>
      <c r="BO90" t="e">
        <f>AND(#REF!,"AAAAAFDdvkI=")</f>
        <v>#REF!</v>
      </c>
      <c r="BP90" t="e">
        <f>AND(#REF!,"AAAAAFDdvkM=")</f>
        <v>#REF!</v>
      </c>
      <c r="BQ90" t="e">
        <f>AND(#REF!,"AAAAAFDdvkQ=")</f>
        <v>#REF!</v>
      </c>
      <c r="BR90" t="e">
        <f>AND(#REF!,"AAAAAFDdvkU=")</f>
        <v>#REF!</v>
      </c>
      <c r="BS90" t="e">
        <f>AND(#REF!,"AAAAAFDdvkY=")</f>
        <v>#REF!</v>
      </c>
      <c r="BT90" t="e">
        <f>AND(#REF!,"AAAAAFDdvkc=")</f>
        <v>#REF!</v>
      </c>
      <c r="BU90" t="e">
        <f>AND(#REF!,"AAAAAFDdvkg=")</f>
        <v>#REF!</v>
      </c>
      <c r="BV90" t="e">
        <f>AND(#REF!,"AAAAAFDdvkk=")</f>
        <v>#REF!</v>
      </c>
      <c r="BW90" t="e">
        <f>AND(#REF!,"AAAAAFDdvko=")</f>
        <v>#REF!</v>
      </c>
      <c r="BX90" t="e">
        <f>AND(#REF!,"AAAAAFDdvks=")</f>
        <v>#REF!</v>
      </c>
      <c r="BY90" t="e">
        <f>AND(#REF!,"AAAAAFDdvkw=")</f>
        <v>#REF!</v>
      </c>
      <c r="BZ90" t="e">
        <f>AND(#REF!,"AAAAAFDdvk0=")</f>
        <v>#REF!</v>
      </c>
      <c r="CA90" t="e">
        <f>AND(#REF!,"AAAAAFDdvk4=")</f>
        <v>#REF!</v>
      </c>
      <c r="CB90" t="e">
        <f>AND(#REF!,"AAAAAFDdvk8=")</f>
        <v>#REF!</v>
      </c>
      <c r="CC90" t="e">
        <f>AND(#REF!,"AAAAAFDdvlA=")</f>
        <v>#REF!</v>
      </c>
      <c r="CD90" t="e">
        <f>AND(#REF!,"AAAAAFDdvlE=")</f>
        <v>#REF!</v>
      </c>
      <c r="CE90" t="e">
        <f>AND(#REF!,"AAAAAFDdvlI=")</f>
        <v>#REF!</v>
      </c>
      <c r="CF90" t="e">
        <f>AND(#REF!,"AAAAAFDdvlM=")</f>
        <v>#REF!</v>
      </c>
      <c r="CG90" t="e">
        <f>AND(#REF!,"AAAAAFDdvlQ=")</f>
        <v>#REF!</v>
      </c>
      <c r="CH90" t="e">
        <f>AND(#REF!,"AAAAAFDdvlU=")</f>
        <v>#REF!</v>
      </c>
      <c r="CI90" t="e">
        <f>AND(#REF!,"AAAAAFDdvlY=")</f>
        <v>#REF!</v>
      </c>
      <c r="CJ90" t="e">
        <f>AND(#REF!,"AAAAAFDdvlc=")</f>
        <v>#REF!</v>
      </c>
      <c r="CK90" t="e">
        <f>AND(#REF!,"AAAAAFDdvlg=")</f>
        <v>#REF!</v>
      </c>
      <c r="CL90" t="e">
        <f>AND(#REF!,"AAAAAFDdvlk=")</f>
        <v>#REF!</v>
      </c>
      <c r="CM90" t="e">
        <f>AND(#REF!,"AAAAAFDdvlo=")</f>
        <v>#REF!</v>
      </c>
      <c r="CN90" t="e">
        <f>AND(#REF!,"AAAAAFDdvls=")</f>
        <v>#REF!</v>
      </c>
      <c r="CO90" t="e">
        <f>AND(#REF!,"AAAAAFDdvlw=")</f>
        <v>#REF!</v>
      </c>
      <c r="CP90" t="e">
        <f>AND(#REF!,"AAAAAFDdvl0=")</f>
        <v>#REF!</v>
      </c>
      <c r="CQ90" t="e">
        <f>AND(#REF!,"AAAAAFDdvl4=")</f>
        <v>#REF!</v>
      </c>
      <c r="CR90" t="e">
        <f>AND(#REF!,"AAAAAFDdvl8=")</f>
        <v>#REF!</v>
      </c>
      <c r="CS90" t="e">
        <f>AND(#REF!,"AAAAAFDdvmA=")</f>
        <v>#REF!</v>
      </c>
      <c r="CT90" t="e">
        <f>AND(#REF!,"AAAAAFDdvmE=")</f>
        <v>#REF!</v>
      </c>
      <c r="CU90" t="e">
        <f>AND(#REF!,"AAAAAFDdvmI=")</f>
        <v>#REF!</v>
      </c>
      <c r="CV90" t="e">
        <f>AND(#REF!,"AAAAAFDdvmM=")</f>
        <v>#REF!</v>
      </c>
      <c r="CW90" t="e">
        <f>AND(#REF!,"AAAAAFDdvmQ=")</f>
        <v>#REF!</v>
      </c>
      <c r="CX90" t="e">
        <f>AND(#REF!,"AAAAAFDdvmU=")</f>
        <v>#REF!</v>
      </c>
      <c r="CY90" t="e">
        <f>AND(#REF!,"AAAAAFDdvmY=")</f>
        <v>#REF!</v>
      </c>
      <c r="CZ90" t="e">
        <f>AND(#REF!,"AAAAAFDdvmc=")</f>
        <v>#REF!</v>
      </c>
      <c r="DA90" t="e">
        <f>AND(#REF!,"AAAAAFDdvmg=")</f>
        <v>#REF!</v>
      </c>
      <c r="DB90" t="e">
        <f>AND(#REF!,"AAAAAFDdvmk=")</f>
        <v>#REF!</v>
      </c>
      <c r="DC90" t="e">
        <f>AND(#REF!,"AAAAAFDdvmo=")</f>
        <v>#REF!</v>
      </c>
      <c r="DD90" t="e">
        <f>AND(#REF!,"AAAAAFDdvms=")</f>
        <v>#REF!</v>
      </c>
      <c r="DE90" t="e">
        <f>AND(#REF!,"AAAAAFDdvmw=")</f>
        <v>#REF!</v>
      </c>
      <c r="DF90" t="e">
        <f>AND(#REF!,"AAAAAFDdvm0=")</f>
        <v>#REF!</v>
      </c>
      <c r="DG90" t="e">
        <f>AND(#REF!,"AAAAAFDdvm4=")</f>
        <v>#REF!</v>
      </c>
      <c r="DH90" t="e">
        <f>AND(#REF!,"AAAAAFDdvm8=")</f>
        <v>#REF!</v>
      </c>
      <c r="DI90" t="e">
        <f>AND(#REF!,"AAAAAFDdvnA=")</f>
        <v>#REF!</v>
      </c>
      <c r="DJ90" t="e">
        <f>AND(#REF!,"AAAAAFDdvnE=")</f>
        <v>#REF!</v>
      </c>
      <c r="DK90" t="e">
        <f>AND(#REF!,"AAAAAFDdvnI=")</f>
        <v>#REF!</v>
      </c>
      <c r="DL90" t="e">
        <f>AND(#REF!,"AAAAAFDdvnM=")</f>
        <v>#REF!</v>
      </c>
      <c r="DM90" t="e">
        <f>AND(#REF!,"AAAAAFDdvnQ=")</f>
        <v>#REF!</v>
      </c>
      <c r="DN90" t="e">
        <f>AND(#REF!,"AAAAAFDdvnU=")</f>
        <v>#REF!</v>
      </c>
      <c r="DO90" t="e">
        <f>AND(#REF!,"AAAAAFDdvnY=")</f>
        <v>#REF!</v>
      </c>
      <c r="DP90" t="e">
        <f>AND(#REF!,"AAAAAFDdvnc=")</f>
        <v>#REF!</v>
      </c>
      <c r="DQ90" t="e">
        <f>AND(#REF!,"AAAAAFDdvng=")</f>
        <v>#REF!</v>
      </c>
      <c r="DR90" t="e">
        <f>AND(#REF!,"AAAAAFDdvnk=")</f>
        <v>#REF!</v>
      </c>
      <c r="DS90" t="e">
        <f>AND(#REF!,"AAAAAFDdvno=")</f>
        <v>#REF!</v>
      </c>
      <c r="DT90" t="e">
        <f>AND(#REF!,"AAAAAFDdvns=")</f>
        <v>#REF!</v>
      </c>
      <c r="DU90" t="e">
        <f>AND(#REF!,"AAAAAFDdvnw=")</f>
        <v>#REF!</v>
      </c>
      <c r="DV90" t="e">
        <f>AND(#REF!,"AAAAAFDdvn0=")</f>
        <v>#REF!</v>
      </c>
      <c r="DW90" t="e">
        <f>AND(#REF!,"AAAAAFDdvn4=")</f>
        <v>#REF!</v>
      </c>
      <c r="DX90" t="e">
        <f>AND(#REF!,"AAAAAFDdvn8=")</f>
        <v>#REF!</v>
      </c>
      <c r="DY90" t="e">
        <f>AND(#REF!,"AAAAAFDdvoA=")</f>
        <v>#REF!</v>
      </c>
      <c r="DZ90" t="e">
        <f>AND(#REF!,"AAAAAFDdvoE=")</f>
        <v>#REF!</v>
      </c>
      <c r="EA90" t="e">
        <f>AND(#REF!,"AAAAAFDdvoI=")</f>
        <v>#REF!</v>
      </c>
      <c r="EB90" t="e">
        <f>AND(#REF!,"AAAAAFDdvoM=")</f>
        <v>#REF!</v>
      </c>
      <c r="EC90" t="e">
        <f>AND(#REF!,"AAAAAFDdvoQ=")</f>
        <v>#REF!</v>
      </c>
      <c r="ED90" t="e">
        <f>AND(#REF!,"AAAAAFDdvoU=")</f>
        <v>#REF!</v>
      </c>
      <c r="EE90" t="e">
        <f>AND(#REF!,"AAAAAFDdvoY=")</f>
        <v>#REF!</v>
      </c>
      <c r="EF90" t="e">
        <f>AND(#REF!,"AAAAAFDdvoc=")</f>
        <v>#REF!</v>
      </c>
      <c r="EG90" t="e">
        <f>AND(#REF!,"AAAAAFDdvog=")</f>
        <v>#REF!</v>
      </c>
      <c r="EH90" t="e">
        <f>AND(#REF!,"AAAAAFDdvok=")</f>
        <v>#REF!</v>
      </c>
      <c r="EI90" t="e">
        <f>IF(#REF!,"AAAAAFDdvoo=",0)</f>
        <v>#REF!</v>
      </c>
      <c r="EJ90" t="e">
        <f>AND(#REF!,"AAAAAFDdvos=")</f>
        <v>#REF!</v>
      </c>
      <c r="EK90" t="e">
        <f>AND(#REF!,"AAAAAFDdvow=")</f>
        <v>#REF!</v>
      </c>
      <c r="EL90" t="e">
        <f>AND(#REF!,"AAAAAFDdvo0=")</f>
        <v>#REF!</v>
      </c>
      <c r="EM90" t="e">
        <f>AND(#REF!,"AAAAAFDdvo4=")</f>
        <v>#REF!</v>
      </c>
      <c r="EN90" t="e">
        <f>AND(#REF!,"AAAAAFDdvo8=")</f>
        <v>#REF!</v>
      </c>
      <c r="EO90" t="e">
        <f>AND(#REF!,"AAAAAFDdvpA=")</f>
        <v>#REF!</v>
      </c>
      <c r="EP90" t="e">
        <f>AND(#REF!,"AAAAAFDdvpE=")</f>
        <v>#REF!</v>
      </c>
      <c r="EQ90" t="e">
        <f>AND(#REF!,"AAAAAFDdvpI=")</f>
        <v>#REF!</v>
      </c>
      <c r="ER90" t="e">
        <f>AND(#REF!,"AAAAAFDdvpM=")</f>
        <v>#REF!</v>
      </c>
      <c r="ES90" t="e">
        <f>AND(#REF!,"AAAAAFDdvpQ=")</f>
        <v>#REF!</v>
      </c>
      <c r="ET90" t="e">
        <f>AND(#REF!,"AAAAAFDdvpU=")</f>
        <v>#REF!</v>
      </c>
      <c r="EU90" t="e">
        <f>AND(#REF!,"AAAAAFDdvpY=")</f>
        <v>#REF!</v>
      </c>
      <c r="EV90" t="e">
        <f>AND(#REF!,"AAAAAFDdvpc=")</f>
        <v>#REF!</v>
      </c>
      <c r="EW90" t="e">
        <f>AND(#REF!,"AAAAAFDdvpg=")</f>
        <v>#REF!</v>
      </c>
      <c r="EX90" t="e">
        <f>AND(#REF!,"AAAAAFDdvpk=")</f>
        <v>#REF!</v>
      </c>
      <c r="EY90" t="e">
        <f>AND(#REF!,"AAAAAFDdvpo=")</f>
        <v>#REF!</v>
      </c>
      <c r="EZ90" t="e">
        <f>AND(#REF!,"AAAAAFDdvps=")</f>
        <v>#REF!</v>
      </c>
      <c r="FA90" t="e">
        <f>AND(#REF!,"AAAAAFDdvpw=")</f>
        <v>#REF!</v>
      </c>
      <c r="FB90" t="e">
        <f>AND(#REF!,"AAAAAFDdvp0=")</f>
        <v>#REF!</v>
      </c>
      <c r="FC90" t="e">
        <f>AND(#REF!,"AAAAAFDdvp4=")</f>
        <v>#REF!</v>
      </c>
      <c r="FD90" t="e">
        <f>AND(#REF!,"AAAAAFDdvp8=")</f>
        <v>#REF!</v>
      </c>
      <c r="FE90" t="e">
        <f>AND(#REF!,"AAAAAFDdvqA=")</f>
        <v>#REF!</v>
      </c>
      <c r="FF90" t="e">
        <f>AND(#REF!,"AAAAAFDdvqE=")</f>
        <v>#REF!</v>
      </c>
      <c r="FG90" t="e">
        <f>AND(#REF!,"AAAAAFDdvqI=")</f>
        <v>#REF!</v>
      </c>
      <c r="FH90" t="e">
        <f>AND(#REF!,"AAAAAFDdvqM=")</f>
        <v>#REF!</v>
      </c>
      <c r="FI90" t="e">
        <f>AND(#REF!,"AAAAAFDdvqQ=")</f>
        <v>#REF!</v>
      </c>
      <c r="FJ90" t="e">
        <f>AND(#REF!,"AAAAAFDdvqU=")</f>
        <v>#REF!</v>
      </c>
      <c r="FK90" t="e">
        <f>AND(#REF!,"AAAAAFDdvqY=")</f>
        <v>#REF!</v>
      </c>
      <c r="FL90" t="e">
        <f>AND(#REF!,"AAAAAFDdvqc=")</f>
        <v>#REF!</v>
      </c>
      <c r="FM90" t="e">
        <f>AND(#REF!,"AAAAAFDdvqg=")</f>
        <v>#REF!</v>
      </c>
      <c r="FN90" t="e">
        <f>AND(#REF!,"AAAAAFDdvqk=")</f>
        <v>#REF!</v>
      </c>
      <c r="FO90" t="e">
        <f>AND(#REF!,"AAAAAFDdvqo=")</f>
        <v>#REF!</v>
      </c>
      <c r="FP90" t="e">
        <f>AND(#REF!,"AAAAAFDdvqs=")</f>
        <v>#REF!</v>
      </c>
      <c r="FQ90" t="e">
        <f>AND(#REF!,"AAAAAFDdvqw=")</f>
        <v>#REF!</v>
      </c>
      <c r="FR90" t="e">
        <f>AND(#REF!,"AAAAAFDdvq0=")</f>
        <v>#REF!</v>
      </c>
      <c r="FS90" t="e">
        <f>AND(#REF!,"AAAAAFDdvq4=")</f>
        <v>#REF!</v>
      </c>
      <c r="FT90" t="e">
        <f>AND(#REF!,"AAAAAFDdvq8=")</f>
        <v>#REF!</v>
      </c>
      <c r="FU90" t="e">
        <f>AND(#REF!,"AAAAAFDdvrA=")</f>
        <v>#REF!</v>
      </c>
      <c r="FV90" t="e">
        <f>AND(#REF!,"AAAAAFDdvrE=")</f>
        <v>#REF!</v>
      </c>
      <c r="FW90" t="e">
        <f>AND(#REF!,"AAAAAFDdvrI=")</f>
        <v>#REF!</v>
      </c>
      <c r="FX90" t="e">
        <f>AND(#REF!,"AAAAAFDdvrM=")</f>
        <v>#REF!</v>
      </c>
      <c r="FY90" t="e">
        <f>AND(#REF!,"AAAAAFDdvrQ=")</f>
        <v>#REF!</v>
      </c>
      <c r="FZ90" t="e">
        <f>AND(#REF!,"AAAAAFDdvrU=")</f>
        <v>#REF!</v>
      </c>
      <c r="GA90" t="e">
        <f>AND(#REF!,"AAAAAFDdvrY=")</f>
        <v>#REF!</v>
      </c>
      <c r="GB90" t="e">
        <f>AND(#REF!,"AAAAAFDdvrc=")</f>
        <v>#REF!</v>
      </c>
      <c r="GC90" t="e">
        <f>AND(#REF!,"AAAAAFDdvrg=")</f>
        <v>#REF!</v>
      </c>
      <c r="GD90" t="e">
        <f>AND(#REF!,"AAAAAFDdvrk=")</f>
        <v>#REF!</v>
      </c>
      <c r="GE90" t="e">
        <f>AND(#REF!,"AAAAAFDdvro=")</f>
        <v>#REF!</v>
      </c>
      <c r="GF90" t="e">
        <f>AND(#REF!,"AAAAAFDdvrs=")</f>
        <v>#REF!</v>
      </c>
      <c r="GG90" t="e">
        <f>AND(#REF!,"AAAAAFDdvrw=")</f>
        <v>#REF!</v>
      </c>
      <c r="GH90" t="e">
        <f>AND(#REF!,"AAAAAFDdvr0=")</f>
        <v>#REF!</v>
      </c>
      <c r="GI90" t="e">
        <f>AND(#REF!,"AAAAAFDdvr4=")</f>
        <v>#REF!</v>
      </c>
      <c r="GJ90" t="e">
        <f>AND(#REF!,"AAAAAFDdvr8=")</f>
        <v>#REF!</v>
      </c>
      <c r="GK90" t="e">
        <f>AND(#REF!,"AAAAAFDdvsA=")</f>
        <v>#REF!</v>
      </c>
      <c r="GL90" t="e">
        <f>AND(#REF!,"AAAAAFDdvsE=")</f>
        <v>#REF!</v>
      </c>
      <c r="GM90" t="e">
        <f>AND(#REF!,"AAAAAFDdvsI=")</f>
        <v>#REF!</v>
      </c>
      <c r="GN90" t="e">
        <f>AND(#REF!,"AAAAAFDdvsM=")</f>
        <v>#REF!</v>
      </c>
      <c r="GO90" t="e">
        <f>AND(#REF!,"AAAAAFDdvsQ=")</f>
        <v>#REF!</v>
      </c>
      <c r="GP90" t="e">
        <f>AND(#REF!,"AAAAAFDdvsU=")</f>
        <v>#REF!</v>
      </c>
      <c r="GQ90" t="e">
        <f>AND(#REF!,"AAAAAFDdvsY=")</f>
        <v>#REF!</v>
      </c>
      <c r="GR90" t="e">
        <f>AND(#REF!,"AAAAAFDdvsc=")</f>
        <v>#REF!</v>
      </c>
      <c r="GS90" t="e">
        <f>AND(#REF!,"AAAAAFDdvsg=")</f>
        <v>#REF!</v>
      </c>
      <c r="GT90" t="e">
        <f>AND(#REF!,"AAAAAFDdvsk=")</f>
        <v>#REF!</v>
      </c>
      <c r="GU90" t="e">
        <f>AND(#REF!,"AAAAAFDdvso=")</f>
        <v>#REF!</v>
      </c>
      <c r="GV90" t="e">
        <f>AND(#REF!,"AAAAAFDdvss=")</f>
        <v>#REF!</v>
      </c>
      <c r="GW90" t="e">
        <f>AND(#REF!,"AAAAAFDdvsw=")</f>
        <v>#REF!</v>
      </c>
      <c r="GX90" t="e">
        <f>AND(#REF!,"AAAAAFDdvs0=")</f>
        <v>#REF!</v>
      </c>
      <c r="GY90" t="e">
        <f>AND(#REF!,"AAAAAFDdvs4=")</f>
        <v>#REF!</v>
      </c>
      <c r="GZ90" t="e">
        <f>AND(#REF!,"AAAAAFDdvs8=")</f>
        <v>#REF!</v>
      </c>
      <c r="HA90" t="e">
        <f>AND(#REF!,"AAAAAFDdvtA=")</f>
        <v>#REF!</v>
      </c>
      <c r="HB90" t="e">
        <f>AND(#REF!,"AAAAAFDdvtE=")</f>
        <v>#REF!</v>
      </c>
      <c r="HC90" t="e">
        <f>AND(#REF!,"AAAAAFDdvtI=")</f>
        <v>#REF!</v>
      </c>
      <c r="HD90" t="e">
        <f>AND(#REF!,"AAAAAFDdvtM=")</f>
        <v>#REF!</v>
      </c>
      <c r="HE90" t="e">
        <f>AND(#REF!,"AAAAAFDdvtQ=")</f>
        <v>#REF!</v>
      </c>
      <c r="HF90" t="e">
        <f>AND(#REF!,"AAAAAFDdvtU=")</f>
        <v>#REF!</v>
      </c>
      <c r="HG90" t="e">
        <f>AND(#REF!,"AAAAAFDdvtY=")</f>
        <v>#REF!</v>
      </c>
      <c r="HH90" t="e">
        <f>AND(#REF!,"AAAAAFDdvtc=")</f>
        <v>#REF!</v>
      </c>
      <c r="HI90" t="e">
        <f>AND(#REF!,"AAAAAFDdvtg=")</f>
        <v>#REF!</v>
      </c>
      <c r="HJ90" t="e">
        <f>AND(#REF!,"AAAAAFDdvtk=")</f>
        <v>#REF!</v>
      </c>
      <c r="HK90" t="e">
        <f>AND(#REF!,"AAAAAFDdvto=")</f>
        <v>#REF!</v>
      </c>
      <c r="HL90" t="e">
        <f>AND(#REF!,"AAAAAFDdvts=")</f>
        <v>#REF!</v>
      </c>
      <c r="HM90" t="e">
        <f>AND(#REF!,"AAAAAFDdvtw=")</f>
        <v>#REF!</v>
      </c>
      <c r="HN90" t="e">
        <f>AND(#REF!,"AAAAAFDdvt0=")</f>
        <v>#REF!</v>
      </c>
      <c r="HO90" t="e">
        <f>AND(#REF!,"AAAAAFDdvt4=")</f>
        <v>#REF!</v>
      </c>
      <c r="HP90" t="e">
        <f>AND(#REF!,"AAAAAFDdvt8=")</f>
        <v>#REF!</v>
      </c>
      <c r="HQ90" t="e">
        <f>AND(#REF!,"AAAAAFDdvuA=")</f>
        <v>#REF!</v>
      </c>
      <c r="HR90" t="e">
        <f>AND(#REF!,"AAAAAFDdvuE=")</f>
        <v>#REF!</v>
      </c>
      <c r="HS90" t="e">
        <f>AND(#REF!,"AAAAAFDdvuI=")</f>
        <v>#REF!</v>
      </c>
      <c r="HT90" t="e">
        <f>AND(#REF!,"AAAAAFDdvuM=")</f>
        <v>#REF!</v>
      </c>
      <c r="HU90" t="e">
        <f>AND(#REF!,"AAAAAFDdvuQ=")</f>
        <v>#REF!</v>
      </c>
      <c r="HV90" t="e">
        <f>AND(#REF!,"AAAAAFDdvuU=")</f>
        <v>#REF!</v>
      </c>
      <c r="HW90" t="e">
        <f>AND(#REF!,"AAAAAFDdvuY=")</f>
        <v>#REF!</v>
      </c>
      <c r="HX90" t="e">
        <f>AND(#REF!,"AAAAAFDdvuc=")</f>
        <v>#REF!</v>
      </c>
      <c r="HY90" t="e">
        <f>AND(#REF!,"AAAAAFDdvug=")</f>
        <v>#REF!</v>
      </c>
      <c r="HZ90" t="e">
        <f>AND(#REF!,"AAAAAFDdvuk=")</f>
        <v>#REF!</v>
      </c>
      <c r="IA90" t="e">
        <f>AND(#REF!,"AAAAAFDdvuo=")</f>
        <v>#REF!</v>
      </c>
      <c r="IB90" t="e">
        <f>AND(#REF!,"AAAAAFDdvus=")</f>
        <v>#REF!</v>
      </c>
      <c r="IC90" t="e">
        <f>AND(#REF!,"AAAAAFDdvuw=")</f>
        <v>#REF!</v>
      </c>
      <c r="ID90" t="e">
        <f>AND(#REF!,"AAAAAFDdvu0=")</f>
        <v>#REF!</v>
      </c>
      <c r="IE90" t="e">
        <f>AND(#REF!,"AAAAAFDdvu4=")</f>
        <v>#REF!</v>
      </c>
      <c r="IF90" t="e">
        <f>AND(#REF!,"AAAAAFDdvu8=")</f>
        <v>#REF!</v>
      </c>
      <c r="IG90" t="e">
        <f>AND(#REF!,"AAAAAFDdvvA=")</f>
        <v>#REF!</v>
      </c>
      <c r="IH90" t="e">
        <f>AND(#REF!,"AAAAAFDdvvE=")</f>
        <v>#REF!</v>
      </c>
      <c r="II90" t="e">
        <f>AND(#REF!,"AAAAAFDdvvI=")</f>
        <v>#REF!</v>
      </c>
      <c r="IJ90" t="e">
        <f>AND(#REF!,"AAAAAFDdvvM=")</f>
        <v>#REF!</v>
      </c>
      <c r="IK90" t="e">
        <f>AND(#REF!,"AAAAAFDdvvQ=")</f>
        <v>#REF!</v>
      </c>
      <c r="IL90" t="e">
        <f>AND(#REF!,"AAAAAFDdvvU=")</f>
        <v>#REF!</v>
      </c>
      <c r="IM90" t="e">
        <f>AND(#REF!,"AAAAAFDdvvY=")</f>
        <v>#REF!</v>
      </c>
      <c r="IN90" t="e">
        <f>AND(#REF!,"AAAAAFDdvvc=")</f>
        <v>#REF!</v>
      </c>
      <c r="IO90" t="e">
        <f>AND(#REF!,"AAAAAFDdvvg=")</f>
        <v>#REF!</v>
      </c>
      <c r="IP90" t="e">
        <f>AND(#REF!,"AAAAAFDdvvk=")</f>
        <v>#REF!</v>
      </c>
      <c r="IQ90" t="e">
        <f>AND(#REF!,"AAAAAFDdvvo=")</f>
        <v>#REF!</v>
      </c>
      <c r="IR90" t="e">
        <f>AND(#REF!,"AAAAAFDdvvs=")</f>
        <v>#REF!</v>
      </c>
      <c r="IS90" t="e">
        <f>AND(#REF!,"AAAAAFDdvvw=")</f>
        <v>#REF!</v>
      </c>
      <c r="IT90" t="e">
        <f>AND(#REF!,"AAAAAFDdvv0=")</f>
        <v>#REF!</v>
      </c>
      <c r="IU90" t="e">
        <f>AND(#REF!,"AAAAAFDdvv4=")</f>
        <v>#REF!</v>
      </c>
      <c r="IV90" t="e">
        <f>AND(#REF!,"AAAAAFDdvv8=")</f>
        <v>#REF!</v>
      </c>
    </row>
    <row r="91" spans="1:256" x14ac:dyDescent="0.25">
      <c r="A91" t="e">
        <f>AND(#REF!,"AAAAAGtd/wA=")</f>
        <v>#REF!</v>
      </c>
      <c r="B91" t="e">
        <f>AND(#REF!,"AAAAAGtd/wE=")</f>
        <v>#REF!</v>
      </c>
      <c r="C91" t="e">
        <f>AND(#REF!,"AAAAAGtd/wI=")</f>
        <v>#REF!</v>
      </c>
      <c r="D91" t="e">
        <f>AND(#REF!,"AAAAAGtd/wM=")</f>
        <v>#REF!</v>
      </c>
      <c r="E91" t="e">
        <f>AND(#REF!,"AAAAAGtd/wQ=")</f>
        <v>#REF!</v>
      </c>
      <c r="F91" t="e">
        <f>AND(#REF!,"AAAAAGtd/wU=")</f>
        <v>#REF!</v>
      </c>
      <c r="G91" t="e">
        <f>AND(#REF!,"AAAAAGtd/wY=")</f>
        <v>#REF!</v>
      </c>
      <c r="H91" t="e">
        <f>AND(#REF!,"AAAAAGtd/wc=")</f>
        <v>#REF!</v>
      </c>
      <c r="I91" t="e">
        <f>AND(#REF!,"AAAAAGtd/wg=")</f>
        <v>#REF!</v>
      </c>
      <c r="J91" t="e">
        <f>AND(#REF!,"AAAAAGtd/wk=")</f>
        <v>#REF!</v>
      </c>
      <c r="K91" t="e">
        <f>AND(#REF!,"AAAAAGtd/wo=")</f>
        <v>#REF!</v>
      </c>
      <c r="L91" t="e">
        <f>AND(#REF!,"AAAAAGtd/ws=")</f>
        <v>#REF!</v>
      </c>
      <c r="M91" t="e">
        <f>AND(#REF!,"AAAAAGtd/ww=")</f>
        <v>#REF!</v>
      </c>
      <c r="N91" t="e">
        <f>AND(#REF!,"AAAAAGtd/w0=")</f>
        <v>#REF!</v>
      </c>
      <c r="O91" t="e">
        <f>AND(#REF!,"AAAAAGtd/w4=")</f>
        <v>#REF!</v>
      </c>
      <c r="P91" t="e">
        <f>AND(#REF!,"AAAAAGtd/w8=")</f>
        <v>#REF!</v>
      </c>
      <c r="Q91" t="e">
        <f>AND(#REF!,"AAAAAGtd/xA=")</f>
        <v>#REF!</v>
      </c>
      <c r="R91" t="e">
        <f>AND(#REF!,"AAAAAGtd/xE=")</f>
        <v>#REF!</v>
      </c>
      <c r="S91" t="e">
        <f>AND(#REF!,"AAAAAGtd/xI=")</f>
        <v>#REF!</v>
      </c>
      <c r="T91" t="e">
        <f>AND(#REF!,"AAAAAGtd/xM=")</f>
        <v>#REF!</v>
      </c>
      <c r="U91" t="e">
        <f>AND(#REF!,"AAAAAGtd/xQ=")</f>
        <v>#REF!</v>
      </c>
      <c r="V91" t="e">
        <f>AND(#REF!,"AAAAAGtd/xU=")</f>
        <v>#REF!</v>
      </c>
      <c r="W91" t="e">
        <f>AND(#REF!,"AAAAAGtd/xY=")</f>
        <v>#REF!</v>
      </c>
      <c r="X91" t="e">
        <f>AND(#REF!,"AAAAAGtd/xc=")</f>
        <v>#REF!</v>
      </c>
      <c r="Y91" t="e">
        <f>AND(#REF!,"AAAAAGtd/xg=")</f>
        <v>#REF!</v>
      </c>
      <c r="Z91" t="e">
        <f>AND(#REF!,"AAAAAGtd/xk=")</f>
        <v>#REF!</v>
      </c>
      <c r="AA91" t="e">
        <f>AND(#REF!,"AAAAAGtd/xo=")</f>
        <v>#REF!</v>
      </c>
      <c r="AB91" t="e">
        <f>AND(#REF!,"AAAAAGtd/xs=")</f>
        <v>#REF!</v>
      </c>
      <c r="AC91" t="e">
        <f>AND(#REF!,"AAAAAGtd/xw=")</f>
        <v>#REF!</v>
      </c>
      <c r="AD91" t="e">
        <f>AND(#REF!,"AAAAAGtd/x0=")</f>
        <v>#REF!</v>
      </c>
      <c r="AE91" t="e">
        <f>AND(#REF!,"AAAAAGtd/x4=")</f>
        <v>#REF!</v>
      </c>
      <c r="AF91" t="e">
        <f>AND(#REF!,"AAAAAGtd/x8=")</f>
        <v>#REF!</v>
      </c>
      <c r="AG91" t="e">
        <f>AND(#REF!,"AAAAAGtd/yA=")</f>
        <v>#REF!</v>
      </c>
      <c r="AH91" t="e">
        <f>AND(#REF!,"AAAAAGtd/yE=")</f>
        <v>#REF!</v>
      </c>
      <c r="AI91" t="e">
        <f>AND(#REF!,"AAAAAGtd/yI=")</f>
        <v>#REF!</v>
      </c>
      <c r="AJ91" t="e">
        <f>AND(#REF!,"AAAAAGtd/yM=")</f>
        <v>#REF!</v>
      </c>
      <c r="AK91" t="e">
        <f>AND(#REF!,"AAAAAGtd/yQ=")</f>
        <v>#REF!</v>
      </c>
      <c r="AL91" t="e">
        <f>AND(#REF!,"AAAAAGtd/yU=")</f>
        <v>#REF!</v>
      </c>
      <c r="AM91" t="e">
        <f>AND(#REF!,"AAAAAGtd/yY=")</f>
        <v>#REF!</v>
      </c>
      <c r="AN91" t="e">
        <f>AND(#REF!,"AAAAAGtd/yc=")</f>
        <v>#REF!</v>
      </c>
      <c r="AO91" t="e">
        <f>AND(#REF!,"AAAAAGtd/yg=")</f>
        <v>#REF!</v>
      </c>
      <c r="AP91" t="e">
        <f>AND(#REF!,"AAAAAGtd/yk=")</f>
        <v>#REF!</v>
      </c>
      <c r="AQ91" t="e">
        <f>AND(#REF!,"AAAAAGtd/yo=")</f>
        <v>#REF!</v>
      </c>
      <c r="AR91" t="e">
        <f>AND(#REF!,"AAAAAGtd/ys=")</f>
        <v>#REF!</v>
      </c>
      <c r="AS91" t="e">
        <f>AND(#REF!,"AAAAAGtd/yw=")</f>
        <v>#REF!</v>
      </c>
      <c r="AT91" t="e">
        <f>AND(#REF!,"AAAAAGtd/y0=")</f>
        <v>#REF!</v>
      </c>
      <c r="AU91" t="e">
        <f>AND(#REF!,"AAAAAGtd/y4=")</f>
        <v>#REF!</v>
      </c>
      <c r="AV91" t="e">
        <f>AND(#REF!,"AAAAAGtd/y8=")</f>
        <v>#REF!</v>
      </c>
      <c r="AW91" t="e">
        <f>AND(#REF!,"AAAAAGtd/zA=")</f>
        <v>#REF!</v>
      </c>
      <c r="AX91" t="e">
        <f>AND(#REF!,"AAAAAGtd/zE=")</f>
        <v>#REF!</v>
      </c>
      <c r="AY91" t="e">
        <f>AND(#REF!,"AAAAAGtd/zI=")</f>
        <v>#REF!</v>
      </c>
      <c r="AZ91" t="e">
        <f>AND(#REF!,"AAAAAGtd/zM=")</f>
        <v>#REF!</v>
      </c>
      <c r="BA91" t="e">
        <f>AND(#REF!,"AAAAAGtd/zQ=")</f>
        <v>#REF!</v>
      </c>
      <c r="BB91" t="e">
        <f>AND(#REF!,"AAAAAGtd/zU=")</f>
        <v>#REF!</v>
      </c>
      <c r="BC91" t="e">
        <f>AND(#REF!,"AAAAAGtd/zY=")</f>
        <v>#REF!</v>
      </c>
      <c r="BD91" t="e">
        <f>AND(#REF!,"AAAAAGtd/zc=")</f>
        <v>#REF!</v>
      </c>
      <c r="BE91" t="e">
        <f>AND(#REF!,"AAAAAGtd/zg=")</f>
        <v>#REF!</v>
      </c>
      <c r="BF91" t="e">
        <f>AND(#REF!,"AAAAAGtd/zk=")</f>
        <v>#REF!</v>
      </c>
      <c r="BG91" t="e">
        <f>AND(#REF!,"AAAAAGtd/zo=")</f>
        <v>#REF!</v>
      </c>
      <c r="BH91" t="e">
        <f>AND(#REF!,"AAAAAGtd/zs=")</f>
        <v>#REF!</v>
      </c>
      <c r="BI91" t="e">
        <f>IF(#REF!,"AAAAAGtd/zw=",0)</f>
        <v>#REF!</v>
      </c>
      <c r="BJ91" t="e">
        <f>AND(#REF!,"AAAAAGtd/z0=")</f>
        <v>#REF!</v>
      </c>
      <c r="BK91" t="e">
        <f>AND(#REF!,"AAAAAGtd/z4=")</f>
        <v>#REF!</v>
      </c>
      <c r="BL91" t="e">
        <f>AND(#REF!,"AAAAAGtd/z8=")</f>
        <v>#REF!</v>
      </c>
      <c r="BM91" t="e">
        <f>AND(#REF!,"AAAAAGtd/0A=")</f>
        <v>#REF!</v>
      </c>
      <c r="BN91" t="e">
        <f>AND(#REF!,"AAAAAGtd/0E=")</f>
        <v>#REF!</v>
      </c>
      <c r="BO91" t="e">
        <f>AND(#REF!,"AAAAAGtd/0I=")</f>
        <v>#REF!</v>
      </c>
      <c r="BP91" t="e">
        <f>AND(#REF!,"AAAAAGtd/0M=")</f>
        <v>#REF!</v>
      </c>
      <c r="BQ91" t="e">
        <f>AND(#REF!,"AAAAAGtd/0Q=")</f>
        <v>#REF!</v>
      </c>
      <c r="BR91" t="e">
        <f>AND(#REF!,"AAAAAGtd/0U=")</f>
        <v>#REF!</v>
      </c>
      <c r="BS91" t="e">
        <f>AND(#REF!,"AAAAAGtd/0Y=")</f>
        <v>#REF!</v>
      </c>
      <c r="BT91" t="e">
        <f>AND(#REF!,"AAAAAGtd/0c=")</f>
        <v>#REF!</v>
      </c>
      <c r="BU91" t="e">
        <f>AND(#REF!,"AAAAAGtd/0g=")</f>
        <v>#REF!</v>
      </c>
      <c r="BV91" t="e">
        <f>AND(#REF!,"AAAAAGtd/0k=")</f>
        <v>#REF!</v>
      </c>
      <c r="BW91" t="e">
        <f>AND(#REF!,"AAAAAGtd/0o=")</f>
        <v>#REF!</v>
      </c>
      <c r="BX91" t="e">
        <f>AND(#REF!,"AAAAAGtd/0s=")</f>
        <v>#REF!</v>
      </c>
      <c r="BY91" t="e">
        <f>AND(#REF!,"AAAAAGtd/0w=")</f>
        <v>#REF!</v>
      </c>
      <c r="BZ91" t="e">
        <f>AND(#REF!,"AAAAAGtd/00=")</f>
        <v>#REF!</v>
      </c>
      <c r="CA91" t="e">
        <f>AND(#REF!,"AAAAAGtd/04=")</f>
        <v>#REF!</v>
      </c>
      <c r="CB91" t="e">
        <f>AND(#REF!,"AAAAAGtd/08=")</f>
        <v>#REF!</v>
      </c>
      <c r="CC91" t="e">
        <f>AND(#REF!,"AAAAAGtd/1A=")</f>
        <v>#REF!</v>
      </c>
      <c r="CD91" t="e">
        <f>AND(#REF!,"AAAAAGtd/1E=")</f>
        <v>#REF!</v>
      </c>
      <c r="CE91" t="e">
        <f>AND(#REF!,"AAAAAGtd/1I=")</f>
        <v>#REF!</v>
      </c>
      <c r="CF91" t="e">
        <f>AND(#REF!,"AAAAAGtd/1M=")</f>
        <v>#REF!</v>
      </c>
      <c r="CG91" t="e">
        <f>AND(#REF!,"AAAAAGtd/1Q=")</f>
        <v>#REF!</v>
      </c>
      <c r="CH91" t="e">
        <f>AND(#REF!,"AAAAAGtd/1U=")</f>
        <v>#REF!</v>
      </c>
      <c r="CI91" t="e">
        <f>AND(#REF!,"AAAAAGtd/1Y=")</f>
        <v>#REF!</v>
      </c>
      <c r="CJ91" t="e">
        <f>AND(#REF!,"AAAAAGtd/1c=")</f>
        <v>#REF!</v>
      </c>
      <c r="CK91" t="e">
        <f>AND(#REF!,"AAAAAGtd/1g=")</f>
        <v>#REF!</v>
      </c>
      <c r="CL91" t="e">
        <f>AND(#REF!,"AAAAAGtd/1k=")</f>
        <v>#REF!</v>
      </c>
      <c r="CM91" t="e">
        <f>AND(#REF!,"AAAAAGtd/1o=")</f>
        <v>#REF!</v>
      </c>
      <c r="CN91" t="e">
        <f>AND(#REF!,"AAAAAGtd/1s=")</f>
        <v>#REF!</v>
      </c>
      <c r="CO91" t="e">
        <f>AND(#REF!,"AAAAAGtd/1w=")</f>
        <v>#REF!</v>
      </c>
      <c r="CP91" t="e">
        <f>AND(#REF!,"AAAAAGtd/10=")</f>
        <v>#REF!</v>
      </c>
      <c r="CQ91" t="e">
        <f>AND(#REF!,"AAAAAGtd/14=")</f>
        <v>#REF!</v>
      </c>
      <c r="CR91" t="e">
        <f>AND(#REF!,"AAAAAGtd/18=")</f>
        <v>#REF!</v>
      </c>
      <c r="CS91" t="e">
        <f>AND(#REF!,"AAAAAGtd/2A=")</f>
        <v>#REF!</v>
      </c>
      <c r="CT91" t="e">
        <f>AND(#REF!,"AAAAAGtd/2E=")</f>
        <v>#REF!</v>
      </c>
      <c r="CU91" t="e">
        <f>AND(#REF!,"AAAAAGtd/2I=")</f>
        <v>#REF!</v>
      </c>
      <c r="CV91" t="e">
        <f>AND(#REF!,"AAAAAGtd/2M=")</f>
        <v>#REF!</v>
      </c>
      <c r="CW91" t="e">
        <f>AND(#REF!,"AAAAAGtd/2Q=")</f>
        <v>#REF!</v>
      </c>
      <c r="CX91" t="e">
        <f>AND(#REF!,"AAAAAGtd/2U=")</f>
        <v>#REF!</v>
      </c>
      <c r="CY91" t="e">
        <f>AND(#REF!,"AAAAAGtd/2Y=")</f>
        <v>#REF!</v>
      </c>
      <c r="CZ91" t="e">
        <f>AND(#REF!,"AAAAAGtd/2c=")</f>
        <v>#REF!</v>
      </c>
      <c r="DA91" t="e">
        <f>AND(#REF!,"AAAAAGtd/2g=")</f>
        <v>#REF!</v>
      </c>
      <c r="DB91" t="e">
        <f>AND(#REF!,"AAAAAGtd/2k=")</f>
        <v>#REF!</v>
      </c>
      <c r="DC91" t="e">
        <f>AND(#REF!,"AAAAAGtd/2o=")</f>
        <v>#REF!</v>
      </c>
      <c r="DD91" t="e">
        <f>AND(#REF!,"AAAAAGtd/2s=")</f>
        <v>#REF!</v>
      </c>
      <c r="DE91" t="e">
        <f>AND(#REF!,"AAAAAGtd/2w=")</f>
        <v>#REF!</v>
      </c>
      <c r="DF91" t="e">
        <f>AND(#REF!,"AAAAAGtd/20=")</f>
        <v>#REF!</v>
      </c>
      <c r="DG91" t="e">
        <f>AND(#REF!,"AAAAAGtd/24=")</f>
        <v>#REF!</v>
      </c>
      <c r="DH91" t="e">
        <f>AND(#REF!,"AAAAAGtd/28=")</f>
        <v>#REF!</v>
      </c>
      <c r="DI91" t="e">
        <f>AND(#REF!,"AAAAAGtd/3A=")</f>
        <v>#REF!</v>
      </c>
      <c r="DJ91" t="e">
        <f>AND(#REF!,"AAAAAGtd/3E=")</f>
        <v>#REF!</v>
      </c>
      <c r="DK91" t="e">
        <f>AND(#REF!,"AAAAAGtd/3I=")</f>
        <v>#REF!</v>
      </c>
      <c r="DL91" t="e">
        <f>AND(#REF!,"AAAAAGtd/3M=")</f>
        <v>#REF!</v>
      </c>
      <c r="DM91" t="e">
        <f>AND(#REF!,"AAAAAGtd/3Q=")</f>
        <v>#REF!</v>
      </c>
      <c r="DN91" t="e">
        <f>AND(#REF!,"AAAAAGtd/3U=")</f>
        <v>#REF!</v>
      </c>
      <c r="DO91" t="e">
        <f>AND(#REF!,"AAAAAGtd/3Y=")</f>
        <v>#REF!</v>
      </c>
      <c r="DP91" t="e">
        <f>AND(#REF!,"AAAAAGtd/3c=")</f>
        <v>#REF!</v>
      </c>
      <c r="DQ91" t="e">
        <f>AND(#REF!,"AAAAAGtd/3g=")</f>
        <v>#REF!</v>
      </c>
      <c r="DR91" t="e">
        <f>AND(#REF!,"AAAAAGtd/3k=")</f>
        <v>#REF!</v>
      </c>
      <c r="DS91" t="e">
        <f>AND(#REF!,"AAAAAGtd/3o=")</f>
        <v>#REF!</v>
      </c>
      <c r="DT91" t="e">
        <f>AND(#REF!,"AAAAAGtd/3s=")</f>
        <v>#REF!</v>
      </c>
      <c r="DU91" t="e">
        <f>AND(#REF!,"AAAAAGtd/3w=")</f>
        <v>#REF!</v>
      </c>
      <c r="DV91" t="e">
        <f>AND(#REF!,"AAAAAGtd/30=")</f>
        <v>#REF!</v>
      </c>
      <c r="DW91" t="e">
        <f>AND(#REF!,"AAAAAGtd/34=")</f>
        <v>#REF!</v>
      </c>
      <c r="DX91" t="e">
        <f>AND(#REF!,"AAAAAGtd/38=")</f>
        <v>#REF!</v>
      </c>
      <c r="DY91" t="e">
        <f>AND(#REF!,"AAAAAGtd/4A=")</f>
        <v>#REF!</v>
      </c>
      <c r="DZ91" t="e">
        <f>AND(#REF!,"AAAAAGtd/4E=")</f>
        <v>#REF!</v>
      </c>
      <c r="EA91" t="e">
        <f>AND(#REF!,"AAAAAGtd/4I=")</f>
        <v>#REF!</v>
      </c>
      <c r="EB91" t="e">
        <f>AND(#REF!,"AAAAAGtd/4M=")</f>
        <v>#REF!</v>
      </c>
      <c r="EC91" t="e">
        <f>AND(#REF!,"AAAAAGtd/4Q=")</f>
        <v>#REF!</v>
      </c>
      <c r="ED91" t="e">
        <f>AND(#REF!,"AAAAAGtd/4U=")</f>
        <v>#REF!</v>
      </c>
      <c r="EE91" t="e">
        <f>AND(#REF!,"AAAAAGtd/4Y=")</f>
        <v>#REF!</v>
      </c>
      <c r="EF91" t="e">
        <f>AND(#REF!,"AAAAAGtd/4c=")</f>
        <v>#REF!</v>
      </c>
      <c r="EG91" t="e">
        <f>AND(#REF!,"AAAAAGtd/4g=")</f>
        <v>#REF!</v>
      </c>
      <c r="EH91" t="e">
        <f>AND(#REF!,"AAAAAGtd/4k=")</f>
        <v>#REF!</v>
      </c>
      <c r="EI91" t="e">
        <f>AND(#REF!,"AAAAAGtd/4o=")</f>
        <v>#REF!</v>
      </c>
      <c r="EJ91" t="e">
        <f>AND(#REF!,"AAAAAGtd/4s=")</f>
        <v>#REF!</v>
      </c>
      <c r="EK91" t="e">
        <f>AND(#REF!,"AAAAAGtd/4w=")</f>
        <v>#REF!</v>
      </c>
      <c r="EL91" t="e">
        <f>AND(#REF!,"AAAAAGtd/40=")</f>
        <v>#REF!</v>
      </c>
      <c r="EM91" t="e">
        <f>AND(#REF!,"AAAAAGtd/44=")</f>
        <v>#REF!</v>
      </c>
      <c r="EN91" t="e">
        <f>AND(#REF!,"AAAAAGtd/48=")</f>
        <v>#REF!</v>
      </c>
      <c r="EO91" t="e">
        <f>AND(#REF!,"AAAAAGtd/5A=")</f>
        <v>#REF!</v>
      </c>
      <c r="EP91" t="e">
        <f>AND(#REF!,"AAAAAGtd/5E=")</f>
        <v>#REF!</v>
      </c>
      <c r="EQ91" t="e">
        <f>AND(#REF!,"AAAAAGtd/5I=")</f>
        <v>#REF!</v>
      </c>
      <c r="ER91" t="e">
        <f>AND(#REF!,"AAAAAGtd/5M=")</f>
        <v>#REF!</v>
      </c>
      <c r="ES91" t="e">
        <f>AND(#REF!,"AAAAAGtd/5Q=")</f>
        <v>#REF!</v>
      </c>
      <c r="ET91" t="e">
        <f>AND(#REF!,"AAAAAGtd/5U=")</f>
        <v>#REF!</v>
      </c>
      <c r="EU91" t="e">
        <f>AND(#REF!,"AAAAAGtd/5Y=")</f>
        <v>#REF!</v>
      </c>
      <c r="EV91" t="e">
        <f>AND(#REF!,"AAAAAGtd/5c=")</f>
        <v>#REF!</v>
      </c>
      <c r="EW91" t="e">
        <f>AND(#REF!,"AAAAAGtd/5g=")</f>
        <v>#REF!</v>
      </c>
      <c r="EX91" t="e">
        <f>AND(#REF!,"AAAAAGtd/5k=")</f>
        <v>#REF!</v>
      </c>
      <c r="EY91" t="e">
        <f>AND(#REF!,"AAAAAGtd/5o=")</f>
        <v>#REF!</v>
      </c>
      <c r="EZ91" t="e">
        <f>AND(#REF!,"AAAAAGtd/5s=")</f>
        <v>#REF!</v>
      </c>
      <c r="FA91" t="e">
        <f>AND(#REF!,"AAAAAGtd/5w=")</f>
        <v>#REF!</v>
      </c>
      <c r="FB91" t="e">
        <f>AND(#REF!,"AAAAAGtd/50=")</f>
        <v>#REF!</v>
      </c>
      <c r="FC91" t="e">
        <f>AND(#REF!,"AAAAAGtd/54=")</f>
        <v>#REF!</v>
      </c>
      <c r="FD91" t="e">
        <f>AND(#REF!,"AAAAAGtd/58=")</f>
        <v>#REF!</v>
      </c>
      <c r="FE91" t="e">
        <f>AND(#REF!,"AAAAAGtd/6A=")</f>
        <v>#REF!</v>
      </c>
      <c r="FF91" t="e">
        <f>AND(#REF!,"AAAAAGtd/6E=")</f>
        <v>#REF!</v>
      </c>
      <c r="FG91" t="e">
        <f>AND(#REF!,"AAAAAGtd/6I=")</f>
        <v>#REF!</v>
      </c>
      <c r="FH91" t="e">
        <f>AND(#REF!,"AAAAAGtd/6M=")</f>
        <v>#REF!</v>
      </c>
      <c r="FI91" t="e">
        <f>AND(#REF!,"AAAAAGtd/6Q=")</f>
        <v>#REF!</v>
      </c>
      <c r="FJ91" t="e">
        <f>AND(#REF!,"AAAAAGtd/6U=")</f>
        <v>#REF!</v>
      </c>
      <c r="FK91" t="e">
        <f>AND(#REF!,"AAAAAGtd/6Y=")</f>
        <v>#REF!</v>
      </c>
      <c r="FL91" t="e">
        <f>AND(#REF!,"AAAAAGtd/6c=")</f>
        <v>#REF!</v>
      </c>
      <c r="FM91" t="e">
        <f>AND(#REF!,"AAAAAGtd/6g=")</f>
        <v>#REF!</v>
      </c>
      <c r="FN91" t="e">
        <f>AND(#REF!,"AAAAAGtd/6k=")</f>
        <v>#REF!</v>
      </c>
      <c r="FO91" t="e">
        <f>AND(#REF!,"AAAAAGtd/6o=")</f>
        <v>#REF!</v>
      </c>
      <c r="FP91" t="e">
        <f>AND(#REF!,"AAAAAGtd/6s=")</f>
        <v>#REF!</v>
      </c>
      <c r="FQ91" t="e">
        <f>AND(#REF!,"AAAAAGtd/6w=")</f>
        <v>#REF!</v>
      </c>
      <c r="FR91" t="e">
        <f>AND(#REF!,"AAAAAGtd/60=")</f>
        <v>#REF!</v>
      </c>
      <c r="FS91" t="e">
        <f>AND(#REF!,"AAAAAGtd/64=")</f>
        <v>#REF!</v>
      </c>
      <c r="FT91" t="e">
        <f>AND(#REF!,"AAAAAGtd/68=")</f>
        <v>#REF!</v>
      </c>
      <c r="FU91" t="e">
        <f>AND(#REF!,"AAAAAGtd/7A=")</f>
        <v>#REF!</v>
      </c>
      <c r="FV91" t="e">
        <f>AND(#REF!,"AAAAAGtd/7E=")</f>
        <v>#REF!</v>
      </c>
      <c r="FW91" t="e">
        <f>AND(#REF!,"AAAAAGtd/7I=")</f>
        <v>#REF!</v>
      </c>
      <c r="FX91" t="e">
        <f>AND(#REF!,"AAAAAGtd/7M=")</f>
        <v>#REF!</v>
      </c>
      <c r="FY91" t="e">
        <f>AND(#REF!,"AAAAAGtd/7Q=")</f>
        <v>#REF!</v>
      </c>
      <c r="FZ91" t="e">
        <f>AND(#REF!,"AAAAAGtd/7U=")</f>
        <v>#REF!</v>
      </c>
      <c r="GA91" t="e">
        <f>AND(#REF!,"AAAAAGtd/7Y=")</f>
        <v>#REF!</v>
      </c>
      <c r="GB91" t="e">
        <f>AND(#REF!,"AAAAAGtd/7c=")</f>
        <v>#REF!</v>
      </c>
      <c r="GC91" t="e">
        <f>AND(#REF!,"AAAAAGtd/7g=")</f>
        <v>#REF!</v>
      </c>
      <c r="GD91" t="e">
        <f>AND(#REF!,"AAAAAGtd/7k=")</f>
        <v>#REF!</v>
      </c>
      <c r="GE91" t="e">
        <f>AND(#REF!,"AAAAAGtd/7o=")</f>
        <v>#REF!</v>
      </c>
      <c r="GF91" t="e">
        <f>AND(#REF!,"AAAAAGtd/7s=")</f>
        <v>#REF!</v>
      </c>
      <c r="GG91" t="e">
        <f>AND(#REF!,"AAAAAGtd/7w=")</f>
        <v>#REF!</v>
      </c>
      <c r="GH91" t="e">
        <f>AND(#REF!,"AAAAAGtd/70=")</f>
        <v>#REF!</v>
      </c>
      <c r="GI91" t="e">
        <f>AND(#REF!,"AAAAAGtd/74=")</f>
        <v>#REF!</v>
      </c>
      <c r="GJ91" t="e">
        <f>AND(#REF!,"AAAAAGtd/78=")</f>
        <v>#REF!</v>
      </c>
      <c r="GK91" t="e">
        <f>AND(#REF!,"AAAAAGtd/8A=")</f>
        <v>#REF!</v>
      </c>
      <c r="GL91" t="e">
        <f>AND(#REF!,"AAAAAGtd/8E=")</f>
        <v>#REF!</v>
      </c>
      <c r="GM91" t="e">
        <f>AND(#REF!,"AAAAAGtd/8I=")</f>
        <v>#REF!</v>
      </c>
      <c r="GN91" t="e">
        <f>AND(#REF!,"AAAAAGtd/8M=")</f>
        <v>#REF!</v>
      </c>
      <c r="GO91" t="e">
        <f>AND(#REF!,"AAAAAGtd/8Q=")</f>
        <v>#REF!</v>
      </c>
      <c r="GP91" t="e">
        <f>AND(#REF!,"AAAAAGtd/8U=")</f>
        <v>#REF!</v>
      </c>
      <c r="GQ91" t="e">
        <f>AND(#REF!,"AAAAAGtd/8Y=")</f>
        <v>#REF!</v>
      </c>
      <c r="GR91" t="e">
        <f>AND(#REF!,"AAAAAGtd/8c=")</f>
        <v>#REF!</v>
      </c>
      <c r="GS91" t="e">
        <f>AND(#REF!,"AAAAAGtd/8g=")</f>
        <v>#REF!</v>
      </c>
      <c r="GT91" t="e">
        <f>AND(#REF!,"AAAAAGtd/8k=")</f>
        <v>#REF!</v>
      </c>
      <c r="GU91" t="e">
        <f>AND(#REF!,"AAAAAGtd/8o=")</f>
        <v>#REF!</v>
      </c>
      <c r="GV91" t="e">
        <f>AND(#REF!,"AAAAAGtd/8s=")</f>
        <v>#REF!</v>
      </c>
      <c r="GW91" t="e">
        <f>AND(#REF!,"AAAAAGtd/8w=")</f>
        <v>#REF!</v>
      </c>
      <c r="GX91" t="e">
        <f>AND(#REF!,"AAAAAGtd/80=")</f>
        <v>#REF!</v>
      </c>
      <c r="GY91" t="e">
        <f>AND(#REF!,"AAAAAGtd/84=")</f>
        <v>#REF!</v>
      </c>
      <c r="GZ91" t="e">
        <f>AND(#REF!,"AAAAAGtd/88=")</f>
        <v>#REF!</v>
      </c>
      <c r="HA91" t="e">
        <f>AND(#REF!,"AAAAAGtd/9A=")</f>
        <v>#REF!</v>
      </c>
      <c r="HB91" t="e">
        <f>AND(#REF!,"AAAAAGtd/9E=")</f>
        <v>#REF!</v>
      </c>
      <c r="HC91" t="e">
        <f>AND(#REF!,"AAAAAGtd/9I=")</f>
        <v>#REF!</v>
      </c>
      <c r="HD91" t="e">
        <f>AND(#REF!,"AAAAAGtd/9M=")</f>
        <v>#REF!</v>
      </c>
      <c r="HE91" t="e">
        <f>AND(#REF!,"AAAAAGtd/9Q=")</f>
        <v>#REF!</v>
      </c>
      <c r="HF91" t="e">
        <f>AND(#REF!,"AAAAAGtd/9U=")</f>
        <v>#REF!</v>
      </c>
      <c r="HG91" t="e">
        <f>AND(#REF!,"AAAAAGtd/9Y=")</f>
        <v>#REF!</v>
      </c>
      <c r="HH91" t="e">
        <f>AND(#REF!,"AAAAAGtd/9c=")</f>
        <v>#REF!</v>
      </c>
      <c r="HI91" t="e">
        <f>AND(#REF!,"AAAAAGtd/9g=")</f>
        <v>#REF!</v>
      </c>
      <c r="HJ91" t="e">
        <f>AND(#REF!,"AAAAAGtd/9k=")</f>
        <v>#REF!</v>
      </c>
      <c r="HK91" t="e">
        <f>AND(#REF!,"AAAAAGtd/9o=")</f>
        <v>#REF!</v>
      </c>
      <c r="HL91" t="e">
        <f>AND(#REF!,"AAAAAGtd/9s=")</f>
        <v>#REF!</v>
      </c>
      <c r="HM91" t="e">
        <f>AND(#REF!,"AAAAAGtd/9w=")</f>
        <v>#REF!</v>
      </c>
      <c r="HN91" t="e">
        <f>AND(#REF!,"AAAAAGtd/90=")</f>
        <v>#REF!</v>
      </c>
      <c r="HO91" t="e">
        <f>AND(#REF!,"AAAAAGtd/94=")</f>
        <v>#REF!</v>
      </c>
      <c r="HP91" t="e">
        <f>AND(#REF!,"AAAAAGtd/98=")</f>
        <v>#REF!</v>
      </c>
      <c r="HQ91" t="e">
        <f>AND(#REF!,"AAAAAGtd/+A=")</f>
        <v>#REF!</v>
      </c>
      <c r="HR91" t="e">
        <f>AND(#REF!,"AAAAAGtd/+E=")</f>
        <v>#REF!</v>
      </c>
      <c r="HS91" t="e">
        <f>AND(#REF!,"AAAAAGtd/+I=")</f>
        <v>#REF!</v>
      </c>
      <c r="HT91" t="e">
        <f>AND(#REF!,"AAAAAGtd/+M=")</f>
        <v>#REF!</v>
      </c>
      <c r="HU91" t="e">
        <f>AND(#REF!,"AAAAAGtd/+Q=")</f>
        <v>#REF!</v>
      </c>
      <c r="HV91" t="e">
        <f>AND(#REF!,"AAAAAGtd/+U=")</f>
        <v>#REF!</v>
      </c>
      <c r="HW91" t="e">
        <f>AND(#REF!,"AAAAAGtd/+Y=")</f>
        <v>#REF!</v>
      </c>
      <c r="HX91" t="e">
        <f>AND(#REF!,"AAAAAGtd/+c=")</f>
        <v>#REF!</v>
      </c>
      <c r="HY91" t="e">
        <f>AND(#REF!,"AAAAAGtd/+g=")</f>
        <v>#REF!</v>
      </c>
      <c r="HZ91" t="e">
        <f>AND(#REF!,"AAAAAGtd/+k=")</f>
        <v>#REF!</v>
      </c>
      <c r="IA91" t="e">
        <f>AND(#REF!,"AAAAAGtd/+o=")</f>
        <v>#REF!</v>
      </c>
      <c r="IB91" t="e">
        <f>AND(#REF!,"AAAAAGtd/+s=")</f>
        <v>#REF!</v>
      </c>
      <c r="IC91" t="e">
        <f>AND(#REF!,"AAAAAGtd/+w=")</f>
        <v>#REF!</v>
      </c>
      <c r="ID91" t="e">
        <f>AND(#REF!,"AAAAAGtd/+0=")</f>
        <v>#REF!</v>
      </c>
      <c r="IE91" t="e">
        <f>IF(#REF!,"AAAAAGtd/+4=",0)</f>
        <v>#REF!</v>
      </c>
      <c r="IF91" t="e">
        <f>AND(#REF!,"AAAAAGtd/+8=")</f>
        <v>#REF!</v>
      </c>
      <c r="IG91" t="e">
        <f>AND(#REF!,"AAAAAGtd//A=")</f>
        <v>#REF!</v>
      </c>
      <c r="IH91" t="e">
        <f>AND(#REF!,"AAAAAGtd//E=")</f>
        <v>#REF!</v>
      </c>
      <c r="II91" t="e">
        <f>AND(#REF!,"AAAAAGtd//I=")</f>
        <v>#REF!</v>
      </c>
      <c r="IJ91" t="e">
        <f>AND(#REF!,"AAAAAGtd//M=")</f>
        <v>#REF!</v>
      </c>
      <c r="IK91" t="e">
        <f>AND(#REF!,"AAAAAGtd//Q=")</f>
        <v>#REF!</v>
      </c>
      <c r="IL91" t="e">
        <f>AND(#REF!,"AAAAAGtd//U=")</f>
        <v>#REF!</v>
      </c>
      <c r="IM91" t="e">
        <f>AND(#REF!,"AAAAAGtd//Y=")</f>
        <v>#REF!</v>
      </c>
      <c r="IN91" t="e">
        <f>AND(#REF!,"AAAAAGtd//c=")</f>
        <v>#REF!</v>
      </c>
      <c r="IO91" t="e">
        <f>AND(#REF!,"AAAAAGtd//g=")</f>
        <v>#REF!</v>
      </c>
      <c r="IP91" t="e">
        <f>AND(#REF!,"AAAAAGtd//k=")</f>
        <v>#REF!</v>
      </c>
      <c r="IQ91" t="e">
        <f>AND(#REF!,"AAAAAGtd//o=")</f>
        <v>#REF!</v>
      </c>
      <c r="IR91" t="e">
        <f>AND(#REF!,"AAAAAGtd//s=")</f>
        <v>#REF!</v>
      </c>
      <c r="IS91" t="e">
        <f>AND(#REF!,"AAAAAGtd//w=")</f>
        <v>#REF!</v>
      </c>
      <c r="IT91" t="e">
        <f>AND(#REF!,"AAAAAGtd//0=")</f>
        <v>#REF!</v>
      </c>
      <c r="IU91" t="e">
        <f>AND(#REF!,"AAAAAGtd//4=")</f>
        <v>#REF!</v>
      </c>
      <c r="IV91" t="e">
        <f>AND(#REF!,"AAAAAGtd//8=")</f>
        <v>#REF!</v>
      </c>
    </row>
    <row r="92" spans="1:256" x14ac:dyDescent="0.25">
      <c r="A92" t="e">
        <f>AND(#REF!,"AAAAAHPdqwA=")</f>
        <v>#REF!</v>
      </c>
      <c r="B92" t="e">
        <f>AND(#REF!,"AAAAAHPdqwE=")</f>
        <v>#REF!</v>
      </c>
      <c r="C92" t="e">
        <f>AND(#REF!,"AAAAAHPdqwI=")</f>
        <v>#REF!</v>
      </c>
      <c r="D92" t="e">
        <f>AND(#REF!,"AAAAAHPdqwM=")</f>
        <v>#REF!</v>
      </c>
      <c r="E92" t="e">
        <f>AND(#REF!,"AAAAAHPdqwQ=")</f>
        <v>#REF!</v>
      </c>
      <c r="F92" t="e">
        <f>AND(#REF!,"AAAAAHPdqwU=")</f>
        <v>#REF!</v>
      </c>
      <c r="G92" t="e">
        <f>AND(#REF!,"AAAAAHPdqwY=")</f>
        <v>#REF!</v>
      </c>
      <c r="H92" t="e">
        <f>AND(#REF!,"AAAAAHPdqwc=")</f>
        <v>#REF!</v>
      </c>
      <c r="I92" t="e">
        <f>AND(#REF!,"AAAAAHPdqwg=")</f>
        <v>#REF!</v>
      </c>
      <c r="J92" t="e">
        <f>AND(#REF!,"AAAAAHPdqwk=")</f>
        <v>#REF!</v>
      </c>
      <c r="K92" t="e">
        <f>AND(#REF!,"AAAAAHPdqwo=")</f>
        <v>#REF!</v>
      </c>
      <c r="L92" t="e">
        <f>AND(#REF!,"AAAAAHPdqws=")</f>
        <v>#REF!</v>
      </c>
      <c r="M92" t="e">
        <f>AND(#REF!,"AAAAAHPdqww=")</f>
        <v>#REF!</v>
      </c>
      <c r="N92" t="e">
        <f>AND(#REF!,"AAAAAHPdqw0=")</f>
        <v>#REF!</v>
      </c>
      <c r="O92" t="e">
        <f>AND(#REF!,"AAAAAHPdqw4=")</f>
        <v>#REF!</v>
      </c>
      <c r="P92" t="e">
        <f>AND(#REF!,"AAAAAHPdqw8=")</f>
        <v>#REF!</v>
      </c>
      <c r="Q92" t="e">
        <f>AND(#REF!,"AAAAAHPdqxA=")</f>
        <v>#REF!</v>
      </c>
      <c r="R92" t="e">
        <f>AND(#REF!,"AAAAAHPdqxE=")</f>
        <v>#REF!</v>
      </c>
      <c r="S92" t="e">
        <f>AND(#REF!,"AAAAAHPdqxI=")</f>
        <v>#REF!</v>
      </c>
      <c r="T92" t="e">
        <f>AND(#REF!,"AAAAAHPdqxM=")</f>
        <v>#REF!</v>
      </c>
      <c r="U92" t="e">
        <f>AND(#REF!,"AAAAAHPdqxQ=")</f>
        <v>#REF!</v>
      </c>
      <c r="V92" t="e">
        <f>AND(#REF!,"AAAAAHPdqxU=")</f>
        <v>#REF!</v>
      </c>
      <c r="W92" t="e">
        <f>AND(#REF!,"AAAAAHPdqxY=")</f>
        <v>#REF!</v>
      </c>
      <c r="X92" t="e">
        <f>AND(#REF!,"AAAAAHPdqxc=")</f>
        <v>#REF!</v>
      </c>
      <c r="Y92" t="e">
        <f>AND(#REF!,"AAAAAHPdqxg=")</f>
        <v>#REF!</v>
      </c>
      <c r="Z92" t="e">
        <f>AND(#REF!,"AAAAAHPdqxk=")</f>
        <v>#REF!</v>
      </c>
      <c r="AA92" t="e">
        <f>AND(#REF!,"AAAAAHPdqxo=")</f>
        <v>#REF!</v>
      </c>
      <c r="AB92" t="e">
        <f>AND(#REF!,"AAAAAHPdqxs=")</f>
        <v>#REF!</v>
      </c>
      <c r="AC92" t="e">
        <f>AND(#REF!,"AAAAAHPdqxw=")</f>
        <v>#REF!</v>
      </c>
      <c r="AD92" t="e">
        <f>AND(#REF!,"AAAAAHPdqx0=")</f>
        <v>#REF!</v>
      </c>
      <c r="AE92" t="e">
        <f>AND(#REF!,"AAAAAHPdqx4=")</f>
        <v>#REF!</v>
      </c>
      <c r="AF92" t="e">
        <f>AND(#REF!,"AAAAAHPdqx8=")</f>
        <v>#REF!</v>
      </c>
      <c r="AG92" t="e">
        <f>AND(#REF!,"AAAAAHPdqyA=")</f>
        <v>#REF!</v>
      </c>
      <c r="AH92" t="e">
        <f>AND(#REF!,"AAAAAHPdqyE=")</f>
        <v>#REF!</v>
      </c>
      <c r="AI92" t="e">
        <f>AND(#REF!,"AAAAAHPdqyI=")</f>
        <v>#REF!</v>
      </c>
      <c r="AJ92" t="e">
        <f>AND(#REF!,"AAAAAHPdqyM=")</f>
        <v>#REF!</v>
      </c>
      <c r="AK92" t="e">
        <f>AND(#REF!,"AAAAAHPdqyQ=")</f>
        <v>#REF!</v>
      </c>
      <c r="AL92" t="e">
        <f>AND(#REF!,"AAAAAHPdqyU=")</f>
        <v>#REF!</v>
      </c>
      <c r="AM92" t="e">
        <f>AND(#REF!,"AAAAAHPdqyY=")</f>
        <v>#REF!</v>
      </c>
      <c r="AN92" t="e">
        <f>AND(#REF!,"AAAAAHPdqyc=")</f>
        <v>#REF!</v>
      </c>
      <c r="AO92" t="e">
        <f>AND(#REF!,"AAAAAHPdqyg=")</f>
        <v>#REF!</v>
      </c>
      <c r="AP92" t="e">
        <f>AND(#REF!,"AAAAAHPdqyk=")</f>
        <v>#REF!</v>
      </c>
      <c r="AQ92" t="e">
        <f>AND(#REF!,"AAAAAHPdqyo=")</f>
        <v>#REF!</v>
      </c>
      <c r="AR92" t="e">
        <f>AND(#REF!,"AAAAAHPdqys=")</f>
        <v>#REF!</v>
      </c>
      <c r="AS92" t="e">
        <f>AND(#REF!,"AAAAAHPdqyw=")</f>
        <v>#REF!</v>
      </c>
      <c r="AT92" t="e">
        <f>AND(#REF!,"AAAAAHPdqy0=")</f>
        <v>#REF!</v>
      </c>
      <c r="AU92" t="e">
        <f>AND(#REF!,"AAAAAHPdqy4=")</f>
        <v>#REF!</v>
      </c>
      <c r="AV92" t="e">
        <f>AND(#REF!,"AAAAAHPdqy8=")</f>
        <v>#REF!</v>
      </c>
      <c r="AW92" t="e">
        <f>AND(#REF!,"AAAAAHPdqzA=")</f>
        <v>#REF!</v>
      </c>
      <c r="AX92" t="e">
        <f>AND(#REF!,"AAAAAHPdqzE=")</f>
        <v>#REF!</v>
      </c>
      <c r="AY92" t="e">
        <f>AND(#REF!,"AAAAAHPdqzI=")</f>
        <v>#REF!</v>
      </c>
      <c r="AZ92" t="e">
        <f>AND(#REF!,"AAAAAHPdqzM=")</f>
        <v>#REF!</v>
      </c>
      <c r="BA92" t="e">
        <f>AND(#REF!,"AAAAAHPdqzQ=")</f>
        <v>#REF!</v>
      </c>
      <c r="BB92" t="e">
        <f>AND(#REF!,"AAAAAHPdqzU=")</f>
        <v>#REF!</v>
      </c>
      <c r="BC92" t="e">
        <f>AND(#REF!,"AAAAAHPdqzY=")</f>
        <v>#REF!</v>
      </c>
      <c r="BD92" t="e">
        <f>AND(#REF!,"AAAAAHPdqzc=")</f>
        <v>#REF!</v>
      </c>
      <c r="BE92" t="e">
        <f>AND(#REF!,"AAAAAHPdqzg=")</f>
        <v>#REF!</v>
      </c>
      <c r="BF92" t="e">
        <f>AND(#REF!,"AAAAAHPdqzk=")</f>
        <v>#REF!</v>
      </c>
      <c r="BG92" t="e">
        <f>AND(#REF!,"AAAAAHPdqzo=")</f>
        <v>#REF!</v>
      </c>
      <c r="BH92" t="e">
        <f>AND(#REF!,"AAAAAHPdqzs=")</f>
        <v>#REF!</v>
      </c>
      <c r="BI92" t="e">
        <f>AND(#REF!,"AAAAAHPdqzw=")</f>
        <v>#REF!</v>
      </c>
      <c r="BJ92" t="e">
        <f>AND(#REF!,"AAAAAHPdqz0=")</f>
        <v>#REF!</v>
      </c>
      <c r="BK92" t="e">
        <f>AND(#REF!,"AAAAAHPdqz4=")</f>
        <v>#REF!</v>
      </c>
      <c r="BL92" t="e">
        <f>AND(#REF!,"AAAAAHPdqz8=")</f>
        <v>#REF!</v>
      </c>
      <c r="BM92" t="e">
        <f>AND(#REF!,"AAAAAHPdq0A=")</f>
        <v>#REF!</v>
      </c>
      <c r="BN92" t="e">
        <f>AND(#REF!,"AAAAAHPdq0E=")</f>
        <v>#REF!</v>
      </c>
      <c r="BO92" t="e">
        <f>AND(#REF!,"AAAAAHPdq0I=")</f>
        <v>#REF!</v>
      </c>
      <c r="BP92" t="e">
        <f>AND(#REF!,"AAAAAHPdq0M=")</f>
        <v>#REF!</v>
      </c>
      <c r="BQ92" t="e">
        <f>AND(#REF!,"AAAAAHPdq0Q=")</f>
        <v>#REF!</v>
      </c>
      <c r="BR92" t="e">
        <f>AND(#REF!,"AAAAAHPdq0U=")</f>
        <v>#REF!</v>
      </c>
      <c r="BS92" t="e">
        <f>AND(#REF!,"AAAAAHPdq0Y=")</f>
        <v>#REF!</v>
      </c>
      <c r="BT92" t="e">
        <f>AND(#REF!,"AAAAAHPdq0c=")</f>
        <v>#REF!</v>
      </c>
      <c r="BU92" t="e">
        <f>AND(#REF!,"AAAAAHPdq0g=")</f>
        <v>#REF!</v>
      </c>
      <c r="BV92" t="e">
        <f>AND(#REF!,"AAAAAHPdq0k=")</f>
        <v>#REF!</v>
      </c>
      <c r="BW92" t="e">
        <f>AND(#REF!,"AAAAAHPdq0o=")</f>
        <v>#REF!</v>
      </c>
      <c r="BX92" t="e">
        <f>AND(#REF!,"AAAAAHPdq0s=")</f>
        <v>#REF!</v>
      </c>
      <c r="BY92" t="e">
        <f>AND(#REF!,"AAAAAHPdq0w=")</f>
        <v>#REF!</v>
      </c>
      <c r="BZ92" t="e">
        <f>AND(#REF!,"AAAAAHPdq00=")</f>
        <v>#REF!</v>
      </c>
      <c r="CA92" t="e">
        <f>AND(#REF!,"AAAAAHPdq04=")</f>
        <v>#REF!</v>
      </c>
      <c r="CB92" t="e">
        <f>AND(#REF!,"AAAAAHPdq08=")</f>
        <v>#REF!</v>
      </c>
      <c r="CC92" t="e">
        <f>AND(#REF!,"AAAAAHPdq1A=")</f>
        <v>#REF!</v>
      </c>
      <c r="CD92" t="e">
        <f>AND(#REF!,"AAAAAHPdq1E=")</f>
        <v>#REF!</v>
      </c>
      <c r="CE92" t="e">
        <f>AND(#REF!,"AAAAAHPdq1I=")</f>
        <v>#REF!</v>
      </c>
      <c r="CF92" t="e">
        <f>AND(#REF!,"AAAAAHPdq1M=")</f>
        <v>#REF!</v>
      </c>
      <c r="CG92" t="e">
        <f>AND(#REF!,"AAAAAHPdq1Q=")</f>
        <v>#REF!</v>
      </c>
      <c r="CH92" t="e">
        <f>AND(#REF!,"AAAAAHPdq1U=")</f>
        <v>#REF!</v>
      </c>
      <c r="CI92" t="e">
        <f>AND(#REF!,"AAAAAHPdq1Y=")</f>
        <v>#REF!</v>
      </c>
      <c r="CJ92" t="e">
        <f>AND(#REF!,"AAAAAHPdq1c=")</f>
        <v>#REF!</v>
      </c>
      <c r="CK92" t="e">
        <f>AND(#REF!,"AAAAAHPdq1g=")</f>
        <v>#REF!</v>
      </c>
      <c r="CL92" t="e">
        <f>AND(#REF!,"AAAAAHPdq1k=")</f>
        <v>#REF!</v>
      </c>
      <c r="CM92" t="e">
        <f>AND(#REF!,"AAAAAHPdq1o=")</f>
        <v>#REF!</v>
      </c>
      <c r="CN92" t="e">
        <f>AND(#REF!,"AAAAAHPdq1s=")</f>
        <v>#REF!</v>
      </c>
      <c r="CO92" t="e">
        <f>AND(#REF!,"AAAAAHPdq1w=")</f>
        <v>#REF!</v>
      </c>
      <c r="CP92" t="e">
        <f>AND(#REF!,"AAAAAHPdq10=")</f>
        <v>#REF!</v>
      </c>
      <c r="CQ92" t="e">
        <f>AND(#REF!,"AAAAAHPdq14=")</f>
        <v>#REF!</v>
      </c>
      <c r="CR92" t="e">
        <f>AND(#REF!,"AAAAAHPdq18=")</f>
        <v>#REF!</v>
      </c>
      <c r="CS92" t="e">
        <f>AND(#REF!,"AAAAAHPdq2A=")</f>
        <v>#REF!</v>
      </c>
      <c r="CT92" t="e">
        <f>AND(#REF!,"AAAAAHPdq2E=")</f>
        <v>#REF!</v>
      </c>
      <c r="CU92" t="e">
        <f>AND(#REF!,"AAAAAHPdq2I=")</f>
        <v>#REF!</v>
      </c>
      <c r="CV92" t="e">
        <f>AND(#REF!,"AAAAAHPdq2M=")</f>
        <v>#REF!</v>
      </c>
      <c r="CW92" t="e">
        <f>AND(#REF!,"AAAAAHPdq2Q=")</f>
        <v>#REF!</v>
      </c>
      <c r="CX92" t="e">
        <f>AND(#REF!,"AAAAAHPdq2U=")</f>
        <v>#REF!</v>
      </c>
      <c r="CY92" t="e">
        <f>AND(#REF!,"AAAAAHPdq2Y=")</f>
        <v>#REF!</v>
      </c>
      <c r="CZ92" t="e">
        <f>AND(#REF!,"AAAAAHPdq2c=")</f>
        <v>#REF!</v>
      </c>
      <c r="DA92" t="e">
        <f>AND(#REF!,"AAAAAHPdq2g=")</f>
        <v>#REF!</v>
      </c>
      <c r="DB92" t="e">
        <f>AND(#REF!,"AAAAAHPdq2k=")</f>
        <v>#REF!</v>
      </c>
      <c r="DC92" t="e">
        <f>AND(#REF!,"AAAAAHPdq2o=")</f>
        <v>#REF!</v>
      </c>
      <c r="DD92" t="e">
        <f>AND(#REF!,"AAAAAHPdq2s=")</f>
        <v>#REF!</v>
      </c>
      <c r="DE92" t="e">
        <f>AND(#REF!,"AAAAAHPdq2w=")</f>
        <v>#REF!</v>
      </c>
      <c r="DF92" t="e">
        <f>AND(#REF!,"AAAAAHPdq20=")</f>
        <v>#REF!</v>
      </c>
      <c r="DG92" t="e">
        <f>AND(#REF!,"AAAAAHPdq24=")</f>
        <v>#REF!</v>
      </c>
      <c r="DH92" t="e">
        <f>AND(#REF!,"AAAAAHPdq28=")</f>
        <v>#REF!</v>
      </c>
      <c r="DI92" t="e">
        <f>AND(#REF!,"AAAAAHPdq3A=")</f>
        <v>#REF!</v>
      </c>
      <c r="DJ92" t="e">
        <f>AND(#REF!,"AAAAAHPdq3E=")</f>
        <v>#REF!</v>
      </c>
      <c r="DK92" t="e">
        <f>AND(#REF!,"AAAAAHPdq3I=")</f>
        <v>#REF!</v>
      </c>
      <c r="DL92" t="e">
        <f>AND(#REF!,"AAAAAHPdq3M=")</f>
        <v>#REF!</v>
      </c>
      <c r="DM92" t="e">
        <f>AND(#REF!,"AAAAAHPdq3Q=")</f>
        <v>#REF!</v>
      </c>
      <c r="DN92" t="e">
        <f>AND(#REF!,"AAAAAHPdq3U=")</f>
        <v>#REF!</v>
      </c>
      <c r="DO92" t="e">
        <f>AND(#REF!,"AAAAAHPdq3Y=")</f>
        <v>#REF!</v>
      </c>
      <c r="DP92" t="e">
        <f>AND(#REF!,"AAAAAHPdq3c=")</f>
        <v>#REF!</v>
      </c>
      <c r="DQ92" t="e">
        <f>AND(#REF!,"AAAAAHPdq3g=")</f>
        <v>#REF!</v>
      </c>
      <c r="DR92" t="e">
        <f>AND(#REF!,"AAAAAHPdq3k=")</f>
        <v>#REF!</v>
      </c>
      <c r="DS92" t="e">
        <f>AND(#REF!,"AAAAAHPdq3o=")</f>
        <v>#REF!</v>
      </c>
      <c r="DT92" t="e">
        <f>AND(#REF!,"AAAAAHPdq3s=")</f>
        <v>#REF!</v>
      </c>
      <c r="DU92" t="e">
        <f>AND(#REF!,"AAAAAHPdq3w=")</f>
        <v>#REF!</v>
      </c>
      <c r="DV92" t="e">
        <f>AND(#REF!,"AAAAAHPdq30=")</f>
        <v>#REF!</v>
      </c>
      <c r="DW92" t="e">
        <f>AND(#REF!,"AAAAAHPdq34=")</f>
        <v>#REF!</v>
      </c>
      <c r="DX92" t="e">
        <f>AND(#REF!,"AAAAAHPdq38=")</f>
        <v>#REF!</v>
      </c>
      <c r="DY92" t="e">
        <f>AND(#REF!,"AAAAAHPdq4A=")</f>
        <v>#REF!</v>
      </c>
      <c r="DZ92" t="e">
        <f>AND(#REF!,"AAAAAHPdq4E=")</f>
        <v>#REF!</v>
      </c>
      <c r="EA92" t="e">
        <f>AND(#REF!,"AAAAAHPdq4I=")</f>
        <v>#REF!</v>
      </c>
      <c r="EB92" t="e">
        <f>AND(#REF!,"AAAAAHPdq4M=")</f>
        <v>#REF!</v>
      </c>
      <c r="EC92" t="e">
        <f>AND(#REF!,"AAAAAHPdq4Q=")</f>
        <v>#REF!</v>
      </c>
      <c r="ED92" t="e">
        <f>AND(#REF!,"AAAAAHPdq4U=")</f>
        <v>#REF!</v>
      </c>
      <c r="EE92" t="e">
        <f>AND(#REF!,"AAAAAHPdq4Y=")</f>
        <v>#REF!</v>
      </c>
      <c r="EF92" t="e">
        <f>AND(#REF!,"AAAAAHPdq4c=")</f>
        <v>#REF!</v>
      </c>
      <c r="EG92" t="e">
        <f>AND(#REF!,"AAAAAHPdq4g=")</f>
        <v>#REF!</v>
      </c>
      <c r="EH92" t="e">
        <f>AND(#REF!,"AAAAAHPdq4k=")</f>
        <v>#REF!</v>
      </c>
      <c r="EI92" t="e">
        <f>AND(#REF!,"AAAAAHPdq4o=")</f>
        <v>#REF!</v>
      </c>
      <c r="EJ92" t="e">
        <f>AND(#REF!,"AAAAAHPdq4s=")</f>
        <v>#REF!</v>
      </c>
      <c r="EK92" t="e">
        <f>AND(#REF!,"AAAAAHPdq4w=")</f>
        <v>#REF!</v>
      </c>
      <c r="EL92" t="e">
        <f>AND(#REF!,"AAAAAHPdq40=")</f>
        <v>#REF!</v>
      </c>
      <c r="EM92" t="e">
        <f>AND(#REF!,"AAAAAHPdq44=")</f>
        <v>#REF!</v>
      </c>
      <c r="EN92" t="e">
        <f>AND(#REF!,"AAAAAHPdq48=")</f>
        <v>#REF!</v>
      </c>
      <c r="EO92" t="e">
        <f>AND(#REF!,"AAAAAHPdq5A=")</f>
        <v>#REF!</v>
      </c>
      <c r="EP92" t="e">
        <f>AND(#REF!,"AAAAAHPdq5E=")</f>
        <v>#REF!</v>
      </c>
      <c r="EQ92" t="e">
        <f>AND(#REF!,"AAAAAHPdq5I=")</f>
        <v>#REF!</v>
      </c>
      <c r="ER92" t="e">
        <f>AND(#REF!,"AAAAAHPdq5M=")</f>
        <v>#REF!</v>
      </c>
      <c r="ES92" t="e">
        <f>AND(#REF!,"AAAAAHPdq5Q=")</f>
        <v>#REF!</v>
      </c>
      <c r="ET92" t="e">
        <f>AND(#REF!,"AAAAAHPdq5U=")</f>
        <v>#REF!</v>
      </c>
      <c r="EU92" t="e">
        <f>AND(#REF!,"AAAAAHPdq5Y=")</f>
        <v>#REF!</v>
      </c>
      <c r="EV92" t="e">
        <f>AND(#REF!,"AAAAAHPdq5c=")</f>
        <v>#REF!</v>
      </c>
      <c r="EW92" t="e">
        <f>AND(#REF!,"AAAAAHPdq5g=")</f>
        <v>#REF!</v>
      </c>
      <c r="EX92" t="e">
        <f>AND(#REF!,"AAAAAHPdq5k=")</f>
        <v>#REF!</v>
      </c>
      <c r="EY92" t="e">
        <f>AND(#REF!,"AAAAAHPdq5o=")</f>
        <v>#REF!</v>
      </c>
      <c r="EZ92" t="e">
        <f>AND(#REF!,"AAAAAHPdq5s=")</f>
        <v>#REF!</v>
      </c>
      <c r="FA92" t="e">
        <f>AND(#REF!,"AAAAAHPdq5w=")</f>
        <v>#REF!</v>
      </c>
      <c r="FB92" t="e">
        <f>AND(#REF!,"AAAAAHPdq50=")</f>
        <v>#REF!</v>
      </c>
      <c r="FC92" t="e">
        <f>AND(#REF!,"AAAAAHPdq54=")</f>
        <v>#REF!</v>
      </c>
      <c r="FD92" t="e">
        <f>AND(#REF!,"AAAAAHPdq58=")</f>
        <v>#REF!</v>
      </c>
      <c r="FE92" t="e">
        <f>IF(#REF!,"AAAAAHPdq6A=",0)</f>
        <v>#REF!</v>
      </c>
      <c r="FF92" t="e">
        <f>AND(#REF!,"AAAAAHPdq6E=")</f>
        <v>#REF!</v>
      </c>
      <c r="FG92" t="e">
        <f>AND(#REF!,"AAAAAHPdq6I=")</f>
        <v>#REF!</v>
      </c>
      <c r="FH92" t="e">
        <f>AND(#REF!,"AAAAAHPdq6M=")</f>
        <v>#REF!</v>
      </c>
      <c r="FI92" t="e">
        <f>AND(#REF!,"AAAAAHPdq6Q=")</f>
        <v>#REF!</v>
      </c>
      <c r="FJ92" t="e">
        <f>AND(#REF!,"AAAAAHPdq6U=")</f>
        <v>#REF!</v>
      </c>
      <c r="FK92" t="e">
        <f>AND(#REF!,"AAAAAHPdq6Y=")</f>
        <v>#REF!</v>
      </c>
      <c r="FL92" t="e">
        <f>AND(#REF!,"AAAAAHPdq6c=")</f>
        <v>#REF!</v>
      </c>
      <c r="FM92" t="e">
        <f>AND(#REF!,"AAAAAHPdq6g=")</f>
        <v>#REF!</v>
      </c>
      <c r="FN92" t="e">
        <f>AND(#REF!,"AAAAAHPdq6k=")</f>
        <v>#REF!</v>
      </c>
      <c r="FO92" t="e">
        <f>AND(#REF!,"AAAAAHPdq6o=")</f>
        <v>#REF!</v>
      </c>
      <c r="FP92" t="e">
        <f>AND(#REF!,"AAAAAHPdq6s=")</f>
        <v>#REF!</v>
      </c>
      <c r="FQ92" t="e">
        <f>AND(#REF!,"AAAAAHPdq6w=")</f>
        <v>#REF!</v>
      </c>
      <c r="FR92" t="e">
        <f>AND(#REF!,"AAAAAHPdq60=")</f>
        <v>#REF!</v>
      </c>
      <c r="FS92" t="e">
        <f>AND(#REF!,"AAAAAHPdq64=")</f>
        <v>#REF!</v>
      </c>
      <c r="FT92" t="e">
        <f>AND(#REF!,"AAAAAHPdq68=")</f>
        <v>#REF!</v>
      </c>
      <c r="FU92" t="e">
        <f>AND(#REF!,"AAAAAHPdq7A=")</f>
        <v>#REF!</v>
      </c>
      <c r="FV92" t="e">
        <f>AND(#REF!,"AAAAAHPdq7E=")</f>
        <v>#REF!</v>
      </c>
      <c r="FW92" t="e">
        <f>AND(#REF!,"AAAAAHPdq7I=")</f>
        <v>#REF!</v>
      </c>
      <c r="FX92" t="e">
        <f>AND(#REF!,"AAAAAHPdq7M=")</f>
        <v>#REF!</v>
      </c>
      <c r="FY92" t="e">
        <f>AND(#REF!,"AAAAAHPdq7Q=")</f>
        <v>#REF!</v>
      </c>
      <c r="FZ92" t="e">
        <f>AND(#REF!,"AAAAAHPdq7U=")</f>
        <v>#REF!</v>
      </c>
      <c r="GA92" t="e">
        <f>AND(#REF!,"AAAAAHPdq7Y=")</f>
        <v>#REF!</v>
      </c>
      <c r="GB92" t="e">
        <f>AND(#REF!,"AAAAAHPdq7c=")</f>
        <v>#REF!</v>
      </c>
      <c r="GC92" t="e">
        <f>AND(#REF!,"AAAAAHPdq7g=")</f>
        <v>#REF!</v>
      </c>
      <c r="GD92" t="e">
        <f>AND(#REF!,"AAAAAHPdq7k=")</f>
        <v>#REF!</v>
      </c>
      <c r="GE92" t="e">
        <f>AND(#REF!,"AAAAAHPdq7o=")</f>
        <v>#REF!</v>
      </c>
      <c r="GF92" t="e">
        <f>AND(#REF!,"AAAAAHPdq7s=")</f>
        <v>#REF!</v>
      </c>
      <c r="GG92" t="e">
        <f>AND(#REF!,"AAAAAHPdq7w=")</f>
        <v>#REF!</v>
      </c>
      <c r="GH92" t="e">
        <f>AND(#REF!,"AAAAAHPdq70=")</f>
        <v>#REF!</v>
      </c>
      <c r="GI92" t="e">
        <f>AND(#REF!,"AAAAAHPdq74=")</f>
        <v>#REF!</v>
      </c>
      <c r="GJ92" t="e">
        <f>AND(#REF!,"AAAAAHPdq78=")</f>
        <v>#REF!</v>
      </c>
      <c r="GK92" t="e">
        <f>AND(#REF!,"AAAAAHPdq8A=")</f>
        <v>#REF!</v>
      </c>
      <c r="GL92" t="e">
        <f>AND(#REF!,"AAAAAHPdq8E=")</f>
        <v>#REF!</v>
      </c>
      <c r="GM92" t="e">
        <f>AND(#REF!,"AAAAAHPdq8I=")</f>
        <v>#REF!</v>
      </c>
      <c r="GN92" t="e">
        <f>AND(#REF!,"AAAAAHPdq8M=")</f>
        <v>#REF!</v>
      </c>
      <c r="GO92" t="e">
        <f>AND(#REF!,"AAAAAHPdq8Q=")</f>
        <v>#REF!</v>
      </c>
      <c r="GP92" t="e">
        <f>AND(#REF!,"AAAAAHPdq8U=")</f>
        <v>#REF!</v>
      </c>
      <c r="GQ92" t="e">
        <f>AND(#REF!,"AAAAAHPdq8Y=")</f>
        <v>#REF!</v>
      </c>
      <c r="GR92" t="e">
        <f>AND(#REF!,"AAAAAHPdq8c=")</f>
        <v>#REF!</v>
      </c>
      <c r="GS92" t="e">
        <f>AND(#REF!,"AAAAAHPdq8g=")</f>
        <v>#REF!</v>
      </c>
      <c r="GT92" t="e">
        <f>AND(#REF!,"AAAAAHPdq8k=")</f>
        <v>#REF!</v>
      </c>
      <c r="GU92" t="e">
        <f>AND(#REF!,"AAAAAHPdq8o=")</f>
        <v>#REF!</v>
      </c>
      <c r="GV92" t="e">
        <f>AND(#REF!,"AAAAAHPdq8s=")</f>
        <v>#REF!</v>
      </c>
      <c r="GW92" t="e">
        <f>AND(#REF!,"AAAAAHPdq8w=")</f>
        <v>#REF!</v>
      </c>
      <c r="GX92" t="e">
        <f>AND(#REF!,"AAAAAHPdq80=")</f>
        <v>#REF!</v>
      </c>
      <c r="GY92" t="e">
        <f>AND(#REF!,"AAAAAHPdq84=")</f>
        <v>#REF!</v>
      </c>
      <c r="GZ92" t="e">
        <f>AND(#REF!,"AAAAAHPdq88=")</f>
        <v>#REF!</v>
      </c>
      <c r="HA92" t="e">
        <f>AND(#REF!,"AAAAAHPdq9A=")</f>
        <v>#REF!</v>
      </c>
      <c r="HB92" t="e">
        <f>AND(#REF!,"AAAAAHPdq9E=")</f>
        <v>#REF!</v>
      </c>
      <c r="HC92" t="e">
        <f>AND(#REF!,"AAAAAHPdq9I=")</f>
        <v>#REF!</v>
      </c>
      <c r="HD92" t="e">
        <f>AND(#REF!,"AAAAAHPdq9M=")</f>
        <v>#REF!</v>
      </c>
      <c r="HE92" t="e">
        <f>AND(#REF!,"AAAAAHPdq9Q=")</f>
        <v>#REF!</v>
      </c>
      <c r="HF92" t="e">
        <f>AND(#REF!,"AAAAAHPdq9U=")</f>
        <v>#REF!</v>
      </c>
      <c r="HG92" t="e">
        <f>AND(#REF!,"AAAAAHPdq9Y=")</f>
        <v>#REF!</v>
      </c>
      <c r="HH92" t="e">
        <f>AND(#REF!,"AAAAAHPdq9c=")</f>
        <v>#REF!</v>
      </c>
      <c r="HI92" t="e">
        <f>AND(#REF!,"AAAAAHPdq9g=")</f>
        <v>#REF!</v>
      </c>
      <c r="HJ92" t="e">
        <f>AND(#REF!,"AAAAAHPdq9k=")</f>
        <v>#REF!</v>
      </c>
      <c r="HK92" t="e">
        <f>AND(#REF!,"AAAAAHPdq9o=")</f>
        <v>#REF!</v>
      </c>
      <c r="HL92" t="e">
        <f>AND(#REF!,"AAAAAHPdq9s=")</f>
        <v>#REF!</v>
      </c>
      <c r="HM92" t="e">
        <f>AND(#REF!,"AAAAAHPdq9w=")</f>
        <v>#REF!</v>
      </c>
      <c r="HN92" t="e">
        <f>AND(#REF!,"AAAAAHPdq90=")</f>
        <v>#REF!</v>
      </c>
      <c r="HO92" t="e">
        <f>AND(#REF!,"AAAAAHPdq94=")</f>
        <v>#REF!</v>
      </c>
      <c r="HP92" t="e">
        <f>AND(#REF!,"AAAAAHPdq98=")</f>
        <v>#REF!</v>
      </c>
      <c r="HQ92" t="e">
        <f>AND(#REF!,"AAAAAHPdq+A=")</f>
        <v>#REF!</v>
      </c>
      <c r="HR92" t="e">
        <f>AND(#REF!,"AAAAAHPdq+E=")</f>
        <v>#REF!</v>
      </c>
      <c r="HS92" t="e">
        <f>AND(#REF!,"AAAAAHPdq+I=")</f>
        <v>#REF!</v>
      </c>
      <c r="HT92" t="e">
        <f>AND(#REF!,"AAAAAHPdq+M=")</f>
        <v>#REF!</v>
      </c>
      <c r="HU92" t="e">
        <f>AND(#REF!,"AAAAAHPdq+Q=")</f>
        <v>#REF!</v>
      </c>
      <c r="HV92" t="e">
        <f>AND(#REF!,"AAAAAHPdq+U=")</f>
        <v>#REF!</v>
      </c>
      <c r="HW92" t="e">
        <f>AND(#REF!,"AAAAAHPdq+Y=")</f>
        <v>#REF!</v>
      </c>
      <c r="HX92" t="e">
        <f>AND(#REF!,"AAAAAHPdq+c=")</f>
        <v>#REF!</v>
      </c>
      <c r="HY92" t="e">
        <f>AND(#REF!,"AAAAAHPdq+g=")</f>
        <v>#REF!</v>
      </c>
      <c r="HZ92" t="e">
        <f>AND(#REF!,"AAAAAHPdq+k=")</f>
        <v>#REF!</v>
      </c>
      <c r="IA92" t="e">
        <f>AND(#REF!,"AAAAAHPdq+o=")</f>
        <v>#REF!</v>
      </c>
      <c r="IB92" t="e">
        <f>AND(#REF!,"AAAAAHPdq+s=")</f>
        <v>#REF!</v>
      </c>
      <c r="IC92" t="e">
        <f>AND(#REF!,"AAAAAHPdq+w=")</f>
        <v>#REF!</v>
      </c>
      <c r="ID92" t="e">
        <f>AND(#REF!,"AAAAAHPdq+0=")</f>
        <v>#REF!</v>
      </c>
      <c r="IE92" t="e">
        <f>AND(#REF!,"AAAAAHPdq+4=")</f>
        <v>#REF!</v>
      </c>
      <c r="IF92" t="e">
        <f>AND(#REF!,"AAAAAHPdq+8=")</f>
        <v>#REF!</v>
      </c>
      <c r="IG92" t="e">
        <f>AND(#REF!,"AAAAAHPdq/A=")</f>
        <v>#REF!</v>
      </c>
      <c r="IH92" t="e">
        <f>AND(#REF!,"AAAAAHPdq/E=")</f>
        <v>#REF!</v>
      </c>
      <c r="II92" t="e">
        <f>AND(#REF!,"AAAAAHPdq/I=")</f>
        <v>#REF!</v>
      </c>
      <c r="IJ92" t="e">
        <f>AND(#REF!,"AAAAAHPdq/M=")</f>
        <v>#REF!</v>
      </c>
      <c r="IK92" t="e">
        <f>AND(#REF!,"AAAAAHPdq/Q=")</f>
        <v>#REF!</v>
      </c>
      <c r="IL92" t="e">
        <f>AND(#REF!,"AAAAAHPdq/U=")</f>
        <v>#REF!</v>
      </c>
      <c r="IM92" t="e">
        <f>AND(#REF!,"AAAAAHPdq/Y=")</f>
        <v>#REF!</v>
      </c>
      <c r="IN92" t="e">
        <f>AND(#REF!,"AAAAAHPdq/c=")</f>
        <v>#REF!</v>
      </c>
      <c r="IO92" t="e">
        <f>AND(#REF!,"AAAAAHPdq/g=")</f>
        <v>#REF!</v>
      </c>
      <c r="IP92" t="e">
        <f>AND(#REF!,"AAAAAHPdq/k=")</f>
        <v>#REF!</v>
      </c>
      <c r="IQ92" t="e">
        <f>AND(#REF!,"AAAAAHPdq/o=")</f>
        <v>#REF!</v>
      </c>
      <c r="IR92" t="e">
        <f>AND(#REF!,"AAAAAHPdq/s=")</f>
        <v>#REF!</v>
      </c>
      <c r="IS92" t="e">
        <f>AND(#REF!,"AAAAAHPdq/w=")</f>
        <v>#REF!</v>
      </c>
      <c r="IT92" t="e">
        <f>AND(#REF!,"AAAAAHPdq/0=")</f>
        <v>#REF!</v>
      </c>
      <c r="IU92" t="e">
        <f>AND(#REF!,"AAAAAHPdq/4=")</f>
        <v>#REF!</v>
      </c>
      <c r="IV92" t="e">
        <f>AND(#REF!,"AAAAAHPdq/8=")</f>
        <v>#REF!</v>
      </c>
    </row>
    <row r="93" spans="1:256" x14ac:dyDescent="0.25">
      <c r="A93" t="e">
        <f>AND(#REF!,"AAAAAGfb/wA=")</f>
        <v>#REF!</v>
      </c>
      <c r="B93" t="e">
        <f>AND(#REF!,"AAAAAGfb/wE=")</f>
        <v>#REF!</v>
      </c>
      <c r="C93" t="e">
        <f>AND(#REF!,"AAAAAGfb/wI=")</f>
        <v>#REF!</v>
      </c>
      <c r="D93" t="e">
        <f>AND(#REF!,"AAAAAGfb/wM=")</f>
        <v>#REF!</v>
      </c>
      <c r="E93" t="e">
        <f>AND(#REF!,"AAAAAGfb/wQ=")</f>
        <v>#REF!</v>
      </c>
      <c r="F93" t="e">
        <f>AND(#REF!,"AAAAAGfb/wU=")</f>
        <v>#REF!</v>
      </c>
      <c r="G93" t="e">
        <f>AND(#REF!,"AAAAAGfb/wY=")</f>
        <v>#REF!</v>
      </c>
      <c r="H93" t="e">
        <f>AND(#REF!,"AAAAAGfb/wc=")</f>
        <v>#REF!</v>
      </c>
      <c r="I93" t="e">
        <f>AND(#REF!,"AAAAAGfb/wg=")</f>
        <v>#REF!</v>
      </c>
      <c r="J93" t="e">
        <f>AND(#REF!,"AAAAAGfb/wk=")</f>
        <v>#REF!</v>
      </c>
      <c r="K93" t="e">
        <f>AND(#REF!,"AAAAAGfb/wo=")</f>
        <v>#REF!</v>
      </c>
      <c r="L93" t="e">
        <f>AND(#REF!,"AAAAAGfb/ws=")</f>
        <v>#REF!</v>
      </c>
      <c r="M93" t="e">
        <f>AND(#REF!,"AAAAAGfb/ww=")</f>
        <v>#REF!</v>
      </c>
      <c r="N93" t="e">
        <f>AND(#REF!,"AAAAAGfb/w0=")</f>
        <v>#REF!</v>
      </c>
      <c r="O93" t="e">
        <f>AND(#REF!,"AAAAAGfb/w4=")</f>
        <v>#REF!</v>
      </c>
      <c r="P93" t="e">
        <f>AND(#REF!,"AAAAAGfb/w8=")</f>
        <v>#REF!</v>
      </c>
      <c r="Q93" t="e">
        <f>AND(#REF!,"AAAAAGfb/xA=")</f>
        <v>#REF!</v>
      </c>
      <c r="R93" t="e">
        <f>AND(#REF!,"AAAAAGfb/xE=")</f>
        <v>#REF!</v>
      </c>
      <c r="S93" t="e">
        <f>AND(#REF!,"AAAAAGfb/xI=")</f>
        <v>#REF!</v>
      </c>
      <c r="T93" t="e">
        <f>AND(#REF!,"AAAAAGfb/xM=")</f>
        <v>#REF!</v>
      </c>
      <c r="U93" t="e">
        <f>AND(#REF!,"AAAAAGfb/xQ=")</f>
        <v>#REF!</v>
      </c>
      <c r="V93" t="e">
        <f>AND(#REF!,"AAAAAGfb/xU=")</f>
        <v>#REF!</v>
      </c>
      <c r="W93" t="e">
        <f>AND(#REF!,"AAAAAGfb/xY=")</f>
        <v>#REF!</v>
      </c>
      <c r="X93" t="e">
        <f>AND(#REF!,"AAAAAGfb/xc=")</f>
        <v>#REF!</v>
      </c>
      <c r="Y93" t="e">
        <f>AND(#REF!,"AAAAAGfb/xg=")</f>
        <v>#REF!</v>
      </c>
      <c r="Z93" t="e">
        <f>AND(#REF!,"AAAAAGfb/xk=")</f>
        <v>#REF!</v>
      </c>
      <c r="AA93" t="e">
        <f>AND(#REF!,"AAAAAGfb/xo=")</f>
        <v>#REF!</v>
      </c>
      <c r="AB93" t="e">
        <f>AND(#REF!,"AAAAAGfb/xs=")</f>
        <v>#REF!</v>
      </c>
      <c r="AC93" t="e">
        <f>AND(#REF!,"AAAAAGfb/xw=")</f>
        <v>#REF!</v>
      </c>
      <c r="AD93" t="e">
        <f>AND(#REF!,"AAAAAGfb/x0=")</f>
        <v>#REF!</v>
      </c>
      <c r="AE93" t="e">
        <f>AND(#REF!,"AAAAAGfb/x4=")</f>
        <v>#REF!</v>
      </c>
      <c r="AF93" t="e">
        <f>AND(#REF!,"AAAAAGfb/x8=")</f>
        <v>#REF!</v>
      </c>
      <c r="AG93" t="e">
        <f>AND(#REF!,"AAAAAGfb/yA=")</f>
        <v>#REF!</v>
      </c>
      <c r="AH93" t="e">
        <f>AND(#REF!,"AAAAAGfb/yE=")</f>
        <v>#REF!</v>
      </c>
      <c r="AI93" t="e">
        <f>AND(#REF!,"AAAAAGfb/yI=")</f>
        <v>#REF!</v>
      </c>
      <c r="AJ93" t="e">
        <f>AND(#REF!,"AAAAAGfb/yM=")</f>
        <v>#REF!</v>
      </c>
      <c r="AK93" t="e">
        <f>AND(#REF!,"AAAAAGfb/yQ=")</f>
        <v>#REF!</v>
      </c>
      <c r="AL93" t="e">
        <f>AND(#REF!,"AAAAAGfb/yU=")</f>
        <v>#REF!</v>
      </c>
      <c r="AM93" t="e">
        <f>AND(#REF!,"AAAAAGfb/yY=")</f>
        <v>#REF!</v>
      </c>
      <c r="AN93" t="e">
        <f>AND(#REF!,"AAAAAGfb/yc=")</f>
        <v>#REF!</v>
      </c>
      <c r="AO93" t="e">
        <f>AND(#REF!,"AAAAAGfb/yg=")</f>
        <v>#REF!</v>
      </c>
      <c r="AP93" t="e">
        <f>AND(#REF!,"AAAAAGfb/yk=")</f>
        <v>#REF!</v>
      </c>
      <c r="AQ93" t="e">
        <f>AND(#REF!,"AAAAAGfb/yo=")</f>
        <v>#REF!</v>
      </c>
      <c r="AR93" t="e">
        <f>AND(#REF!,"AAAAAGfb/ys=")</f>
        <v>#REF!</v>
      </c>
      <c r="AS93" t="e">
        <f>AND(#REF!,"AAAAAGfb/yw=")</f>
        <v>#REF!</v>
      </c>
      <c r="AT93" t="e">
        <f>AND(#REF!,"AAAAAGfb/y0=")</f>
        <v>#REF!</v>
      </c>
      <c r="AU93" t="e">
        <f>AND(#REF!,"AAAAAGfb/y4=")</f>
        <v>#REF!</v>
      </c>
      <c r="AV93" t="e">
        <f>AND(#REF!,"AAAAAGfb/y8=")</f>
        <v>#REF!</v>
      </c>
      <c r="AW93" t="e">
        <f>AND(#REF!,"AAAAAGfb/zA=")</f>
        <v>#REF!</v>
      </c>
      <c r="AX93" t="e">
        <f>AND(#REF!,"AAAAAGfb/zE=")</f>
        <v>#REF!</v>
      </c>
      <c r="AY93" t="e">
        <f>AND(#REF!,"AAAAAGfb/zI=")</f>
        <v>#REF!</v>
      </c>
      <c r="AZ93" t="e">
        <f>AND(#REF!,"AAAAAGfb/zM=")</f>
        <v>#REF!</v>
      </c>
      <c r="BA93" t="e">
        <f>AND(#REF!,"AAAAAGfb/zQ=")</f>
        <v>#REF!</v>
      </c>
      <c r="BB93" t="e">
        <f>AND(#REF!,"AAAAAGfb/zU=")</f>
        <v>#REF!</v>
      </c>
      <c r="BC93" t="e">
        <f>AND(#REF!,"AAAAAGfb/zY=")</f>
        <v>#REF!</v>
      </c>
      <c r="BD93" t="e">
        <f>AND(#REF!,"AAAAAGfb/zc=")</f>
        <v>#REF!</v>
      </c>
      <c r="BE93" t="e">
        <f>AND(#REF!,"AAAAAGfb/zg=")</f>
        <v>#REF!</v>
      </c>
      <c r="BF93" t="e">
        <f>AND(#REF!,"AAAAAGfb/zk=")</f>
        <v>#REF!</v>
      </c>
      <c r="BG93" t="e">
        <f>AND(#REF!,"AAAAAGfb/zo=")</f>
        <v>#REF!</v>
      </c>
      <c r="BH93" t="e">
        <f>AND(#REF!,"AAAAAGfb/zs=")</f>
        <v>#REF!</v>
      </c>
      <c r="BI93" t="e">
        <f>AND(#REF!,"AAAAAGfb/zw=")</f>
        <v>#REF!</v>
      </c>
      <c r="BJ93" t="e">
        <f>AND(#REF!,"AAAAAGfb/z0=")</f>
        <v>#REF!</v>
      </c>
      <c r="BK93" t="e">
        <f>AND(#REF!,"AAAAAGfb/z4=")</f>
        <v>#REF!</v>
      </c>
      <c r="BL93" t="e">
        <f>AND(#REF!,"AAAAAGfb/z8=")</f>
        <v>#REF!</v>
      </c>
      <c r="BM93" t="e">
        <f>AND(#REF!,"AAAAAGfb/0A=")</f>
        <v>#REF!</v>
      </c>
      <c r="BN93" t="e">
        <f>AND(#REF!,"AAAAAGfb/0E=")</f>
        <v>#REF!</v>
      </c>
      <c r="BO93" t="e">
        <f>AND(#REF!,"AAAAAGfb/0I=")</f>
        <v>#REF!</v>
      </c>
      <c r="BP93" t="e">
        <f>AND(#REF!,"AAAAAGfb/0M=")</f>
        <v>#REF!</v>
      </c>
      <c r="BQ93" t="e">
        <f>AND(#REF!,"AAAAAGfb/0Q=")</f>
        <v>#REF!</v>
      </c>
      <c r="BR93" t="e">
        <f>AND(#REF!,"AAAAAGfb/0U=")</f>
        <v>#REF!</v>
      </c>
      <c r="BS93" t="e">
        <f>AND(#REF!,"AAAAAGfb/0Y=")</f>
        <v>#REF!</v>
      </c>
      <c r="BT93" t="e">
        <f>AND(#REF!,"AAAAAGfb/0c=")</f>
        <v>#REF!</v>
      </c>
      <c r="BU93" t="e">
        <f>AND(#REF!,"AAAAAGfb/0g=")</f>
        <v>#REF!</v>
      </c>
      <c r="BV93" t="e">
        <f>AND(#REF!,"AAAAAGfb/0k=")</f>
        <v>#REF!</v>
      </c>
      <c r="BW93" t="e">
        <f>AND(#REF!,"AAAAAGfb/0o=")</f>
        <v>#REF!</v>
      </c>
      <c r="BX93" t="e">
        <f>AND(#REF!,"AAAAAGfb/0s=")</f>
        <v>#REF!</v>
      </c>
      <c r="BY93" t="e">
        <f>AND(#REF!,"AAAAAGfb/0w=")</f>
        <v>#REF!</v>
      </c>
      <c r="BZ93" t="e">
        <f>AND(#REF!,"AAAAAGfb/00=")</f>
        <v>#REF!</v>
      </c>
      <c r="CA93" t="e">
        <f>AND(#REF!,"AAAAAGfb/04=")</f>
        <v>#REF!</v>
      </c>
      <c r="CB93" t="e">
        <f>AND(#REF!,"AAAAAGfb/08=")</f>
        <v>#REF!</v>
      </c>
      <c r="CC93" t="e">
        <f>AND(#REF!,"AAAAAGfb/1A=")</f>
        <v>#REF!</v>
      </c>
      <c r="CD93" t="e">
        <f>AND(#REF!,"AAAAAGfb/1E=")</f>
        <v>#REF!</v>
      </c>
      <c r="CE93" t="e">
        <f>IF(#REF!,"AAAAAGfb/1I=",0)</f>
        <v>#REF!</v>
      </c>
      <c r="CF93" t="e">
        <f>AND(#REF!,"AAAAAGfb/1M=")</f>
        <v>#REF!</v>
      </c>
      <c r="CG93" t="e">
        <f>AND(#REF!,"AAAAAGfb/1Q=")</f>
        <v>#REF!</v>
      </c>
      <c r="CH93" t="e">
        <f>AND(#REF!,"AAAAAGfb/1U=")</f>
        <v>#REF!</v>
      </c>
      <c r="CI93" t="e">
        <f>AND(#REF!,"AAAAAGfb/1Y=")</f>
        <v>#REF!</v>
      </c>
      <c r="CJ93" t="e">
        <f>AND(#REF!,"AAAAAGfb/1c=")</f>
        <v>#REF!</v>
      </c>
      <c r="CK93" t="e">
        <f>AND(#REF!,"AAAAAGfb/1g=")</f>
        <v>#REF!</v>
      </c>
      <c r="CL93" t="e">
        <f>AND(#REF!,"AAAAAGfb/1k=")</f>
        <v>#REF!</v>
      </c>
      <c r="CM93" t="e">
        <f>AND(#REF!,"AAAAAGfb/1o=")</f>
        <v>#REF!</v>
      </c>
      <c r="CN93" t="e">
        <f>AND(#REF!,"AAAAAGfb/1s=")</f>
        <v>#REF!</v>
      </c>
      <c r="CO93" t="e">
        <f>AND(#REF!,"AAAAAGfb/1w=")</f>
        <v>#REF!</v>
      </c>
      <c r="CP93" t="e">
        <f>AND(#REF!,"AAAAAGfb/10=")</f>
        <v>#REF!</v>
      </c>
      <c r="CQ93" t="e">
        <f>AND(#REF!,"AAAAAGfb/14=")</f>
        <v>#REF!</v>
      </c>
      <c r="CR93" t="e">
        <f>AND(#REF!,"AAAAAGfb/18=")</f>
        <v>#REF!</v>
      </c>
      <c r="CS93" t="e">
        <f>AND(#REF!,"AAAAAGfb/2A=")</f>
        <v>#REF!</v>
      </c>
      <c r="CT93" t="e">
        <f>AND(#REF!,"AAAAAGfb/2E=")</f>
        <v>#REF!</v>
      </c>
      <c r="CU93" t="e">
        <f>AND(#REF!,"AAAAAGfb/2I=")</f>
        <v>#REF!</v>
      </c>
      <c r="CV93" t="e">
        <f>AND(#REF!,"AAAAAGfb/2M=")</f>
        <v>#REF!</v>
      </c>
      <c r="CW93" t="e">
        <f>AND(#REF!,"AAAAAGfb/2Q=")</f>
        <v>#REF!</v>
      </c>
      <c r="CX93" t="e">
        <f>AND(#REF!,"AAAAAGfb/2U=")</f>
        <v>#REF!</v>
      </c>
      <c r="CY93" t="e">
        <f>AND(#REF!,"AAAAAGfb/2Y=")</f>
        <v>#REF!</v>
      </c>
      <c r="CZ93" t="e">
        <f>AND(#REF!,"AAAAAGfb/2c=")</f>
        <v>#REF!</v>
      </c>
      <c r="DA93" t="e">
        <f>AND(#REF!,"AAAAAGfb/2g=")</f>
        <v>#REF!</v>
      </c>
      <c r="DB93" t="e">
        <f>AND(#REF!,"AAAAAGfb/2k=")</f>
        <v>#REF!</v>
      </c>
      <c r="DC93" t="e">
        <f>AND(#REF!,"AAAAAGfb/2o=")</f>
        <v>#REF!</v>
      </c>
      <c r="DD93" t="e">
        <f>AND(#REF!,"AAAAAGfb/2s=")</f>
        <v>#REF!</v>
      </c>
      <c r="DE93" t="e">
        <f>AND(#REF!,"AAAAAGfb/2w=")</f>
        <v>#REF!</v>
      </c>
      <c r="DF93" t="e">
        <f>AND(#REF!,"AAAAAGfb/20=")</f>
        <v>#REF!</v>
      </c>
      <c r="DG93" t="e">
        <f>AND(#REF!,"AAAAAGfb/24=")</f>
        <v>#REF!</v>
      </c>
      <c r="DH93" t="e">
        <f>AND(#REF!,"AAAAAGfb/28=")</f>
        <v>#REF!</v>
      </c>
      <c r="DI93" t="e">
        <f>AND(#REF!,"AAAAAGfb/3A=")</f>
        <v>#REF!</v>
      </c>
      <c r="DJ93" t="e">
        <f>AND(#REF!,"AAAAAGfb/3E=")</f>
        <v>#REF!</v>
      </c>
      <c r="DK93" t="e">
        <f>AND(#REF!,"AAAAAGfb/3I=")</f>
        <v>#REF!</v>
      </c>
      <c r="DL93" t="e">
        <f>AND(#REF!,"AAAAAGfb/3M=")</f>
        <v>#REF!</v>
      </c>
      <c r="DM93" t="e">
        <f>AND(#REF!,"AAAAAGfb/3Q=")</f>
        <v>#REF!</v>
      </c>
      <c r="DN93" t="e">
        <f>AND(#REF!,"AAAAAGfb/3U=")</f>
        <v>#REF!</v>
      </c>
      <c r="DO93" t="e">
        <f>AND(#REF!,"AAAAAGfb/3Y=")</f>
        <v>#REF!</v>
      </c>
      <c r="DP93" t="e">
        <f>AND(#REF!,"AAAAAGfb/3c=")</f>
        <v>#REF!</v>
      </c>
      <c r="DQ93" t="e">
        <f>AND(#REF!,"AAAAAGfb/3g=")</f>
        <v>#REF!</v>
      </c>
      <c r="DR93" t="e">
        <f>AND(#REF!,"AAAAAGfb/3k=")</f>
        <v>#REF!</v>
      </c>
      <c r="DS93" t="e">
        <f>AND(#REF!,"AAAAAGfb/3o=")</f>
        <v>#REF!</v>
      </c>
      <c r="DT93" t="e">
        <f>AND(#REF!,"AAAAAGfb/3s=")</f>
        <v>#REF!</v>
      </c>
      <c r="DU93" t="e">
        <f>AND(#REF!,"AAAAAGfb/3w=")</f>
        <v>#REF!</v>
      </c>
      <c r="DV93" t="e">
        <f>AND(#REF!,"AAAAAGfb/30=")</f>
        <v>#REF!</v>
      </c>
      <c r="DW93" t="e">
        <f>AND(#REF!,"AAAAAGfb/34=")</f>
        <v>#REF!</v>
      </c>
      <c r="DX93" t="e">
        <f>AND(#REF!,"AAAAAGfb/38=")</f>
        <v>#REF!</v>
      </c>
      <c r="DY93" t="e">
        <f>AND(#REF!,"AAAAAGfb/4A=")</f>
        <v>#REF!</v>
      </c>
      <c r="DZ93" t="e">
        <f>AND(#REF!,"AAAAAGfb/4E=")</f>
        <v>#REF!</v>
      </c>
      <c r="EA93" t="e">
        <f>AND(#REF!,"AAAAAGfb/4I=")</f>
        <v>#REF!</v>
      </c>
      <c r="EB93" t="e">
        <f>AND(#REF!,"AAAAAGfb/4M=")</f>
        <v>#REF!</v>
      </c>
      <c r="EC93" t="e">
        <f>AND(#REF!,"AAAAAGfb/4Q=")</f>
        <v>#REF!</v>
      </c>
      <c r="ED93" t="e">
        <f>AND(#REF!,"AAAAAGfb/4U=")</f>
        <v>#REF!</v>
      </c>
      <c r="EE93" t="e">
        <f>AND(#REF!,"AAAAAGfb/4Y=")</f>
        <v>#REF!</v>
      </c>
      <c r="EF93" t="e">
        <f>AND(#REF!,"AAAAAGfb/4c=")</f>
        <v>#REF!</v>
      </c>
      <c r="EG93" t="e">
        <f>AND(#REF!,"AAAAAGfb/4g=")</f>
        <v>#REF!</v>
      </c>
      <c r="EH93" t="e">
        <f>AND(#REF!,"AAAAAGfb/4k=")</f>
        <v>#REF!</v>
      </c>
      <c r="EI93" t="e">
        <f>AND(#REF!,"AAAAAGfb/4o=")</f>
        <v>#REF!</v>
      </c>
      <c r="EJ93" t="e">
        <f>AND(#REF!,"AAAAAGfb/4s=")</f>
        <v>#REF!</v>
      </c>
      <c r="EK93" t="e">
        <f>AND(#REF!,"AAAAAGfb/4w=")</f>
        <v>#REF!</v>
      </c>
      <c r="EL93" t="e">
        <f>AND(#REF!,"AAAAAGfb/40=")</f>
        <v>#REF!</v>
      </c>
      <c r="EM93" t="e">
        <f>AND(#REF!,"AAAAAGfb/44=")</f>
        <v>#REF!</v>
      </c>
      <c r="EN93" t="e">
        <f>AND(#REF!,"AAAAAGfb/48=")</f>
        <v>#REF!</v>
      </c>
      <c r="EO93" t="e">
        <f>AND(#REF!,"AAAAAGfb/5A=")</f>
        <v>#REF!</v>
      </c>
      <c r="EP93" t="e">
        <f>AND(#REF!,"AAAAAGfb/5E=")</f>
        <v>#REF!</v>
      </c>
      <c r="EQ93" t="e">
        <f>AND(#REF!,"AAAAAGfb/5I=")</f>
        <v>#REF!</v>
      </c>
      <c r="ER93" t="e">
        <f>AND(#REF!,"AAAAAGfb/5M=")</f>
        <v>#REF!</v>
      </c>
      <c r="ES93" t="e">
        <f>AND(#REF!,"AAAAAGfb/5Q=")</f>
        <v>#REF!</v>
      </c>
      <c r="ET93" t="e">
        <f>AND(#REF!,"AAAAAGfb/5U=")</f>
        <v>#REF!</v>
      </c>
      <c r="EU93" t="e">
        <f>AND(#REF!,"AAAAAGfb/5Y=")</f>
        <v>#REF!</v>
      </c>
      <c r="EV93" t="e">
        <f>AND(#REF!,"AAAAAGfb/5c=")</f>
        <v>#REF!</v>
      </c>
      <c r="EW93" t="e">
        <f>AND(#REF!,"AAAAAGfb/5g=")</f>
        <v>#REF!</v>
      </c>
      <c r="EX93" t="e">
        <f>AND(#REF!,"AAAAAGfb/5k=")</f>
        <v>#REF!</v>
      </c>
      <c r="EY93" t="e">
        <f>AND(#REF!,"AAAAAGfb/5o=")</f>
        <v>#REF!</v>
      </c>
      <c r="EZ93" t="e">
        <f>AND(#REF!,"AAAAAGfb/5s=")</f>
        <v>#REF!</v>
      </c>
      <c r="FA93" t="e">
        <f>AND(#REF!,"AAAAAGfb/5w=")</f>
        <v>#REF!</v>
      </c>
      <c r="FB93" t="e">
        <f>AND(#REF!,"AAAAAGfb/50=")</f>
        <v>#REF!</v>
      </c>
      <c r="FC93" t="e">
        <f>AND(#REF!,"AAAAAGfb/54=")</f>
        <v>#REF!</v>
      </c>
      <c r="FD93" t="e">
        <f>AND(#REF!,"AAAAAGfb/58=")</f>
        <v>#REF!</v>
      </c>
      <c r="FE93" t="e">
        <f>AND(#REF!,"AAAAAGfb/6A=")</f>
        <v>#REF!</v>
      </c>
      <c r="FF93" t="e">
        <f>AND(#REF!,"AAAAAGfb/6E=")</f>
        <v>#REF!</v>
      </c>
      <c r="FG93" t="e">
        <f>AND(#REF!,"AAAAAGfb/6I=")</f>
        <v>#REF!</v>
      </c>
      <c r="FH93" t="e">
        <f>AND(#REF!,"AAAAAGfb/6M=")</f>
        <v>#REF!</v>
      </c>
      <c r="FI93" t="e">
        <f>AND(#REF!,"AAAAAGfb/6Q=")</f>
        <v>#REF!</v>
      </c>
      <c r="FJ93" t="e">
        <f>AND(#REF!,"AAAAAGfb/6U=")</f>
        <v>#REF!</v>
      </c>
      <c r="FK93" t="e">
        <f>AND(#REF!,"AAAAAGfb/6Y=")</f>
        <v>#REF!</v>
      </c>
      <c r="FL93" t="e">
        <f>AND(#REF!,"AAAAAGfb/6c=")</f>
        <v>#REF!</v>
      </c>
      <c r="FM93" t="e">
        <f>AND(#REF!,"AAAAAGfb/6g=")</f>
        <v>#REF!</v>
      </c>
      <c r="FN93" t="e">
        <f>AND(#REF!,"AAAAAGfb/6k=")</f>
        <v>#REF!</v>
      </c>
      <c r="FO93" t="e">
        <f>AND(#REF!,"AAAAAGfb/6o=")</f>
        <v>#REF!</v>
      </c>
      <c r="FP93" t="e">
        <f>AND(#REF!,"AAAAAGfb/6s=")</f>
        <v>#REF!</v>
      </c>
      <c r="FQ93" t="e">
        <f>AND(#REF!,"AAAAAGfb/6w=")</f>
        <v>#REF!</v>
      </c>
      <c r="FR93" t="e">
        <f>AND(#REF!,"AAAAAGfb/60=")</f>
        <v>#REF!</v>
      </c>
      <c r="FS93" t="e">
        <f>AND(#REF!,"AAAAAGfb/64=")</f>
        <v>#REF!</v>
      </c>
      <c r="FT93" t="e">
        <f>AND(#REF!,"AAAAAGfb/68=")</f>
        <v>#REF!</v>
      </c>
      <c r="FU93" t="e">
        <f>AND(#REF!,"AAAAAGfb/7A=")</f>
        <v>#REF!</v>
      </c>
      <c r="FV93" t="e">
        <f>AND(#REF!,"AAAAAGfb/7E=")</f>
        <v>#REF!</v>
      </c>
      <c r="FW93" t="e">
        <f>AND(#REF!,"AAAAAGfb/7I=")</f>
        <v>#REF!</v>
      </c>
      <c r="FX93" t="e">
        <f>AND(#REF!,"AAAAAGfb/7M=")</f>
        <v>#REF!</v>
      </c>
      <c r="FY93" t="e">
        <f>AND(#REF!,"AAAAAGfb/7Q=")</f>
        <v>#REF!</v>
      </c>
      <c r="FZ93" t="e">
        <f>AND(#REF!,"AAAAAGfb/7U=")</f>
        <v>#REF!</v>
      </c>
      <c r="GA93" t="e">
        <f>AND(#REF!,"AAAAAGfb/7Y=")</f>
        <v>#REF!</v>
      </c>
      <c r="GB93" t="e">
        <f>AND(#REF!,"AAAAAGfb/7c=")</f>
        <v>#REF!</v>
      </c>
      <c r="GC93" t="e">
        <f>AND(#REF!,"AAAAAGfb/7g=")</f>
        <v>#REF!</v>
      </c>
      <c r="GD93" t="e">
        <f>AND(#REF!,"AAAAAGfb/7k=")</f>
        <v>#REF!</v>
      </c>
      <c r="GE93" t="e">
        <f>AND(#REF!,"AAAAAGfb/7o=")</f>
        <v>#REF!</v>
      </c>
      <c r="GF93" t="e">
        <f>AND(#REF!,"AAAAAGfb/7s=")</f>
        <v>#REF!</v>
      </c>
      <c r="GG93" t="e">
        <f>AND(#REF!,"AAAAAGfb/7w=")</f>
        <v>#REF!</v>
      </c>
      <c r="GH93" t="e">
        <f>AND(#REF!,"AAAAAGfb/70=")</f>
        <v>#REF!</v>
      </c>
      <c r="GI93" t="e">
        <f>AND(#REF!,"AAAAAGfb/74=")</f>
        <v>#REF!</v>
      </c>
      <c r="GJ93" t="e">
        <f>AND(#REF!,"AAAAAGfb/78=")</f>
        <v>#REF!</v>
      </c>
      <c r="GK93" t="e">
        <f>AND(#REF!,"AAAAAGfb/8A=")</f>
        <v>#REF!</v>
      </c>
      <c r="GL93" t="e">
        <f>AND(#REF!,"AAAAAGfb/8E=")</f>
        <v>#REF!</v>
      </c>
      <c r="GM93" t="e">
        <f>AND(#REF!,"AAAAAGfb/8I=")</f>
        <v>#REF!</v>
      </c>
      <c r="GN93" t="e">
        <f>AND(#REF!,"AAAAAGfb/8M=")</f>
        <v>#REF!</v>
      </c>
      <c r="GO93" t="e">
        <f>AND(#REF!,"AAAAAGfb/8Q=")</f>
        <v>#REF!</v>
      </c>
      <c r="GP93" t="e">
        <f>AND(#REF!,"AAAAAGfb/8U=")</f>
        <v>#REF!</v>
      </c>
      <c r="GQ93" t="e">
        <f>AND(#REF!,"AAAAAGfb/8Y=")</f>
        <v>#REF!</v>
      </c>
      <c r="GR93" t="e">
        <f>AND(#REF!,"AAAAAGfb/8c=")</f>
        <v>#REF!</v>
      </c>
      <c r="GS93" t="e">
        <f>AND(#REF!,"AAAAAGfb/8g=")</f>
        <v>#REF!</v>
      </c>
      <c r="GT93" t="e">
        <f>AND(#REF!,"AAAAAGfb/8k=")</f>
        <v>#REF!</v>
      </c>
      <c r="GU93" t="e">
        <f>AND(#REF!,"AAAAAGfb/8o=")</f>
        <v>#REF!</v>
      </c>
      <c r="GV93" t="e">
        <f>AND(#REF!,"AAAAAGfb/8s=")</f>
        <v>#REF!</v>
      </c>
      <c r="GW93" t="e">
        <f>AND(#REF!,"AAAAAGfb/8w=")</f>
        <v>#REF!</v>
      </c>
      <c r="GX93" t="e">
        <f>AND(#REF!,"AAAAAGfb/80=")</f>
        <v>#REF!</v>
      </c>
      <c r="GY93" t="e">
        <f>AND(#REF!,"AAAAAGfb/84=")</f>
        <v>#REF!</v>
      </c>
      <c r="GZ93" t="e">
        <f>AND(#REF!,"AAAAAGfb/88=")</f>
        <v>#REF!</v>
      </c>
      <c r="HA93" t="e">
        <f>AND(#REF!,"AAAAAGfb/9A=")</f>
        <v>#REF!</v>
      </c>
      <c r="HB93" t="e">
        <f>AND(#REF!,"AAAAAGfb/9E=")</f>
        <v>#REF!</v>
      </c>
      <c r="HC93" t="e">
        <f>AND(#REF!,"AAAAAGfb/9I=")</f>
        <v>#REF!</v>
      </c>
      <c r="HD93" t="e">
        <f>AND(#REF!,"AAAAAGfb/9M=")</f>
        <v>#REF!</v>
      </c>
      <c r="HE93" t="e">
        <f>AND(#REF!,"AAAAAGfb/9Q=")</f>
        <v>#REF!</v>
      </c>
      <c r="HF93" t="e">
        <f>AND(#REF!,"AAAAAGfb/9U=")</f>
        <v>#REF!</v>
      </c>
      <c r="HG93" t="e">
        <f>AND(#REF!,"AAAAAGfb/9Y=")</f>
        <v>#REF!</v>
      </c>
      <c r="HH93" t="e">
        <f>AND(#REF!,"AAAAAGfb/9c=")</f>
        <v>#REF!</v>
      </c>
      <c r="HI93" t="e">
        <f>AND(#REF!,"AAAAAGfb/9g=")</f>
        <v>#REF!</v>
      </c>
      <c r="HJ93" t="e">
        <f>AND(#REF!,"AAAAAGfb/9k=")</f>
        <v>#REF!</v>
      </c>
      <c r="HK93" t="e">
        <f>AND(#REF!,"AAAAAGfb/9o=")</f>
        <v>#REF!</v>
      </c>
      <c r="HL93" t="e">
        <f>AND(#REF!,"AAAAAGfb/9s=")</f>
        <v>#REF!</v>
      </c>
      <c r="HM93" t="e">
        <f>AND(#REF!,"AAAAAGfb/9w=")</f>
        <v>#REF!</v>
      </c>
      <c r="HN93" t="e">
        <f>AND(#REF!,"AAAAAGfb/90=")</f>
        <v>#REF!</v>
      </c>
      <c r="HO93" t="e">
        <f>AND(#REF!,"AAAAAGfb/94=")</f>
        <v>#REF!</v>
      </c>
      <c r="HP93" t="e">
        <f>AND(#REF!,"AAAAAGfb/98=")</f>
        <v>#REF!</v>
      </c>
      <c r="HQ93" t="e">
        <f>AND(#REF!,"AAAAAGfb/+A=")</f>
        <v>#REF!</v>
      </c>
      <c r="HR93" t="e">
        <f>AND(#REF!,"AAAAAGfb/+E=")</f>
        <v>#REF!</v>
      </c>
      <c r="HS93" t="e">
        <f>AND(#REF!,"AAAAAGfb/+I=")</f>
        <v>#REF!</v>
      </c>
      <c r="HT93" t="e">
        <f>AND(#REF!,"AAAAAGfb/+M=")</f>
        <v>#REF!</v>
      </c>
      <c r="HU93" t="e">
        <f>AND(#REF!,"AAAAAGfb/+Q=")</f>
        <v>#REF!</v>
      </c>
      <c r="HV93" t="e">
        <f>AND(#REF!,"AAAAAGfb/+U=")</f>
        <v>#REF!</v>
      </c>
      <c r="HW93" t="e">
        <f>AND(#REF!,"AAAAAGfb/+Y=")</f>
        <v>#REF!</v>
      </c>
      <c r="HX93" t="e">
        <f>AND(#REF!,"AAAAAGfb/+c=")</f>
        <v>#REF!</v>
      </c>
      <c r="HY93" t="e">
        <f>AND(#REF!,"AAAAAGfb/+g=")</f>
        <v>#REF!</v>
      </c>
      <c r="HZ93" t="e">
        <f>AND(#REF!,"AAAAAGfb/+k=")</f>
        <v>#REF!</v>
      </c>
      <c r="IA93" t="e">
        <f>AND(#REF!,"AAAAAGfb/+o=")</f>
        <v>#REF!</v>
      </c>
      <c r="IB93" t="e">
        <f>AND(#REF!,"AAAAAGfb/+s=")</f>
        <v>#REF!</v>
      </c>
      <c r="IC93" t="e">
        <f>AND(#REF!,"AAAAAGfb/+w=")</f>
        <v>#REF!</v>
      </c>
      <c r="ID93" t="e">
        <f>AND(#REF!,"AAAAAGfb/+0=")</f>
        <v>#REF!</v>
      </c>
      <c r="IE93" t="e">
        <f>AND(#REF!,"AAAAAGfb/+4=")</f>
        <v>#REF!</v>
      </c>
      <c r="IF93" t="e">
        <f>AND(#REF!,"AAAAAGfb/+8=")</f>
        <v>#REF!</v>
      </c>
      <c r="IG93" t="e">
        <f>AND(#REF!,"AAAAAGfb//A=")</f>
        <v>#REF!</v>
      </c>
      <c r="IH93" t="e">
        <f>AND(#REF!,"AAAAAGfb//E=")</f>
        <v>#REF!</v>
      </c>
      <c r="II93" t="e">
        <f>AND(#REF!,"AAAAAGfb//I=")</f>
        <v>#REF!</v>
      </c>
      <c r="IJ93" t="e">
        <f>AND(#REF!,"AAAAAGfb//M=")</f>
        <v>#REF!</v>
      </c>
      <c r="IK93" t="e">
        <f>AND(#REF!,"AAAAAGfb//Q=")</f>
        <v>#REF!</v>
      </c>
      <c r="IL93" t="e">
        <f>AND(#REF!,"AAAAAGfb//U=")</f>
        <v>#REF!</v>
      </c>
      <c r="IM93" t="e">
        <f>AND(#REF!,"AAAAAGfb//Y=")</f>
        <v>#REF!</v>
      </c>
      <c r="IN93" t="e">
        <f>AND(#REF!,"AAAAAGfb//c=")</f>
        <v>#REF!</v>
      </c>
      <c r="IO93" t="e">
        <f>AND(#REF!,"AAAAAGfb//g=")</f>
        <v>#REF!</v>
      </c>
      <c r="IP93" t="e">
        <f>AND(#REF!,"AAAAAGfb//k=")</f>
        <v>#REF!</v>
      </c>
      <c r="IQ93" t="e">
        <f>AND(#REF!,"AAAAAGfb//o=")</f>
        <v>#REF!</v>
      </c>
      <c r="IR93" t="e">
        <f>AND(#REF!,"AAAAAGfb//s=")</f>
        <v>#REF!</v>
      </c>
      <c r="IS93" t="e">
        <f>AND(#REF!,"AAAAAGfb//w=")</f>
        <v>#REF!</v>
      </c>
      <c r="IT93" t="e">
        <f>AND(#REF!,"AAAAAGfb//0=")</f>
        <v>#REF!</v>
      </c>
      <c r="IU93" t="e">
        <f>AND(#REF!,"AAAAAGfb//4=")</f>
        <v>#REF!</v>
      </c>
      <c r="IV93" t="e">
        <f>AND(#REF!,"AAAAAGfb//8=")</f>
        <v>#REF!</v>
      </c>
    </row>
    <row r="94" spans="1:256" x14ac:dyDescent="0.25">
      <c r="A94" t="e">
        <f>AND(#REF!,"AAAAAHv//gA=")</f>
        <v>#REF!</v>
      </c>
      <c r="B94" t="e">
        <f>AND(#REF!,"AAAAAHv//gE=")</f>
        <v>#REF!</v>
      </c>
      <c r="C94" t="e">
        <f>AND(#REF!,"AAAAAHv//gI=")</f>
        <v>#REF!</v>
      </c>
      <c r="D94" t="e">
        <f>AND(#REF!,"AAAAAHv//gM=")</f>
        <v>#REF!</v>
      </c>
      <c r="E94" t="e">
        <f>IF(#REF!,"AAAAAHv//gQ=",0)</f>
        <v>#REF!</v>
      </c>
      <c r="F94" t="e">
        <f>AND(#REF!,"AAAAAHv//gU=")</f>
        <v>#REF!</v>
      </c>
      <c r="G94" t="e">
        <f>AND(#REF!,"AAAAAHv//gY=")</f>
        <v>#REF!</v>
      </c>
      <c r="H94" t="e">
        <f>AND(#REF!,"AAAAAHv//gc=")</f>
        <v>#REF!</v>
      </c>
      <c r="I94" t="e">
        <f>AND(#REF!,"AAAAAHv//gg=")</f>
        <v>#REF!</v>
      </c>
      <c r="J94" t="e">
        <f>AND(#REF!,"AAAAAHv//gk=")</f>
        <v>#REF!</v>
      </c>
      <c r="K94" t="e">
        <f>AND(#REF!,"AAAAAHv//go=")</f>
        <v>#REF!</v>
      </c>
      <c r="L94" t="e">
        <f>AND(#REF!,"AAAAAHv//gs=")</f>
        <v>#REF!</v>
      </c>
      <c r="M94" t="e">
        <f>AND(#REF!,"AAAAAHv//gw=")</f>
        <v>#REF!</v>
      </c>
      <c r="N94" t="e">
        <f>AND(#REF!,"AAAAAHv//g0=")</f>
        <v>#REF!</v>
      </c>
      <c r="O94" t="e">
        <f>AND(#REF!,"AAAAAHv//g4=")</f>
        <v>#REF!</v>
      </c>
      <c r="P94" t="e">
        <f>AND(#REF!,"AAAAAHv//g8=")</f>
        <v>#REF!</v>
      </c>
      <c r="Q94" t="e">
        <f>AND(#REF!,"AAAAAHv//hA=")</f>
        <v>#REF!</v>
      </c>
      <c r="R94" t="e">
        <f>AND(#REF!,"AAAAAHv//hE=")</f>
        <v>#REF!</v>
      </c>
      <c r="S94" t="e">
        <f>AND(#REF!,"AAAAAHv//hI=")</f>
        <v>#REF!</v>
      </c>
      <c r="T94" t="e">
        <f>AND(#REF!,"AAAAAHv//hM=")</f>
        <v>#REF!</v>
      </c>
      <c r="U94" t="e">
        <f>AND(#REF!,"AAAAAHv//hQ=")</f>
        <v>#REF!</v>
      </c>
      <c r="V94" t="e">
        <f>AND(#REF!,"AAAAAHv//hU=")</f>
        <v>#REF!</v>
      </c>
      <c r="W94" t="e">
        <f>AND(#REF!,"AAAAAHv//hY=")</f>
        <v>#REF!</v>
      </c>
      <c r="X94" t="e">
        <f>AND(#REF!,"AAAAAHv//hc=")</f>
        <v>#REF!</v>
      </c>
      <c r="Y94" t="e">
        <f>AND(#REF!,"AAAAAHv//hg=")</f>
        <v>#REF!</v>
      </c>
      <c r="Z94" t="e">
        <f>AND(#REF!,"AAAAAHv//hk=")</f>
        <v>#REF!</v>
      </c>
      <c r="AA94" t="e">
        <f>AND(#REF!,"AAAAAHv//ho=")</f>
        <v>#REF!</v>
      </c>
      <c r="AB94" t="e">
        <f>AND(#REF!,"AAAAAHv//hs=")</f>
        <v>#REF!</v>
      </c>
      <c r="AC94" t="e">
        <f>AND(#REF!,"AAAAAHv//hw=")</f>
        <v>#REF!</v>
      </c>
      <c r="AD94" t="e">
        <f>AND(#REF!,"AAAAAHv//h0=")</f>
        <v>#REF!</v>
      </c>
      <c r="AE94" t="e">
        <f>AND(#REF!,"AAAAAHv//h4=")</f>
        <v>#REF!</v>
      </c>
      <c r="AF94" t="e">
        <f>AND(#REF!,"AAAAAHv//h8=")</f>
        <v>#REF!</v>
      </c>
      <c r="AG94" t="e">
        <f>AND(#REF!,"AAAAAHv//iA=")</f>
        <v>#REF!</v>
      </c>
      <c r="AH94" t="e">
        <f>AND(#REF!,"AAAAAHv//iE=")</f>
        <v>#REF!</v>
      </c>
      <c r="AI94" t="e">
        <f>AND(#REF!,"AAAAAHv//iI=")</f>
        <v>#REF!</v>
      </c>
      <c r="AJ94" t="e">
        <f>AND(#REF!,"AAAAAHv//iM=")</f>
        <v>#REF!</v>
      </c>
      <c r="AK94" t="e">
        <f>AND(#REF!,"AAAAAHv//iQ=")</f>
        <v>#REF!</v>
      </c>
      <c r="AL94" t="e">
        <f>AND(#REF!,"AAAAAHv//iU=")</f>
        <v>#REF!</v>
      </c>
      <c r="AM94" t="e">
        <f>AND(#REF!,"AAAAAHv//iY=")</f>
        <v>#REF!</v>
      </c>
      <c r="AN94" t="e">
        <f>AND(#REF!,"AAAAAHv//ic=")</f>
        <v>#REF!</v>
      </c>
      <c r="AO94" t="e">
        <f>AND(#REF!,"AAAAAHv//ig=")</f>
        <v>#REF!</v>
      </c>
      <c r="AP94" t="e">
        <f>AND(#REF!,"AAAAAHv//ik=")</f>
        <v>#REF!</v>
      </c>
      <c r="AQ94" t="e">
        <f>AND(#REF!,"AAAAAHv//io=")</f>
        <v>#REF!</v>
      </c>
      <c r="AR94" t="e">
        <f>AND(#REF!,"AAAAAHv//is=")</f>
        <v>#REF!</v>
      </c>
      <c r="AS94" t="e">
        <f>AND(#REF!,"AAAAAHv//iw=")</f>
        <v>#REF!</v>
      </c>
      <c r="AT94" t="e">
        <f>AND(#REF!,"AAAAAHv//i0=")</f>
        <v>#REF!</v>
      </c>
      <c r="AU94" t="e">
        <f>AND(#REF!,"AAAAAHv//i4=")</f>
        <v>#REF!</v>
      </c>
      <c r="AV94" t="e">
        <f>AND(#REF!,"AAAAAHv//i8=")</f>
        <v>#REF!</v>
      </c>
      <c r="AW94" t="e">
        <f>AND(#REF!,"AAAAAHv//jA=")</f>
        <v>#REF!</v>
      </c>
      <c r="AX94" t="e">
        <f>AND(#REF!,"AAAAAHv//jE=")</f>
        <v>#REF!</v>
      </c>
      <c r="AY94" t="e">
        <f>AND(#REF!,"AAAAAHv//jI=")</f>
        <v>#REF!</v>
      </c>
      <c r="AZ94" t="e">
        <f>AND(#REF!,"AAAAAHv//jM=")</f>
        <v>#REF!</v>
      </c>
      <c r="BA94" t="e">
        <f>AND(#REF!,"AAAAAHv//jQ=")</f>
        <v>#REF!</v>
      </c>
      <c r="BB94" t="e">
        <f>AND(#REF!,"AAAAAHv//jU=")</f>
        <v>#REF!</v>
      </c>
      <c r="BC94" t="e">
        <f>AND(#REF!,"AAAAAHv//jY=")</f>
        <v>#REF!</v>
      </c>
      <c r="BD94" t="e">
        <f>AND(#REF!,"AAAAAHv//jc=")</f>
        <v>#REF!</v>
      </c>
      <c r="BE94" t="e">
        <f>AND(#REF!,"AAAAAHv//jg=")</f>
        <v>#REF!</v>
      </c>
      <c r="BF94" t="e">
        <f>AND(#REF!,"AAAAAHv//jk=")</f>
        <v>#REF!</v>
      </c>
      <c r="BG94" t="e">
        <f>AND(#REF!,"AAAAAHv//jo=")</f>
        <v>#REF!</v>
      </c>
      <c r="BH94" t="e">
        <f>AND(#REF!,"AAAAAHv//js=")</f>
        <v>#REF!</v>
      </c>
      <c r="BI94" t="e">
        <f>AND(#REF!,"AAAAAHv//jw=")</f>
        <v>#REF!</v>
      </c>
      <c r="BJ94" t="e">
        <f>AND(#REF!,"AAAAAHv//j0=")</f>
        <v>#REF!</v>
      </c>
      <c r="BK94" t="e">
        <f>AND(#REF!,"AAAAAHv//j4=")</f>
        <v>#REF!</v>
      </c>
      <c r="BL94" t="e">
        <f>AND(#REF!,"AAAAAHv//j8=")</f>
        <v>#REF!</v>
      </c>
      <c r="BM94" t="e">
        <f>AND(#REF!,"AAAAAHv//kA=")</f>
        <v>#REF!</v>
      </c>
      <c r="BN94" t="e">
        <f>AND(#REF!,"AAAAAHv//kE=")</f>
        <v>#REF!</v>
      </c>
      <c r="BO94" t="e">
        <f>AND(#REF!,"AAAAAHv//kI=")</f>
        <v>#REF!</v>
      </c>
      <c r="BP94" t="e">
        <f>AND(#REF!,"AAAAAHv//kM=")</f>
        <v>#REF!</v>
      </c>
      <c r="BQ94" t="e">
        <f>AND(#REF!,"AAAAAHv//kQ=")</f>
        <v>#REF!</v>
      </c>
      <c r="BR94" t="e">
        <f>AND(#REF!,"AAAAAHv//kU=")</f>
        <v>#REF!</v>
      </c>
      <c r="BS94" t="e">
        <f>AND(#REF!,"AAAAAHv//kY=")</f>
        <v>#REF!</v>
      </c>
      <c r="BT94" t="e">
        <f>AND(#REF!,"AAAAAHv//kc=")</f>
        <v>#REF!</v>
      </c>
      <c r="BU94" t="e">
        <f>AND(#REF!,"AAAAAHv//kg=")</f>
        <v>#REF!</v>
      </c>
      <c r="BV94" t="e">
        <f>AND(#REF!,"AAAAAHv//kk=")</f>
        <v>#REF!</v>
      </c>
      <c r="BW94" t="e">
        <f>AND(#REF!,"AAAAAHv//ko=")</f>
        <v>#REF!</v>
      </c>
      <c r="BX94" t="e">
        <f>AND(#REF!,"AAAAAHv//ks=")</f>
        <v>#REF!</v>
      </c>
      <c r="BY94" t="e">
        <f>AND(#REF!,"AAAAAHv//kw=")</f>
        <v>#REF!</v>
      </c>
      <c r="BZ94" t="e">
        <f>AND(#REF!,"AAAAAHv//k0=")</f>
        <v>#REF!</v>
      </c>
      <c r="CA94" t="e">
        <f>AND(#REF!,"AAAAAHv//k4=")</f>
        <v>#REF!</v>
      </c>
      <c r="CB94" t="e">
        <f>AND(#REF!,"AAAAAHv//k8=")</f>
        <v>#REF!</v>
      </c>
      <c r="CC94" t="e">
        <f>AND(#REF!,"AAAAAHv//lA=")</f>
        <v>#REF!</v>
      </c>
      <c r="CD94" t="e">
        <f>AND(#REF!,"AAAAAHv//lE=")</f>
        <v>#REF!</v>
      </c>
      <c r="CE94" t="e">
        <f>AND(#REF!,"AAAAAHv//lI=")</f>
        <v>#REF!</v>
      </c>
      <c r="CF94" t="e">
        <f>AND(#REF!,"AAAAAHv//lM=")</f>
        <v>#REF!</v>
      </c>
      <c r="CG94" t="e">
        <f>AND(#REF!,"AAAAAHv//lQ=")</f>
        <v>#REF!</v>
      </c>
      <c r="CH94" t="e">
        <f>AND(#REF!,"AAAAAHv//lU=")</f>
        <v>#REF!</v>
      </c>
      <c r="CI94" t="e">
        <f>AND(#REF!,"AAAAAHv//lY=")</f>
        <v>#REF!</v>
      </c>
      <c r="CJ94" t="e">
        <f>AND(#REF!,"AAAAAHv//lc=")</f>
        <v>#REF!</v>
      </c>
      <c r="CK94" t="e">
        <f>AND(#REF!,"AAAAAHv//lg=")</f>
        <v>#REF!</v>
      </c>
      <c r="CL94" t="e">
        <f>AND(#REF!,"AAAAAHv//lk=")</f>
        <v>#REF!</v>
      </c>
      <c r="CM94" t="e">
        <f>AND(#REF!,"AAAAAHv//lo=")</f>
        <v>#REF!</v>
      </c>
      <c r="CN94" t="e">
        <f>AND(#REF!,"AAAAAHv//ls=")</f>
        <v>#REF!</v>
      </c>
      <c r="CO94" t="e">
        <f>AND(#REF!,"AAAAAHv//lw=")</f>
        <v>#REF!</v>
      </c>
      <c r="CP94" t="e">
        <f>AND(#REF!,"AAAAAHv//l0=")</f>
        <v>#REF!</v>
      </c>
      <c r="CQ94" t="e">
        <f>AND(#REF!,"AAAAAHv//l4=")</f>
        <v>#REF!</v>
      </c>
      <c r="CR94" t="e">
        <f>AND(#REF!,"AAAAAHv//l8=")</f>
        <v>#REF!</v>
      </c>
      <c r="CS94" t="e">
        <f>AND(#REF!,"AAAAAHv//mA=")</f>
        <v>#REF!</v>
      </c>
      <c r="CT94" t="e">
        <f>AND(#REF!,"AAAAAHv//mE=")</f>
        <v>#REF!</v>
      </c>
      <c r="CU94" t="e">
        <f>AND(#REF!,"AAAAAHv//mI=")</f>
        <v>#REF!</v>
      </c>
      <c r="CV94" t="e">
        <f>AND(#REF!,"AAAAAHv//mM=")</f>
        <v>#REF!</v>
      </c>
      <c r="CW94" t="e">
        <f>AND(#REF!,"AAAAAHv//mQ=")</f>
        <v>#REF!</v>
      </c>
      <c r="CX94" t="e">
        <f>AND(#REF!,"AAAAAHv//mU=")</f>
        <v>#REF!</v>
      </c>
      <c r="CY94" t="e">
        <f>AND(#REF!,"AAAAAHv//mY=")</f>
        <v>#REF!</v>
      </c>
      <c r="CZ94" t="e">
        <f>AND(#REF!,"AAAAAHv//mc=")</f>
        <v>#REF!</v>
      </c>
      <c r="DA94" t="e">
        <f>AND(#REF!,"AAAAAHv//mg=")</f>
        <v>#REF!</v>
      </c>
      <c r="DB94" t="e">
        <f>AND(#REF!,"AAAAAHv//mk=")</f>
        <v>#REF!</v>
      </c>
      <c r="DC94" t="e">
        <f>AND(#REF!,"AAAAAHv//mo=")</f>
        <v>#REF!</v>
      </c>
      <c r="DD94" t="e">
        <f>AND(#REF!,"AAAAAHv//ms=")</f>
        <v>#REF!</v>
      </c>
      <c r="DE94" t="e">
        <f>AND(#REF!,"AAAAAHv//mw=")</f>
        <v>#REF!</v>
      </c>
      <c r="DF94" t="e">
        <f>AND(#REF!,"AAAAAHv//m0=")</f>
        <v>#REF!</v>
      </c>
      <c r="DG94" t="e">
        <f>AND(#REF!,"AAAAAHv//m4=")</f>
        <v>#REF!</v>
      </c>
      <c r="DH94" t="e">
        <f>AND(#REF!,"AAAAAHv//m8=")</f>
        <v>#REF!</v>
      </c>
      <c r="DI94" t="e">
        <f>AND(#REF!,"AAAAAHv//nA=")</f>
        <v>#REF!</v>
      </c>
      <c r="DJ94" t="e">
        <f>AND(#REF!,"AAAAAHv//nE=")</f>
        <v>#REF!</v>
      </c>
      <c r="DK94" t="e">
        <f>AND(#REF!,"AAAAAHv//nI=")</f>
        <v>#REF!</v>
      </c>
      <c r="DL94" t="e">
        <f>AND(#REF!,"AAAAAHv//nM=")</f>
        <v>#REF!</v>
      </c>
      <c r="DM94" t="e">
        <f>AND(#REF!,"AAAAAHv//nQ=")</f>
        <v>#REF!</v>
      </c>
      <c r="DN94" t="e">
        <f>AND(#REF!,"AAAAAHv//nU=")</f>
        <v>#REF!</v>
      </c>
      <c r="DO94" t="e">
        <f>AND(#REF!,"AAAAAHv//nY=")</f>
        <v>#REF!</v>
      </c>
      <c r="DP94" t="e">
        <f>AND(#REF!,"AAAAAHv//nc=")</f>
        <v>#REF!</v>
      </c>
      <c r="DQ94" t="e">
        <f>AND(#REF!,"AAAAAHv//ng=")</f>
        <v>#REF!</v>
      </c>
      <c r="DR94" t="e">
        <f>AND(#REF!,"AAAAAHv//nk=")</f>
        <v>#REF!</v>
      </c>
      <c r="DS94" t="e">
        <f>AND(#REF!,"AAAAAHv//no=")</f>
        <v>#REF!</v>
      </c>
      <c r="DT94" t="e">
        <f>AND(#REF!,"AAAAAHv//ns=")</f>
        <v>#REF!</v>
      </c>
      <c r="DU94" t="e">
        <f>AND(#REF!,"AAAAAHv//nw=")</f>
        <v>#REF!</v>
      </c>
      <c r="DV94" t="e">
        <f>AND(#REF!,"AAAAAHv//n0=")</f>
        <v>#REF!</v>
      </c>
      <c r="DW94" t="e">
        <f>AND(#REF!,"AAAAAHv//n4=")</f>
        <v>#REF!</v>
      </c>
      <c r="DX94" t="e">
        <f>AND(#REF!,"AAAAAHv//n8=")</f>
        <v>#REF!</v>
      </c>
      <c r="DY94" t="e">
        <f>AND(#REF!,"AAAAAHv//oA=")</f>
        <v>#REF!</v>
      </c>
      <c r="DZ94" t="e">
        <f>AND(#REF!,"AAAAAHv//oE=")</f>
        <v>#REF!</v>
      </c>
      <c r="EA94" t="e">
        <f>AND(#REF!,"AAAAAHv//oI=")</f>
        <v>#REF!</v>
      </c>
      <c r="EB94" t="e">
        <f>AND(#REF!,"AAAAAHv//oM=")</f>
        <v>#REF!</v>
      </c>
      <c r="EC94" t="e">
        <f>AND(#REF!,"AAAAAHv//oQ=")</f>
        <v>#REF!</v>
      </c>
      <c r="ED94" t="e">
        <f>AND(#REF!,"AAAAAHv//oU=")</f>
        <v>#REF!</v>
      </c>
      <c r="EE94" t="e">
        <f>AND(#REF!,"AAAAAHv//oY=")</f>
        <v>#REF!</v>
      </c>
      <c r="EF94" t="e">
        <f>AND(#REF!,"AAAAAHv//oc=")</f>
        <v>#REF!</v>
      </c>
      <c r="EG94" t="e">
        <f>AND(#REF!,"AAAAAHv//og=")</f>
        <v>#REF!</v>
      </c>
      <c r="EH94" t="e">
        <f>AND(#REF!,"AAAAAHv//ok=")</f>
        <v>#REF!</v>
      </c>
      <c r="EI94" t="e">
        <f>AND(#REF!,"AAAAAHv//oo=")</f>
        <v>#REF!</v>
      </c>
      <c r="EJ94" t="e">
        <f>AND(#REF!,"AAAAAHv//os=")</f>
        <v>#REF!</v>
      </c>
      <c r="EK94" t="e">
        <f>AND(#REF!,"AAAAAHv//ow=")</f>
        <v>#REF!</v>
      </c>
      <c r="EL94" t="e">
        <f>AND(#REF!,"AAAAAHv//o0=")</f>
        <v>#REF!</v>
      </c>
      <c r="EM94" t="e">
        <f>AND(#REF!,"AAAAAHv//o4=")</f>
        <v>#REF!</v>
      </c>
      <c r="EN94" t="e">
        <f>AND(#REF!,"AAAAAHv//o8=")</f>
        <v>#REF!</v>
      </c>
      <c r="EO94" t="e">
        <f>AND(#REF!,"AAAAAHv//pA=")</f>
        <v>#REF!</v>
      </c>
      <c r="EP94" t="e">
        <f>AND(#REF!,"AAAAAHv//pE=")</f>
        <v>#REF!</v>
      </c>
      <c r="EQ94" t="e">
        <f>AND(#REF!,"AAAAAHv//pI=")</f>
        <v>#REF!</v>
      </c>
      <c r="ER94" t="e">
        <f>AND(#REF!,"AAAAAHv//pM=")</f>
        <v>#REF!</v>
      </c>
      <c r="ES94" t="e">
        <f>AND(#REF!,"AAAAAHv//pQ=")</f>
        <v>#REF!</v>
      </c>
      <c r="ET94" t="e">
        <f>AND(#REF!,"AAAAAHv//pU=")</f>
        <v>#REF!</v>
      </c>
      <c r="EU94" t="e">
        <f>AND(#REF!,"AAAAAHv//pY=")</f>
        <v>#REF!</v>
      </c>
      <c r="EV94" t="e">
        <f>AND(#REF!,"AAAAAHv//pc=")</f>
        <v>#REF!</v>
      </c>
      <c r="EW94" t="e">
        <f>AND(#REF!,"AAAAAHv//pg=")</f>
        <v>#REF!</v>
      </c>
      <c r="EX94" t="e">
        <f>AND(#REF!,"AAAAAHv//pk=")</f>
        <v>#REF!</v>
      </c>
      <c r="EY94" t="e">
        <f>AND(#REF!,"AAAAAHv//po=")</f>
        <v>#REF!</v>
      </c>
      <c r="EZ94" t="e">
        <f>AND(#REF!,"AAAAAHv//ps=")</f>
        <v>#REF!</v>
      </c>
      <c r="FA94" t="e">
        <f>AND(#REF!,"AAAAAHv//pw=")</f>
        <v>#REF!</v>
      </c>
      <c r="FB94" t="e">
        <f>AND(#REF!,"AAAAAHv//p0=")</f>
        <v>#REF!</v>
      </c>
      <c r="FC94" t="e">
        <f>AND(#REF!,"AAAAAHv//p4=")</f>
        <v>#REF!</v>
      </c>
      <c r="FD94" t="e">
        <f>AND(#REF!,"AAAAAHv//p8=")</f>
        <v>#REF!</v>
      </c>
      <c r="FE94" t="e">
        <f>AND(#REF!,"AAAAAHv//qA=")</f>
        <v>#REF!</v>
      </c>
      <c r="FF94" t="e">
        <f>AND(#REF!,"AAAAAHv//qE=")</f>
        <v>#REF!</v>
      </c>
      <c r="FG94" t="e">
        <f>AND(#REF!,"AAAAAHv//qI=")</f>
        <v>#REF!</v>
      </c>
      <c r="FH94" t="e">
        <f>AND(#REF!,"AAAAAHv//qM=")</f>
        <v>#REF!</v>
      </c>
      <c r="FI94" t="e">
        <f>AND(#REF!,"AAAAAHv//qQ=")</f>
        <v>#REF!</v>
      </c>
      <c r="FJ94" t="e">
        <f>AND(#REF!,"AAAAAHv//qU=")</f>
        <v>#REF!</v>
      </c>
      <c r="FK94" t="e">
        <f>AND(#REF!,"AAAAAHv//qY=")</f>
        <v>#REF!</v>
      </c>
      <c r="FL94" t="e">
        <f>AND(#REF!,"AAAAAHv//qc=")</f>
        <v>#REF!</v>
      </c>
      <c r="FM94" t="e">
        <f>AND(#REF!,"AAAAAHv//qg=")</f>
        <v>#REF!</v>
      </c>
      <c r="FN94" t="e">
        <f>AND(#REF!,"AAAAAHv//qk=")</f>
        <v>#REF!</v>
      </c>
      <c r="FO94" t="e">
        <f>AND(#REF!,"AAAAAHv//qo=")</f>
        <v>#REF!</v>
      </c>
      <c r="FP94" t="e">
        <f>AND(#REF!,"AAAAAHv//qs=")</f>
        <v>#REF!</v>
      </c>
      <c r="FQ94" t="e">
        <f>AND(#REF!,"AAAAAHv//qw=")</f>
        <v>#REF!</v>
      </c>
      <c r="FR94" t="e">
        <f>AND(#REF!,"AAAAAHv//q0=")</f>
        <v>#REF!</v>
      </c>
      <c r="FS94" t="e">
        <f>AND(#REF!,"AAAAAHv//q4=")</f>
        <v>#REF!</v>
      </c>
      <c r="FT94" t="e">
        <f>AND(#REF!,"AAAAAHv//q8=")</f>
        <v>#REF!</v>
      </c>
      <c r="FU94" t="e">
        <f>AND(#REF!,"AAAAAHv//rA=")</f>
        <v>#REF!</v>
      </c>
      <c r="FV94" t="e">
        <f>AND(#REF!,"AAAAAHv//rE=")</f>
        <v>#REF!</v>
      </c>
      <c r="FW94" t="e">
        <f>AND(#REF!,"AAAAAHv//rI=")</f>
        <v>#REF!</v>
      </c>
      <c r="FX94" t="e">
        <f>AND(#REF!,"AAAAAHv//rM=")</f>
        <v>#REF!</v>
      </c>
      <c r="FY94" t="e">
        <f>AND(#REF!,"AAAAAHv//rQ=")</f>
        <v>#REF!</v>
      </c>
      <c r="FZ94" t="e">
        <f>AND(#REF!,"AAAAAHv//rU=")</f>
        <v>#REF!</v>
      </c>
      <c r="GA94" t="e">
        <f>IF(#REF!,"AAAAAHv//rY=",0)</f>
        <v>#REF!</v>
      </c>
      <c r="GB94" t="e">
        <f>AND(#REF!,"AAAAAHv//rc=")</f>
        <v>#REF!</v>
      </c>
      <c r="GC94" t="e">
        <f>AND(#REF!,"AAAAAHv//rg=")</f>
        <v>#REF!</v>
      </c>
      <c r="GD94" t="e">
        <f>AND(#REF!,"AAAAAHv//rk=")</f>
        <v>#REF!</v>
      </c>
      <c r="GE94" t="e">
        <f>AND(#REF!,"AAAAAHv//ro=")</f>
        <v>#REF!</v>
      </c>
      <c r="GF94" t="e">
        <f>AND(#REF!,"AAAAAHv//rs=")</f>
        <v>#REF!</v>
      </c>
      <c r="GG94" t="e">
        <f>AND(#REF!,"AAAAAHv//rw=")</f>
        <v>#REF!</v>
      </c>
      <c r="GH94" t="e">
        <f>AND(#REF!,"AAAAAHv//r0=")</f>
        <v>#REF!</v>
      </c>
      <c r="GI94" t="e">
        <f>AND(#REF!,"AAAAAHv//r4=")</f>
        <v>#REF!</v>
      </c>
      <c r="GJ94" t="e">
        <f>AND(#REF!,"AAAAAHv//r8=")</f>
        <v>#REF!</v>
      </c>
      <c r="GK94" t="e">
        <f>AND(#REF!,"AAAAAHv//sA=")</f>
        <v>#REF!</v>
      </c>
      <c r="GL94" t="e">
        <f>AND(#REF!,"AAAAAHv//sE=")</f>
        <v>#REF!</v>
      </c>
      <c r="GM94" t="e">
        <f>AND(#REF!,"AAAAAHv//sI=")</f>
        <v>#REF!</v>
      </c>
      <c r="GN94" t="e">
        <f>AND(#REF!,"AAAAAHv//sM=")</f>
        <v>#REF!</v>
      </c>
      <c r="GO94" t="e">
        <f>AND(#REF!,"AAAAAHv//sQ=")</f>
        <v>#REF!</v>
      </c>
      <c r="GP94" t="e">
        <f>AND(#REF!,"AAAAAHv//sU=")</f>
        <v>#REF!</v>
      </c>
      <c r="GQ94" t="e">
        <f>AND(#REF!,"AAAAAHv//sY=")</f>
        <v>#REF!</v>
      </c>
      <c r="GR94" t="e">
        <f>AND(#REF!,"AAAAAHv//sc=")</f>
        <v>#REF!</v>
      </c>
      <c r="GS94" t="e">
        <f>AND(#REF!,"AAAAAHv//sg=")</f>
        <v>#REF!</v>
      </c>
      <c r="GT94" t="e">
        <f>AND(#REF!,"AAAAAHv//sk=")</f>
        <v>#REF!</v>
      </c>
      <c r="GU94" t="e">
        <f>AND(#REF!,"AAAAAHv//so=")</f>
        <v>#REF!</v>
      </c>
      <c r="GV94" t="e">
        <f>AND(#REF!,"AAAAAHv//ss=")</f>
        <v>#REF!</v>
      </c>
      <c r="GW94" t="e">
        <f>AND(#REF!,"AAAAAHv//sw=")</f>
        <v>#REF!</v>
      </c>
      <c r="GX94" t="e">
        <f>AND(#REF!,"AAAAAHv//s0=")</f>
        <v>#REF!</v>
      </c>
      <c r="GY94" t="e">
        <f>AND(#REF!,"AAAAAHv//s4=")</f>
        <v>#REF!</v>
      </c>
      <c r="GZ94" t="e">
        <f>AND(#REF!,"AAAAAHv//s8=")</f>
        <v>#REF!</v>
      </c>
      <c r="HA94" t="e">
        <f>AND(#REF!,"AAAAAHv//tA=")</f>
        <v>#REF!</v>
      </c>
      <c r="HB94" t="e">
        <f>AND(#REF!,"AAAAAHv//tE=")</f>
        <v>#REF!</v>
      </c>
      <c r="HC94" t="e">
        <f>AND(#REF!,"AAAAAHv//tI=")</f>
        <v>#REF!</v>
      </c>
      <c r="HD94" t="e">
        <f>AND(#REF!,"AAAAAHv//tM=")</f>
        <v>#REF!</v>
      </c>
      <c r="HE94" t="e">
        <f>AND(#REF!,"AAAAAHv//tQ=")</f>
        <v>#REF!</v>
      </c>
      <c r="HF94" t="e">
        <f>AND(#REF!,"AAAAAHv//tU=")</f>
        <v>#REF!</v>
      </c>
      <c r="HG94" t="e">
        <f>AND(#REF!,"AAAAAHv//tY=")</f>
        <v>#REF!</v>
      </c>
      <c r="HH94" t="e">
        <f>AND(#REF!,"AAAAAHv//tc=")</f>
        <v>#REF!</v>
      </c>
      <c r="HI94" t="e">
        <f>AND(#REF!,"AAAAAHv//tg=")</f>
        <v>#REF!</v>
      </c>
      <c r="HJ94" t="e">
        <f>AND(#REF!,"AAAAAHv//tk=")</f>
        <v>#REF!</v>
      </c>
      <c r="HK94" t="e">
        <f>AND(#REF!,"AAAAAHv//to=")</f>
        <v>#REF!</v>
      </c>
      <c r="HL94" t="e">
        <f>AND(#REF!,"AAAAAHv//ts=")</f>
        <v>#REF!</v>
      </c>
      <c r="HM94" t="e">
        <f>AND(#REF!,"AAAAAHv//tw=")</f>
        <v>#REF!</v>
      </c>
      <c r="HN94" t="e">
        <f>AND(#REF!,"AAAAAHv//t0=")</f>
        <v>#REF!</v>
      </c>
      <c r="HO94" t="e">
        <f>AND(#REF!,"AAAAAHv//t4=")</f>
        <v>#REF!</v>
      </c>
      <c r="HP94" t="e">
        <f>AND(#REF!,"AAAAAHv//t8=")</f>
        <v>#REF!</v>
      </c>
      <c r="HQ94" t="e">
        <f>AND(#REF!,"AAAAAHv//uA=")</f>
        <v>#REF!</v>
      </c>
      <c r="HR94" t="e">
        <f>AND(#REF!,"AAAAAHv//uE=")</f>
        <v>#REF!</v>
      </c>
      <c r="HS94" t="e">
        <f>AND(#REF!,"AAAAAHv//uI=")</f>
        <v>#REF!</v>
      </c>
      <c r="HT94" t="e">
        <f>AND(#REF!,"AAAAAHv//uM=")</f>
        <v>#REF!</v>
      </c>
      <c r="HU94" t="e">
        <f>AND(#REF!,"AAAAAHv//uQ=")</f>
        <v>#REF!</v>
      </c>
      <c r="HV94" t="e">
        <f>AND(#REF!,"AAAAAHv//uU=")</f>
        <v>#REF!</v>
      </c>
      <c r="HW94" t="e">
        <f>AND(#REF!,"AAAAAHv//uY=")</f>
        <v>#REF!</v>
      </c>
      <c r="HX94" t="e">
        <f>AND(#REF!,"AAAAAHv//uc=")</f>
        <v>#REF!</v>
      </c>
      <c r="HY94" t="e">
        <f>AND(#REF!,"AAAAAHv//ug=")</f>
        <v>#REF!</v>
      </c>
      <c r="HZ94" t="e">
        <f>AND(#REF!,"AAAAAHv//uk=")</f>
        <v>#REF!</v>
      </c>
      <c r="IA94" t="e">
        <f>AND(#REF!,"AAAAAHv//uo=")</f>
        <v>#REF!</v>
      </c>
      <c r="IB94" t="e">
        <f>AND(#REF!,"AAAAAHv//us=")</f>
        <v>#REF!</v>
      </c>
      <c r="IC94" t="e">
        <f>AND(#REF!,"AAAAAHv//uw=")</f>
        <v>#REF!</v>
      </c>
      <c r="ID94" t="e">
        <f>AND(#REF!,"AAAAAHv//u0=")</f>
        <v>#REF!</v>
      </c>
      <c r="IE94" t="e">
        <f>AND(#REF!,"AAAAAHv//u4=")</f>
        <v>#REF!</v>
      </c>
      <c r="IF94" t="e">
        <f>AND(#REF!,"AAAAAHv//u8=")</f>
        <v>#REF!</v>
      </c>
      <c r="IG94" t="e">
        <f>AND(#REF!,"AAAAAHv//vA=")</f>
        <v>#REF!</v>
      </c>
      <c r="IH94" t="e">
        <f>AND(#REF!,"AAAAAHv//vE=")</f>
        <v>#REF!</v>
      </c>
      <c r="II94" t="e">
        <f>AND(#REF!,"AAAAAHv//vI=")</f>
        <v>#REF!</v>
      </c>
      <c r="IJ94" t="e">
        <f>AND(#REF!,"AAAAAHv//vM=")</f>
        <v>#REF!</v>
      </c>
      <c r="IK94" t="e">
        <f>AND(#REF!,"AAAAAHv//vQ=")</f>
        <v>#REF!</v>
      </c>
      <c r="IL94" t="e">
        <f>AND(#REF!,"AAAAAHv//vU=")</f>
        <v>#REF!</v>
      </c>
      <c r="IM94" t="e">
        <f>AND(#REF!,"AAAAAHv//vY=")</f>
        <v>#REF!</v>
      </c>
      <c r="IN94" t="e">
        <f>AND(#REF!,"AAAAAHv//vc=")</f>
        <v>#REF!</v>
      </c>
      <c r="IO94" t="e">
        <f>AND(#REF!,"AAAAAHv//vg=")</f>
        <v>#REF!</v>
      </c>
      <c r="IP94" t="e">
        <f>AND(#REF!,"AAAAAHv//vk=")</f>
        <v>#REF!</v>
      </c>
      <c r="IQ94" t="e">
        <f>AND(#REF!,"AAAAAHv//vo=")</f>
        <v>#REF!</v>
      </c>
      <c r="IR94" t="e">
        <f>AND(#REF!,"AAAAAHv//vs=")</f>
        <v>#REF!</v>
      </c>
      <c r="IS94" t="e">
        <f>AND(#REF!,"AAAAAHv//vw=")</f>
        <v>#REF!</v>
      </c>
      <c r="IT94" t="e">
        <f>AND(#REF!,"AAAAAHv//v0=")</f>
        <v>#REF!</v>
      </c>
      <c r="IU94" t="e">
        <f>AND(#REF!,"AAAAAHv//v4=")</f>
        <v>#REF!</v>
      </c>
      <c r="IV94" t="e">
        <f>AND(#REF!,"AAAAAHv//v8=")</f>
        <v>#REF!</v>
      </c>
    </row>
    <row r="95" spans="1:256" x14ac:dyDescent="0.25">
      <c r="A95" t="e">
        <f>AND(#REF!,"AAAAAGt8/wA=")</f>
        <v>#REF!</v>
      </c>
      <c r="B95" t="e">
        <f>AND(#REF!,"AAAAAGt8/wE=")</f>
        <v>#REF!</v>
      </c>
      <c r="C95" t="e">
        <f>AND(#REF!,"AAAAAGt8/wI=")</f>
        <v>#REF!</v>
      </c>
      <c r="D95" t="e">
        <f>AND(#REF!,"AAAAAGt8/wM=")</f>
        <v>#REF!</v>
      </c>
      <c r="E95" t="e">
        <f>AND(#REF!,"AAAAAGt8/wQ=")</f>
        <v>#REF!</v>
      </c>
      <c r="F95" t="e">
        <f>AND(#REF!,"AAAAAGt8/wU=")</f>
        <v>#REF!</v>
      </c>
      <c r="G95" t="e">
        <f>AND(#REF!,"AAAAAGt8/wY=")</f>
        <v>#REF!</v>
      </c>
      <c r="H95" t="e">
        <f>AND(#REF!,"AAAAAGt8/wc=")</f>
        <v>#REF!</v>
      </c>
      <c r="I95" t="e">
        <f>AND(#REF!,"AAAAAGt8/wg=")</f>
        <v>#REF!</v>
      </c>
      <c r="J95" t="e">
        <f>AND(#REF!,"AAAAAGt8/wk=")</f>
        <v>#REF!</v>
      </c>
      <c r="K95" t="e">
        <f>AND(#REF!,"AAAAAGt8/wo=")</f>
        <v>#REF!</v>
      </c>
      <c r="L95" t="e">
        <f>AND(#REF!,"AAAAAGt8/ws=")</f>
        <v>#REF!</v>
      </c>
      <c r="M95" t="e">
        <f>AND(#REF!,"AAAAAGt8/ww=")</f>
        <v>#REF!</v>
      </c>
      <c r="N95" t="e">
        <f>AND(#REF!,"AAAAAGt8/w0=")</f>
        <v>#REF!</v>
      </c>
      <c r="O95" t="e">
        <f>AND(#REF!,"AAAAAGt8/w4=")</f>
        <v>#REF!</v>
      </c>
      <c r="P95" t="e">
        <f>AND(#REF!,"AAAAAGt8/w8=")</f>
        <v>#REF!</v>
      </c>
      <c r="Q95" t="e">
        <f>AND(#REF!,"AAAAAGt8/xA=")</f>
        <v>#REF!</v>
      </c>
      <c r="R95" t="e">
        <f>AND(#REF!,"AAAAAGt8/xE=")</f>
        <v>#REF!</v>
      </c>
      <c r="S95" t="e">
        <f>AND(#REF!,"AAAAAGt8/xI=")</f>
        <v>#REF!</v>
      </c>
      <c r="T95" t="e">
        <f>AND(#REF!,"AAAAAGt8/xM=")</f>
        <v>#REF!</v>
      </c>
      <c r="U95" t="e">
        <f>AND(#REF!,"AAAAAGt8/xQ=")</f>
        <v>#REF!</v>
      </c>
      <c r="V95" t="e">
        <f>AND(#REF!,"AAAAAGt8/xU=")</f>
        <v>#REF!</v>
      </c>
      <c r="W95" t="e">
        <f>AND(#REF!,"AAAAAGt8/xY=")</f>
        <v>#REF!</v>
      </c>
      <c r="X95" t="e">
        <f>AND(#REF!,"AAAAAGt8/xc=")</f>
        <v>#REF!</v>
      </c>
      <c r="Y95" t="e">
        <f>AND(#REF!,"AAAAAGt8/xg=")</f>
        <v>#REF!</v>
      </c>
      <c r="Z95" t="e">
        <f>AND(#REF!,"AAAAAGt8/xk=")</f>
        <v>#REF!</v>
      </c>
      <c r="AA95" t="e">
        <f>AND(#REF!,"AAAAAGt8/xo=")</f>
        <v>#REF!</v>
      </c>
      <c r="AB95" t="e">
        <f>AND(#REF!,"AAAAAGt8/xs=")</f>
        <v>#REF!</v>
      </c>
      <c r="AC95" t="e">
        <f>AND(#REF!,"AAAAAGt8/xw=")</f>
        <v>#REF!</v>
      </c>
      <c r="AD95" t="e">
        <f>AND(#REF!,"AAAAAGt8/x0=")</f>
        <v>#REF!</v>
      </c>
      <c r="AE95" t="e">
        <f>AND(#REF!,"AAAAAGt8/x4=")</f>
        <v>#REF!</v>
      </c>
      <c r="AF95" t="e">
        <f>AND(#REF!,"AAAAAGt8/x8=")</f>
        <v>#REF!</v>
      </c>
      <c r="AG95" t="e">
        <f>AND(#REF!,"AAAAAGt8/yA=")</f>
        <v>#REF!</v>
      </c>
      <c r="AH95" t="e">
        <f>AND(#REF!,"AAAAAGt8/yE=")</f>
        <v>#REF!</v>
      </c>
      <c r="AI95" t="e">
        <f>AND(#REF!,"AAAAAGt8/yI=")</f>
        <v>#REF!</v>
      </c>
      <c r="AJ95" t="e">
        <f>AND(#REF!,"AAAAAGt8/yM=")</f>
        <v>#REF!</v>
      </c>
      <c r="AK95" t="e">
        <f>AND(#REF!,"AAAAAGt8/yQ=")</f>
        <v>#REF!</v>
      </c>
      <c r="AL95" t="e">
        <f>AND(#REF!,"AAAAAGt8/yU=")</f>
        <v>#REF!</v>
      </c>
      <c r="AM95" t="e">
        <f>AND(#REF!,"AAAAAGt8/yY=")</f>
        <v>#REF!</v>
      </c>
      <c r="AN95" t="e">
        <f>AND(#REF!,"AAAAAGt8/yc=")</f>
        <v>#REF!</v>
      </c>
      <c r="AO95" t="e">
        <f>AND(#REF!,"AAAAAGt8/yg=")</f>
        <v>#REF!</v>
      </c>
      <c r="AP95" t="e">
        <f>AND(#REF!,"AAAAAGt8/yk=")</f>
        <v>#REF!</v>
      </c>
      <c r="AQ95" t="e">
        <f>AND(#REF!,"AAAAAGt8/yo=")</f>
        <v>#REF!</v>
      </c>
      <c r="AR95" t="e">
        <f>AND(#REF!,"AAAAAGt8/ys=")</f>
        <v>#REF!</v>
      </c>
      <c r="AS95" t="e">
        <f>AND(#REF!,"AAAAAGt8/yw=")</f>
        <v>#REF!</v>
      </c>
      <c r="AT95" t="e">
        <f>AND(#REF!,"AAAAAGt8/y0=")</f>
        <v>#REF!</v>
      </c>
      <c r="AU95" t="e">
        <f>AND(#REF!,"AAAAAGt8/y4=")</f>
        <v>#REF!</v>
      </c>
      <c r="AV95" t="e">
        <f>AND(#REF!,"AAAAAGt8/y8=")</f>
        <v>#REF!</v>
      </c>
      <c r="AW95" t="e">
        <f>AND(#REF!,"AAAAAGt8/zA=")</f>
        <v>#REF!</v>
      </c>
      <c r="AX95" t="e">
        <f>AND(#REF!,"AAAAAGt8/zE=")</f>
        <v>#REF!</v>
      </c>
      <c r="AY95" t="e">
        <f>AND(#REF!,"AAAAAGt8/zI=")</f>
        <v>#REF!</v>
      </c>
      <c r="AZ95" t="e">
        <f>AND(#REF!,"AAAAAGt8/zM=")</f>
        <v>#REF!</v>
      </c>
      <c r="BA95" t="e">
        <f>AND(#REF!,"AAAAAGt8/zQ=")</f>
        <v>#REF!</v>
      </c>
      <c r="BB95" t="e">
        <f>AND(#REF!,"AAAAAGt8/zU=")</f>
        <v>#REF!</v>
      </c>
      <c r="BC95" t="e">
        <f>AND(#REF!,"AAAAAGt8/zY=")</f>
        <v>#REF!</v>
      </c>
      <c r="BD95" t="e">
        <f>AND(#REF!,"AAAAAGt8/zc=")</f>
        <v>#REF!</v>
      </c>
      <c r="BE95" t="e">
        <f>AND(#REF!,"AAAAAGt8/zg=")</f>
        <v>#REF!</v>
      </c>
      <c r="BF95" t="e">
        <f>AND(#REF!,"AAAAAGt8/zk=")</f>
        <v>#REF!</v>
      </c>
      <c r="BG95" t="e">
        <f>AND(#REF!,"AAAAAGt8/zo=")</f>
        <v>#REF!</v>
      </c>
      <c r="BH95" t="e">
        <f>AND(#REF!,"AAAAAGt8/zs=")</f>
        <v>#REF!</v>
      </c>
      <c r="BI95" t="e">
        <f>AND(#REF!,"AAAAAGt8/zw=")</f>
        <v>#REF!</v>
      </c>
      <c r="BJ95" t="e">
        <f>AND(#REF!,"AAAAAGt8/z0=")</f>
        <v>#REF!</v>
      </c>
      <c r="BK95" t="e">
        <f>AND(#REF!,"AAAAAGt8/z4=")</f>
        <v>#REF!</v>
      </c>
      <c r="BL95" t="e">
        <f>AND(#REF!,"AAAAAGt8/z8=")</f>
        <v>#REF!</v>
      </c>
      <c r="BM95" t="e">
        <f>AND(#REF!,"AAAAAGt8/0A=")</f>
        <v>#REF!</v>
      </c>
      <c r="BN95" t="e">
        <f>AND(#REF!,"AAAAAGt8/0E=")</f>
        <v>#REF!</v>
      </c>
      <c r="BO95" t="e">
        <f>AND(#REF!,"AAAAAGt8/0I=")</f>
        <v>#REF!</v>
      </c>
      <c r="BP95" t="e">
        <f>AND(#REF!,"AAAAAGt8/0M=")</f>
        <v>#REF!</v>
      </c>
      <c r="BQ95" t="e">
        <f>AND(#REF!,"AAAAAGt8/0Q=")</f>
        <v>#REF!</v>
      </c>
      <c r="BR95" t="e">
        <f>AND(#REF!,"AAAAAGt8/0U=")</f>
        <v>#REF!</v>
      </c>
      <c r="BS95" t="e">
        <f>AND(#REF!,"AAAAAGt8/0Y=")</f>
        <v>#REF!</v>
      </c>
      <c r="BT95" t="e">
        <f>AND(#REF!,"AAAAAGt8/0c=")</f>
        <v>#REF!</v>
      </c>
      <c r="BU95" t="e">
        <f>AND(#REF!,"AAAAAGt8/0g=")</f>
        <v>#REF!</v>
      </c>
      <c r="BV95" t="e">
        <f>AND(#REF!,"AAAAAGt8/0k=")</f>
        <v>#REF!</v>
      </c>
      <c r="BW95" t="e">
        <f>AND(#REF!,"AAAAAGt8/0o=")</f>
        <v>#REF!</v>
      </c>
      <c r="BX95" t="e">
        <f>AND(#REF!,"AAAAAGt8/0s=")</f>
        <v>#REF!</v>
      </c>
      <c r="BY95" t="e">
        <f>AND(#REF!,"AAAAAGt8/0w=")</f>
        <v>#REF!</v>
      </c>
      <c r="BZ95" t="e">
        <f>AND(#REF!,"AAAAAGt8/00=")</f>
        <v>#REF!</v>
      </c>
      <c r="CA95" t="e">
        <f>AND(#REF!,"AAAAAGt8/04=")</f>
        <v>#REF!</v>
      </c>
      <c r="CB95" t="e">
        <f>AND(#REF!,"AAAAAGt8/08=")</f>
        <v>#REF!</v>
      </c>
      <c r="CC95" t="e">
        <f>AND(#REF!,"AAAAAGt8/1A=")</f>
        <v>#REF!</v>
      </c>
      <c r="CD95" t="e">
        <f>AND(#REF!,"AAAAAGt8/1E=")</f>
        <v>#REF!</v>
      </c>
      <c r="CE95" t="e">
        <f>AND(#REF!,"AAAAAGt8/1I=")</f>
        <v>#REF!</v>
      </c>
      <c r="CF95" t="e">
        <f>AND(#REF!,"AAAAAGt8/1M=")</f>
        <v>#REF!</v>
      </c>
      <c r="CG95" t="e">
        <f>AND(#REF!,"AAAAAGt8/1Q=")</f>
        <v>#REF!</v>
      </c>
      <c r="CH95" t="e">
        <f>AND(#REF!,"AAAAAGt8/1U=")</f>
        <v>#REF!</v>
      </c>
      <c r="CI95" t="e">
        <f>AND(#REF!,"AAAAAGt8/1Y=")</f>
        <v>#REF!</v>
      </c>
      <c r="CJ95" t="e">
        <f>AND(#REF!,"AAAAAGt8/1c=")</f>
        <v>#REF!</v>
      </c>
      <c r="CK95" t="e">
        <f>AND(#REF!,"AAAAAGt8/1g=")</f>
        <v>#REF!</v>
      </c>
      <c r="CL95" t="e">
        <f>AND(#REF!,"AAAAAGt8/1k=")</f>
        <v>#REF!</v>
      </c>
      <c r="CM95" t="e">
        <f>AND(#REF!,"AAAAAGt8/1o=")</f>
        <v>#REF!</v>
      </c>
      <c r="CN95" t="e">
        <f>AND(#REF!,"AAAAAGt8/1s=")</f>
        <v>#REF!</v>
      </c>
      <c r="CO95" t="e">
        <f>AND(#REF!,"AAAAAGt8/1w=")</f>
        <v>#REF!</v>
      </c>
      <c r="CP95" t="e">
        <f>AND(#REF!,"AAAAAGt8/10=")</f>
        <v>#REF!</v>
      </c>
      <c r="CQ95" t="e">
        <f>AND(#REF!,"AAAAAGt8/14=")</f>
        <v>#REF!</v>
      </c>
      <c r="CR95" t="e">
        <f>AND(#REF!,"AAAAAGt8/18=")</f>
        <v>#REF!</v>
      </c>
      <c r="CS95" t="e">
        <f>AND(#REF!,"AAAAAGt8/2A=")</f>
        <v>#REF!</v>
      </c>
      <c r="CT95" t="e">
        <f>AND(#REF!,"AAAAAGt8/2E=")</f>
        <v>#REF!</v>
      </c>
      <c r="CU95" t="e">
        <f>AND(#REF!,"AAAAAGt8/2I=")</f>
        <v>#REF!</v>
      </c>
      <c r="CV95" t="e">
        <f>AND(#REF!,"AAAAAGt8/2M=")</f>
        <v>#REF!</v>
      </c>
      <c r="CW95" t="e">
        <f>AND(#REF!,"AAAAAGt8/2Q=")</f>
        <v>#REF!</v>
      </c>
      <c r="CX95" t="e">
        <f>AND(#REF!,"AAAAAGt8/2U=")</f>
        <v>#REF!</v>
      </c>
      <c r="CY95" t="e">
        <f>AND(#REF!,"AAAAAGt8/2Y=")</f>
        <v>#REF!</v>
      </c>
      <c r="CZ95" t="e">
        <f>AND(#REF!,"AAAAAGt8/2c=")</f>
        <v>#REF!</v>
      </c>
      <c r="DA95" t="e">
        <f>IF(#REF!,"AAAAAGt8/2g=",0)</f>
        <v>#REF!</v>
      </c>
      <c r="DB95" t="e">
        <f>AND(#REF!,"AAAAAGt8/2k=")</f>
        <v>#REF!</v>
      </c>
      <c r="DC95" t="e">
        <f>AND(#REF!,"AAAAAGt8/2o=")</f>
        <v>#REF!</v>
      </c>
      <c r="DD95" t="e">
        <f>AND(#REF!,"AAAAAGt8/2s=")</f>
        <v>#REF!</v>
      </c>
      <c r="DE95" t="e">
        <f>AND(#REF!,"AAAAAGt8/2w=")</f>
        <v>#REF!</v>
      </c>
      <c r="DF95" t="e">
        <f>AND(#REF!,"AAAAAGt8/20=")</f>
        <v>#REF!</v>
      </c>
      <c r="DG95" t="e">
        <f>AND(#REF!,"AAAAAGt8/24=")</f>
        <v>#REF!</v>
      </c>
      <c r="DH95" t="e">
        <f>AND(#REF!,"AAAAAGt8/28=")</f>
        <v>#REF!</v>
      </c>
      <c r="DI95" t="e">
        <f>AND(#REF!,"AAAAAGt8/3A=")</f>
        <v>#REF!</v>
      </c>
      <c r="DJ95" t="e">
        <f>AND(#REF!,"AAAAAGt8/3E=")</f>
        <v>#REF!</v>
      </c>
      <c r="DK95" t="e">
        <f>AND(#REF!,"AAAAAGt8/3I=")</f>
        <v>#REF!</v>
      </c>
      <c r="DL95" t="e">
        <f>AND(#REF!,"AAAAAGt8/3M=")</f>
        <v>#REF!</v>
      </c>
      <c r="DM95" t="e">
        <f>AND(#REF!,"AAAAAGt8/3Q=")</f>
        <v>#REF!</v>
      </c>
      <c r="DN95" t="e">
        <f>AND(#REF!,"AAAAAGt8/3U=")</f>
        <v>#REF!</v>
      </c>
      <c r="DO95" t="e">
        <f>AND(#REF!,"AAAAAGt8/3Y=")</f>
        <v>#REF!</v>
      </c>
      <c r="DP95" t="e">
        <f>AND(#REF!,"AAAAAGt8/3c=")</f>
        <v>#REF!</v>
      </c>
      <c r="DQ95" t="e">
        <f>AND(#REF!,"AAAAAGt8/3g=")</f>
        <v>#REF!</v>
      </c>
      <c r="DR95" t="e">
        <f>AND(#REF!,"AAAAAGt8/3k=")</f>
        <v>#REF!</v>
      </c>
      <c r="DS95" t="e">
        <f>AND(#REF!,"AAAAAGt8/3o=")</f>
        <v>#REF!</v>
      </c>
      <c r="DT95" t="e">
        <f>AND(#REF!,"AAAAAGt8/3s=")</f>
        <v>#REF!</v>
      </c>
      <c r="DU95" t="e">
        <f>AND(#REF!,"AAAAAGt8/3w=")</f>
        <v>#REF!</v>
      </c>
      <c r="DV95" t="e">
        <f>AND(#REF!,"AAAAAGt8/30=")</f>
        <v>#REF!</v>
      </c>
      <c r="DW95" t="e">
        <f>AND(#REF!,"AAAAAGt8/34=")</f>
        <v>#REF!</v>
      </c>
      <c r="DX95" t="e">
        <f>AND(#REF!,"AAAAAGt8/38=")</f>
        <v>#REF!</v>
      </c>
      <c r="DY95" t="e">
        <f>AND(#REF!,"AAAAAGt8/4A=")</f>
        <v>#REF!</v>
      </c>
      <c r="DZ95" t="e">
        <f>AND(#REF!,"AAAAAGt8/4E=")</f>
        <v>#REF!</v>
      </c>
      <c r="EA95" t="e">
        <f>AND(#REF!,"AAAAAGt8/4I=")</f>
        <v>#REF!</v>
      </c>
      <c r="EB95" t="e">
        <f>AND(#REF!,"AAAAAGt8/4M=")</f>
        <v>#REF!</v>
      </c>
      <c r="EC95" t="e">
        <f>AND(#REF!,"AAAAAGt8/4Q=")</f>
        <v>#REF!</v>
      </c>
      <c r="ED95" t="e">
        <f>AND(#REF!,"AAAAAGt8/4U=")</f>
        <v>#REF!</v>
      </c>
      <c r="EE95" t="e">
        <f>AND(#REF!,"AAAAAGt8/4Y=")</f>
        <v>#REF!</v>
      </c>
      <c r="EF95" t="e">
        <f>AND(#REF!,"AAAAAGt8/4c=")</f>
        <v>#REF!</v>
      </c>
      <c r="EG95" t="e">
        <f>AND(#REF!,"AAAAAGt8/4g=")</f>
        <v>#REF!</v>
      </c>
      <c r="EH95" t="e">
        <f>AND(#REF!,"AAAAAGt8/4k=")</f>
        <v>#REF!</v>
      </c>
      <c r="EI95" t="e">
        <f>AND(#REF!,"AAAAAGt8/4o=")</f>
        <v>#REF!</v>
      </c>
      <c r="EJ95" t="e">
        <f>AND(#REF!,"AAAAAGt8/4s=")</f>
        <v>#REF!</v>
      </c>
      <c r="EK95" t="e">
        <f>AND(#REF!,"AAAAAGt8/4w=")</f>
        <v>#REF!</v>
      </c>
      <c r="EL95" t="e">
        <f>AND(#REF!,"AAAAAGt8/40=")</f>
        <v>#REF!</v>
      </c>
      <c r="EM95" t="e">
        <f>AND(#REF!,"AAAAAGt8/44=")</f>
        <v>#REF!</v>
      </c>
      <c r="EN95" t="e">
        <f>AND(#REF!,"AAAAAGt8/48=")</f>
        <v>#REF!</v>
      </c>
      <c r="EO95" t="e">
        <f>AND(#REF!,"AAAAAGt8/5A=")</f>
        <v>#REF!</v>
      </c>
      <c r="EP95" t="e">
        <f>AND(#REF!,"AAAAAGt8/5E=")</f>
        <v>#REF!</v>
      </c>
      <c r="EQ95" t="e">
        <f>AND(#REF!,"AAAAAGt8/5I=")</f>
        <v>#REF!</v>
      </c>
      <c r="ER95" t="e">
        <f>AND(#REF!,"AAAAAGt8/5M=")</f>
        <v>#REF!</v>
      </c>
      <c r="ES95" t="e">
        <f>AND(#REF!,"AAAAAGt8/5Q=")</f>
        <v>#REF!</v>
      </c>
      <c r="ET95" t="e">
        <f>AND(#REF!,"AAAAAGt8/5U=")</f>
        <v>#REF!</v>
      </c>
      <c r="EU95" t="e">
        <f>AND(#REF!,"AAAAAGt8/5Y=")</f>
        <v>#REF!</v>
      </c>
      <c r="EV95" t="e">
        <f>AND(#REF!,"AAAAAGt8/5c=")</f>
        <v>#REF!</v>
      </c>
      <c r="EW95" t="e">
        <f>AND(#REF!,"AAAAAGt8/5g=")</f>
        <v>#REF!</v>
      </c>
      <c r="EX95" t="e">
        <f>AND(#REF!,"AAAAAGt8/5k=")</f>
        <v>#REF!</v>
      </c>
      <c r="EY95" t="e">
        <f>AND(#REF!,"AAAAAGt8/5o=")</f>
        <v>#REF!</v>
      </c>
      <c r="EZ95" t="e">
        <f>AND(#REF!,"AAAAAGt8/5s=")</f>
        <v>#REF!</v>
      </c>
      <c r="FA95" t="e">
        <f>AND(#REF!,"AAAAAGt8/5w=")</f>
        <v>#REF!</v>
      </c>
      <c r="FB95" t="e">
        <f>AND(#REF!,"AAAAAGt8/50=")</f>
        <v>#REF!</v>
      </c>
      <c r="FC95" t="e">
        <f>AND(#REF!,"AAAAAGt8/54=")</f>
        <v>#REF!</v>
      </c>
      <c r="FD95" t="e">
        <f>AND(#REF!,"AAAAAGt8/58=")</f>
        <v>#REF!</v>
      </c>
      <c r="FE95" t="e">
        <f>AND(#REF!,"AAAAAGt8/6A=")</f>
        <v>#REF!</v>
      </c>
      <c r="FF95" t="e">
        <f>AND(#REF!,"AAAAAGt8/6E=")</f>
        <v>#REF!</v>
      </c>
      <c r="FG95" t="e">
        <f>AND(#REF!,"AAAAAGt8/6I=")</f>
        <v>#REF!</v>
      </c>
      <c r="FH95" t="e">
        <f>AND(#REF!,"AAAAAGt8/6M=")</f>
        <v>#REF!</v>
      </c>
      <c r="FI95" t="e">
        <f>AND(#REF!,"AAAAAGt8/6Q=")</f>
        <v>#REF!</v>
      </c>
      <c r="FJ95" t="e">
        <f>AND(#REF!,"AAAAAGt8/6U=")</f>
        <v>#REF!</v>
      </c>
      <c r="FK95" t="e">
        <f>AND(#REF!,"AAAAAGt8/6Y=")</f>
        <v>#REF!</v>
      </c>
      <c r="FL95" t="e">
        <f>AND(#REF!,"AAAAAGt8/6c=")</f>
        <v>#REF!</v>
      </c>
      <c r="FM95" t="e">
        <f>AND(#REF!,"AAAAAGt8/6g=")</f>
        <v>#REF!</v>
      </c>
      <c r="FN95" t="e">
        <f>AND(#REF!,"AAAAAGt8/6k=")</f>
        <v>#REF!</v>
      </c>
      <c r="FO95" t="e">
        <f>AND(#REF!,"AAAAAGt8/6o=")</f>
        <v>#REF!</v>
      </c>
      <c r="FP95" t="e">
        <f>AND(#REF!,"AAAAAGt8/6s=")</f>
        <v>#REF!</v>
      </c>
      <c r="FQ95" t="e">
        <f>AND(#REF!,"AAAAAGt8/6w=")</f>
        <v>#REF!</v>
      </c>
      <c r="FR95" t="e">
        <f>AND(#REF!,"AAAAAGt8/60=")</f>
        <v>#REF!</v>
      </c>
      <c r="FS95" t="e">
        <f>AND(#REF!,"AAAAAGt8/64=")</f>
        <v>#REF!</v>
      </c>
      <c r="FT95" t="e">
        <f>AND(#REF!,"AAAAAGt8/68=")</f>
        <v>#REF!</v>
      </c>
      <c r="FU95" t="e">
        <f>AND(#REF!,"AAAAAGt8/7A=")</f>
        <v>#REF!</v>
      </c>
      <c r="FV95" t="e">
        <f>AND(#REF!,"AAAAAGt8/7E=")</f>
        <v>#REF!</v>
      </c>
      <c r="FW95" t="e">
        <f>AND(#REF!,"AAAAAGt8/7I=")</f>
        <v>#REF!</v>
      </c>
      <c r="FX95" t="e">
        <f>AND(#REF!,"AAAAAGt8/7M=")</f>
        <v>#REF!</v>
      </c>
      <c r="FY95" t="e">
        <f>AND(#REF!,"AAAAAGt8/7Q=")</f>
        <v>#REF!</v>
      </c>
      <c r="FZ95" t="e">
        <f>AND(#REF!,"AAAAAGt8/7U=")</f>
        <v>#REF!</v>
      </c>
      <c r="GA95" t="e">
        <f>AND(#REF!,"AAAAAGt8/7Y=")</f>
        <v>#REF!</v>
      </c>
      <c r="GB95" t="e">
        <f>AND(#REF!,"AAAAAGt8/7c=")</f>
        <v>#REF!</v>
      </c>
      <c r="GC95" t="e">
        <f>AND(#REF!,"AAAAAGt8/7g=")</f>
        <v>#REF!</v>
      </c>
      <c r="GD95" t="e">
        <f>AND(#REF!,"AAAAAGt8/7k=")</f>
        <v>#REF!</v>
      </c>
      <c r="GE95" t="e">
        <f>AND(#REF!,"AAAAAGt8/7o=")</f>
        <v>#REF!</v>
      </c>
      <c r="GF95" t="e">
        <f>AND(#REF!,"AAAAAGt8/7s=")</f>
        <v>#REF!</v>
      </c>
      <c r="GG95" t="e">
        <f>AND(#REF!,"AAAAAGt8/7w=")</f>
        <v>#REF!</v>
      </c>
      <c r="GH95" t="e">
        <f>AND(#REF!,"AAAAAGt8/70=")</f>
        <v>#REF!</v>
      </c>
      <c r="GI95" t="e">
        <f>AND(#REF!,"AAAAAGt8/74=")</f>
        <v>#REF!</v>
      </c>
      <c r="GJ95" t="e">
        <f>AND(#REF!,"AAAAAGt8/78=")</f>
        <v>#REF!</v>
      </c>
      <c r="GK95" t="e">
        <f>AND(#REF!,"AAAAAGt8/8A=")</f>
        <v>#REF!</v>
      </c>
      <c r="GL95" t="e">
        <f>AND(#REF!,"AAAAAGt8/8E=")</f>
        <v>#REF!</v>
      </c>
      <c r="GM95" t="e">
        <f>AND(#REF!,"AAAAAGt8/8I=")</f>
        <v>#REF!</v>
      </c>
      <c r="GN95" t="e">
        <f>AND(#REF!,"AAAAAGt8/8M=")</f>
        <v>#REF!</v>
      </c>
      <c r="GO95" t="e">
        <f>AND(#REF!,"AAAAAGt8/8Q=")</f>
        <v>#REF!</v>
      </c>
      <c r="GP95" t="e">
        <f>AND(#REF!,"AAAAAGt8/8U=")</f>
        <v>#REF!</v>
      </c>
      <c r="GQ95" t="e">
        <f>AND(#REF!,"AAAAAGt8/8Y=")</f>
        <v>#REF!</v>
      </c>
      <c r="GR95" t="e">
        <f>AND(#REF!,"AAAAAGt8/8c=")</f>
        <v>#REF!</v>
      </c>
      <c r="GS95" t="e">
        <f>AND(#REF!,"AAAAAGt8/8g=")</f>
        <v>#REF!</v>
      </c>
      <c r="GT95" t="e">
        <f>AND(#REF!,"AAAAAGt8/8k=")</f>
        <v>#REF!</v>
      </c>
      <c r="GU95" t="e">
        <f>AND(#REF!,"AAAAAGt8/8o=")</f>
        <v>#REF!</v>
      </c>
      <c r="GV95" t="e">
        <f>AND(#REF!,"AAAAAGt8/8s=")</f>
        <v>#REF!</v>
      </c>
      <c r="GW95" t="e">
        <f>AND(#REF!,"AAAAAGt8/8w=")</f>
        <v>#REF!</v>
      </c>
      <c r="GX95" t="e">
        <f>AND(#REF!,"AAAAAGt8/80=")</f>
        <v>#REF!</v>
      </c>
      <c r="GY95" t="e">
        <f>AND(#REF!,"AAAAAGt8/84=")</f>
        <v>#REF!</v>
      </c>
      <c r="GZ95" t="e">
        <f>AND(#REF!,"AAAAAGt8/88=")</f>
        <v>#REF!</v>
      </c>
      <c r="HA95" t="e">
        <f>AND(#REF!,"AAAAAGt8/9A=")</f>
        <v>#REF!</v>
      </c>
      <c r="HB95" t="e">
        <f>AND(#REF!,"AAAAAGt8/9E=")</f>
        <v>#REF!</v>
      </c>
      <c r="HC95" t="e">
        <f>AND(#REF!,"AAAAAGt8/9I=")</f>
        <v>#REF!</v>
      </c>
      <c r="HD95" t="e">
        <f>AND(#REF!,"AAAAAGt8/9M=")</f>
        <v>#REF!</v>
      </c>
      <c r="HE95" t="e">
        <f>AND(#REF!,"AAAAAGt8/9Q=")</f>
        <v>#REF!</v>
      </c>
      <c r="HF95" t="e">
        <f>AND(#REF!,"AAAAAGt8/9U=")</f>
        <v>#REF!</v>
      </c>
      <c r="HG95" t="e">
        <f>AND(#REF!,"AAAAAGt8/9Y=")</f>
        <v>#REF!</v>
      </c>
      <c r="HH95" t="e">
        <f>AND(#REF!,"AAAAAGt8/9c=")</f>
        <v>#REF!</v>
      </c>
      <c r="HI95" t="e">
        <f>AND(#REF!,"AAAAAGt8/9g=")</f>
        <v>#REF!</v>
      </c>
      <c r="HJ95" t="e">
        <f>AND(#REF!,"AAAAAGt8/9k=")</f>
        <v>#REF!</v>
      </c>
      <c r="HK95" t="e">
        <f>AND(#REF!,"AAAAAGt8/9o=")</f>
        <v>#REF!</v>
      </c>
      <c r="HL95" t="e">
        <f>AND(#REF!,"AAAAAGt8/9s=")</f>
        <v>#REF!</v>
      </c>
      <c r="HM95" t="e">
        <f>AND(#REF!,"AAAAAGt8/9w=")</f>
        <v>#REF!</v>
      </c>
      <c r="HN95" t="e">
        <f>AND(#REF!,"AAAAAGt8/90=")</f>
        <v>#REF!</v>
      </c>
      <c r="HO95" t="e">
        <f>AND(#REF!,"AAAAAGt8/94=")</f>
        <v>#REF!</v>
      </c>
      <c r="HP95" t="e">
        <f>AND(#REF!,"AAAAAGt8/98=")</f>
        <v>#REF!</v>
      </c>
      <c r="HQ95" t="e">
        <f>AND(#REF!,"AAAAAGt8/+A=")</f>
        <v>#REF!</v>
      </c>
      <c r="HR95" t="e">
        <f>AND(#REF!,"AAAAAGt8/+E=")</f>
        <v>#REF!</v>
      </c>
      <c r="HS95" t="e">
        <f>AND(#REF!,"AAAAAGt8/+I=")</f>
        <v>#REF!</v>
      </c>
      <c r="HT95" t="e">
        <f>AND(#REF!,"AAAAAGt8/+M=")</f>
        <v>#REF!</v>
      </c>
      <c r="HU95" t="e">
        <f>AND(#REF!,"AAAAAGt8/+Q=")</f>
        <v>#REF!</v>
      </c>
      <c r="HV95" t="e">
        <f>AND(#REF!,"AAAAAGt8/+U=")</f>
        <v>#REF!</v>
      </c>
      <c r="HW95" t="e">
        <f>AND(#REF!,"AAAAAGt8/+Y=")</f>
        <v>#REF!</v>
      </c>
      <c r="HX95" t="e">
        <f>AND(#REF!,"AAAAAGt8/+c=")</f>
        <v>#REF!</v>
      </c>
      <c r="HY95" t="e">
        <f>AND(#REF!,"AAAAAGt8/+g=")</f>
        <v>#REF!</v>
      </c>
      <c r="HZ95" t="e">
        <f>AND(#REF!,"AAAAAGt8/+k=")</f>
        <v>#REF!</v>
      </c>
      <c r="IA95" t="e">
        <f>AND(#REF!,"AAAAAGt8/+o=")</f>
        <v>#REF!</v>
      </c>
      <c r="IB95" t="e">
        <f>AND(#REF!,"AAAAAGt8/+s=")</f>
        <v>#REF!</v>
      </c>
      <c r="IC95" t="e">
        <f>AND(#REF!,"AAAAAGt8/+w=")</f>
        <v>#REF!</v>
      </c>
      <c r="ID95" t="e">
        <f>AND(#REF!,"AAAAAGt8/+0=")</f>
        <v>#REF!</v>
      </c>
      <c r="IE95" t="e">
        <f>AND(#REF!,"AAAAAGt8/+4=")</f>
        <v>#REF!</v>
      </c>
      <c r="IF95" t="e">
        <f>AND(#REF!,"AAAAAGt8/+8=")</f>
        <v>#REF!</v>
      </c>
      <c r="IG95" t="e">
        <f>AND(#REF!,"AAAAAGt8//A=")</f>
        <v>#REF!</v>
      </c>
      <c r="IH95" t="e">
        <f>AND(#REF!,"AAAAAGt8//E=")</f>
        <v>#REF!</v>
      </c>
      <c r="II95" t="e">
        <f>AND(#REF!,"AAAAAGt8//I=")</f>
        <v>#REF!</v>
      </c>
      <c r="IJ95" t="e">
        <f>AND(#REF!,"AAAAAGt8//M=")</f>
        <v>#REF!</v>
      </c>
      <c r="IK95" t="e">
        <f>AND(#REF!,"AAAAAGt8//Q=")</f>
        <v>#REF!</v>
      </c>
      <c r="IL95" t="e">
        <f>AND(#REF!,"AAAAAGt8//U=")</f>
        <v>#REF!</v>
      </c>
      <c r="IM95" t="e">
        <f>AND(#REF!,"AAAAAGt8//Y=")</f>
        <v>#REF!</v>
      </c>
      <c r="IN95" t="e">
        <f>AND(#REF!,"AAAAAGt8//c=")</f>
        <v>#REF!</v>
      </c>
      <c r="IO95" t="e">
        <f>AND(#REF!,"AAAAAGt8//g=")</f>
        <v>#REF!</v>
      </c>
      <c r="IP95" t="e">
        <f>AND(#REF!,"AAAAAGt8//k=")</f>
        <v>#REF!</v>
      </c>
      <c r="IQ95" t="e">
        <f>AND(#REF!,"AAAAAGt8//o=")</f>
        <v>#REF!</v>
      </c>
      <c r="IR95" t="e">
        <f>AND(#REF!,"AAAAAGt8//s=")</f>
        <v>#REF!</v>
      </c>
      <c r="IS95" t="e">
        <f>AND(#REF!,"AAAAAGt8//w=")</f>
        <v>#REF!</v>
      </c>
      <c r="IT95" t="e">
        <f>AND(#REF!,"AAAAAGt8//0=")</f>
        <v>#REF!</v>
      </c>
      <c r="IU95" t="e">
        <f>AND(#REF!,"AAAAAGt8//4=")</f>
        <v>#REF!</v>
      </c>
      <c r="IV95" t="e">
        <f>AND(#REF!,"AAAAAGt8//8=")</f>
        <v>#REF!</v>
      </c>
    </row>
    <row r="96" spans="1:256" x14ac:dyDescent="0.25">
      <c r="A96" t="e">
        <f>AND(#REF!,"AAAAAH+B/wA=")</f>
        <v>#REF!</v>
      </c>
      <c r="B96" t="e">
        <f>AND(#REF!,"AAAAAH+B/wE=")</f>
        <v>#REF!</v>
      </c>
      <c r="C96" t="e">
        <f>AND(#REF!,"AAAAAH+B/wI=")</f>
        <v>#REF!</v>
      </c>
      <c r="D96" t="e">
        <f>AND(#REF!,"AAAAAH+B/wM=")</f>
        <v>#REF!</v>
      </c>
      <c r="E96" t="e">
        <f>AND(#REF!,"AAAAAH+B/wQ=")</f>
        <v>#REF!</v>
      </c>
      <c r="F96" t="e">
        <f>AND(#REF!,"AAAAAH+B/wU=")</f>
        <v>#REF!</v>
      </c>
      <c r="G96" t="e">
        <f>AND(#REF!,"AAAAAH+B/wY=")</f>
        <v>#REF!</v>
      </c>
      <c r="H96" t="e">
        <f>AND(#REF!,"AAAAAH+B/wc=")</f>
        <v>#REF!</v>
      </c>
      <c r="I96" t="e">
        <f>AND(#REF!,"AAAAAH+B/wg=")</f>
        <v>#REF!</v>
      </c>
      <c r="J96" t="e">
        <f>AND(#REF!,"AAAAAH+B/wk=")</f>
        <v>#REF!</v>
      </c>
      <c r="K96" t="e">
        <f>AND(#REF!,"AAAAAH+B/wo=")</f>
        <v>#REF!</v>
      </c>
      <c r="L96" t="e">
        <f>AND(#REF!,"AAAAAH+B/ws=")</f>
        <v>#REF!</v>
      </c>
      <c r="M96" t="e">
        <f>AND(#REF!,"AAAAAH+B/ww=")</f>
        <v>#REF!</v>
      </c>
      <c r="N96" t="e">
        <f>AND(#REF!,"AAAAAH+B/w0=")</f>
        <v>#REF!</v>
      </c>
      <c r="O96" t="e">
        <f>AND(#REF!,"AAAAAH+B/w4=")</f>
        <v>#REF!</v>
      </c>
      <c r="P96" t="e">
        <f>AND(#REF!,"AAAAAH+B/w8=")</f>
        <v>#REF!</v>
      </c>
      <c r="Q96" t="e">
        <f>AND(#REF!,"AAAAAH+B/xA=")</f>
        <v>#REF!</v>
      </c>
      <c r="R96" t="e">
        <f>AND(#REF!,"AAAAAH+B/xE=")</f>
        <v>#REF!</v>
      </c>
      <c r="S96" t="e">
        <f>AND(#REF!,"AAAAAH+B/xI=")</f>
        <v>#REF!</v>
      </c>
      <c r="T96" t="e">
        <f>AND(#REF!,"AAAAAH+B/xM=")</f>
        <v>#REF!</v>
      </c>
      <c r="U96" t="e">
        <f>AND(#REF!,"AAAAAH+B/xQ=")</f>
        <v>#REF!</v>
      </c>
      <c r="V96" t="e">
        <f>AND(#REF!,"AAAAAH+B/xU=")</f>
        <v>#REF!</v>
      </c>
      <c r="W96" t="e">
        <f>AND(#REF!,"AAAAAH+B/xY=")</f>
        <v>#REF!</v>
      </c>
      <c r="X96" t="e">
        <f>AND(#REF!,"AAAAAH+B/xc=")</f>
        <v>#REF!</v>
      </c>
      <c r="Y96" t="e">
        <f>AND(#REF!,"AAAAAH+B/xg=")</f>
        <v>#REF!</v>
      </c>
      <c r="Z96" t="e">
        <f>AND(#REF!,"AAAAAH+B/xk=")</f>
        <v>#REF!</v>
      </c>
      <c r="AA96" t="e">
        <f>IF(#REF!,"AAAAAH+B/xo=",0)</f>
        <v>#REF!</v>
      </c>
      <c r="AB96" t="e">
        <f>AND(#REF!,"AAAAAH+B/xs=")</f>
        <v>#REF!</v>
      </c>
      <c r="AC96" t="e">
        <f>AND(#REF!,"AAAAAH+B/xw=")</f>
        <v>#REF!</v>
      </c>
      <c r="AD96" t="e">
        <f>AND(#REF!,"AAAAAH+B/x0=")</f>
        <v>#REF!</v>
      </c>
      <c r="AE96" t="e">
        <f>AND(#REF!,"AAAAAH+B/x4=")</f>
        <v>#REF!</v>
      </c>
      <c r="AF96" t="e">
        <f>AND(#REF!,"AAAAAH+B/x8=")</f>
        <v>#REF!</v>
      </c>
      <c r="AG96" t="e">
        <f>AND(#REF!,"AAAAAH+B/yA=")</f>
        <v>#REF!</v>
      </c>
      <c r="AH96" t="e">
        <f>AND(#REF!,"AAAAAH+B/yE=")</f>
        <v>#REF!</v>
      </c>
      <c r="AI96" t="e">
        <f>AND(#REF!,"AAAAAH+B/yI=")</f>
        <v>#REF!</v>
      </c>
      <c r="AJ96" t="e">
        <f>AND(#REF!,"AAAAAH+B/yM=")</f>
        <v>#REF!</v>
      </c>
      <c r="AK96" t="e">
        <f>AND(#REF!,"AAAAAH+B/yQ=")</f>
        <v>#REF!</v>
      </c>
      <c r="AL96" t="e">
        <f>AND(#REF!,"AAAAAH+B/yU=")</f>
        <v>#REF!</v>
      </c>
      <c r="AM96" t="e">
        <f>AND(#REF!,"AAAAAH+B/yY=")</f>
        <v>#REF!</v>
      </c>
      <c r="AN96" t="e">
        <f>AND(#REF!,"AAAAAH+B/yc=")</f>
        <v>#REF!</v>
      </c>
      <c r="AO96" t="e">
        <f>AND(#REF!,"AAAAAH+B/yg=")</f>
        <v>#REF!</v>
      </c>
      <c r="AP96" t="e">
        <f>AND(#REF!,"AAAAAH+B/yk=")</f>
        <v>#REF!</v>
      </c>
      <c r="AQ96" t="e">
        <f>AND(#REF!,"AAAAAH+B/yo=")</f>
        <v>#REF!</v>
      </c>
      <c r="AR96" t="e">
        <f>AND(#REF!,"AAAAAH+B/ys=")</f>
        <v>#REF!</v>
      </c>
      <c r="AS96" t="e">
        <f>AND(#REF!,"AAAAAH+B/yw=")</f>
        <v>#REF!</v>
      </c>
      <c r="AT96" t="e">
        <f>AND(#REF!,"AAAAAH+B/y0=")</f>
        <v>#REF!</v>
      </c>
      <c r="AU96" t="e">
        <f>AND(#REF!,"AAAAAH+B/y4=")</f>
        <v>#REF!</v>
      </c>
      <c r="AV96" t="e">
        <f>AND(#REF!,"AAAAAH+B/y8=")</f>
        <v>#REF!</v>
      </c>
      <c r="AW96" t="e">
        <f>AND(#REF!,"AAAAAH+B/zA=")</f>
        <v>#REF!</v>
      </c>
      <c r="AX96" t="e">
        <f>AND(#REF!,"AAAAAH+B/zE=")</f>
        <v>#REF!</v>
      </c>
      <c r="AY96" t="e">
        <f>AND(#REF!,"AAAAAH+B/zI=")</f>
        <v>#REF!</v>
      </c>
      <c r="AZ96" t="e">
        <f>AND(#REF!,"AAAAAH+B/zM=")</f>
        <v>#REF!</v>
      </c>
      <c r="BA96" t="e">
        <f>AND(#REF!,"AAAAAH+B/zQ=")</f>
        <v>#REF!</v>
      </c>
      <c r="BB96" t="e">
        <f>AND(#REF!,"AAAAAH+B/zU=")</f>
        <v>#REF!</v>
      </c>
      <c r="BC96" t="e">
        <f>AND(#REF!,"AAAAAH+B/zY=")</f>
        <v>#REF!</v>
      </c>
      <c r="BD96" t="e">
        <f>AND(#REF!,"AAAAAH+B/zc=")</f>
        <v>#REF!</v>
      </c>
      <c r="BE96" t="e">
        <f>AND(#REF!,"AAAAAH+B/zg=")</f>
        <v>#REF!</v>
      </c>
      <c r="BF96" t="e">
        <f>AND(#REF!,"AAAAAH+B/zk=")</f>
        <v>#REF!</v>
      </c>
      <c r="BG96" t="e">
        <f>AND(#REF!,"AAAAAH+B/zo=")</f>
        <v>#REF!</v>
      </c>
      <c r="BH96" t="e">
        <f>AND(#REF!,"AAAAAH+B/zs=")</f>
        <v>#REF!</v>
      </c>
      <c r="BI96" t="e">
        <f>AND(#REF!,"AAAAAH+B/zw=")</f>
        <v>#REF!</v>
      </c>
      <c r="BJ96" t="e">
        <f>AND(#REF!,"AAAAAH+B/z0=")</f>
        <v>#REF!</v>
      </c>
      <c r="BK96" t="e">
        <f>AND(#REF!,"AAAAAH+B/z4=")</f>
        <v>#REF!</v>
      </c>
      <c r="BL96" t="e">
        <f>AND(#REF!,"AAAAAH+B/z8=")</f>
        <v>#REF!</v>
      </c>
      <c r="BM96" t="e">
        <f>AND(#REF!,"AAAAAH+B/0A=")</f>
        <v>#REF!</v>
      </c>
      <c r="BN96" t="e">
        <f>AND(#REF!,"AAAAAH+B/0E=")</f>
        <v>#REF!</v>
      </c>
      <c r="BO96" t="e">
        <f>AND(#REF!,"AAAAAH+B/0I=")</f>
        <v>#REF!</v>
      </c>
      <c r="BP96" t="e">
        <f>AND(#REF!,"AAAAAH+B/0M=")</f>
        <v>#REF!</v>
      </c>
      <c r="BQ96" t="e">
        <f>AND(#REF!,"AAAAAH+B/0Q=")</f>
        <v>#REF!</v>
      </c>
      <c r="BR96" t="e">
        <f>AND(#REF!,"AAAAAH+B/0U=")</f>
        <v>#REF!</v>
      </c>
      <c r="BS96" t="e">
        <f>AND(#REF!,"AAAAAH+B/0Y=")</f>
        <v>#REF!</v>
      </c>
      <c r="BT96" t="e">
        <f>AND(#REF!,"AAAAAH+B/0c=")</f>
        <v>#REF!</v>
      </c>
      <c r="BU96" t="e">
        <f>AND(#REF!,"AAAAAH+B/0g=")</f>
        <v>#REF!</v>
      </c>
      <c r="BV96" t="e">
        <f>AND(#REF!,"AAAAAH+B/0k=")</f>
        <v>#REF!</v>
      </c>
      <c r="BW96" t="e">
        <f>AND(#REF!,"AAAAAH+B/0o=")</f>
        <v>#REF!</v>
      </c>
      <c r="BX96" t="e">
        <f>AND(#REF!,"AAAAAH+B/0s=")</f>
        <v>#REF!</v>
      </c>
      <c r="BY96" t="e">
        <f>AND(#REF!,"AAAAAH+B/0w=")</f>
        <v>#REF!</v>
      </c>
      <c r="BZ96" t="e">
        <f>AND(#REF!,"AAAAAH+B/00=")</f>
        <v>#REF!</v>
      </c>
      <c r="CA96" t="e">
        <f>AND(#REF!,"AAAAAH+B/04=")</f>
        <v>#REF!</v>
      </c>
      <c r="CB96" t="e">
        <f>AND(#REF!,"AAAAAH+B/08=")</f>
        <v>#REF!</v>
      </c>
      <c r="CC96" t="e">
        <f>AND(#REF!,"AAAAAH+B/1A=")</f>
        <v>#REF!</v>
      </c>
      <c r="CD96" t="e">
        <f>AND(#REF!,"AAAAAH+B/1E=")</f>
        <v>#REF!</v>
      </c>
      <c r="CE96" t="e">
        <f>AND(#REF!,"AAAAAH+B/1I=")</f>
        <v>#REF!</v>
      </c>
      <c r="CF96" t="e">
        <f>AND(#REF!,"AAAAAH+B/1M=")</f>
        <v>#REF!</v>
      </c>
      <c r="CG96" t="e">
        <f>AND(#REF!,"AAAAAH+B/1Q=")</f>
        <v>#REF!</v>
      </c>
      <c r="CH96" t="e">
        <f>AND(#REF!,"AAAAAH+B/1U=")</f>
        <v>#REF!</v>
      </c>
      <c r="CI96" t="e">
        <f>AND(#REF!,"AAAAAH+B/1Y=")</f>
        <v>#REF!</v>
      </c>
      <c r="CJ96" t="e">
        <f>AND(#REF!,"AAAAAH+B/1c=")</f>
        <v>#REF!</v>
      </c>
      <c r="CK96" t="e">
        <f>AND(#REF!,"AAAAAH+B/1g=")</f>
        <v>#REF!</v>
      </c>
      <c r="CL96" t="e">
        <f>AND(#REF!,"AAAAAH+B/1k=")</f>
        <v>#REF!</v>
      </c>
      <c r="CM96" t="e">
        <f>AND(#REF!,"AAAAAH+B/1o=")</f>
        <v>#REF!</v>
      </c>
      <c r="CN96" t="e">
        <f>AND(#REF!,"AAAAAH+B/1s=")</f>
        <v>#REF!</v>
      </c>
      <c r="CO96" t="e">
        <f>AND(#REF!,"AAAAAH+B/1w=")</f>
        <v>#REF!</v>
      </c>
      <c r="CP96" t="e">
        <f>AND(#REF!,"AAAAAH+B/10=")</f>
        <v>#REF!</v>
      </c>
      <c r="CQ96" t="e">
        <f>AND(#REF!,"AAAAAH+B/14=")</f>
        <v>#REF!</v>
      </c>
      <c r="CR96" t="e">
        <f>AND(#REF!,"AAAAAH+B/18=")</f>
        <v>#REF!</v>
      </c>
      <c r="CS96" t="e">
        <f>AND(#REF!,"AAAAAH+B/2A=")</f>
        <v>#REF!</v>
      </c>
      <c r="CT96" t="e">
        <f>AND(#REF!,"AAAAAH+B/2E=")</f>
        <v>#REF!</v>
      </c>
      <c r="CU96" t="e">
        <f>AND(#REF!,"AAAAAH+B/2I=")</f>
        <v>#REF!</v>
      </c>
      <c r="CV96" t="e">
        <f>AND(#REF!,"AAAAAH+B/2M=")</f>
        <v>#REF!</v>
      </c>
      <c r="CW96" t="e">
        <f>AND(#REF!,"AAAAAH+B/2Q=")</f>
        <v>#REF!</v>
      </c>
      <c r="CX96" t="e">
        <f>AND(#REF!,"AAAAAH+B/2U=")</f>
        <v>#REF!</v>
      </c>
      <c r="CY96" t="e">
        <f>AND(#REF!,"AAAAAH+B/2Y=")</f>
        <v>#REF!</v>
      </c>
      <c r="CZ96" t="e">
        <f>AND(#REF!,"AAAAAH+B/2c=")</f>
        <v>#REF!</v>
      </c>
      <c r="DA96" t="e">
        <f>AND(#REF!,"AAAAAH+B/2g=")</f>
        <v>#REF!</v>
      </c>
      <c r="DB96" t="e">
        <f>AND(#REF!,"AAAAAH+B/2k=")</f>
        <v>#REF!</v>
      </c>
      <c r="DC96" t="e">
        <f>AND(#REF!,"AAAAAH+B/2o=")</f>
        <v>#REF!</v>
      </c>
      <c r="DD96" t="e">
        <f>AND(#REF!,"AAAAAH+B/2s=")</f>
        <v>#REF!</v>
      </c>
      <c r="DE96" t="e">
        <f>AND(#REF!,"AAAAAH+B/2w=")</f>
        <v>#REF!</v>
      </c>
      <c r="DF96" t="e">
        <f>AND(#REF!,"AAAAAH+B/20=")</f>
        <v>#REF!</v>
      </c>
      <c r="DG96" t="e">
        <f>AND(#REF!,"AAAAAH+B/24=")</f>
        <v>#REF!</v>
      </c>
      <c r="DH96" t="e">
        <f>AND(#REF!,"AAAAAH+B/28=")</f>
        <v>#REF!</v>
      </c>
      <c r="DI96" t="e">
        <f>AND(#REF!,"AAAAAH+B/3A=")</f>
        <v>#REF!</v>
      </c>
      <c r="DJ96" t="e">
        <f>AND(#REF!,"AAAAAH+B/3E=")</f>
        <v>#REF!</v>
      </c>
      <c r="DK96" t="e">
        <f>AND(#REF!,"AAAAAH+B/3I=")</f>
        <v>#REF!</v>
      </c>
      <c r="DL96" t="e">
        <f>AND(#REF!,"AAAAAH+B/3M=")</f>
        <v>#REF!</v>
      </c>
      <c r="DM96" t="e">
        <f>AND(#REF!,"AAAAAH+B/3Q=")</f>
        <v>#REF!</v>
      </c>
      <c r="DN96" t="e">
        <f>AND(#REF!,"AAAAAH+B/3U=")</f>
        <v>#REF!</v>
      </c>
      <c r="DO96" t="e">
        <f>AND(#REF!,"AAAAAH+B/3Y=")</f>
        <v>#REF!</v>
      </c>
      <c r="DP96" t="e">
        <f>AND(#REF!,"AAAAAH+B/3c=")</f>
        <v>#REF!</v>
      </c>
      <c r="DQ96" t="e">
        <f>AND(#REF!,"AAAAAH+B/3g=")</f>
        <v>#REF!</v>
      </c>
      <c r="DR96" t="e">
        <f>AND(#REF!,"AAAAAH+B/3k=")</f>
        <v>#REF!</v>
      </c>
      <c r="DS96" t="e">
        <f>AND(#REF!,"AAAAAH+B/3o=")</f>
        <v>#REF!</v>
      </c>
      <c r="DT96" t="e">
        <f>AND(#REF!,"AAAAAH+B/3s=")</f>
        <v>#REF!</v>
      </c>
      <c r="DU96" t="e">
        <f>AND(#REF!,"AAAAAH+B/3w=")</f>
        <v>#REF!</v>
      </c>
      <c r="DV96" t="e">
        <f>AND(#REF!,"AAAAAH+B/30=")</f>
        <v>#REF!</v>
      </c>
      <c r="DW96" t="e">
        <f>AND(#REF!,"AAAAAH+B/34=")</f>
        <v>#REF!</v>
      </c>
      <c r="DX96" t="e">
        <f>AND(#REF!,"AAAAAH+B/38=")</f>
        <v>#REF!</v>
      </c>
      <c r="DY96" t="e">
        <f>AND(#REF!,"AAAAAH+B/4A=")</f>
        <v>#REF!</v>
      </c>
      <c r="DZ96" t="e">
        <f>AND(#REF!,"AAAAAH+B/4E=")</f>
        <v>#REF!</v>
      </c>
      <c r="EA96" t="e">
        <f>AND(#REF!,"AAAAAH+B/4I=")</f>
        <v>#REF!</v>
      </c>
      <c r="EB96" t="e">
        <f>AND(#REF!,"AAAAAH+B/4M=")</f>
        <v>#REF!</v>
      </c>
      <c r="EC96" t="e">
        <f>AND(#REF!,"AAAAAH+B/4Q=")</f>
        <v>#REF!</v>
      </c>
      <c r="ED96" t="e">
        <f>AND(#REF!,"AAAAAH+B/4U=")</f>
        <v>#REF!</v>
      </c>
      <c r="EE96" t="e">
        <f>AND(#REF!,"AAAAAH+B/4Y=")</f>
        <v>#REF!</v>
      </c>
      <c r="EF96" t="e">
        <f>AND(#REF!,"AAAAAH+B/4c=")</f>
        <v>#REF!</v>
      </c>
      <c r="EG96" t="e">
        <f>AND(#REF!,"AAAAAH+B/4g=")</f>
        <v>#REF!</v>
      </c>
      <c r="EH96" t="e">
        <f>AND(#REF!,"AAAAAH+B/4k=")</f>
        <v>#REF!</v>
      </c>
      <c r="EI96" t="e">
        <f>AND(#REF!,"AAAAAH+B/4o=")</f>
        <v>#REF!</v>
      </c>
      <c r="EJ96" t="e">
        <f>AND(#REF!,"AAAAAH+B/4s=")</f>
        <v>#REF!</v>
      </c>
      <c r="EK96" t="e">
        <f>AND(#REF!,"AAAAAH+B/4w=")</f>
        <v>#REF!</v>
      </c>
      <c r="EL96" t="e">
        <f>AND(#REF!,"AAAAAH+B/40=")</f>
        <v>#REF!</v>
      </c>
      <c r="EM96" t="e">
        <f>AND(#REF!,"AAAAAH+B/44=")</f>
        <v>#REF!</v>
      </c>
      <c r="EN96" t="e">
        <f>AND(#REF!,"AAAAAH+B/48=")</f>
        <v>#REF!</v>
      </c>
      <c r="EO96" t="e">
        <f>AND(#REF!,"AAAAAH+B/5A=")</f>
        <v>#REF!</v>
      </c>
      <c r="EP96" t="e">
        <f>AND(#REF!,"AAAAAH+B/5E=")</f>
        <v>#REF!</v>
      </c>
      <c r="EQ96" t="e">
        <f>AND(#REF!,"AAAAAH+B/5I=")</f>
        <v>#REF!</v>
      </c>
      <c r="ER96" t="e">
        <f>AND(#REF!,"AAAAAH+B/5M=")</f>
        <v>#REF!</v>
      </c>
      <c r="ES96" t="e">
        <f>AND(#REF!,"AAAAAH+B/5Q=")</f>
        <v>#REF!</v>
      </c>
      <c r="ET96" t="e">
        <f>AND(#REF!,"AAAAAH+B/5U=")</f>
        <v>#REF!</v>
      </c>
      <c r="EU96" t="e">
        <f>AND(#REF!,"AAAAAH+B/5Y=")</f>
        <v>#REF!</v>
      </c>
      <c r="EV96" t="e">
        <f>AND(#REF!,"AAAAAH+B/5c=")</f>
        <v>#REF!</v>
      </c>
      <c r="EW96" t="e">
        <f>AND(#REF!,"AAAAAH+B/5g=")</f>
        <v>#REF!</v>
      </c>
      <c r="EX96" t="e">
        <f>AND(#REF!,"AAAAAH+B/5k=")</f>
        <v>#REF!</v>
      </c>
      <c r="EY96" t="e">
        <f>AND(#REF!,"AAAAAH+B/5o=")</f>
        <v>#REF!</v>
      </c>
      <c r="EZ96" t="e">
        <f>AND(#REF!,"AAAAAH+B/5s=")</f>
        <v>#REF!</v>
      </c>
      <c r="FA96" t="e">
        <f>AND(#REF!,"AAAAAH+B/5w=")</f>
        <v>#REF!</v>
      </c>
      <c r="FB96" t="e">
        <f>AND(#REF!,"AAAAAH+B/50=")</f>
        <v>#REF!</v>
      </c>
      <c r="FC96" t="e">
        <f>AND(#REF!,"AAAAAH+B/54=")</f>
        <v>#REF!</v>
      </c>
      <c r="FD96" t="e">
        <f>AND(#REF!,"AAAAAH+B/58=")</f>
        <v>#REF!</v>
      </c>
      <c r="FE96" t="e">
        <f>AND(#REF!,"AAAAAH+B/6A=")</f>
        <v>#REF!</v>
      </c>
      <c r="FF96" t="e">
        <f>AND(#REF!,"AAAAAH+B/6E=")</f>
        <v>#REF!</v>
      </c>
      <c r="FG96" t="e">
        <f>AND(#REF!,"AAAAAH+B/6I=")</f>
        <v>#REF!</v>
      </c>
      <c r="FH96" t="e">
        <f>AND(#REF!,"AAAAAH+B/6M=")</f>
        <v>#REF!</v>
      </c>
      <c r="FI96" t="e">
        <f>AND(#REF!,"AAAAAH+B/6Q=")</f>
        <v>#REF!</v>
      </c>
      <c r="FJ96" t="e">
        <f>AND(#REF!,"AAAAAH+B/6U=")</f>
        <v>#REF!</v>
      </c>
      <c r="FK96" t="e">
        <f>AND(#REF!,"AAAAAH+B/6Y=")</f>
        <v>#REF!</v>
      </c>
      <c r="FL96" t="e">
        <f>AND(#REF!,"AAAAAH+B/6c=")</f>
        <v>#REF!</v>
      </c>
      <c r="FM96" t="e">
        <f>AND(#REF!,"AAAAAH+B/6g=")</f>
        <v>#REF!</v>
      </c>
      <c r="FN96" t="e">
        <f>AND(#REF!,"AAAAAH+B/6k=")</f>
        <v>#REF!</v>
      </c>
      <c r="FO96" t="e">
        <f>AND(#REF!,"AAAAAH+B/6o=")</f>
        <v>#REF!</v>
      </c>
      <c r="FP96" t="e">
        <f>AND(#REF!,"AAAAAH+B/6s=")</f>
        <v>#REF!</v>
      </c>
      <c r="FQ96" t="e">
        <f>AND(#REF!,"AAAAAH+B/6w=")</f>
        <v>#REF!</v>
      </c>
      <c r="FR96" t="e">
        <f>AND(#REF!,"AAAAAH+B/60=")</f>
        <v>#REF!</v>
      </c>
      <c r="FS96" t="e">
        <f>AND(#REF!,"AAAAAH+B/64=")</f>
        <v>#REF!</v>
      </c>
      <c r="FT96" t="e">
        <f>AND(#REF!,"AAAAAH+B/68=")</f>
        <v>#REF!</v>
      </c>
      <c r="FU96" t="e">
        <f>AND(#REF!,"AAAAAH+B/7A=")</f>
        <v>#REF!</v>
      </c>
      <c r="FV96" t="e">
        <f>AND(#REF!,"AAAAAH+B/7E=")</f>
        <v>#REF!</v>
      </c>
      <c r="FW96" t="e">
        <f>AND(#REF!,"AAAAAH+B/7I=")</f>
        <v>#REF!</v>
      </c>
      <c r="FX96" t="e">
        <f>AND(#REF!,"AAAAAH+B/7M=")</f>
        <v>#REF!</v>
      </c>
      <c r="FY96" t="e">
        <f>AND(#REF!,"AAAAAH+B/7Q=")</f>
        <v>#REF!</v>
      </c>
      <c r="FZ96" t="e">
        <f>AND(#REF!,"AAAAAH+B/7U=")</f>
        <v>#REF!</v>
      </c>
      <c r="GA96" t="e">
        <f>AND(#REF!,"AAAAAH+B/7Y=")</f>
        <v>#REF!</v>
      </c>
      <c r="GB96" t="e">
        <f>AND(#REF!,"AAAAAH+B/7c=")</f>
        <v>#REF!</v>
      </c>
      <c r="GC96" t="e">
        <f>AND(#REF!,"AAAAAH+B/7g=")</f>
        <v>#REF!</v>
      </c>
      <c r="GD96" t="e">
        <f>AND(#REF!,"AAAAAH+B/7k=")</f>
        <v>#REF!</v>
      </c>
      <c r="GE96" t="e">
        <f>AND(#REF!,"AAAAAH+B/7o=")</f>
        <v>#REF!</v>
      </c>
      <c r="GF96" t="e">
        <f>AND(#REF!,"AAAAAH+B/7s=")</f>
        <v>#REF!</v>
      </c>
      <c r="GG96" t="e">
        <f>AND(#REF!,"AAAAAH+B/7w=")</f>
        <v>#REF!</v>
      </c>
      <c r="GH96" t="e">
        <f>AND(#REF!,"AAAAAH+B/70=")</f>
        <v>#REF!</v>
      </c>
      <c r="GI96" t="e">
        <f>AND(#REF!,"AAAAAH+B/74=")</f>
        <v>#REF!</v>
      </c>
      <c r="GJ96" t="e">
        <f>AND(#REF!,"AAAAAH+B/78=")</f>
        <v>#REF!</v>
      </c>
      <c r="GK96" t="e">
        <f>AND(#REF!,"AAAAAH+B/8A=")</f>
        <v>#REF!</v>
      </c>
      <c r="GL96" t="e">
        <f>AND(#REF!,"AAAAAH+B/8E=")</f>
        <v>#REF!</v>
      </c>
      <c r="GM96" t="e">
        <f>AND(#REF!,"AAAAAH+B/8I=")</f>
        <v>#REF!</v>
      </c>
      <c r="GN96" t="e">
        <f>AND(#REF!,"AAAAAH+B/8M=")</f>
        <v>#REF!</v>
      </c>
      <c r="GO96" t="e">
        <f>AND(#REF!,"AAAAAH+B/8Q=")</f>
        <v>#REF!</v>
      </c>
      <c r="GP96" t="e">
        <f>AND(#REF!,"AAAAAH+B/8U=")</f>
        <v>#REF!</v>
      </c>
      <c r="GQ96" t="e">
        <f>AND(#REF!,"AAAAAH+B/8Y=")</f>
        <v>#REF!</v>
      </c>
      <c r="GR96" t="e">
        <f>AND(#REF!,"AAAAAH+B/8c=")</f>
        <v>#REF!</v>
      </c>
      <c r="GS96" t="e">
        <f>AND(#REF!,"AAAAAH+B/8g=")</f>
        <v>#REF!</v>
      </c>
      <c r="GT96" t="e">
        <f>AND(#REF!,"AAAAAH+B/8k=")</f>
        <v>#REF!</v>
      </c>
      <c r="GU96" t="e">
        <f>AND(#REF!,"AAAAAH+B/8o=")</f>
        <v>#REF!</v>
      </c>
      <c r="GV96" t="e">
        <f>AND(#REF!,"AAAAAH+B/8s=")</f>
        <v>#REF!</v>
      </c>
      <c r="GW96" t="e">
        <f>AND(#REF!,"AAAAAH+B/8w=")</f>
        <v>#REF!</v>
      </c>
      <c r="GX96" t="e">
        <f>AND(#REF!,"AAAAAH+B/80=")</f>
        <v>#REF!</v>
      </c>
      <c r="GY96" t="e">
        <f>AND(#REF!,"AAAAAH+B/84=")</f>
        <v>#REF!</v>
      </c>
      <c r="GZ96" t="e">
        <f>AND(#REF!,"AAAAAH+B/88=")</f>
        <v>#REF!</v>
      </c>
      <c r="HA96" t="e">
        <f>AND(#REF!,"AAAAAH+B/9A=")</f>
        <v>#REF!</v>
      </c>
      <c r="HB96" t="e">
        <f>AND(#REF!,"AAAAAH+B/9E=")</f>
        <v>#REF!</v>
      </c>
      <c r="HC96" t="e">
        <f>AND(#REF!,"AAAAAH+B/9I=")</f>
        <v>#REF!</v>
      </c>
      <c r="HD96" t="e">
        <f>AND(#REF!,"AAAAAH+B/9M=")</f>
        <v>#REF!</v>
      </c>
      <c r="HE96" t="e">
        <f>AND(#REF!,"AAAAAH+B/9Q=")</f>
        <v>#REF!</v>
      </c>
      <c r="HF96" t="e">
        <f>AND(#REF!,"AAAAAH+B/9U=")</f>
        <v>#REF!</v>
      </c>
      <c r="HG96" t="e">
        <f>AND(#REF!,"AAAAAH+B/9Y=")</f>
        <v>#REF!</v>
      </c>
      <c r="HH96" t="e">
        <f>IF(#REF!,"AAAAAH+B/9c=",0)</f>
        <v>#REF!</v>
      </c>
      <c r="HI96" t="e">
        <f>AND(#REF!,"AAAAAH+B/9g=")</f>
        <v>#REF!</v>
      </c>
      <c r="HJ96" t="e">
        <f>AND(#REF!,"AAAAAH+B/9k=")</f>
        <v>#REF!</v>
      </c>
      <c r="HK96" t="e">
        <f>AND(#REF!,"AAAAAH+B/9o=")</f>
        <v>#REF!</v>
      </c>
      <c r="HL96" t="e">
        <f>AND(#REF!,"AAAAAH+B/9s=")</f>
        <v>#REF!</v>
      </c>
      <c r="HM96" t="e">
        <f>AND(#REF!,"AAAAAH+B/9w=")</f>
        <v>#REF!</v>
      </c>
      <c r="HN96" t="e">
        <f>AND(#REF!,"AAAAAH+B/90=")</f>
        <v>#REF!</v>
      </c>
      <c r="HO96" t="e">
        <f>AND(#REF!,"AAAAAH+B/94=")</f>
        <v>#REF!</v>
      </c>
      <c r="HP96" t="e">
        <f>AND(#REF!,"AAAAAH+B/98=")</f>
        <v>#REF!</v>
      </c>
      <c r="HQ96" t="e">
        <f>AND(#REF!,"AAAAAH+B/+A=")</f>
        <v>#REF!</v>
      </c>
      <c r="HR96" t="e">
        <f>AND(#REF!,"AAAAAH+B/+E=")</f>
        <v>#REF!</v>
      </c>
      <c r="HS96" t="e">
        <f>AND(#REF!,"AAAAAH+B/+I=")</f>
        <v>#REF!</v>
      </c>
      <c r="HT96" t="e">
        <f>AND(#REF!,"AAAAAH+B/+M=")</f>
        <v>#REF!</v>
      </c>
      <c r="HU96" t="e">
        <f>AND(#REF!,"AAAAAH+B/+Q=")</f>
        <v>#REF!</v>
      </c>
      <c r="HV96" t="e">
        <f>AND(#REF!,"AAAAAH+B/+U=")</f>
        <v>#REF!</v>
      </c>
      <c r="HW96" t="e">
        <f>AND(#REF!,"AAAAAH+B/+Y=")</f>
        <v>#REF!</v>
      </c>
      <c r="HX96" t="e">
        <f>AND(#REF!,"AAAAAH+B/+c=")</f>
        <v>#REF!</v>
      </c>
      <c r="HY96" t="e">
        <f>AND(#REF!,"AAAAAH+B/+g=")</f>
        <v>#REF!</v>
      </c>
      <c r="HZ96" t="e">
        <f>AND(#REF!,"AAAAAH+B/+k=")</f>
        <v>#REF!</v>
      </c>
      <c r="IA96" t="e">
        <f>AND(#REF!,"AAAAAH+B/+o=")</f>
        <v>#REF!</v>
      </c>
      <c r="IB96" t="e">
        <f>AND(#REF!,"AAAAAH+B/+s=")</f>
        <v>#REF!</v>
      </c>
      <c r="IC96" t="e">
        <f>AND(#REF!,"AAAAAH+B/+w=")</f>
        <v>#REF!</v>
      </c>
      <c r="ID96" t="e">
        <f>AND(#REF!,"AAAAAH+B/+0=")</f>
        <v>#REF!</v>
      </c>
      <c r="IE96" t="e">
        <f>AND(#REF!,"AAAAAH+B/+4=")</f>
        <v>#REF!</v>
      </c>
      <c r="IF96" t="e">
        <f>AND(#REF!,"AAAAAH+B/+8=")</f>
        <v>#REF!</v>
      </c>
      <c r="IG96" t="e">
        <f>AND(#REF!,"AAAAAH+B//A=")</f>
        <v>#REF!</v>
      </c>
      <c r="IH96" t="e">
        <f>AND(#REF!,"AAAAAH+B//E=")</f>
        <v>#REF!</v>
      </c>
      <c r="II96" t="e">
        <f>AND(#REF!,"AAAAAH+B//I=")</f>
        <v>#REF!</v>
      </c>
      <c r="IJ96" t="e">
        <f>AND(#REF!,"AAAAAH+B//M=")</f>
        <v>#REF!</v>
      </c>
      <c r="IK96" t="e">
        <f>AND(#REF!,"AAAAAH+B//Q=")</f>
        <v>#REF!</v>
      </c>
      <c r="IL96" t="e">
        <f>AND(#REF!,"AAAAAH+B//U=")</f>
        <v>#REF!</v>
      </c>
      <c r="IM96" t="e">
        <f>AND(#REF!,"AAAAAH+B//Y=")</f>
        <v>#REF!</v>
      </c>
      <c r="IN96" t="e">
        <f>AND(#REF!,"AAAAAH+B//c=")</f>
        <v>#REF!</v>
      </c>
      <c r="IO96" t="e">
        <f>AND(#REF!,"AAAAAH+B//g=")</f>
        <v>#REF!</v>
      </c>
      <c r="IP96" t="e">
        <f>AND(#REF!,"AAAAAH+B//k=")</f>
        <v>#REF!</v>
      </c>
      <c r="IQ96" t="e">
        <f>AND(#REF!,"AAAAAH+B//o=")</f>
        <v>#REF!</v>
      </c>
      <c r="IR96" t="e">
        <f>AND(#REF!,"AAAAAH+B//s=")</f>
        <v>#REF!</v>
      </c>
      <c r="IS96" t="e">
        <f>AND(#REF!,"AAAAAH+B//w=")</f>
        <v>#REF!</v>
      </c>
      <c r="IT96" t="e">
        <f>AND(#REF!,"AAAAAH+B//0=")</f>
        <v>#REF!</v>
      </c>
      <c r="IU96" t="e">
        <f>AND(#REF!,"AAAAAH+B//4=")</f>
        <v>#REF!</v>
      </c>
      <c r="IV96" t="e">
        <f>AND(#REF!,"AAAAAH+B//8=")</f>
        <v>#REF!</v>
      </c>
    </row>
    <row r="97" spans="1:256" x14ac:dyDescent="0.25">
      <c r="A97" t="e">
        <f>AND(#REF!,"AAAAAHFd/gA=")</f>
        <v>#REF!</v>
      </c>
      <c r="B97" t="e">
        <f>AND(#REF!,"AAAAAHFd/gE=")</f>
        <v>#REF!</v>
      </c>
      <c r="C97" t="e">
        <f>AND(#REF!,"AAAAAHFd/gI=")</f>
        <v>#REF!</v>
      </c>
      <c r="D97" t="e">
        <f>AND(#REF!,"AAAAAHFd/gM=")</f>
        <v>#REF!</v>
      </c>
      <c r="E97" t="e">
        <f>AND(#REF!,"AAAAAHFd/gQ=")</f>
        <v>#REF!</v>
      </c>
      <c r="F97" t="e">
        <f>AND(#REF!,"AAAAAHFd/gU=")</f>
        <v>#REF!</v>
      </c>
      <c r="G97" t="e">
        <f>AND(#REF!,"AAAAAHFd/gY=")</f>
        <v>#REF!</v>
      </c>
      <c r="H97" t="e">
        <f>AND(#REF!,"AAAAAHFd/gc=")</f>
        <v>#REF!</v>
      </c>
      <c r="I97" t="e">
        <f>AND(#REF!,"AAAAAHFd/gg=")</f>
        <v>#REF!</v>
      </c>
      <c r="J97" t="e">
        <f>AND(#REF!,"AAAAAHFd/gk=")</f>
        <v>#REF!</v>
      </c>
      <c r="K97" t="e">
        <f>AND(#REF!,"AAAAAHFd/go=")</f>
        <v>#REF!</v>
      </c>
      <c r="L97" t="e">
        <f>AND(#REF!,"AAAAAHFd/gs=")</f>
        <v>#REF!</v>
      </c>
      <c r="M97" t="e">
        <f>AND(#REF!,"AAAAAHFd/gw=")</f>
        <v>#REF!</v>
      </c>
      <c r="N97" t="e">
        <f>AND(#REF!,"AAAAAHFd/g0=")</f>
        <v>#REF!</v>
      </c>
      <c r="O97" t="e">
        <f>AND(#REF!,"AAAAAHFd/g4=")</f>
        <v>#REF!</v>
      </c>
      <c r="P97" t="e">
        <f>AND(#REF!,"AAAAAHFd/g8=")</f>
        <v>#REF!</v>
      </c>
      <c r="Q97" t="e">
        <f>AND(#REF!,"AAAAAHFd/hA=")</f>
        <v>#REF!</v>
      </c>
      <c r="R97" t="e">
        <f>AND(#REF!,"AAAAAHFd/hE=")</f>
        <v>#REF!</v>
      </c>
      <c r="S97" t="e">
        <f>AND(#REF!,"AAAAAHFd/hI=")</f>
        <v>#REF!</v>
      </c>
      <c r="T97" t="e">
        <f>AND(#REF!,"AAAAAHFd/hM=")</f>
        <v>#REF!</v>
      </c>
      <c r="U97" t="e">
        <f>AND(#REF!,"AAAAAHFd/hQ=")</f>
        <v>#REF!</v>
      </c>
      <c r="V97" t="e">
        <f>AND(#REF!,"AAAAAHFd/hU=")</f>
        <v>#REF!</v>
      </c>
      <c r="W97" t="e">
        <f>AND(#REF!,"AAAAAHFd/hY=")</f>
        <v>#REF!</v>
      </c>
      <c r="X97" t="e">
        <f>AND(#REF!,"AAAAAHFd/hc=")</f>
        <v>#REF!</v>
      </c>
      <c r="Y97" t="e">
        <f>AND(#REF!,"AAAAAHFd/hg=")</f>
        <v>#REF!</v>
      </c>
      <c r="Z97" t="e">
        <f>AND(#REF!,"AAAAAHFd/hk=")</f>
        <v>#REF!</v>
      </c>
      <c r="AA97" t="e">
        <f>AND(#REF!,"AAAAAHFd/ho=")</f>
        <v>#REF!</v>
      </c>
      <c r="AB97" t="e">
        <f>AND(#REF!,"AAAAAHFd/hs=")</f>
        <v>#REF!</v>
      </c>
      <c r="AC97" t="e">
        <f>AND(#REF!,"AAAAAHFd/hw=")</f>
        <v>#REF!</v>
      </c>
      <c r="AD97" t="e">
        <f>AND(#REF!,"AAAAAHFd/h0=")</f>
        <v>#REF!</v>
      </c>
      <c r="AE97" t="e">
        <f>AND(#REF!,"AAAAAHFd/h4=")</f>
        <v>#REF!</v>
      </c>
      <c r="AF97" t="e">
        <f>AND(#REF!,"AAAAAHFd/h8=")</f>
        <v>#REF!</v>
      </c>
      <c r="AG97" t="e">
        <f>AND(#REF!,"AAAAAHFd/iA=")</f>
        <v>#REF!</v>
      </c>
      <c r="AH97" t="e">
        <f>AND(#REF!,"AAAAAHFd/iE=")</f>
        <v>#REF!</v>
      </c>
      <c r="AI97" t="e">
        <f>AND(#REF!,"AAAAAHFd/iI=")</f>
        <v>#REF!</v>
      </c>
      <c r="AJ97" t="e">
        <f>AND(#REF!,"AAAAAHFd/iM=")</f>
        <v>#REF!</v>
      </c>
      <c r="AK97" t="e">
        <f>AND(#REF!,"AAAAAHFd/iQ=")</f>
        <v>#REF!</v>
      </c>
      <c r="AL97" t="e">
        <f>AND(#REF!,"AAAAAHFd/iU=")</f>
        <v>#REF!</v>
      </c>
      <c r="AM97" t="e">
        <f>AND(#REF!,"AAAAAHFd/iY=")</f>
        <v>#REF!</v>
      </c>
      <c r="AN97" t="e">
        <f>AND(#REF!,"AAAAAHFd/ic=")</f>
        <v>#REF!</v>
      </c>
      <c r="AO97" t="e">
        <f>AND(#REF!,"AAAAAHFd/ig=")</f>
        <v>#REF!</v>
      </c>
      <c r="AP97" t="e">
        <f>AND(#REF!,"AAAAAHFd/ik=")</f>
        <v>#REF!</v>
      </c>
      <c r="AQ97" t="e">
        <f>AND(#REF!,"AAAAAHFd/io=")</f>
        <v>#REF!</v>
      </c>
      <c r="AR97" t="e">
        <f>AND(#REF!,"AAAAAHFd/is=")</f>
        <v>#REF!</v>
      </c>
      <c r="AS97" t="e">
        <f>AND(#REF!,"AAAAAHFd/iw=")</f>
        <v>#REF!</v>
      </c>
      <c r="AT97" t="e">
        <f>AND(#REF!,"AAAAAHFd/i0=")</f>
        <v>#REF!</v>
      </c>
      <c r="AU97" t="e">
        <f>AND(#REF!,"AAAAAHFd/i4=")</f>
        <v>#REF!</v>
      </c>
      <c r="AV97" t="e">
        <f>AND(#REF!,"AAAAAHFd/i8=")</f>
        <v>#REF!</v>
      </c>
      <c r="AW97" t="e">
        <f>AND(#REF!,"AAAAAHFd/jA=")</f>
        <v>#REF!</v>
      </c>
      <c r="AX97" t="e">
        <f>AND(#REF!,"AAAAAHFd/jE=")</f>
        <v>#REF!</v>
      </c>
      <c r="AY97" t="e">
        <f>AND(#REF!,"AAAAAHFd/jI=")</f>
        <v>#REF!</v>
      </c>
      <c r="AZ97" t="e">
        <f>AND(#REF!,"AAAAAHFd/jM=")</f>
        <v>#REF!</v>
      </c>
      <c r="BA97" t="e">
        <f>AND(#REF!,"AAAAAHFd/jQ=")</f>
        <v>#REF!</v>
      </c>
      <c r="BB97" t="e">
        <f>AND(#REF!,"AAAAAHFd/jU=")</f>
        <v>#REF!</v>
      </c>
      <c r="BC97" t="e">
        <f>AND(#REF!,"AAAAAHFd/jY=")</f>
        <v>#REF!</v>
      </c>
      <c r="BD97" t="e">
        <f>AND(#REF!,"AAAAAHFd/jc=")</f>
        <v>#REF!</v>
      </c>
      <c r="BE97" t="e">
        <f>AND(#REF!,"AAAAAHFd/jg=")</f>
        <v>#REF!</v>
      </c>
      <c r="BF97" t="e">
        <f>AND(#REF!,"AAAAAHFd/jk=")</f>
        <v>#REF!</v>
      </c>
      <c r="BG97" t="e">
        <f>AND(#REF!,"AAAAAHFd/jo=")</f>
        <v>#REF!</v>
      </c>
      <c r="BH97" t="e">
        <f>AND(#REF!,"AAAAAHFd/js=")</f>
        <v>#REF!</v>
      </c>
      <c r="BI97" t="e">
        <f>AND(#REF!,"AAAAAHFd/jw=")</f>
        <v>#REF!</v>
      </c>
      <c r="BJ97" t="e">
        <f>AND(#REF!,"AAAAAHFd/j0=")</f>
        <v>#REF!</v>
      </c>
      <c r="BK97" t="e">
        <f>AND(#REF!,"AAAAAHFd/j4=")</f>
        <v>#REF!</v>
      </c>
      <c r="BL97" t="e">
        <f>AND(#REF!,"AAAAAHFd/j8=")</f>
        <v>#REF!</v>
      </c>
      <c r="BM97" t="e">
        <f>AND(#REF!,"AAAAAHFd/kA=")</f>
        <v>#REF!</v>
      </c>
      <c r="BN97" t="e">
        <f>AND(#REF!,"AAAAAHFd/kE=")</f>
        <v>#REF!</v>
      </c>
      <c r="BO97" t="e">
        <f>AND(#REF!,"AAAAAHFd/kI=")</f>
        <v>#REF!</v>
      </c>
      <c r="BP97" t="e">
        <f>AND(#REF!,"AAAAAHFd/kM=")</f>
        <v>#REF!</v>
      </c>
      <c r="BQ97" t="e">
        <f>AND(#REF!,"AAAAAHFd/kQ=")</f>
        <v>#REF!</v>
      </c>
      <c r="BR97" t="e">
        <f>AND(#REF!,"AAAAAHFd/kU=")</f>
        <v>#REF!</v>
      </c>
      <c r="BS97" t="e">
        <f>AND(#REF!,"AAAAAHFd/kY=")</f>
        <v>#REF!</v>
      </c>
      <c r="BT97" t="e">
        <f>AND(#REF!,"AAAAAHFd/kc=")</f>
        <v>#REF!</v>
      </c>
      <c r="BU97" t="e">
        <f>AND(#REF!,"AAAAAHFd/kg=")</f>
        <v>#REF!</v>
      </c>
      <c r="BV97" t="e">
        <f>AND(#REF!,"AAAAAHFd/kk=")</f>
        <v>#REF!</v>
      </c>
      <c r="BW97" t="e">
        <f>AND(#REF!,"AAAAAHFd/ko=")</f>
        <v>#REF!</v>
      </c>
      <c r="BX97" t="e">
        <f>AND(#REF!,"AAAAAHFd/ks=")</f>
        <v>#REF!</v>
      </c>
      <c r="BY97" t="e">
        <f>AND(#REF!,"AAAAAHFd/kw=")</f>
        <v>#REF!</v>
      </c>
      <c r="BZ97" t="e">
        <f>AND(#REF!,"AAAAAHFd/k0=")</f>
        <v>#REF!</v>
      </c>
      <c r="CA97" t="e">
        <f>AND(#REF!,"AAAAAHFd/k4=")</f>
        <v>#REF!</v>
      </c>
      <c r="CB97" t="e">
        <f>AND(#REF!,"AAAAAHFd/k8=")</f>
        <v>#REF!</v>
      </c>
      <c r="CC97" t="e">
        <f>AND(#REF!,"AAAAAHFd/lA=")</f>
        <v>#REF!</v>
      </c>
      <c r="CD97" t="e">
        <f>AND(#REF!,"AAAAAHFd/lE=")</f>
        <v>#REF!</v>
      </c>
      <c r="CE97" t="e">
        <f>AND(#REF!,"AAAAAHFd/lI=")</f>
        <v>#REF!</v>
      </c>
      <c r="CF97" t="e">
        <f>AND(#REF!,"AAAAAHFd/lM=")</f>
        <v>#REF!</v>
      </c>
      <c r="CG97" t="e">
        <f>AND(#REF!,"AAAAAHFd/lQ=")</f>
        <v>#REF!</v>
      </c>
      <c r="CH97" t="e">
        <f>AND(#REF!,"AAAAAHFd/lU=")</f>
        <v>#REF!</v>
      </c>
      <c r="CI97" t="e">
        <f>AND(#REF!,"AAAAAHFd/lY=")</f>
        <v>#REF!</v>
      </c>
      <c r="CJ97" t="e">
        <f>AND(#REF!,"AAAAAHFd/lc=")</f>
        <v>#REF!</v>
      </c>
      <c r="CK97" t="e">
        <f>AND(#REF!,"AAAAAHFd/lg=")</f>
        <v>#REF!</v>
      </c>
      <c r="CL97" t="e">
        <f>AND(#REF!,"AAAAAHFd/lk=")</f>
        <v>#REF!</v>
      </c>
      <c r="CM97" t="e">
        <f>AND(#REF!,"AAAAAHFd/lo=")</f>
        <v>#REF!</v>
      </c>
      <c r="CN97" t="e">
        <f>AND(#REF!,"AAAAAHFd/ls=")</f>
        <v>#REF!</v>
      </c>
      <c r="CO97" t="e">
        <f>AND(#REF!,"AAAAAHFd/lw=")</f>
        <v>#REF!</v>
      </c>
      <c r="CP97" t="e">
        <f>AND(#REF!,"AAAAAHFd/l0=")</f>
        <v>#REF!</v>
      </c>
      <c r="CQ97" t="e">
        <f>AND(#REF!,"AAAAAHFd/l4=")</f>
        <v>#REF!</v>
      </c>
      <c r="CR97" t="e">
        <f>AND(#REF!,"AAAAAHFd/l8=")</f>
        <v>#REF!</v>
      </c>
      <c r="CS97" t="e">
        <f>AND(#REF!,"AAAAAHFd/mA=")</f>
        <v>#REF!</v>
      </c>
      <c r="CT97" t="e">
        <f>AND(#REF!,"AAAAAHFd/mE=")</f>
        <v>#REF!</v>
      </c>
      <c r="CU97" t="e">
        <f>AND(#REF!,"AAAAAHFd/mI=")</f>
        <v>#REF!</v>
      </c>
      <c r="CV97" t="e">
        <f>AND(#REF!,"AAAAAHFd/mM=")</f>
        <v>#REF!</v>
      </c>
      <c r="CW97" t="e">
        <f>AND(#REF!,"AAAAAHFd/mQ=")</f>
        <v>#REF!</v>
      </c>
      <c r="CX97" t="e">
        <f>AND(#REF!,"AAAAAHFd/mU=")</f>
        <v>#REF!</v>
      </c>
      <c r="CY97" t="e">
        <f>AND(#REF!,"AAAAAHFd/mY=")</f>
        <v>#REF!</v>
      </c>
      <c r="CZ97" t="e">
        <f>AND(#REF!,"AAAAAHFd/mc=")</f>
        <v>#REF!</v>
      </c>
      <c r="DA97" t="e">
        <f>AND(#REF!,"AAAAAHFd/mg=")</f>
        <v>#REF!</v>
      </c>
      <c r="DB97" t="e">
        <f>AND(#REF!,"AAAAAHFd/mk=")</f>
        <v>#REF!</v>
      </c>
      <c r="DC97" t="e">
        <f>AND(#REF!,"AAAAAHFd/mo=")</f>
        <v>#REF!</v>
      </c>
      <c r="DD97" t="e">
        <f>AND(#REF!,"AAAAAHFd/ms=")</f>
        <v>#REF!</v>
      </c>
      <c r="DE97" t="e">
        <f>AND(#REF!,"AAAAAHFd/mw=")</f>
        <v>#REF!</v>
      </c>
      <c r="DF97" t="e">
        <f>AND(#REF!,"AAAAAHFd/m0=")</f>
        <v>#REF!</v>
      </c>
      <c r="DG97" t="e">
        <f>AND(#REF!,"AAAAAHFd/m4=")</f>
        <v>#REF!</v>
      </c>
      <c r="DH97" t="e">
        <f>AND(#REF!,"AAAAAHFd/m8=")</f>
        <v>#REF!</v>
      </c>
      <c r="DI97" t="e">
        <f>AND(#REF!,"AAAAAHFd/nA=")</f>
        <v>#REF!</v>
      </c>
      <c r="DJ97" t="e">
        <f>AND(#REF!,"AAAAAHFd/nE=")</f>
        <v>#REF!</v>
      </c>
      <c r="DK97" t="e">
        <f>AND(#REF!,"AAAAAHFd/nI=")</f>
        <v>#REF!</v>
      </c>
      <c r="DL97" t="e">
        <f>AND(#REF!,"AAAAAHFd/nM=")</f>
        <v>#REF!</v>
      </c>
      <c r="DM97" t="e">
        <f>AND(#REF!,"AAAAAHFd/nQ=")</f>
        <v>#REF!</v>
      </c>
      <c r="DN97" t="e">
        <f>AND(#REF!,"AAAAAHFd/nU=")</f>
        <v>#REF!</v>
      </c>
      <c r="DO97" t="e">
        <f>AND(#REF!,"AAAAAHFd/nY=")</f>
        <v>#REF!</v>
      </c>
      <c r="DP97" t="e">
        <f>AND(#REF!,"AAAAAHFd/nc=")</f>
        <v>#REF!</v>
      </c>
      <c r="DQ97" t="e">
        <f>AND(#REF!,"AAAAAHFd/ng=")</f>
        <v>#REF!</v>
      </c>
      <c r="DR97" t="e">
        <f>AND(#REF!,"AAAAAHFd/nk=")</f>
        <v>#REF!</v>
      </c>
      <c r="DS97" t="e">
        <f>AND(#REF!,"AAAAAHFd/no=")</f>
        <v>#REF!</v>
      </c>
      <c r="DT97" t="e">
        <f>AND(#REF!,"AAAAAHFd/ns=")</f>
        <v>#REF!</v>
      </c>
      <c r="DU97" t="e">
        <f>AND(#REF!,"AAAAAHFd/nw=")</f>
        <v>#REF!</v>
      </c>
      <c r="DV97" t="e">
        <f>AND(#REF!,"AAAAAHFd/n0=")</f>
        <v>#REF!</v>
      </c>
      <c r="DW97" t="e">
        <f>AND(#REF!,"AAAAAHFd/n4=")</f>
        <v>#REF!</v>
      </c>
      <c r="DX97" t="e">
        <f>AND(#REF!,"AAAAAHFd/n8=")</f>
        <v>#REF!</v>
      </c>
      <c r="DY97" t="e">
        <f>AND(#REF!,"AAAAAHFd/oA=")</f>
        <v>#REF!</v>
      </c>
      <c r="DZ97" t="e">
        <f>AND(#REF!,"AAAAAHFd/oE=")</f>
        <v>#REF!</v>
      </c>
      <c r="EA97" t="e">
        <f>AND(#REF!,"AAAAAHFd/oI=")</f>
        <v>#REF!</v>
      </c>
      <c r="EB97" t="e">
        <f>AND(#REF!,"AAAAAHFd/oM=")</f>
        <v>#REF!</v>
      </c>
      <c r="EC97" t="e">
        <f>AND(#REF!,"AAAAAHFd/oQ=")</f>
        <v>#REF!</v>
      </c>
      <c r="ED97" t="e">
        <f>AND(#REF!,"AAAAAHFd/oU=")</f>
        <v>#REF!</v>
      </c>
      <c r="EE97" t="e">
        <f>AND(#REF!,"AAAAAHFd/oY=")</f>
        <v>#REF!</v>
      </c>
      <c r="EF97" t="e">
        <f>AND(#REF!,"AAAAAHFd/oc=")</f>
        <v>#REF!</v>
      </c>
      <c r="EG97" t="e">
        <f>AND(#REF!,"AAAAAHFd/og=")</f>
        <v>#REF!</v>
      </c>
      <c r="EH97" t="e">
        <f>AND(#REF!,"AAAAAHFd/ok=")</f>
        <v>#REF!</v>
      </c>
      <c r="EI97" t="e">
        <f>AND(#REF!,"AAAAAHFd/oo=")</f>
        <v>#REF!</v>
      </c>
      <c r="EJ97" t="e">
        <f>AND(#REF!,"AAAAAHFd/os=")</f>
        <v>#REF!</v>
      </c>
      <c r="EK97" t="e">
        <f>AND(#REF!,"AAAAAHFd/ow=")</f>
        <v>#REF!</v>
      </c>
      <c r="EL97" t="e">
        <f>AND(#REF!,"AAAAAHFd/o0=")</f>
        <v>#REF!</v>
      </c>
      <c r="EM97" t="e">
        <f>AND(#REF!,"AAAAAHFd/o4=")</f>
        <v>#REF!</v>
      </c>
      <c r="EN97" t="e">
        <f>AND(#REF!,"AAAAAHFd/o8=")</f>
        <v>#REF!</v>
      </c>
      <c r="EO97" t="e">
        <f>AND(#REF!,"AAAAAHFd/pA=")</f>
        <v>#REF!</v>
      </c>
      <c r="EP97" t="e">
        <f>AND(#REF!,"AAAAAHFd/pE=")</f>
        <v>#REF!</v>
      </c>
      <c r="EQ97" t="e">
        <f>AND(#REF!,"AAAAAHFd/pI=")</f>
        <v>#REF!</v>
      </c>
      <c r="ER97" t="e">
        <f>AND(#REF!,"AAAAAHFd/pM=")</f>
        <v>#REF!</v>
      </c>
      <c r="ES97" t="e">
        <f>IF(#REF!,"AAAAAHFd/pQ=",0)</f>
        <v>#REF!</v>
      </c>
      <c r="ET97" t="e">
        <f>AND(#REF!,"AAAAAHFd/pU=")</f>
        <v>#REF!</v>
      </c>
      <c r="EU97" t="e">
        <f>AND(#REF!,"AAAAAHFd/pY=")</f>
        <v>#REF!</v>
      </c>
      <c r="EV97" t="e">
        <f>AND(#REF!,"AAAAAHFd/pc=")</f>
        <v>#REF!</v>
      </c>
      <c r="EW97" t="e">
        <f>AND(#REF!,"AAAAAHFd/pg=")</f>
        <v>#REF!</v>
      </c>
      <c r="EX97" t="e">
        <f>AND(#REF!,"AAAAAHFd/pk=")</f>
        <v>#REF!</v>
      </c>
      <c r="EY97" t="e">
        <f>AND(#REF!,"AAAAAHFd/po=")</f>
        <v>#REF!</v>
      </c>
      <c r="EZ97" t="e">
        <f>AND(#REF!,"AAAAAHFd/ps=")</f>
        <v>#REF!</v>
      </c>
      <c r="FA97" t="e">
        <f>AND(#REF!,"AAAAAHFd/pw=")</f>
        <v>#REF!</v>
      </c>
      <c r="FB97" t="e">
        <f>AND(#REF!,"AAAAAHFd/p0=")</f>
        <v>#REF!</v>
      </c>
      <c r="FC97" t="e">
        <f>AND(#REF!,"AAAAAHFd/p4=")</f>
        <v>#REF!</v>
      </c>
      <c r="FD97" t="e">
        <f>AND(#REF!,"AAAAAHFd/p8=")</f>
        <v>#REF!</v>
      </c>
      <c r="FE97" t="e">
        <f>AND(#REF!,"AAAAAHFd/qA=")</f>
        <v>#REF!</v>
      </c>
      <c r="FF97" t="e">
        <f>AND(#REF!,"AAAAAHFd/qE=")</f>
        <v>#REF!</v>
      </c>
      <c r="FG97" t="e">
        <f>AND(#REF!,"AAAAAHFd/qI=")</f>
        <v>#REF!</v>
      </c>
      <c r="FH97" t="e">
        <f>AND(#REF!,"AAAAAHFd/qM=")</f>
        <v>#REF!</v>
      </c>
      <c r="FI97" t="e">
        <f>AND(#REF!,"AAAAAHFd/qQ=")</f>
        <v>#REF!</v>
      </c>
      <c r="FJ97" t="e">
        <f>AND(#REF!,"AAAAAHFd/qU=")</f>
        <v>#REF!</v>
      </c>
      <c r="FK97" t="e">
        <f>AND(#REF!,"AAAAAHFd/qY=")</f>
        <v>#REF!</v>
      </c>
      <c r="FL97" t="e">
        <f>AND(#REF!,"AAAAAHFd/qc=")</f>
        <v>#REF!</v>
      </c>
      <c r="FM97" t="e">
        <f>AND(#REF!,"AAAAAHFd/qg=")</f>
        <v>#REF!</v>
      </c>
      <c r="FN97" t="e">
        <f>AND(#REF!,"AAAAAHFd/qk=")</f>
        <v>#REF!</v>
      </c>
      <c r="FO97" t="e">
        <f>AND(#REF!,"AAAAAHFd/qo=")</f>
        <v>#REF!</v>
      </c>
      <c r="FP97" t="e">
        <f>AND(#REF!,"AAAAAHFd/qs=")</f>
        <v>#REF!</v>
      </c>
      <c r="FQ97" t="e">
        <f>AND(#REF!,"AAAAAHFd/qw=")</f>
        <v>#REF!</v>
      </c>
      <c r="FR97" t="e">
        <f>AND(#REF!,"AAAAAHFd/q0=")</f>
        <v>#REF!</v>
      </c>
      <c r="FS97" t="e">
        <f>AND(#REF!,"AAAAAHFd/q4=")</f>
        <v>#REF!</v>
      </c>
      <c r="FT97" t="e">
        <f>AND(#REF!,"AAAAAHFd/q8=")</f>
        <v>#REF!</v>
      </c>
      <c r="FU97" t="e">
        <f>AND(#REF!,"AAAAAHFd/rA=")</f>
        <v>#REF!</v>
      </c>
      <c r="FV97" t="e">
        <f>AND(#REF!,"AAAAAHFd/rE=")</f>
        <v>#REF!</v>
      </c>
      <c r="FW97" t="e">
        <f>AND(#REF!,"AAAAAHFd/rI=")</f>
        <v>#REF!</v>
      </c>
      <c r="FX97" t="e">
        <f>AND(#REF!,"AAAAAHFd/rM=")</f>
        <v>#REF!</v>
      </c>
      <c r="FY97" t="e">
        <f>AND(#REF!,"AAAAAHFd/rQ=")</f>
        <v>#REF!</v>
      </c>
      <c r="FZ97" t="e">
        <f>AND(#REF!,"AAAAAHFd/rU=")</f>
        <v>#REF!</v>
      </c>
      <c r="GA97" t="e">
        <f>AND(#REF!,"AAAAAHFd/rY=")</f>
        <v>#REF!</v>
      </c>
      <c r="GB97" t="e">
        <f>AND(#REF!,"AAAAAHFd/rc=")</f>
        <v>#REF!</v>
      </c>
      <c r="GC97" t="e">
        <f>AND(#REF!,"AAAAAHFd/rg=")</f>
        <v>#REF!</v>
      </c>
      <c r="GD97" t="e">
        <f>AND(#REF!,"AAAAAHFd/rk=")</f>
        <v>#REF!</v>
      </c>
      <c r="GE97" t="e">
        <f>AND(#REF!,"AAAAAHFd/ro=")</f>
        <v>#REF!</v>
      </c>
      <c r="GF97" t="e">
        <f>AND(#REF!,"AAAAAHFd/rs=")</f>
        <v>#REF!</v>
      </c>
      <c r="GG97" t="e">
        <f>AND(#REF!,"AAAAAHFd/rw=")</f>
        <v>#REF!</v>
      </c>
      <c r="GH97" t="e">
        <f>AND(#REF!,"AAAAAHFd/r0=")</f>
        <v>#REF!</v>
      </c>
      <c r="GI97" t="e">
        <f>AND(#REF!,"AAAAAHFd/r4=")</f>
        <v>#REF!</v>
      </c>
      <c r="GJ97" t="e">
        <f>AND(#REF!,"AAAAAHFd/r8=")</f>
        <v>#REF!</v>
      </c>
      <c r="GK97" t="e">
        <f>AND(#REF!,"AAAAAHFd/sA=")</f>
        <v>#REF!</v>
      </c>
      <c r="GL97" t="e">
        <f>AND(#REF!,"AAAAAHFd/sE=")</f>
        <v>#REF!</v>
      </c>
      <c r="GM97" t="e">
        <f>AND(#REF!,"AAAAAHFd/sI=")</f>
        <v>#REF!</v>
      </c>
      <c r="GN97" t="e">
        <f>AND(#REF!,"AAAAAHFd/sM=")</f>
        <v>#REF!</v>
      </c>
      <c r="GO97" t="e">
        <f>AND(#REF!,"AAAAAHFd/sQ=")</f>
        <v>#REF!</v>
      </c>
      <c r="GP97" t="e">
        <f>AND(#REF!,"AAAAAHFd/sU=")</f>
        <v>#REF!</v>
      </c>
      <c r="GQ97" t="e">
        <f>AND(#REF!,"AAAAAHFd/sY=")</f>
        <v>#REF!</v>
      </c>
      <c r="GR97" t="e">
        <f>AND(#REF!,"AAAAAHFd/sc=")</f>
        <v>#REF!</v>
      </c>
      <c r="GS97" t="e">
        <f>AND(#REF!,"AAAAAHFd/sg=")</f>
        <v>#REF!</v>
      </c>
      <c r="GT97" t="e">
        <f>AND(#REF!,"AAAAAHFd/sk=")</f>
        <v>#REF!</v>
      </c>
      <c r="GU97" t="e">
        <f>AND(#REF!,"AAAAAHFd/so=")</f>
        <v>#REF!</v>
      </c>
      <c r="GV97" t="e">
        <f>AND(#REF!,"AAAAAHFd/ss=")</f>
        <v>#REF!</v>
      </c>
      <c r="GW97" t="e">
        <f>AND(#REF!,"AAAAAHFd/sw=")</f>
        <v>#REF!</v>
      </c>
      <c r="GX97" t="e">
        <f>AND(#REF!,"AAAAAHFd/s0=")</f>
        <v>#REF!</v>
      </c>
      <c r="GY97" t="e">
        <f>AND(#REF!,"AAAAAHFd/s4=")</f>
        <v>#REF!</v>
      </c>
      <c r="GZ97" t="e">
        <f>AND(#REF!,"AAAAAHFd/s8=")</f>
        <v>#REF!</v>
      </c>
      <c r="HA97" t="e">
        <f>AND(#REF!,"AAAAAHFd/tA=")</f>
        <v>#REF!</v>
      </c>
      <c r="HB97" t="e">
        <f>AND(#REF!,"AAAAAHFd/tE=")</f>
        <v>#REF!</v>
      </c>
      <c r="HC97" t="e">
        <f>AND(#REF!,"AAAAAHFd/tI=")</f>
        <v>#REF!</v>
      </c>
      <c r="HD97" t="e">
        <f>AND(#REF!,"AAAAAHFd/tM=")</f>
        <v>#REF!</v>
      </c>
      <c r="HE97" t="e">
        <f>AND(#REF!,"AAAAAHFd/tQ=")</f>
        <v>#REF!</v>
      </c>
      <c r="HF97" t="e">
        <f>AND(#REF!,"AAAAAHFd/tU=")</f>
        <v>#REF!</v>
      </c>
      <c r="HG97" t="e">
        <f>AND(#REF!,"AAAAAHFd/tY=")</f>
        <v>#REF!</v>
      </c>
      <c r="HH97" t="e">
        <f>AND(#REF!,"AAAAAHFd/tc=")</f>
        <v>#REF!</v>
      </c>
      <c r="HI97" t="e">
        <f>AND(#REF!,"AAAAAHFd/tg=")</f>
        <v>#REF!</v>
      </c>
      <c r="HJ97" t="e">
        <f>AND(#REF!,"AAAAAHFd/tk=")</f>
        <v>#REF!</v>
      </c>
      <c r="HK97" t="e">
        <f>AND(#REF!,"AAAAAHFd/to=")</f>
        <v>#REF!</v>
      </c>
      <c r="HL97" t="e">
        <f>AND(#REF!,"AAAAAHFd/ts=")</f>
        <v>#REF!</v>
      </c>
      <c r="HM97" t="e">
        <f>AND(#REF!,"AAAAAHFd/tw=")</f>
        <v>#REF!</v>
      </c>
      <c r="HN97" t="e">
        <f>AND(#REF!,"AAAAAHFd/t0=")</f>
        <v>#REF!</v>
      </c>
      <c r="HO97" t="e">
        <f>AND(#REF!,"AAAAAHFd/t4=")</f>
        <v>#REF!</v>
      </c>
      <c r="HP97" t="e">
        <f>AND(#REF!,"AAAAAHFd/t8=")</f>
        <v>#REF!</v>
      </c>
      <c r="HQ97" t="e">
        <f>AND(#REF!,"AAAAAHFd/uA=")</f>
        <v>#REF!</v>
      </c>
      <c r="HR97" t="e">
        <f>AND(#REF!,"AAAAAHFd/uE=")</f>
        <v>#REF!</v>
      </c>
      <c r="HS97" t="e">
        <f>AND(#REF!,"AAAAAHFd/uI=")</f>
        <v>#REF!</v>
      </c>
      <c r="HT97" t="e">
        <f>AND(#REF!,"AAAAAHFd/uM=")</f>
        <v>#REF!</v>
      </c>
      <c r="HU97" t="e">
        <f>AND(#REF!,"AAAAAHFd/uQ=")</f>
        <v>#REF!</v>
      </c>
      <c r="HV97" t="e">
        <f>AND(#REF!,"AAAAAHFd/uU=")</f>
        <v>#REF!</v>
      </c>
      <c r="HW97" t="e">
        <f>AND(#REF!,"AAAAAHFd/uY=")</f>
        <v>#REF!</v>
      </c>
      <c r="HX97" t="e">
        <f>AND(#REF!,"AAAAAHFd/uc=")</f>
        <v>#REF!</v>
      </c>
      <c r="HY97" t="e">
        <f>AND(#REF!,"AAAAAHFd/ug=")</f>
        <v>#REF!</v>
      </c>
      <c r="HZ97" t="e">
        <f>AND(#REF!,"AAAAAHFd/uk=")</f>
        <v>#REF!</v>
      </c>
      <c r="IA97" t="e">
        <f>AND(#REF!,"AAAAAHFd/uo=")</f>
        <v>#REF!</v>
      </c>
      <c r="IB97" t="e">
        <f>AND(#REF!,"AAAAAHFd/us=")</f>
        <v>#REF!</v>
      </c>
      <c r="IC97" t="e">
        <f>AND(#REF!,"AAAAAHFd/uw=")</f>
        <v>#REF!</v>
      </c>
      <c r="ID97" t="e">
        <f>AND(#REF!,"AAAAAHFd/u0=")</f>
        <v>#REF!</v>
      </c>
      <c r="IE97" t="e">
        <f>AND(#REF!,"AAAAAHFd/u4=")</f>
        <v>#REF!</v>
      </c>
      <c r="IF97" t="e">
        <f>AND(#REF!,"AAAAAHFd/u8=")</f>
        <v>#REF!</v>
      </c>
      <c r="IG97" t="e">
        <f>AND(#REF!,"AAAAAHFd/vA=")</f>
        <v>#REF!</v>
      </c>
      <c r="IH97" t="e">
        <f>AND(#REF!,"AAAAAHFd/vE=")</f>
        <v>#REF!</v>
      </c>
      <c r="II97" t="e">
        <f>AND(#REF!,"AAAAAHFd/vI=")</f>
        <v>#REF!</v>
      </c>
      <c r="IJ97" t="e">
        <f>AND(#REF!,"AAAAAHFd/vM=")</f>
        <v>#REF!</v>
      </c>
      <c r="IK97" t="e">
        <f>AND(#REF!,"AAAAAHFd/vQ=")</f>
        <v>#REF!</v>
      </c>
      <c r="IL97" t="e">
        <f>AND(#REF!,"AAAAAHFd/vU=")</f>
        <v>#REF!</v>
      </c>
      <c r="IM97" t="e">
        <f>AND(#REF!,"AAAAAHFd/vY=")</f>
        <v>#REF!</v>
      </c>
      <c r="IN97" t="e">
        <f>AND(#REF!,"AAAAAHFd/vc=")</f>
        <v>#REF!</v>
      </c>
      <c r="IO97" t="e">
        <f>AND(#REF!,"AAAAAHFd/vg=")</f>
        <v>#REF!</v>
      </c>
      <c r="IP97" t="e">
        <f>AND(#REF!,"AAAAAHFd/vk=")</f>
        <v>#REF!</v>
      </c>
      <c r="IQ97" t="e">
        <f>AND(#REF!,"AAAAAHFd/vo=")</f>
        <v>#REF!</v>
      </c>
      <c r="IR97" t="e">
        <f>AND(#REF!,"AAAAAHFd/vs=")</f>
        <v>#REF!</v>
      </c>
      <c r="IS97" t="e">
        <f>AND(#REF!,"AAAAAHFd/vw=")</f>
        <v>#REF!</v>
      </c>
      <c r="IT97" t="e">
        <f>AND(#REF!,"AAAAAHFd/v0=")</f>
        <v>#REF!</v>
      </c>
      <c r="IU97" t="e">
        <f>AND(#REF!,"AAAAAHFd/v4=")</f>
        <v>#REF!</v>
      </c>
      <c r="IV97" t="e">
        <f>AND(#REF!,"AAAAAHFd/v8=")</f>
        <v>#REF!</v>
      </c>
    </row>
    <row r="98" spans="1:256" x14ac:dyDescent="0.25">
      <c r="A98" t="e">
        <f>AND(#REF!,"AAAAAF9fywA=")</f>
        <v>#REF!</v>
      </c>
      <c r="B98" t="e">
        <f>AND(#REF!,"AAAAAF9fywE=")</f>
        <v>#REF!</v>
      </c>
      <c r="C98" t="e">
        <f>AND(#REF!,"AAAAAF9fywI=")</f>
        <v>#REF!</v>
      </c>
      <c r="D98" t="e">
        <f>AND(#REF!,"AAAAAF9fywM=")</f>
        <v>#REF!</v>
      </c>
      <c r="E98" t="e">
        <f>AND(#REF!,"AAAAAF9fywQ=")</f>
        <v>#REF!</v>
      </c>
      <c r="F98" t="e">
        <f>AND(#REF!,"AAAAAF9fywU=")</f>
        <v>#REF!</v>
      </c>
      <c r="G98" t="e">
        <f>AND(#REF!,"AAAAAF9fywY=")</f>
        <v>#REF!</v>
      </c>
      <c r="H98" t="e">
        <f>AND(#REF!,"AAAAAF9fywc=")</f>
        <v>#REF!</v>
      </c>
      <c r="I98" t="e">
        <f>AND(#REF!,"AAAAAF9fywg=")</f>
        <v>#REF!</v>
      </c>
      <c r="J98" t="e">
        <f>AND(#REF!,"AAAAAF9fywk=")</f>
        <v>#REF!</v>
      </c>
      <c r="K98" t="e">
        <f>AND(#REF!,"AAAAAF9fywo=")</f>
        <v>#REF!</v>
      </c>
      <c r="L98" t="e">
        <f>AND(#REF!,"AAAAAF9fyws=")</f>
        <v>#REF!</v>
      </c>
      <c r="M98" t="e">
        <f>AND(#REF!,"AAAAAF9fyww=")</f>
        <v>#REF!</v>
      </c>
      <c r="N98" t="e">
        <f>AND(#REF!,"AAAAAF9fyw0=")</f>
        <v>#REF!</v>
      </c>
      <c r="O98" t="e">
        <f>AND(#REF!,"AAAAAF9fyw4=")</f>
        <v>#REF!</v>
      </c>
      <c r="P98" t="e">
        <f>AND(#REF!,"AAAAAF9fyw8=")</f>
        <v>#REF!</v>
      </c>
      <c r="Q98" t="e">
        <f>AND(#REF!,"AAAAAF9fyxA=")</f>
        <v>#REF!</v>
      </c>
      <c r="R98" t="e">
        <f>AND(#REF!,"AAAAAF9fyxE=")</f>
        <v>#REF!</v>
      </c>
      <c r="S98" t="e">
        <f>AND(#REF!,"AAAAAF9fyxI=")</f>
        <v>#REF!</v>
      </c>
      <c r="T98" t="e">
        <f>AND(#REF!,"AAAAAF9fyxM=")</f>
        <v>#REF!</v>
      </c>
      <c r="U98" t="e">
        <f>AND(#REF!,"AAAAAF9fyxQ=")</f>
        <v>#REF!</v>
      </c>
      <c r="V98" t="e">
        <f>AND(#REF!,"AAAAAF9fyxU=")</f>
        <v>#REF!</v>
      </c>
      <c r="W98" t="e">
        <f>AND(#REF!,"AAAAAF9fyxY=")</f>
        <v>#REF!</v>
      </c>
      <c r="X98" t="e">
        <f>AND(#REF!,"AAAAAF9fyxc=")</f>
        <v>#REF!</v>
      </c>
      <c r="Y98" t="e">
        <f>AND(#REF!,"AAAAAF9fyxg=")</f>
        <v>#REF!</v>
      </c>
      <c r="Z98" t="e">
        <f>AND(#REF!,"AAAAAF9fyxk=")</f>
        <v>#REF!</v>
      </c>
      <c r="AA98" t="e">
        <f>AND(#REF!,"AAAAAF9fyxo=")</f>
        <v>#REF!</v>
      </c>
      <c r="AB98" t="e">
        <f>AND(#REF!,"AAAAAF9fyxs=")</f>
        <v>#REF!</v>
      </c>
      <c r="AC98" t="e">
        <f>AND(#REF!,"AAAAAF9fyxw=")</f>
        <v>#REF!</v>
      </c>
      <c r="AD98" t="e">
        <f>AND(#REF!,"AAAAAF9fyx0=")</f>
        <v>#REF!</v>
      </c>
      <c r="AE98" t="e">
        <f>AND(#REF!,"AAAAAF9fyx4=")</f>
        <v>#REF!</v>
      </c>
      <c r="AF98" t="e">
        <f>AND(#REF!,"AAAAAF9fyx8=")</f>
        <v>#REF!</v>
      </c>
      <c r="AG98" t="e">
        <f>AND(#REF!,"AAAAAF9fyyA=")</f>
        <v>#REF!</v>
      </c>
      <c r="AH98" t="e">
        <f>AND(#REF!,"AAAAAF9fyyE=")</f>
        <v>#REF!</v>
      </c>
      <c r="AI98" t="e">
        <f>AND(#REF!,"AAAAAF9fyyI=")</f>
        <v>#REF!</v>
      </c>
      <c r="AJ98" t="e">
        <f>AND(#REF!,"AAAAAF9fyyM=")</f>
        <v>#REF!</v>
      </c>
      <c r="AK98" t="e">
        <f>AND(#REF!,"AAAAAF9fyyQ=")</f>
        <v>#REF!</v>
      </c>
      <c r="AL98" t="e">
        <f>AND(#REF!,"AAAAAF9fyyU=")</f>
        <v>#REF!</v>
      </c>
      <c r="AM98" t="e">
        <f>AND(#REF!,"AAAAAF9fyyY=")</f>
        <v>#REF!</v>
      </c>
      <c r="AN98" t="e">
        <f>AND(#REF!,"AAAAAF9fyyc=")</f>
        <v>#REF!</v>
      </c>
      <c r="AO98" t="e">
        <f>AND(#REF!,"AAAAAF9fyyg=")</f>
        <v>#REF!</v>
      </c>
      <c r="AP98" t="e">
        <f>AND(#REF!,"AAAAAF9fyyk=")</f>
        <v>#REF!</v>
      </c>
      <c r="AQ98" t="e">
        <f>AND(#REF!,"AAAAAF9fyyo=")</f>
        <v>#REF!</v>
      </c>
      <c r="AR98" t="e">
        <f>AND(#REF!,"AAAAAF9fyys=")</f>
        <v>#REF!</v>
      </c>
      <c r="AS98" t="e">
        <f>AND(#REF!,"AAAAAF9fyyw=")</f>
        <v>#REF!</v>
      </c>
      <c r="AT98" t="e">
        <f>AND(#REF!,"AAAAAF9fyy0=")</f>
        <v>#REF!</v>
      </c>
      <c r="AU98" t="e">
        <f>AND(#REF!,"AAAAAF9fyy4=")</f>
        <v>#REF!</v>
      </c>
      <c r="AV98" t="e">
        <f>AND(#REF!,"AAAAAF9fyy8=")</f>
        <v>#REF!</v>
      </c>
      <c r="AW98" t="e">
        <f>AND(#REF!,"AAAAAF9fyzA=")</f>
        <v>#REF!</v>
      </c>
      <c r="AX98" t="e">
        <f>AND(#REF!,"AAAAAF9fyzE=")</f>
        <v>#REF!</v>
      </c>
      <c r="AY98" t="e">
        <f>AND(#REF!,"AAAAAF9fyzI=")</f>
        <v>#REF!</v>
      </c>
      <c r="AZ98" t="e">
        <f>AND(#REF!,"AAAAAF9fyzM=")</f>
        <v>#REF!</v>
      </c>
      <c r="BA98" t="e">
        <f>AND(#REF!,"AAAAAF9fyzQ=")</f>
        <v>#REF!</v>
      </c>
      <c r="BB98" t="e">
        <f>AND(#REF!,"AAAAAF9fyzU=")</f>
        <v>#REF!</v>
      </c>
      <c r="BC98" t="e">
        <f>AND(#REF!,"AAAAAF9fyzY=")</f>
        <v>#REF!</v>
      </c>
      <c r="BD98" t="e">
        <f>AND(#REF!,"AAAAAF9fyzc=")</f>
        <v>#REF!</v>
      </c>
      <c r="BE98" t="e">
        <f>AND(#REF!,"AAAAAF9fyzg=")</f>
        <v>#REF!</v>
      </c>
      <c r="BF98" t="e">
        <f>AND(#REF!,"AAAAAF9fyzk=")</f>
        <v>#REF!</v>
      </c>
      <c r="BG98" t="e">
        <f>AND(#REF!,"AAAAAF9fyzo=")</f>
        <v>#REF!</v>
      </c>
      <c r="BH98" t="e">
        <f>AND(#REF!,"AAAAAF9fyzs=")</f>
        <v>#REF!</v>
      </c>
      <c r="BI98" t="e">
        <f>AND(#REF!,"AAAAAF9fyzw=")</f>
        <v>#REF!</v>
      </c>
      <c r="BJ98" t="e">
        <f>AND(#REF!,"AAAAAF9fyz0=")</f>
        <v>#REF!</v>
      </c>
      <c r="BK98" t="e">
        <f>AND(#REF!,"AAAAAF9fyz4=")</f>
        <v>#REF!</v>
      </c>
      <c r="BL98" t="e">
        <f>AND(#REF!,"AAAAAF9fyz8=")</f>
        <v>#REF!</v>
      </c>
      <c r="BM98" t="e">
        <f>AND(#REF!,"AAAAAF9fy0A=")</f>
        <v>#REF!</v>
      </c>
      <c r="BN98" t="e">
        <f>AND(#REF!,"AAAAAF9fy0E=")</f>
        <v>#REF!</v>
      </c>
      <c r="BO98" t="e">
        <f>AND(#REF!,"AAAAAF9fy0I=")</f>
        <v>#REF!</v>
      </c>
      <c r="BP98" t="e">
        <f>AND(#REF!,"AAAAAF9fy0M=")</f>
        <v>#REF!</v>
      </c>
      <c r="BQ98" t="e">
        <f>AND(#REF!,"AAAAAF9fy0Q=")</f>
        <v>#REF!</v>
      </c>
      <c r="BR98" t="e">
        <f>AND(#REF!,"AAAAAF9fy0U=")</f>
        <v>#REF!</v>
      </c>
      <c r="BS98" t="e">
        <f>AND(#REF!,"AAAAAF9fy0Y=")</f>
        <v>#REF!</v>
      </c>
      <c r="BT98" t="e">
        <f>AND(#REF!,"AAAAAF9fy0c=")</f>
        <v>#REF!</v>
      </c>
      <c r="BU98" t="e">
        <f>AND(#REF!,"AAAAAF9fy0g=")</f>
        <v>#REF!</v>
      </c>
      <c r="BV98" t="e">
        <f>AND(#REF!,"AAAAAF9fy0k=")</f>
        <v>#REF!</v>
      </c>
      <c r="BW98" t="e">
        <f>AND(#REF!,"AAAAAF9fy0o=")</f>
        <v>#REF!</v>
      </c>
      <c r="BX98" t="e">
        <f>AND(#REF!,"AAAAAF9fy0s=")</f>
        <v>#REF!</v>
      </c>
      <c r="BY98" t="e">
        <f>AND(#REF!,"AAAAAF9fy0w=")</f>
        <v>#REF!</v>
      </c>
      <c r="BZ98" t="e">
        <f>AND(#REF!,"AAAAAF9fy00=")</f>
        <v>#REF!</v>
      </c>
      <c r="CA98" t="e">
        <f>AND(#REF!,"AAAAAF9fy04=")</f>
        <v>#REF!</v>
      </c>
      <c r="CB98" t="e">
        <f>AND(#REF!,"AAAAAF9fy08=")</f>
        <v>#REF!</v>
      </c>
      <c r="CC98" t="e">
        <f>AND(#REF!,"AAAAAF9fy1A=")</f>
        <v>#REF!</v>
      </c>
      <c r="CD98" t="e">
        <f>IF(#REF!,"AAAAAF9fy1E=",0)</f>
        <v>#REF!</v>
      </c>
      <c r="CE98" t="e">
        <f>AND(#REF!,"AAAAAF9fy1I=")</f>
        <v>#REF!</v>
      </c>
      <c r="CF98" t="e">
        <f>AND(#REF!,"AAAAAF9fy1M=")</f>
        <v>#REF!</v>
      </c>
      <c r="CG98" t="e">
        <f>AND(#REF!,"AAAAAF9fy1Q=")</f>
        <v>#REF!</v>
      </c>
      <c r="CH98" t="e">
        <f>AND(#REF!,"AAAAAF9fy1U=")</f>
        <v>#REF!</v>
      </c>
      <c r="CI98" t="e">
        <f>AND(#REF!,"AAAAAF9fy1Y=")</f>
        <v>#REF!</v>
      </c>
      <c r="CJ98" t="e">
        <f>AND(#REF!,"AAAAAF9fy1c=")</f>
        <v>#REF!</v>
      </c>
      <c r="CK98" t="e">
        <f>AND(#REF!,"AAAAAF9fy1g=")</f>
        <v>#REF!</v>
      </c>
      <c r="CL98" t="e">
        <f>AND(#REF!,"AAAAAF9fy1k=")</f>
        <v>#REF!</v>
      </c>
      <c r="CM98" t="e">
        <f>AND(#REF!,"AAAAAF9fy1o=")</f>
        <v>#REF!</v>
      </c>
      <c r="CN98" t="e">
        <f>AND(#REF!,"AAAAAF9fy1s=")</f>
        <v>#REF!</v>
      </c>
      <c r="CO98" t="e">
        <f>AND(#REF!,"AAAAAF9fy1w=")</f>
        <v>#REF!</v>
      </c>
      <c r="CP98" t="e">
        <f>AND(#REF!,"AAAAAF9fy10=")</f>
        <v>#REF!</v>
      </c>
      <c r="CQ98" t="e">
        <f>AND(#REF!,"AAAAAF9fy14=")</f>
        <v>#REF!</v>
      </c>
      <c r="CR98" t="e">
        <f>AND(#REF!,"AAAAAF9fy18=")</f>
        <v>#REF!</v>
      </c>
      <c r="CS98" t="e">
        <f>AND(#REF!,"AAAAAF9fy2A=")</f>
        <v>#REF!</v>
      </c>
      <c r="CT98" t="e">
        <f>AND(#REF!,"AAAAAF9fy2E=")</f>
        <v>#REF!</v>
      </c>
      <c r="CU98" t="e">
        <f>AND(#REF!,"AAAAAF9fy2I=")</f>
        <v>#REF!</v>
      </c>
      <c r="CV98" t="e">
        <f>AND(#REF!,"AAAAAF9fy2M=")</f>
        <v>#REF!</v>
      </c>
      <c r="CW98" t="e">
        <f>AND(#REF!,"AAAAAF9fy2Q=")</f>
        <v>#REF!</v>
      </c>
      <c r="CX98" t="e">
        <f>AND(#REF!,"AAAAAF9fy2U=")</f>
        <v>#REF!</v>
      </c>
      <c r="CY98" t="e">
        <f>AND(#REF!,"AAAAAF9fy2Y=")</f>
        <v>#REF!</v>
      </c>
      <c r="CZ98" t="e">
        <f>AND(#REF!,"AAAAAF9fy2c=")</f>
        <v>#REF!</v>
      </c>
      <c r="DA98" t="e">
        <f>AND(#REF!,"AAAAAF9fy2g=")</f>
        <v>#REF!</v>
      </c>
      <c r="DB98" t="e">
        <f>AND(#REF!,"AAAAAF9fy2k=")</f>
        <v>#REF!</v>
      </c>
      <c r="DC98" t="e">
        <f>AND(#REF!,"AAAAAF9fy2o=")</f>
        <v>#REF!</v>
      </c>
      <c r="DD98" t="e">
        <f>AND(#REF!,"AAAAAF9fy2s=")</f>
        <v>#REF!</v>
      </c>
      <c r="DE98" t="e">
        <f>AND(#REF!,"AAAAAF9fy2w=")</f>
        <v>#REF!</v>
      </c>
      <c r="DF98" t="e">
        <f>AND(#REF!,"AAAAAF9fy20=")</f>
        <v>#REF!</v>
      </c>
      <c r="DG98" t="e">
        <f>AND(#REF!,"AAAAAF9fy24=")</f>
        <v>#REF!</v>
      </c>
      <c r="DH98" t="e">
        <f>AND(#REF!,"AAAAAF9fy28=")</f>
        <v>#REF!</v>
      </c>
      <c r="DI98" t="e">
        <f>AND(#REF!,"AAAAAF9fy3A=")</f>
        <v>#REF!</v>
      </c>
      <c r="DJ98" t="e">
        <f>AND(#REF!,"AAAAAF9fy3E=")</f>
        <v>#REF!</v>
      </c>
      <c r="DK98" t="e">
        <f>AND(#REF!,"AAAAAF9fy3I=")</f>
        <v>#REF!</v>
      </c>
      <c r="DL98" t="e">
        <f>AND(#REF!,"AAAAAF9fy3M=")</f>
        <v>#REF!</v>
      </c>
      <c r="DM98" t="e">
        <f>AND(#REF!,"AAAAAF9fy3Q=")</f>
        <v>#REF!</v>
      </c>
      <c r="DN98" t="e">
        <f>AND(#REF!,"AAAAAF9fy3U=")</f>
        <v>#REF!</v>
      </c>
      <c r="DO98" t="e">
        <f>AND(#REF!,"AAAAAF9fy3Y=")</f>
        <v>#REF!</v>
      </c>
      <c r="DP98" t="e">
        <f>AND(#REF!,"AAAAAF9fy3c=")</f>
        <v>#REF!</v>
      </c>
      <c r="DQ98" t="e">
        <f>AND(#REF!,"AAAAAF9fy3g=")</f>
        <v>#REF!</v>
      </c>
      <c r="DR98" t="e">
        <f>AND(#REF!,"AAAAAF9fy3k=")</f>
        <v>#REF!</v>
      </c>
      <c r="DS98" t="e">
        <f>AND(#REF!,"AAAAAF9fy3o=")</f>
        <v>#REF!</v>
      </c>
      <c r="DT98" t="e">
        <f>AND(#REF!,"AAAAAF9fy3s=")</f>
        <v>#REF!</v>
      </c>
      <c r="DU98" t="e">
        <f>AND(#REF!,"AAAAAF9fy3w=")</f>
        <v>#REF!</v>
      </c>
      <c r="DV98" t="e">
        <f>AND(#REF!,"AAAAAF9fy30=")</f>
        <v>#REF!</v>
      </c>
      <c r="DW98" t="e">
        <f>AND(#REF!,"AAAAAF9fy34=")</f>
        <v>#REF!</v>
      </c>
      <c r="DX98" t="e">
        <f>AND(#REF!,"AAAAAF9fy38=")</f>
        <v>#REF!</v>
      </c>
      <c r="DY98" t="e">
        <f>AND(#REF!,"AAAAAF9fy4A=")</f>
        <v>#REF!</v>
      </c>
      <c r="DZ98" t="e">
        <f>AND(#REF!,"AAAAAF9fy4E=")</f>
        <v>#REF!</v>
      </c>
      <c r="EA98" t="e">
        <f>AND(#REF!,"AAAAAF9fy4I=")</f>
        <v>#REF!</v>
      </c>
      <c r="EB98" t="e">
        <f>AND(#REF!,"AAAAAF9fy4M=")</f>
        <v>#REF!</v>
      </c>
      <c r="EC98" t="e">
        <f>AND(#REF!,"AAAAAF9fy4Q=")</f>
        <v>#REF!</v>
      </c>
      <c r="ED98" t="e">
        <f>AND(#REF!,"AAAAAF9fy4U=")</f>
        <v>#REF!</v>
      </c>
      <c r="EE98" t="e">
        <f>AND(#REF!,"AAAAAF9fy4Y=")</f>
        <v>#REF!</v>
      </c>
      <c r="EF98" t="e">
        <f>AND(#REF!,"AAAAAF9fy4c=")</f>
        <v>#REF!</v>
      </c>
      <c r="EG98" t="e">
        <f>AND(#REF!,"AAAAAF9fy4g=")</f>
        <v>#REF!</v>
      </c>
      <c r="EH98" t="e">
        <f>AND(#REF!,"AAAAAF9fy4k=")</f>
        <v>#REF!</v>
      </c>
      <c r="EI98" t="e">
        <f>AND(#REF!,"AAAAAF9fy4o=")</f>
        <v>#REF!</v>
      </c>
      <c r="EJ98" t="e">
        <f>AND(#REF!,"AAAAAF9fy4s=")</f>
        <v>#REF!</v>
      </c>
      <c r="EK98" t="e">
        <f>AND(#REF!,"AAAAAF9fy4w=")</f>
        <v>#REF!</v>
      </c>
      <c r="EL98" t="e">
        <f>AND(#REF!,"AAAAAF9fy40=")</f>
        <v>#REF!</v>
      </c>
      <c r="EM98" t="e">
        <f>AND(#REF!,"AAAAAF9fy44=")</f>
        <v>#REF!</v>
      </c>
      <c r="EN98" t="e">
        <f>AND(#REF!,"AAAAAF9fy48=")</f>
        <v>#REF!</v>
      </c>
      <c r="EO98" t="e">
        <f>AND(#REF!,"AAAAAF9fy5A=")</f>
        <v>#REF!</v>
      </c>
      <c r="EP98" t="e">
        <f>AND(#REF!,"AAAAAF9fy5E=")</f>
        <v>#REF!</v>
      </c>
      <c r="EQ98" t="e">
        <f>AND(#REF!,"AAAAAF9fy5I=")</f>
        <v>#REF!</v>
      </c>
      <c r="ER98" t="e">
        <f>AND(#REF!,"AAAAAF9fy5M=")</f>
        <v>#REF!</v>
      </c>
      <c r="ES98" t="e">
        <f>AND(#REF!,"AAAAAF9fy5Q=")</f>
        <v>#REF!</v>
      </c>
      <c r="ET98" t="e">
        <f>AND(#REF!,"AAAAAF9fy5U=")</f>
        <v>#REF!</v>
      </c>
      <c r="EU98" t="e">
        <f>AND(#REF!,"AAAAAF9fy5Y=")</f>
        <v>#REF!</v>
      </c>
      <c r="EV98" t="e">
        <f>AND(#REF!,"AAAAAF9fy5c=")</f>
        <v>#REF!</v>
      </c>
      <c r="EW98" t="e">
        <f>AND(#REF!,"AAAAAF9fy5g=")</f>
        <v>#REF!</v>
      </c>
      <c r="EX98" t="e">
        <f>AND(#REF!,"AAAAAF9fy5k=")</f>
        <v>#REF!</v>
      </c>
      <c r="EY98" t="e">
        <f>AND(#REF!,"AAAAAF9fy5o=")</f>
        <v>#REF!</v>
      </c>
      <c r="EZ98" t="e">
        <f>AND(#REF!,"AAAAAF9fy5s=")</f>
        <v>#REF!</v>
      </c>
      <c r="FA98" t="e">
        <f>AND(#REF!,"AAAAAF9fy5w=")</f>
        <v>#REF!</v>
      </c>
      <c r="FB98" t="e">
        <f>AND(#REF!,"AAAAAF9fy50=")</f>
        <v>#REF!</v>
      </c>
      <c r="FC98" t="e">
        <f>AND(#REF!,"AAAAAF9fy54=")</f>
        <v>#REF!</v>
      </c>
      <c r="FD98" t="e">
        <f>AND(#REF!,"AAAAAF9fy58=")</f>
        <v>#REF!</v>
      </c>
      <c r="FE98" t="e">
        <f>AND(#REF!,"AAAAAF9fy6A=")</f>
        <v>#REF!</v>
      </c>
      <c r="FF98" t="e">
        <f>AND(#REF!,"AAAAAF9fy6E=")</f>
        <v>#REF!</v>
      </c>
      <c r="FG98" t="e">
        <f>AND(#REF!,"AAAAAF9fy6I=")</f>
        <v>#REF!</v>
      </c>
      <c r="FH98" t="e">
        <f>AND(#REF!,"AAAAAF9fy6M=")</f>
        <v>#REF!</v>
      </c>
      <c r="FI98" t="e">
        <f>AND(#REF!,"AAAAAF9fy6Q=")</f>
        <v>#REF!</v>
      </c>
      <c r="FJ98" t="e">
        <f>AND(#REF!,"AAAAAF9fy6U=")</f>
        <v>#REF!</v>
      </c>
      <c r="FK98" t="e">
        <f>AND(#REF!,"AAAAAF9fy6Y=")</f>
        <v>#REF!</v>
      </c>
      <c r="FL98" t="e">
        <f>AND(#REF!,"AAAAAF9fy6c=")</f>
        <v>#REF!</v>
      </c>
      <c r="FM98" t="e">
        <f>AND(#REF!,"AAAAAF9fy6g=")</f>
        <v>#REF!</v>
      </c>
      <c r="FN98" t="e">
        <f>AND(#REF!,"AAAAAF9fy6k=")</f>
        <v>#REF!</v>
      </c>
      <c r="FO98" t="e">
        <f>AND(#REF!,"AAAAAF9fy6o=")</f>
        <v>#REF!</v>
      </c>
      <c r="FP98" t="e">
        <f>AND(#REF!,"AAAAAF9fy6s=")</f>
        <v>#REF!</v>
      </c>
      <c r="FQ98" t="e">
        <f>AND(#REF!,"AAAAAF9fy6w=")</f>
        <v>#REF!</v>
      </c>
      <c r="FR98" t="e">
        <f>AND(#REF!,"AAAAAF9fy60=")</f>
        <v>#REF!</v>
      </c>
      <c r="FS98" t="e">
        <f>AND(#REF!,"AAAAAF9fy64=")</f>
        <v>#REF!</v>
      </c>
      <c r="FT98" t="e">
        <f>AND(#REF!,"AAAAAF9fy68=")</f>
        <v>#REF!</v>
      </c>
      <c r="FU98" t="e">
        <f>AND(#REF!,"AAAAAF9fy7A=")</f>
        <v>#REF!</v>
      </c>
      <c r="FV98" t="e">
        <f>AND(#REF!,"AAAAAF9fy7E=")</f>
        <v>#REF!</v>
      </c>
      <c r="FW98" t="e">
        <f>AND(#REF!,"AAAAAF9fy7I=")</f>
        <v>#REF!</v>
      </c>
      <c r="FX98" t="e">
        <f>AND(#REF!,"AAAAAF9fy7M=")</f>
        <v>#REF!</v>
      </c>
      <c r="FY98" t="e">
        <f>AND(#REF!,"AAAAAF9fy7Q=")</f>
        <v>#REF!</v>
      </c>
      <c r="FZ98" t="e">
        <f>AND(#REF!,"AAAAAF9fy7U=")</f>
        <v>#REF!</v>
      </c>
      <c r="GA98" t="e">
        <f>AND(#REF!,"AAAAAF9fy7Y=")</f>
        <v>#REF!</v>
      </c>
      <c r="GB98" t="e">
        <f>AND(#REF!,"AAAAAF9fy7c=")</f>
        <v>#REF!</v>
      </c>
      <c r="GC98" t="e">
        <f>AND(#REF!,"AAAAAF9fy7g=")</f>
        <v>#REF!</v>
      </c>
      <c r="GD98" t="e">
        <f>AND(#REF!,"AAAAAF9fy7k=")</f>
        <v>#REF!</v>
      </c>
      <c r="GE98" t="e">
        <f>AND(#REF!,"AAAAAF9fy7o=")</f>
        <v>#REF!</v>
      </c>
      <c r="GF98" t="e">
        <f>AND(#REF!,"AAAAAF9fy7s=")</f>
        <v>#REF!</v>
      </c>
      <c r="GG98" t="e">
        <f>AND(#REF!,"AAAAAF9fy7w=")</f>
        <v>#REF!</v>
      </c>
      <c r="GH98" t="e">
        <f>AND(#REF!,"AAAAAF9fy70=")</f>
        <v>#REF!</v>
      </c>
      <c r="GI98" t="e">
        <f>AND(#REF!,"AAAAAF9fy74=")</f>
        <v>#REF!</v>
      </c>
      <c r="GJ98" t="e">
        <f>AND(#REF!,"AAAAAF9fy78=")</f>
        <v>#REF!</v>
      </c>
      <c r="GK98" t="e">
        <f>AND(#REF!,"AAAAAF9fy8A=")</f>
        <v>#REF!</v>
      </c>
      <c r="GL98" t="e">
        <f>AND(#REF!,"AAAAAF9fy8E=")</f>
        <v>#REF!</v>
      </c>
      <c r="GM98" t="e">
        <f>AND(#REF!,"AAAAAF9fy8I=")</f>
        <v>#REF!</v>
      </c>
      <c r="GN98" t="e">
        <f>AND(#REF!,"AAAAAF9fy8M=")</f>
        <v>#REF!</v>
      </c>
      <c r="GO98" t="e">
        <f>AND(#REF!,"AAAAAF9fy8Q=")</f>
        <v>#REF!</v>
      </c>
      <c r="GP98" t="e">
        <f>AND(#REF!,"AAAAAF9fy8U=")</f>
        <v>#REF!</v>
      </c>
      <c r="GQ98" t="e">
        <f>AND(#REF!,"AAAAAF9fy8Y=")</f>
        <v>#REF!</v>
      </c>
      <c r="GR98" t="e">
        <f>AND(#REF!,"AAAAAF9fy8c=")</f>
        <v>#REF!</v>
      </c>
      <c r="GS98" t="e">
        <f>AND(#REF!,"AAAAAF9fy8g=")</f>
        <v>#REF!</v>
      </c>
      <c r="GT98" t="e">
        <f>AND(#REF!,"AAAAAF9fy8k=")</f>
        <v>#REF!</v>
      </c>
      <c r="GU98" t="e">
        <f>AND(#REF!,"AAAAAF9fy8o=")</f>
        <v>#REF!</v>
      </c>
      <c r="GV98" t="e">
        <f>AND(#REF!,"AAAAAF9fy8s=")</f>
        <v>#REF!</v>
      </c>
      <c r="GW98" t="e">
        <f>AND(#REF!,"AAAAAF9fy8w=")</f>
        <v>#REF!</v>
      </c>
      <c r="GX98" t="e">
        <f>AND(#REF!,"AAAAAF9fy80=")</f>
        <v>#REF!</v>
      </c>
      <c r="GY98" t="e">
        <f>AND(#REF!,"AAAAAF9fy84=")</f>
        <v>#REF!</v>
      </c>
      <c r="GZ98" t="e">
        <f>AND(#REF!,"AAAAAF9fy88=")</f>
        <v>#REF!</v>
      </c>
      <c r="HA98" t="e">
        <f>AND(#REF!,"AAAAAF9fy9A=")</f>
        <v>#REF!</v>
      </c>
      <c r="HB98" t="e">
        <f>AND(#REF!,"AAAAAF9fy9E=")</f>
        <v>#REF!</v>
      </c>
      <c r="HC98" t="e">
        <f>AND(#REF!,"AAAAAF9fy9I=")</f>
        <v>#REF!</v>
      </c>
      <c r="HD98" t="e">
        <f>AND(#REF!,"AAAAAF9fy9M=")</f>
        <v>#REF!</v>
      </c>
      <c r="HE98" t="e">
        <f>AND(#REF!,"AAAAAF9fy9Q=")</f>
        <v>#REF!</v>
      </c>
      <c r="HF98" t="e">
        <f>AND(#REF!,"AAAAAF9fy9U=")</f>
        <v>#REF!</v>
      </c>
      <c r="HG98" t="e">
        <f>AND(#REF!,"AAAAAF9fy9Y=")</f>
        <v>#REF!</v>
      </c>
      <c r="HH98" t="e">
        <f>AND(#REF!,"AAAAAF9fy9c=")</f>
        <v>#REF!</v>
      </c>
      <c r="HI98" t="e">
        <f>AND(#REF!,"AAAAAF9fy9g=")</f>
        <v>#REF!</v>
      </c>
      <c r="HJ98" t="e">
        <f>AND(#REF!,"AAAAAF9fy9k=")</f>
        <v>#REF!</v>
      </c>
      <c r="HK98" t="e">
        <f>AND(#REF!,"AAAAAF9fy9o=")</f>
        <v>#REF!</v>
      </c>
      <c r="HL98" t="e">
        <f>AND(#REF!,"AAAAAF9fy9s=")</f>
        <v>#REF!</v>
      </c>
      <c r="HM98" t="e">
        <f>AND(#REF!,"AAAAAF9fy9w=")</f>
        <v>#REF!</v>
      </c>
      <c r="HN98" t="e">
        <f>AND(#REF!,"AAAAAF9fy90=")</f>
        <v>#REF!</v>
      </c>
      <c r="HO98" t="e">
        <f>AND(#REF!,"AAAAAF9fy94=")</f>
        <v>#REF!</v>
      </c>
      <c r="HP98" t="e">
        <f>AND(#REF!,"AAAAAF9fy98=")</f>
        <v>#REF!</v>
      </c>
      <c r="HQ98" t="e">
        <f>AND(#REF!,"AAAAAF9fy+A=")</f>
        <v>#REF!</v>
      </c>
      <c r="HR98" t="e">
        <f>AND(#REF!,"AAAAAF9fy+E=")</f>
        <v>#REF!</v>
      </c>
      <c r="HS98" t="e">
        <f>AND(#REF!,"AAAAAF9fy+I=")</f>
        <v>#REF!</v>
      </c>
      <c r="HT98" t="e">
        <f>AND(#REF!,"AAAAAF9fy+M=")</f>
        <v>#REF!</v>
      </c>
      <c r="HU98" t="e">
        <f>AND(#REF!,"AAAAAF9fy+Q=")</f>
        <v>#REF!</v>
      </c>
      <c r="HV98" t="e">
        <f>AND(#REF!,"AAAAAF9fy+U=")</f>
        <v>#REF!</v>
      </c>
      <c r="HW98" t="e">
        <f>AND(#REF!,"AAAAAF9fy+Y=")</f>
        <v>#REF!</v>
      </c>
      <c r="HX98" t="e">
        <f>AND(#REF!,"AAAAAF9fy+c=")</f>
        <v>#REF!</v>
      </c>
      <c r="HY98" t="e">
        <f>AND(#REF!,"AAAAAF9fy+g=")</f>
        <v>#REF!</v>
      </c>
      <c r="HZ98" t="e">
        <f>AND(#REF!,"AAAAAF9fy+k=")</f>
        <v>#REF!</v>
      </c>
      <c r="IA98" t="e">
        <f>AND(#REF!,"AAAAAF9fy+o=")</f>
        <v>#REF!</v>
      </c>
      <c r="IB98" t="e">
        <f>AND(#REF!,"AAAAAF9fy+s=")</f>
        <v>#REF!</v>
      </c>
      <c r="IC98" t="e">
        <f>AND(#REF!,"AAAAAF9fy+w=")</f>
        <v>#REF!</v>
      </c>
      <c r="ID98" t="e">
        <f>AND(#REF!,"AAAAAF9fy+0=")</f>
        <v>#REF!</v>
      </c>
      <c r="IE98" t="e">
        <f>AND(#REF!,"AAAAAF9fy+4=")</f>
        <v>#REF!</v>
      </c>
      <c r="IF98" t="e">
        <f>AND(#REF!,"AAAAAF9fy+8=")</f>
        <v>#REF!</v>
      </c>
      <c r="IG98" t="e">
        <f>AND(#REF!,"AAAAAF9fy/A=")</f>
        <v>#REF!</v>
      </c>
      <c r="IH98" t="e">
        <f>AND(#REF!,"AAAAAF9fy/E=")</f>
        <v>#REF!</v>
      </c>
      <c r="II98" t="e">
        <f>AND(#REF!,"AAAAAF9fy/I=")</f>
        <v>#REF!</v>
      </c>
      <c r="IJ98" t="e">
        <f>AND(#REF!,"AAAAAF9fy/M=")</f>
        <v>#REF!</v>
      </c>
      <c r="IK98" t="e">
        <f>AND(#REF!,"AAAAAF9fy/Q=")</f>
        <v>#REF!</v>
      </c>
      <c r="IL98" t="e">
        <f>AND(#REF!,"AAAAAF9fy/U=")</f>
        <v>#REF!</v>
      </c>
      <c r="IM98" t="e">
        <f>AND(#REF!,"AAAAAF9fy/Y=")</f>
        <v>#REF!</v>
      </c>
      <c r="IN98" t="e">
        <f>AND(#REF!,"AAAAAF9fy/c=")</f>
        <v>#REF!</v>
      </c>
      <c r="IO98" t="e">
        <f>AND(#REF!,"AAAAAF9fy/g=")</f>
        <v>#REF!</v>
      </c>
      <c r="IP98" t="e">
        <f>AND(#REF!,"AAAAAF9fy/k=")</f>
        <v>#REF!</v>
      </c>
      <c r="IQ98" t="e">
        <f>AND(#REF!,"AAAAAF9fy/o=")</f>
        <v>#REF!</v>
      </c>
      <c r="IR98" t="e">
        <f>AND(#REF!,"AAAAAF9fy/s=")</f>
        <v>#REF!</v>
      </c>
      <c r="IS98" t="e">
        <f>AND(#REF!,"AAAAAF9fy/w=")</f>
        <v>#REF!</v>
      </c>
      <c r="IT98" t="e">
        <f>AND(#REF!,"AAAAAF9fy/0=")</f>
        <v>#REF!</v>
      </c>
      <c r="IU98" t="e">
        <f>AND(#REF!,"AAAAAF9fy/4=")</f>
        <v>#REF!</v>
      </c>
      <c r="IV98" t="e">
        <f>AND(#REF!,"AAAAAF9fy/8=")</f>
        <v>#REF!</v>
      </c>
    </row>
    <row r="99" spans="1:256" x14ac:dyDescent="0.25">
      <c r="A99" t="e">
        <f>AND(#REF!,"AAAAAHbbvwA=")</f>
        <v>#REF!</v>
      </c>
      <c r="B99" t="e">
        <f>AND(#REF!,"AAAAAHbbvwE=")</f>
        <v>#REF!</v>
      </c>
      <c r="C99" t="e">
        <f>AND(#REF!,"AAAAAHbbvwI=")</f>
        <v>#REF!</v>
      </c>
      <c r="D99" t="e">
        <f>AND(#REF!,"AAAAAHbbvwM=")</f>
        <v>#REF!</v>
      </c>
      <c r="E99" t="e">
        <f>AND(#REF!,"AAAAAHbbvwQ=")</f>
        <v>#REF!</v>
      </c>
      <c r="F99" t="e">
        <f>AND(#REF!,"AAAAAHbbvwU=")</f>
        <v>#REF!</v>
      </c>
      <c r="G99" t="e">
        <f>AND(#REF!,"AAAAAHbbvwY=")</f>
        <v>#REF!</v>
      </c>
      <c r="H99" t="e">
        <f>AND(#REF!,"AAAAAHbbvwc=")</f>
        <v>#REF!</v>
      </c>
      <c r="I99" t="e">
        <f>AND(#REF!,"AAAAAHbbvwg=")</f>
        <v>#REF!</v>
      </c>
      <c r="J99" t="e">
        <f>AND(#REF!,"AAAAAHbbvwk=")</f>
        <v>#REF!</v>
      </c>
      <c r="K99" t="e">
        <f>AND(#REF!,"AAAAAHbbvwo=")</f>
        <v>#REF!</v>
      </c>
      <c r="L99" t="e">
        <f>AND(#REF!,"AAAAAHbbvws=")</f>
        <v>#REF!</v>
      </c>
      <c r="M99" t="e">
        <f>AND(#REF!,"AAAAAHbbvww=")</f>
        <v>#REF!</v>
      </c>
      <c r="N99" t="e">
        <f>AND(#REF!,"AAAAAHbbvw0=")</f>
        <v>#REF!</v>
      </c>
      <c r="O99" t="e">
        <f>IF(#REF!,"AAAAAHbbvw4=",0)</f>
        <v>#REF!</v>
      </c>
      <c r="P99" t="e">
        <f>AND(#REF!,"AAAAAHbbvw8=")</f>
        <v>#REF!</v>
      </c>
      <c r="Q99" t="e">
        <f>AND(#REF!,"AAAAAHbbvxA=")</f>
        <v>#REF!</v>
      </c>
      <c r="R99" t="e">
        <f>AND(#REF!,"AAAAAHbbvxE=")</f>
        <v>#REF!</v>
      </c>
      <c r="S99" t="e">
        <f>AND(#REF!,"AAAAAHbbvxI=")</f>
        <v>#REF!</v>
      </c>
      <c r="T99" t="e">
        <f>AND(#REF!,"AAAAAHbbvxM=")</f>
        <v>#REF!</v>
      </c>
      <c r="U99" t="e">
        <f>AND(#REF!,"AAAAAHbbvxQ=")</f>
        <v>#REF!</v>
      </c>
      <c r="V99" t="e">
        <f>AND(#REF!,"AAAAAHbbvxU=")</f>
        <v>#REF!</v>
      </c>
      <c r="W99" t="e">
        <f>AND(#REF!,"AAAAAHbbvxY=")</f>
        <v>#REF!</v>
      </c>
      <c r="X99" t="e">
        <f>AND(#REF!,"AAAAAHbbvxc=")</f>
        <v>#REF!</v>
      </c>
      <c r="Y99" t="e">
        <f>AND(#REF!,"AAAAAHbbvxg=")</f>
        <v>#REF!</v>
      </c>
      <c r="Z99" t="e">
        <f>AND(#REF!,"AAAAAHbbvxk=")</f>
        <v>#REF!</v>
      </c>
      <c r="AA99" t="e">
        <f>AND(#REF!,"AAAAAHbbvxo=")</f>
        <v>#REF!</v>
      </c>
      <c r="AB99" t="e">
        <f>AND(#REF!,"AAAAAHbbvxs=")</f>
        <v>#REF!</v>
      </c>
      <c r="AC99" t="e">
        <f>AND(#REF!,"AAAAAHbbvxw=")</f>
        <v>#REF!</v>
      </c>
      <c r="AD99" t="e">
        <f>AND(#REF!,"AAAAAHbbvx0=")</f>
        <v>#REF!</v>
      </c>
      <c r="AE99" t="e">
        <f>AND(#REF!,"AAAAAHbbvx4=")</f>
        <v>#REF!</v>
      </c>
      <c r="AF99" t="e">
        <f>AND(#REF!,"AAAAAHbbvx8=")</f>
        <v>#REF!</v>
      </c>
      <c r="AG99" t="e">
        <f>AND(#REF!,"AAAAAHbbvyA=")</f>
        <v>#REF!</v>
      </c>
      <c r="AH99" t="e">
        <f>AND(#REF!,"AAAAAHbbvyE=")</f>
        <v>#REF!</v>
      </c>
      <c r="AI99" t="e">
        <f>AND(#REF!,"AAAAAHbbvyI=")</f>
        <v>#REF!</v>
      </c>
      <c r="AJ99" t="e">
        <f>AND(#REF!,"AAAAAHbbvyM=")</f>
        <v>#REF!</v>
      </c>
      <c r="AK99" t="e">
        <f>AND(#REF!,"AAAAAHbbvyQ=")</f>
        <v>#REF!</v>
      </c>
      <c r="AL99" t="e">
        <f>AND(#REF!,"AAAAAHbbvyU=")</f>
        <v>#REF!</v>
      </c>
      <c r="AM99" t="e">
        <f>AND(#REF!,"AAAAAHbbvyY=")</f>
        <v>#REF!</v>
      </c>
      <c r="AN99" t="e">
        <f>AND(#REF!,"AAAAAHbbvyc=")</f>
        <v>#REF!</v>
      </c>
      <c r="AO99" t="e">
        <f>AND(#REF!,"AAAAAHbbvyg=")</f>
        <v>#REF!</v>
      </c>
      <c r="AP99" t="e">
        <f>AND(#REF!,"AAAAAHbbvyk=")</f>
        <v>#REF!</v>
      </c>
      <c r="AQ99" t="e">
        <f>AND(#REF!,"AAAAAHbbvyo=")</f>
        <v>#REF!</v>
      </c>
      <c r="AR99" t="e">
        <f>AND(#REF!,"AAAAAHbbvys=")</f>
        <v>#REF!</v>
      </c>
      <c r="AS99" t="e">
        <f>AND(#REF!,"AAAAAHbbvyw=")</f>
        <v>#REF!</v>
      </c>
      <c r="AT99" t="e">
        <f>AND(#REF!,"AAAAAHbbvy0=")</f>
        <v>#REF!</v>
      </c>
      <c r="AU99" t="e">
        <f>AND(#REF!,"AAAAAHbbvy4=")</f>
        <v>#REF!</v>
      </c>
      <c r="AV99" t="e">
        <f>AND(#REF!,"AAAAAHbbvy8=")</f>
        <v>#REF!</v>
      </c>
      <c r="AW99" t="e">
        <f>AND(#REF!,"AAAAAHbbvzA=")</f>
        <v>#REF!</v>
      </c>
      <c r="AX99" t="e">
        <f>AND(#REF!,"AAAAAHbbvzE=")</f>
        <v>#REF!</v>
      </c>
      <c r="AY99" t="e">
        <f>AND(#REF!,"AAAAAHbbvzI=")</f>
        <v>#REF!</v>
      </c>
      <c r="AZ99" t="e">
        <f>AND(#REF!,"AAAAAHbbvzM=")</f>
        <v>#REF!</v>
      </c>
      <c r="BA99" t="e">
        <f>AND(#REF!,"AAAAAHbbvzQ=")</f>
        <v>#REF!</v>
      </c>
      <c r="BB99" t="e">
        <f>AND(#REF!,"AAAAAHbbvzU=")</f>
        <v>#REF!</v>
      </c>
      <c r="BC99" t="e">
        <f>AND(#REF!,"AAAAAHbbvzY=")</f>
        <v>#REF!</v>
      </c>
      <c r="BD99" t="e">
        <f>AND(#REF!,"AAAAAHbbvzc=")</f>
        <v>#REF!</v>
      </c>
      <c r="BE99" t="e">
        <f>AND(#REF!,"AAAAAHbbvzg=")</f>
        <v>#REF!</v>
      </c>
      <c r="BF99" t="e">
        <f>AND(#REF!,"AAAAAHbbvzk=")</f>
        <v>#REF!</v>
      </c>
      <c r="BG99" t="e">
        <f>AND(#REF!,"AAAAAHbbvzo=")</f>
        <v>#REF!</v>
      </c>
      <c r="BH99" t="e">
        <f>AND(#REF!,"AAAAAHbbvzs=")</f>
        <v>#REF!</v>
      </c>
      <c r="BI99" t="e">
        <f>AND(#REF!,"AAAAAHbbvzw=")</f>
        <v>#REF!</v>
      </c>
      <c r="BJ99" t="e">
        <f>AND(#REF!,"AAAAAHbbvz0=")</f>
        <v>#REF!</v>
      </c>
      <c r="BK99" t="e">
        <f>AND(#REF!,"AAAAAHbbvz4=")</f>
        <v>#REF!</v>
      </c>
      <c r="BL99" t="e">
        <f>AND(#REF!,"AAAAAHbbvz8=")</f>
        <v>#REF!</v>
      </c>
      <c r="BM99" t="e">
        <f>AND(#REF!,"AAAAAHbbv0A=")</f>
        <v>#REF!</v>
      </c>
      <c r="BN99" t="e">
        <f>AND(#REF!,"AAAAAHbbv0E=")</f>
        <v>#REF!</v>
      </c>
      <c r="BO99" t="e">
        <f>AND(#REF!,"AAAAAHbbv0I=")</f>
        <v>#REF!</v>
      </c>
      <c r="BP99" t="e">
        <f>AND(#REF!,"AAAAAHbbv0M=")</f>
        <v>#REF!</v>
      </c>
      <c r="BQ99" t="e">
        <f>AND(#REF!,"AAAAAHbbv0Q=")</f>
        <v>#REF!</v>
      </c>
      <c r="BR99" t="e">
        <f>AND(#REF!,"AAAAAHbbv0U=")</f>
        <v>#REF!</v>
      </c>
      <c r="BS99" t="e">
        <f>AND(#REF!,"AAAAAHbbv0Y=")</f>
        <v>#REF!</v>
      </c>
      <c r="BT99" t="e">
        <f>AND(#REF!,"AAAAAHbbv0c=")</f>
        <v>#REF!</v>
      </c>
      <c r="BU99" t="e">
        <f>AND(#REF!,"AAAAAHbbv0g=")</f>
        <v>#REF!</v>
      </c>
      <c r="BV99" t="e">
        <f>AND(#REF!,"AAAAAHbbv0k=")</f>
        <v>#REF!</v>
      </c>
      <c r="BW99" t="e">
        <f>AND(#REF!,"AAAAAHbbv0o=")</f>
        <v>#REF!</v>
      </c>
      <c r="BX99" t="e">
        <f>AND(#REF!,"AAAAAHbbv0s=")</f>
        <v>#REF!</v>
      </c>
      <c r="BY99" t="e">
        <f>AND(#REF!,"AAAAAHbbv0w=")</f>
        <v>#REF!</v>
      </c>
      <c r="BZ99" t="e">
        <f>AND(#REF!,"AAAAAHbbv00=")</f>
        <v>#REF!</v>
      </c>
      <c r="CA99" t="e">
        <f>AND(#REF!,"AAAAAHbbv04=")</f>
        <v>#REF!</v>
      </c>
      <c r="CB99" t="e">
        <f>AND(#REF!,"AAAAAHbbv08=")</f>
        <v>#REF!</v>
      </c>
      <c r="CC99" t="e">
        <f>AND(#REF!,"AAAAAHbbv1A=")</f>
        <v>#REF!</v>
      </c>
      <c r="CD99" t="e">
        <f>AND(#REF!,"AAAAAHbbv1E=")</f>
        <v>#REF!</v>
      </c>
      <c r="CE99" t="e">
        <f>AND(#REF!,"AAAAAHbbv1I=")</f>
        <v>#REF!</v>
      </c>
      <c r="CF99" t="e">
        <f>AND(#REF!,"AAAAAHbbv1M=")</f>
        <v>#REF!</v>
      </c>
      <c r="CG99" t="e">
        <f>AND(#REF!,"AAAAAHbbv1Q=")</f>
        <v>#REF!</v>
      </c>
      <c r="CH99" t="e">
        <f>AND(#REF!,"AAAAAHbbv1U=")</f>
        <v>#REF!</v>
      </c>
      <c r="CI99" t="e">
        <f>AND(#REF!,"AAAAAHbbv1Y=")</f>
        <v>#REF!</v>
      </c>
      <c r="CJ99" t="e">
        <f>AND(#REF!,"AAAAAHbbv1c=")</f>
        <v>#REF!</v>
      </c>
      <c r="CK99" t="e">
        <f>AND(#REF!,"AAAAAHbbv1g=")</f>
        <v>#REF!</v>
      </c>
      <c r="CL99" t="e">
        <f>AND(#REF!,"AAAAAHbbv1k=")</f>
        <v>#REF!</v>
      </c>
      <c r="CM99" t="e">
        <f>AND(#REF!,"AAAAAHbbv1o=")</f>
        <v>#REF!</v>
      </c>
      <c r="CN99" t="e">
        <f>AND(#REF!,"AAAAAHbbv1s=")</f>
        <v>#REF!</v>
      </c>
      <c r="CO99" t="e">
        <f>AND(#REF!,"AAAAAHbbv1w=")</f>
        <v>#REF!</v>
      </c>
      <c r="CP99" t="e">
        <f>AND(#REF!,"AAAAAHbbv10=")</f>
        <v>#REF!</v>
      </c>
      <c r="CQ99" t="e">
        <f>AND(#REF!,"AAAAAHbbv14=")</f>
        <v>#REF!</v>
      </c>
      <c r="CR99" t="e">
        <f>AND(#REF!,"AAAAAHbbv18=")</f>
        <v>#REF!</v>
      </c>
      <c r="CS99" t="e">
        <f>AND(#REF!,"AAAAAHbbv2A=")</f>
        <v>#REF!</v>
      </c>
      <c r="CT99" t="e">
        <f>AND(#REF!,"AAAAAHbbv2E=")</f>
        <v>#REF!</v>
      </c>
      <c r="CU99" t="e">
        <f>AND(#REF!,"AAAAAHbbv2I=")</f>
        <v>#REF!</v>
      </c>
      <c r="CV99" t="e">
        <f>AND(#REF!,"AAAAAHbbv2M=")</f>
        <v>#REF!</v>
      </c>
      <c r="CW99" t="e">
        <f>AND(#REF!,"AAAAAHbbv2Q=")</f>
        <v>#REF!</v>
      </c>
      <c r="CX99" t="e">
        <f>AND(#REF!,"AAAAAHbbv2U=")</f>
        <v>#REF!</v>
      </c>
      <c r="CY99" t="e">
        <f>AND(#REF!,"AAAAAHbbv2Y=")</f>
        <v>#REF!</v>
      </c>
      <c r="CZ99" t="e">
        <f>AND(#REF!,"AAAAAHbbv2c=")</f>
        <v>#REF!</v>
      </c>
      <c r="DA99" t="e">
        <f>AND(#REF!,"AAAAAHbbv2g=")</f>
        <v>#REF!</v>
      </c>
      <c r="DB99" t="e">
        <f>AND(#REF!,"AAAAAHbbv2k=")</f>
        <v>#REF!</v>
      </c>
      <c r="DC99" t="e">
        <f>AND(#REF!,"AAAAAHbbv2o=")</f>
        <v>#REF!</v>
      </c>
      <c r="DD99" t="e">
        <f>AND(#REF!,"AAAAAHbbv2s=")</f>
        <v>#REF!</v>
      </c>
      <c r="DE99" t="e">
        <f>AND(#REF!,"AAAAAHbbv2w=")</f>
        <v>#REF!</v>
      </c>
      <c r="DF99" t="e">
        <f>AND(#REF!,"AAAAAHbbv20=")</f>
        <v>#REF!</v>
      </c>
      <c r="DG99" t="e">
        <f>AND(#REF!,"AAAAAHbbv24=")</f>
        <v>#REF!</v>
      </c>
      <c r="DH99" t="e">
        <f>AND(#REF!,"AAAAAHbbv28=")</f>
        <v>#REF!</v>
      </c>
      <c r="DI99" t="e">
        <f>AND(#REF!,"AAAAAHbbv3A=")</f>
        <v>#REF!</v>
      </c>
      <c r="DJ99" t="e">
        <f>AND(#REF!,"AAAAAHbbv3E=")</f>
        <v>#REF!</v>
      </c>
      <c r="DK99" t="e">
        <f>AND(#REF!,"AAAAAHbbv3I=")</f>
        <v>#REF!</v>
      </c>
      <c r="DL99" t="e">
        <f>AND(#REF!,"AAAAAHbbv3M=")</f>
        <v>#REF!</v>
      </c>
      <c r="DM99" t="e">
        <f>AND(#REF!,"AAAAAHbbv3Q=")</f>
        <v>#REF!</v>
      </c>
      <c r="DN99" t="e">
        <f>AND(#REF!,"AAAAAHbbv3U=")</f>
        <v>#REF!</v>
      </c>
      <c r="DO99" t="e">
        <f>AND(#REF!,"AAAAAHbbv3Y=")</f>
        <v>#REF!</v>
      </c>
      <c r="DP99" t="e">
        <f>AND(#REF!,"AAAAAHbbv3c=")</f>
        <v>#REF!</v>
      </c>
      <c r="DQ99" t="e">
        <f>AND(#REF!,"AAAAAHbbv3g=")</f>
        <v>#REF!</v>
      </c>
      <c r="DR99" t="e">
        <f>AND(#REF!,"AAAAAHbbv3k=")</f>
        <v>#REF!</v>
      </c>
      <c r="DS99" t="e">
        <f>AND(#REF!,"AAAAAHbbv3o=")</f>
        <v>#REF!</v>
      </c>
      <c r="DT99" t="e">
        <f>AND(#REF!,"AAAAAHbbv3s=")</f>
        <v>#REF!</v>
      </c>
      <c r="DU99" t="e">
        <f>AND(#REF!,"AAAAAHbbv3w=")</f>
        <v>#REF!</v>
      </c>
      <c r="DV99" t="e">
        <f>AND(#REF!,"AAAAAHbbv30=")</f>
        <v>#REF!</v>
      </c>
      <c r="DW99" t="e">
        <f>AND(#REF!,"AAAAAHbbv34=")</f>
        <v>#REF!</v>
      </c>
      <c r="DX99" t="e">
        <f>AND(#REF!,"AAAAAHbbv38=")</f>
        <v>#REF!</v>
      </c>
      <c r="DY99" t="e">
        <f>AND(#REF!,"AAAAAHbbv4A=")</f>
        <v>#REF!</v>
      </c>
      <c r="DZ99" t="e">
        <f>AND(#REF!,"AAAAAHbbv4E=")</f>
        <v>#REF!</v>
      </c>
      <c r="EA99" t="e">
        <f>AND(#REF!,"AAAAAHbbv4I=")</f>
        <v>#REF!</v>
      </c>
      <c r="EB99" t="e">
        <f>AND(#REF!,"AAAAAHbbv4M=")</f>
        <v>#REF!</v>
      </c>
      <c r="EC99" t="e">
        <f>AND(#REF!,"AAAAAHbbv4Q=")</f>
        <v>#REF!</v>
      </c>
      <c r="ED99" t="e">
        <f>AND(#REF!,"AAAAAHbbv4U=")</f>
        <v>#REF!</v>
      </c>
      <c r="EE99" t="e">
        <f>AND(#REF!,"AAAAAHbbv4Y=")</f>
        <v>#REF!</v>
      </c>
      <c r="EF99" t="e">
        <f>AND(#REF!,"AAAAAHbbv4c=")</f>
        <v>#REF!</v>
      </c>
      <c r="EG99" t="e">
        <f>AND(#REF!,"AAAAAHbbv4g=")</f>
        <v>#REF!</v>
      </c>
      <c r="EH99" t="e">
        <f>AND(#REF!,"AAAAAHbbv4k=")</f>
        <v>#REF!</v>
      </c>
      <c r="EI99" t="e">
        <f>AND(#REF!,"AAAAAHbbv4o=")</f>
        <v>#REF!</v>
      </c>
      <c r="EJ99" t="e">
        <f>AND(#REF!,"AAAAAHbbv4s=")</f>
        <v>#REF!</v>
      </c>
      <c r="EK99" t="e">
        <f>AND(#REF!,"AAAAAHbbv4w=")</f>
        <v>#REF!</v>
      </c>
      <c r="EL99" t="e">
        <f>AND(#REF!,"AAAAAHbbv40=")</f>
        <v>#REF!</v>
      </c>
      <c r="EM99" t="e">
        <f>AND(#REF!,"AAAAAHbbv44=")</f>
        <v>#REF!</v>
      </c>
      <c r="EN99" t="e">
        <f>AND(#REF!,"AAAAAHbbv48=")</f>
        <v>#REF!</v>
      </c>
      <c r="EO99" t="e">
        <f>AND(#REF!,"AAAAAHbbv5A=")</f>
        <v>#REF!</v>
      </c>
      <c r="EP99" t="e">
        <f>AND(#REF!,"AAAAAHbbv5E=")</f>
        <v>#REF!</v>
      </c>
      <c r="EQ99" t="e">
        <f>AND(#REF!,"AAAAAHbbv5I=")</f>
        <v>#REF!</v>
      </c>
      <c r="ER99" t="e">
        <f>AND(#REF!,"AAAAAHbbv5M=")</f>
        <v>#REF!</v>
      </c>
      <c r="ES99" t="e">
        <f>AND(#REF!,"AAAAAHbbv5Q=")</f>
        <v>#REF!</v>
      </c>
      <c r="ET99" t="e">
        <f>AND(#REF!,"AAAAAHbbv5U=")</f>
        <v>#REF!</v>
      </c>
      <c r="EU99" t="e">
        <f>AND(#REF!,"AAAAAHbbv5Y=")</f>
        <v>#REF!</v>
      </c>
      <c r="EV99" t="e">
        <f>AND(#REF!,"AAAAAHbbv5c=")</f>
        <v>#REF!</v>
      </c>
      <c r="EW99" t="e">
        <f>AND(#REF!,"AAAAAHbbv5g=")</f>
        <v>#REF!</v>
      </c>
      <c r="EX99" t="e">
        <f>AND(#REF!,"AAAAAHbbv5k=")</f>
        <v>#REF!</v>
      </c>
      <c r="EY99" t="e">
        <f>AND(#REF!,"AAAAAHbbv5o=")</f>
        <v>#REF!</v>
      </c>
      <c r="EZ99" t="e">
        <f>AND(#REF!,"AAAAAHbbv5s=")</f>
        <v>#REF!</v>
      </c>
      <c r="FA99" t="e">
        <f>AND(#REF!,"AAAAAHbbv5w=")</f>
        <v>#REF!</v>
      </c>
      <c r="FB99" t="e">
        <f>AND(#REF!,"AAAAAHbbv50=")</f>
        <v>#REF!</v>
      </c>
      <c r="FC99" t="e">
        <f>AND(#REF!,"AAAAAHbbv54=")</f>
        <v>#REF!</v>
      </c>
      <c r="FD99" t="e">
        <f>AND(#REF!,"AAAAAHbbv58=")</f>
        <v>#REF!</v>
      </c>
      <c r="FE99" t="e">
        <f>AND(#REF!,"AAAAAHbbv6A=")</f>
        <v>#REF!</v>
      </c>
      <c r="FF99" t="e">
        <f>AND(#REF!,"AAAAAHbbv6E=")</f>
        <v>#REF!</v>
      </c>
      <c r="FG99" t="e">
        <f>AND(#REF!,"AAAAAHbbv6I=")</f>
        <v>#REF!</v>
      </c>
      <c r="FH99" t="e">
        <f>AND(#REF!,"AAAAAHbbv6M=")</f>
        <v>#REF!</v>
      </c>
      <c r="FI99" t="e">
        <f>AND(#REF!,"AAAAAHbbv6Q=")</f>
        <v>#REF!</v>
      </c>
      <c r="FJ99" t="e">
        <f>AND(#REF!,"AAAAAHbbv6U=")</f>
        <v>#REF!</v>
      </c>
      <c r="FK99" t="e">
        <f>AND(#REF!,"AAAAAHbbv6Y=")</f>
        <v>#REF!</v>
      </c>
      <c r="FL99" t="e">
        <f>AND(#REF!,"AAAAAHbbv6c=")</f>
        <v>#REF!</v>
      </c>
      <c r="FM99" t="e">
        <f>AND(#REF!,"AAAAAHbbv6g=")</f>
        <v>#REF!</v>
      </c>
      <c r="FN99" t="e">
        <f>AND(#REF!,"AAAAAHbbv6k=")</f>
        <v>#REF!</v>
      </c>
      <c r="FO99" t="e">
        <f>AND(#REF!,"AAAAAHbbv6o=")</f>
        <v>#REF!</v>
      </c>
      <c r="FP99" t="e">
        <f>AND(#REF!,"AAAAAHbbv6s=")</f>
        <v>#REF!</v>
      </c>
      <c r="FQ99" t="e">
        <f>AND(#REF!,"AAAAAHbbv6w=")</f>
        <v>#REF!</v>
      </c>
      <c r="FR99" t="e">
        <f>AND(#REF!,"AAAAAHbbv60=")</f>
        <v>#REF!</v>
      </c>
      <c r="FS99" t="e">
        <f>AND(#REF!,"AAAAAHbbv64=")</f>
        <v>#REF!</v>
      </c>
      <c r="FT99" t="e">
        <f>AND(#REF!,"AAAAAHbbv68=")</f>
        <v>#REF!</v>
      </c>
      <c r="FU99" t="e">
        <f>AND(#REF!,"AAAAAHbbv7A=")</f>
        <v>#REF!</v>
      </c>
      <c r="FV99" t="e">
        <f>AND(#REF!,"AAAAAHbbv7E=")</f>
        <v>#REF!</v>
      </c>
      <c r="FW99" t="e">
        <f>AND(#REF!,"AAAAAHbbv7I=")</f>
        <v>#REF!</v>
      </c>
      <c r="FX99" t="e">
        <f>AND(#REF!,"AAAAAHbbv7M=")</f>
        <v>#REF!</v>
      </c>
      <c r="FY99" t="e">
        <f>AND(#REF!,"AAAAAHbbv7Q=")</f>
        <v>#REF!</v>
      </c>
      <c r="FZ99" t="e">
        <f>AND(#REF!,"AAAAAHbbv7U=")</f>
        <v>#REF!</v>
      </c>
      <c r="GA99" t="e">
        <f>AND(#REF!,"AAAAAHbbv7Y=")</f>
        <v>#REF!</v>
      </c>
      <c r="GB99" t="e">
        <f>AND(#REF!,"AAAAAHbbv7c=")</f>
        <v>#REF!</v>
      </c>
      <c r="GC99" t="e">
        <f>AND(#REF!,"AAAAAHbbv7g=")</f>
        <v>#REF!</v>
      </c>
      <c r="GD99" t="e">
        <f>AND(#REF!,"AAAAAHbbv7k=")</f>
        <v>#REF!</v>
      </c>
      <c r="GE99" t="e">
        <f>AND(#REF!,"AAAAAHbbv7o=")</f>
        <v>#REF!</v>
      </c>
      <c r="GF99" t="e">
        <f>AND(#REF!,"AAAAAHbbv7s=")</f>
        <v>#REF!</v>
      </c>
      <c r="GG99" t="e">
        <f>AND(#REF!,"AAAAAHbbv7w=")</f>
        <v>#REF!</v>
      </c>
      <c r="GH99" t="e">
        <f>AND(#REF!,"AAAAAHbbv70=")</f>
        <v>#REF!</v>
      </c>
      <c r="GI99" t="e">
        <f>AND(#REF!,"AAAAAHbbv74=")</f>
        <v>#REF!</v>
      </c>
      <c r="GJ99" t="e">
        <f>AND(#REF!,"AAAAAHbbv78=")</f>
        <v>#REF!</v>
      </c>
      <c r="GK99" t="e">
        <f>AND(#REF!,"AAAAAHbbv8A=")</f>
        <v>#REF!</v>
      </c>
      <c r="GL99" t="e">
        <f>AND(#REF!,"AAAAAHbbv8E=")</f>
        <v>#REF!</v>
      </c>
      <c r="GM99" t="e">
        <f>AND(#REF!,"AAAAAHbbv8I=")</f>
        <v>#REF!</v>
      </c>
      <c r="GN99" t="e">
        <f>AND(#REF!,"AAAAAHbbv8M=")</f>
        <v>#REF!</v>
      </c>
      <c r="GO99" t="e">
        <f>AND(#REF!,"AAAAAHbbv8Q=")</f>
        <v>#REF!</v>
      </c>
      <c r="GP99" t="e">
        <f>AND(#REF!,"AAAAAHbbv8U=")</f>
        <v>#REF!</v>
      </c>
      <c r="GQ99" t="e">
        <f>AND(#REF!,"AAAAAHbbv8Y=")</f>
        <v>#REF!</v>
      </c>
      <c r="GR99" t="e">
        <f>AND(#REF!,"AAAAAHbbv8c=")</f>
        <v>#REF!</v>
      </c>
      <c r="GS99" t="e">
        <f>AND(#REF!,"AAAAAHbbv8g=")</f>
        <v>#REF!</v>
      </c>
      <c r="GT99" t="e">
        <f>AND(#REF!,"AAAAAHbbv8k=")</f>
        <v>#REF!</v>
      </c>
      <c r="GU99" t="e">
        <f>AND(#REF!,"AAAAAHbbv8o=")</f>
        <v>#REF!</v>
      </c>
      <c r="GV99" t="e">
        <f>IF(#REF!,"AAAAAHbbv8s=",0)</f>
        <v>#REF!</v>
      </c>
      <c r="GW99" t="e">
        <f>AND(#REF!,"AAAAAHbbv8w=")</f>
        <v>#REF!</v>
      </c>
      <c r="GX99" t="e">
        <f>AND(#REF!,"AAAAAHbbv80=")</f>
        <v>#REF!</v>
      </c>
      <c r="GY99" t="e">
        <f>AND(#REF!,"AAAAAHbbv84=")</f>
        <v>#REF!</v>
      </c>
      <c r="GZ99" t="e">
        <f>AND(#REF!,"AAAAAHbbv88=")</f>
        <v>#REF!</v>
      </c>
      <c r="HA99" t="e">
        <f>AND(#REF!,"AAAAAHbbv9A=")</f>
        <v>#REF!</v>
      </c>
      <c r="HB99" t="e">
        <f>AND(#REF!,"AAAAAHbbv9E=")</f>
        <v>#REF!</v>
      </c>
      <c r="HC99" t="e">
        <f>AND(#REF!,"AAAAAHbbv9I=")</f>
        <v>#REF!</v>
      </c>
      <c r="HD99" t="e">
        <f>AND(#REF!,"AAAAAHbbv9M=")</f>
        <v>#REF!</v>
      </c>
      <c r="HE99" t="e">
        <f>AND(#REF!,"AAAAAHbbv9Q=")</f>
        <v>#REF!</v>
      </c>
      <c r="HF99" t="e">
        <f>AND(#REF!,"AAAAAHbbv9U=")</f>
        <v>#REF!</v>
      </c>
      <c r="HG99" t="e">
        <f>AND(#REF!,"AAAAAHbbv9Y=")</f>
        <v>#REF!</v>
      </c>
      <c r="HH99" t="e">
        <f>AND(#REF!,"AAAAAHbbv9c=")</f>
        <v>#REF!</v>
      </c>
      <c r="HI99" t="e">
        <f>AND(#REF!,"AAAAAHbbv9g=")</f>
        <v>#REF!</v>
      </c>
      <c r="HJ99" t="e">
        <f>AND(#REF!,"AAAAAHbbv9k=")</f>
        <v>#REF!</v>
      </c>
      <c r="HK99" t="e">
        <f>AND(#REF!,"AAAAAHbbv9o=")</f>
        <v>#REF!</v>
      </c>
      <c r="HL99" t="e">
        <f>AND(#REF!,"AAAAAHbbv9s=")</f>
        <v>#REF!</v>
      </c>
      <c r="HM99" t="e">
        <f>AND(#REF!,"AAAAAHbbv9w=")</f>
        <v>#REF!</v>
      </c>
      <c r="HN99" t="e">
        <f>AND(#REF!,"AAAAAHbbv90=")</f>
        <v>#REF!</v>
      </c>
      <c r="HO99" t="e">
        <f>AND(#REF!,"AAAAAHbbv94=")</f>
        <v>#REF!</v>
      </c>
      <c r="HP99" t="e">
        <f>AND(#REF!,"AAAAAHbbv98=")</f>
        <v>#REF!</v>
      </c>
      <c r="HQ99" t="e">
        <f>AND(#REF!,"AAAAAHbbv+A=")</f>
        <v>#REF!</v>
      </c>
      <c r="HR99" t="e">
        <f>AND(#REF!,"AAAAAHbbv+E=")</f>
        <v>#REF!</v>
      </c>
      <c r="HS99" t="e">
        <f>AND(#REF!,"AAAAAHbbv+I=")</f>
        <v>#REF!</v>
      </c>
      <c r="HT99" t="e">
        <f>AND(#REF!,"AAAAAHbbv+M=")</f>
        <v>#REF!</v>
      </c>
      <c r="HU99" t="e">
        <f>AND(#REF!,"AAAAAHbbv+Q=")</f>
        <v>#REF!</v>
      </c>
      <c r="HV99" t="e">
        <f>AND(#REF!,"AAAAAHbbv+U=")</f>
        <v>#REF!</v>
      </c>
      <c r="HW99" t="e">
        <f>AND(#REF!,"AAAAAHbbv+Y=")</f>
        <v>#REF!</v>
      </c>
      <c r="HX99" t="e">
        <f>AND(#REF!,"AAAAAHbbv+c=")</f>
        <v>#REF!</v>
      </c>
      <c r="HY99" t="e">
        <f>AND(#REF!,"AAAAAHbbv+g=")</f>
        <v>#REF!</v>
      </c>
      <c r="HZ99" t="e">
        <f>AND(#REF!,"AAAAAHbbv+k=")</f>
        <v>#REF!</v>
      </c>
      <c r="IA99" t="e">
        <f>AND(#REF!,"AAAAAHbbv+o=")</f>
        <v>#REF!</v>
      </c>
      <c r="IB99" t="e">
        <f>AND(#REF!,"AAAAAHbbv+s=")</f>
        <v>#REF!</v>
      </c>
      <c r="IC99" t="e">
        <f>AND(#REF!,"AAAAAHbbv+w=")</f>
        <v>#REF!</v>
      </c>
      <c r="ID99" t="e">
        <f>AND(#REF!,"AAAAAHbbv+0=")</f>
        <v>#REF!</v>
      </c>
      <c r="IE99" t="e">
        <f>AND(#REF!,"AAAAAHbbv+4=")</f>
        <v>#REF!</v>
      </c>
      <c r="IF99" t="e">
        <f>AND(#REF!,"AAAAAHbbv+8=")</f>
        <v>#REF!</v>
      </c>
      <c r="IG99" t="e">
        <f>AND(#REF!,"AAAAAHbbv/A=")</f>
        <v>#REF!</v>
      </c>
      <c r="IH99" t="e">
        <f>AND(#REF!,"AAAAAHbbv/E=")</f>
        <v>#REF!</v>
      </c>
      <c r="II99" t="e">
        <f>AND(#REF!,"AAAAAHbbv/I=")</f>
        <v>#REF!</v>
      </c>
      <c r="IJ99" t="e">
        <f>AND(#REF!,"AAAAAHbbv/M=")</f>
        <v>#REF!</v>
      </c>
      <c r="IK99" t="e">
        <f>AND(#REF!,"AAAAAHbbv/Q=")</f>
        <v>#REF!</v>
      </c>
      <c r="IL99" t="e">
        <f>AND(#REF!,"AAAAAHbbv/U=")</f>
        <v>#REF!</v>
      </c>
      <c r="IM99" t="e">
        <f>AND(#REF!,"AAAAAHbbv/Y=")</f>
        <v>#REF!</v>
      </c>
      <c r="IN99" t="e">
        <f>AND(#REF!,"AAAAAHbbv/c=")</f>
        <v>#REF!</v>
      </c>
      <c r="IO99" t="e">
        <f>AND(#REF!,"AAAAAHbbv/g=")</f>
        <v>#REF!</v>
      </c>
      <c r="IP99" t="e">
        <f>AND(#REF!,"AAAAAHbbv/k=")</f>
        <v>#REF!</v>
      </c>
      <c r="IQ99" t="e">
        <f>AND(#REF!,"AAAAAHbbv/o=")</f>
        <v>#REF!</v>
      </c>
      <c r="IR99" t="e">
        <f>AND(#REF!,"AAAAAHbbv/s=")</f>
        <v>#REF!</v>
      </c>
      <c r="IS99" t="e">
        <f>AND(#REF!,"AAAAAHbbv/w=")</f>
        <v>#REF!</v>
      </c>
      <c r="IT99" t="e">
        <f>AND(#REF!,"AAAAAHbbv/0=")</f>
        <v>#REF!</v>
      </c>
      <c r="IU99" t="e">
        <f>AND(#REF!,"AAAAAHbbv/4=")</f>
        <v>#REF!</v>
      </c>
      <c r="IV99" t="e">
        <f>AND(#REF!,"AAAAAHbbv/8=")</f>
        <v>#REF!</v>
      </c>
    </row>
    <row r="100" spans="1:256" x14ac:dyDescent="0.25">
      <c r="A100" t="e">
        <f>AND(#REF!,"AAAAAExxfwA=")</f>
        <v>#REF!</v>
      </c>
      <c r="B100" t="e">
        <f>AND(#REF!,"AAAAAExxfwE=")</f>
        <v>#REF!</v>
      </c>
      <c r="C100" t="e">
        <f>AND(#REF!,"AAAAAExxfwI=")</f>
        <v>#REF!</v>
      </c>
      <c r="D100" t="e">
        <f>AND(#REF!,"AAAAAExxfwM=")</f>
        <v>#REF!</v>
      </c>
      <c r="E100" t="e">
        <f>AND(#REF!,"AAAAAExxfwQ=")</f>
        <v>#REF!</v>
      </c>
      <c r="F100" t="e">
        <f>AND(#REF!,"AAAAAExxfwU=")</f>
        <v>#REF!</v>
      </c>
      <c r="G100" t="e">
        <f>AND(#REF!,"AAAAAExxfwY=")</f>
        <v>#REF!</v>
      </c>
      <c r="H100" t="e">
        <f>AND(#REF!,"AAAAAExxfwc=")</f>
        <v>#REF!</v>
      </c>
      <c r="I100" t="e">
        <f>AND(#REF!,"AAAAAExxfwg=")</f>
        <v>#REF!</v>
      </c>
      <c r="J100" t="e">
        <f>AND(#REF!,"AAAAAExxfwk=")</f>
        <v>#REF!</v>
      </c>
      <c r="K100" t="e">
        <f>AND(#REF!,"AAAAAExxfwo=")</f>
        <v>#REF!</v>
      </c>
      <c r="L100" t="e">
        <f>AND(#REF!,"AAAAAExxfws=")</f>
        <v>#REF!</v>
      </c>
      <c r="M100" t="e">
        <f>AND(#REF!,"AAAAAExxfww=")</f>
        <v>#REF!</v>
      </c>
      <c r="N100" t="e">
        <f>AND(#REF!,"AAAAAExxfw0=")</f>
        <v>#REF!</v>
      </c>
      <c r="O100" t="e">
        <f>AND(#REF!,"AAAAAExxfw4=")</f>
        <v>#REF!</v>
      </c>
      <c r="P100" t="e">
        <f>AND(#REF!,"AAAAAExxfw8=")</f>
        <v>#REF!</v>
      </c>
      <c r="Q100" t="e">
        <f>AND(#REF!,"AAAAAExxfxA=")</f>
        <v>#REF!</v>
      </c>
      <c r="R100" t="e">
        <f>AND(#REF!,"AAAAAExxfxE=")</f>
        <v>#REF!</v>
      </c>
      <c r="S100" t="e">
        <f>AND(#REF!,"AAAAAExxfxI=")</f>
        <v>#REF!</v>
      </c>
      <c r="T100" t="e">
        <f>AND(#REF!,"AAAAAExxfxM=")</f>
        <v>#REF!</v>
      </c>
      <c r="U100" t="e">
        <f>AND(#REF!,"AAAAAExxfxQ=")</f>
        <v>#REF!</v>
      </c>
      <c r="V100" t="e">
        <f>AND(#REF!,"AAAAAExxfxU=")</f>
        <v>#REF!</v>
      </c>
      <c r="W100" t="e">
        <f>AND(#REF!,"AAAAAExxfxY=")</f>
        <v>#REF!</v>
      </c>
      <c r="X100" t="e">
        <f>AND(#REF!,"AAAAAExxfxc=")</f>
        <v>#REF!</v>
      </c>
      <c r="Y100" t="e">
        <f>AND(#REF!,"AAAAAExxfxg=")</f>
        <v>#REF!</v>
      </c>
      <c r="Z100" t="e">
        <f>AND(#REF!,"AAAAAExxfxk=")</f>
        <v>#REF!</v>
      </c>
      <c r="AA100" t="e">
        <f>AND(#REF!,"AAAAAExxfxo=")</f>
        <v>#REF!</v>
      </c>
      <c r="AB100" t="e">
        <f>AND(#REF!,"AAAAAExxfxs=")</f>
        <v>#REF!</v>
      </c>
      <c r="AC100" t="e">
        <f>AND(#REF!,"AAAAAExxfxw=")</f>
        <v>#REF!</v>
      </c>
      <c r="AD100" t="e">
        <f>AND(#REF!,"AAAAAExxfx0=")</f>
        <v>#REF!</v>
      </c>
      <c r="AE100" t="e">
        <f>AND(#REF!,"AAAAAExxfx4=")</f>
        <v>#REF!</v>
      </c>
      <c r="AF100" t="e">
        <f>AND(#REF!,"AAAAAExxfx8=")</f>
        <v>#REF!</v>
      </c>
      <c r="AG100" t="e">
        <f>AND(#REF!,"AAAAAExxfyA=")</f>
        <v>#REF!</v>
      </c>
      <c r="AH100" t="e">
        <f>AND(#REF!,"AAAAAExxfyE=")</f>
        <v>#REF!</v>
      </c>
      <c r="AI100" t="e">
        <f>AND(#REF!,"AAAAAExxfyI=")</f>
        <v>#REF!</v>
      </c>
      <c r="AJ100" t="e">
        <f>AND(#REF!,"AAAAAExxfyM=")</f>
        <v>#REF!</v>
      </c>
      <c r="AK100" t="e">
        <f>AND(#REF!,"AAAAAExxfyQ=")</f>
        <v>#REF!</v>
      </c>
      <c r="AL100" t="e">
        <f>AND(#REF!,"AAAAAExxfyU=")</f>
        <v>#REF!</v>
      </c>
      <c r="AM100" t="e">
        <f>AND(#REF!,"AAAAAExxfyY=")</f>
        <v>#REF!</v>
      </c>
      <c r="AN100" t="e">
        <f>AND(#REF!,"AAAAAExxfyc=")</f>
        <v>#REF!</v>
      </c>
      <c r="AO100" t="e">
        <f>AND(#REF!,"AAAAAExxfyg=")</f>
        <v>#REF!</v>
      </c>
      <c r="AP100" t="e">
        <f>AND(#REF!,"AAAAAExxfyk=")</f>
        <v>#REF!</v>
      </c>
      <c r="AQ100" t="e">
        <f>AND(#REF!,"AAAAAExxfyo=")</f>
        <v>#REF!</v>
      </c>
      <c r="AR100" t="e">
        <f>AND(#REF!,"AAAAAExxfys=")</f>
        <v>#REF!</v>
      </c>
      <c r="AS100" t="e">
        <f>AND(#REF!,"AAAAAExxfyw=")</f>
        <v>#REF!</v>
      </c>
      <c r="AT100" t="e">
        <f>AND(#REF!,"AAAAAExxfy0=")</f>
        <v>#REF!</v>
      </c>
      <c r="AU100" t="e">
        <f>AND(#REF!,"AAAAAExxfy4=")</f>
        <v>#REF!</v>
      </c>
      <c r="AV100" t="e">
        <f>AND(#REF!,"AAAAAExxfy8=")</f>
        <v>#REF!</v>
      </c>
      <c r="AW100" t="e">
        <f>AND(#REF!,"AAAAAExxfzA=")</f>
        <v>#REF!</v>
      </c>
      <c r="AX100" t="e">
        <f>AND(#REF!,"AAAAAExxfzE=")</f>
        <v>#REF!</v>
      </c>
      <c r="AY100" t="e">
        <f>AND(#REF!,"AAAAAExxfzI=")</f>
        <v>#REF!</v>
      </c>
      <c r="AZ100" t="e">
        <f>AND(#REF!,"AAAAAExxfzM=")</f>
        <v>#REF!</v>
      </c>
      <c r="BA100" t="e">
        <f>AND(#REF!,"AAAAAExxfzQ=")</f>
        <v>#REF!</v>
      </c>
      <c r="BB100" t="e">
        <f>AND(#REF!,"AAAAAExxfzU=")</f>
        <v>#REF!</v>
      </c>
      <c r="BC100" t="e">
        <f>AND(#REF!,"AAAAAExxfzY=")</f>
        <v>#REF!</v>
      </c>
      <c r="BD100" t="e">
        <f>AND(#REF!,"AAAAAExxfzc=")</f>
        <v>#REF!</v>
      </c>
      <c r="BE100" t="e">
        <f>AND(#REF!,"AAAAAExxfzg=")</f>
        <v>#REF!</v>
      </c>
      <c r="BF100" t="e">
        <f>AND(#REF!,"AAAAAExxfzk=")</f>
        <v>#REF!</v>
      </c>
      <c r="BG100" t="e">
        <f>AND(#REF!,"AAAAAExxfzo=")</f>
        <v>#REF!</v>
      </c>
      <c r="BH100" t="e">
        <f>AND(#REF!,"AAAAAExxfzs=")</f>
        <v>#REF!</v>
      </c>
      <c r="BI100" t="e">
        <f>AND(#REF!,"AAAAAExxfzw=")</f>
        <v>#REF!</v>
      </c>
      <c r="BJ100" t="e">
        <f>AND(#REF!,"AAAAAExxfz0=")</f>
        <v>#REF!</v>
      </c>
      <c r="BK100" t="e">
        <f>AND(#REF!,"AAAAAExxfz4=")</f>
        <v>#REF!</v>
      </c>
      <c r="BL100" t="e">
        <f>AND(#REF!,"AAAAAExxfz8=")</f>
        <v>#REF!</v>
      </c>
      <c r="BM100" t="e">
        <f>AND(#REF!,"AAAAAExxf0A=")</f>
        <v>#REF!</v>
      </c>
      <c r="BN100" t="e">
        <f>AND(#REF!,"AAAAAExxf0E=")</f>
        <v>#REF!</v>
      </c>
      <c r="BO100" t="e">
        <f>AND(#REF!,"AAAAAExxf0I=")</f>
        <v>#REF!</v>
      </c>
      <c r="BP100" t="e">
        <f>AND(#REF!,"AAAAAExxf0M=")</f>
        <v>#REF!</v>
      </c>
      <c r="BQ100" t="e">
        <f>AND(#REF!,"AAAAAExxf0Q=")</f>
        <v>#REF!</v>
      </c>
      <c r="BR100" t="e">
        <f>AND(#REF!,"AAAAAExxf0U=")</f>
        <v>#REF!</v>
      </c>
      <c r="BS100" t="e">
        <f>AND(#REF!,"AAAAAExxf0Y=")</f>
        <v>#REF!</v>
      </c>
      <c r="BT100" t="e">
        <f>AND(#REF!,"AAAAAExxf0c=")</f>
        <v>#REF!</v>
      </c>
      <c r="BU100" t="e">
        <f>AND(#REF!,"AAAAAExxf0g=")</f>
        <v>#REF!</v>
      </c>
      <c r="BV100" t="e">
        <f>AND(#REF!,"AAAAAExxf0k=")</f>
        <v>#REF!</v>
      </c>
      <c r="BW100" t="e">
        <f>AND(#REF!,"AAAAAExxf0o=")</f>
        <v>#REF!</v>
      </c>
      <c r="BX100" t="e">
        <f>AND(#REF!,"AAAAAExxf0s=")</f>
        <v>#REF!</v>
      </c>
      <c r="BY100" t="e">
        <f>AND(#REF!,"AAAAAExxf0w=")</f>
        <v>#REF!</v>
      </c>
      <c r="BZ100" t="e">
        <f>AND(#REF!,"AAAAAExxf00=")</f>
        <v>#REF!</v>
      </c>
      <c r="CA100" t="e">
        <f>AND(#REF!,"AAAAAExxf04=")</f>
        <v>#REF!</v>
      </c>
      <c r="CB100" t="e">
        <f>AND(#REF!,"AAAAAExxf08=")</f>
        <v>#REF!</v>
      </c>
      <c r="CC100" t="e">
        <f>AND(#REF!,"AAAAAExxf1A=")</f>
        <v>#REF!</v>
      </c>
      <c r="CD100" t="e">
        <f>AND(#REF!,"AAAAAExxf1E=")</f>
        <v>#REF!</v>
      </c>
      <c r="CE100" t="e">
        <f>AND(#REF!,"AAAAAExxf1I=")</f>
        <v>#REF!</v>
      </c>
      <c r="CF100" t="e">
        <f>AND(#REF!,"AAAAAExxf1M=")</f>
        <v>#REF!</v>
      </c>
      <c r="CG100" t="e">
        <f>AND(#REF!,"AAAAAExxf1Q=")</f>
        <v>#REF!</v>
      </c>
      <c r="CH100" t="e">
        <f>AND(#REF!,"AAAAAExxf1U=")</f>
        <v>#REF!</v>
      </c>
      <c r="CI100" t="e">
        <f>AND(#REF!,"AAAAAExxf1Y=")</f>
        <v>#REF!</v>
      </c>
      <c r="CJ100" t="e">
        <f>AND(#REF!,"AAAAAExxf1c=")</f>
        <v>#REF!</v>
      </c>
      <c r="CK100" t="e">
        <f>AND(#REF!,"AAAAAExxf1g=")</f>
        <v>#REF!</v>
      </c>
      <c r="CL100" t="e">
        <f>AND(#REF!,"AAAAAExxf1k=")</f>
        <v>#REF!</v>
      </c>
      <c r="CM100" t="e">
        <f>AND(#REF!,"AAAAAExxf1o=")</f>
        <v>#REF!</v>
      </c>
      <c r="CN100" t="e">
        <f>AND(#REF!,"AAAAAExxf1s=")</f>
        <v>#REF!</v>
      </c>
      <c r="CO100" t="e">
        <f>AND(#REF!,"AAAAAExxf1w=")</f>
        <v>#REF!</v>
      </c>
      <c r="CP100" t="e">
        <f>AND(#REF!,"AAAAAExxf10=")</f>
        <v>#REF!</v>
      </c>
      <c r="CQ100" t="e">
        <f>AND(#REF!,"AAAAAExxf14=")</f>
        <v>#REF!</v>
      </c>
      <c r="CR100" t="e">
        <f>AND(#REF!,"AAAAAExxf18=")</f>
        <v>#REF!</v>
      </c>
      <c r="CS100" t="e">
        <f>AND(#REF!,"AAAAAExxf2A=")</f>
        <v>#REF!</v>
      </c>
      <c r="CT100" t="e">
        <f>AND(#REF!,"AAAAAExxf2E=")</f>
        <v>#REF!</v>
      </c>
      <c r="CU100" t="e">
        <f>AND(#REF!,"AAAAAExxf2I=")</f>
        <v>#REF!</v>
      </c>
      <c r="CV100" t="e">
        <f>AND(#REF!,"AAAAAExxf2M=")</f>
        <v>#REF!</v>
      </c>
      <c r="CW100" t="e">
        <f>AND(#REF!,"AAAAAExxf2Q=")</f>
        <v>#REF!</v>
      </c>
      <c r="CX100" t="e">
        <f>AND(#REF!,"AAAAAExxf2U=")</f>
        <v>#REF!</v>
      </c>
      <c r="CY100" t="e">
        <f>AND(#REF!,"AAAAAExxf2Y=")</f>
        <v>#REF!</v>
      </c>
      <c r="CZ100" t="e">
        <f>AND(#REF!,"AAAAAExxf2c=")</f>
        <v>#REF!</v>
      </c>
      <c r="DA100" t="e">
        <f>AND(#REF!,"AAAAAExxf2g=")</f>
        <v>#REF!</v>
      </c>
      <c r="DB100" t="e">
        <f>AND(#REF!,"AAAAAExxf2k=")</f>
        <v>#REF!</v>
      </c>
      <c r="DC100" t="e">
        <f>AND(#REF!,"AAAAAExxf2o=")</f>
        <v>#REF!</v>
      </c>
      <c r="DD100" t="e">
        <f>AND(#REF!,"AAAAAExxf2s=")</f>
        <v>#REF!</v>
      </c>
      <c r="DE100" t="e">
        <f>AND(#REF!,"AAAAAExxf2w=")</f>
        <v>#REF!</v>
      </c>
      <c r="DF100" t="e">
        <f>AND(#REF!,"AAAAAExxf20=")</f>
        <v>#REF!</v>
      </c>
      <c r="DG100" t="e">
        <f>AND(#REF!,"AAAAAExxf24=")</f>
        <v>#REF!</v>
      </c>
      <c r="DH100" t="e">
        <f>AND(#REF!,"AAAAAExxf28=")</f>
        <v>#REF!</v>
      </c>
      <c r="DI100" t="e">
        <f>AND(#REF!,"AAAAAExxf3A=")</f>
        <v>#REF!</v>
      </c>
      <c r="DJ100" t="e">
        <f>AND(#REF!,"AAAAAExxf3E=")</f>
        <v>#REF!</v>
      </c>
      <c r="DK100" t="e">
        <f>AND(#REF!,"AAAAAExxf3I=")</f>
        <v>#REF!</v>
      </c>
      <c r="DL100" t="e">
        <f>AND(#REF!,"AAAAAExxf3M=")</f>
        <v>#REF!</v>
      </c>
      <c r="DM100" t="e">
        <f>AND(#REF!,"AAAAAExxf3Q=")</f>
        <v>#REF!</v>
      </c>
      <c r="DN100" t="e">
        <f>AND(#REF!,"AAAAAExxf3U=")</f>
        <v>#REF!</v>
      </c>
      <c r="DO100" t="e">
        <f>AND(#REF!,"AAAAAExxf3Y=")</f>
        <v>#REF!</v>
      </c>
      <c r="DP100" t="e">
        <f>AND(#REF!,"AAAAAExxf3c=")</f>
        <v>#REF!</v>
      </c>
      <c r="DQ100" t="e">
        <f>AND(#REF!,"AAAAAExxf3g=")</f>
        <v>#REF!</v>
      </c>
      <c r="DR100" t="e">
        <f>AND(#REF!,"AAAAAExxf3k=")</f>
        <v>#REF!</v>
      </c>
      <c r="DS100" t="e">
        <f>AND(#REF!,"AAAAAExxf3o=")</f>
        <v>#REF!</v>
      </c>
      <c r="DT100" t="e">
        <f>AND(#REF!,"AAAAAExxf3s=")</f>
        <v>#REF!</v>
      </c>
      <c r="DU100" t="e">
        <f>AND(#REF!,"AAAAAExxf3w=")</f>
        <v>#REF!</v>
      </c>
      <c r="DV100" t="e">
        <f>AND(#REF!,"AAAAAExxf30=")</f>
        <v>#REF!</v>
      </c>
      <c r="DW100" t="e">
        <f>AND(#REF!,"AAAAAExxf34=")</f>
        <v>#REF!</v>
      </c>
      <c r="DX100" t="e">
        <f>AND(#REF!,"AAAAAExxf38=")</f>
        <v>#REF!</v>
      </c>
      <c r="DY100" t="e">
        <f>AND(#REF!,"AAAAAExxf4A=")</f>
        <v>#REF!</v>
      </c>
      <c r="DZ100" t="e">
        <f>AND(#REF!,"AAAAAExxf4E=")</f>
        <v>#REF!</v>
      </c>
      <c r="EA100" t="e">
        <f>AND(#REF!,"AAAAAExxf4I=")</f>
        <v>#REF!</v>
      </c>
      <c r="EB100" t="e">
        <f>AND(#REF!,"AAAAAExxf4M=")</f>
        <v>#REF!</v>
      </c>
      <c r="EC100" t="e">
        <f>AND(#REF!,"AAAAAExxf4Q=")</f>
        <v>#REF!</v>
      </c>
      <c r="ED100" t="e">
        <f>AND(#REF!,"AAAAAExxf4U=")</f>
        <v>#REF!</v>
      </c>
      <c r="EE100" t="e">
        <f>AND(#REF!,"AAAAAExxf4Y=")</f>
        <v>#REF!</v>
      </c>
      <c r="EF100" t="e">
        <f>AND(#REF!,"AAAAAExxf4c=")</f>
        <v>#REF!</v>
      </c>
      <c r="EG100" t="e">
        <f>IF(#REF!,"AAAAAExxf4g=",0)</f>
        <v>#REF!</v>
      </c>
      <c r="EH100" t="e">
        <f>AND(#REF!,"AAAAAExxf4k=")</f>
        <v>#REF!</v>
      </c>
      <c r="EI100" t="e">
        <f>AND(#REF!,"AAAAAExxf4o=")</f>
        <v>#REF!</v>
      </c>
      <c r="EJ100" t="e">
        <f>AND(#REF!,"AAAAAExxf4s=")</f>
        <v>#REF!</v>
      </c>
      <c r="EK100" t="e">
        <f>AND(#REF!,"AAAAAExxf4w=")</f>
        <v>#REF!</v>
      </c>
      <c r="EL100" t="e">
        <f>AND(#REF!,"AAAAAExxf40=")</f>
        <v>#REF!</v>
      </c>
      <c r="EM100" t="e">
        <f>AND(#REF!,"AAAAAExxf44=")</f>
        <v>#REF!</v>
      </c>
      <c r="EN100" t="e">
        <f>AND(#REF!,"AAAAAExxf48=")</f>
        <v>#REF!</v>
      </c>
      <c r="EO100" t="e">
        <f>AND(#REF!,"AAAAAExxf5A=")</f>
        <v>#REF!</v>
      </c>
      <c r="EP100" t="e">
        <f>AND(#REF!,"AAAAAExxf5E=")</f>
        <v>#REF!</v>
      </c>
      <c r="EQ100" t="e">
        <f>AND(#REF!,"AAAAAExxf5I=")</f>
        <v>#REF!</v>
      </c>
      <c r="ER100" t="e">
        <f>AND(#REF!,"AAAAAExxf5M=")</f>
        <v>#REF!</v>
      </c>
      <c r="ES100" t="e">
        <f>AND(#REF!,"AAAAAExxf5Q=")</f>
        <v>#REF!</v>
      </c>
      <c r="ET100" t="e">
        <f>AND(#REF!,"AAAAAExxf5U=")</f>
        <v>#REF!</v>
      </c>
      <c r="EU100" t="e">
        <f>AND(#REF!,"AAAAAExxf5Y=")</f>
        <v>#REF!</v>
      </c>
      <c r="EV100" t="e">
        <f>AND(#REF!,"AAAAAExxf5c=")</f>
        <v>#REF!</v>
      </c>
      <c r="EW100" t="e">
        <f>AND(#REF!,"AAAAAExxf5g=")</f>
        <v>#REF!</v>
      </c>
      <c r="EX100" t="e">
        <f>AND(#REF!,"AAAAAExxf5k=")</f>
        <v>#REF!</v>
      </c>
      <c r="EY100" t="e">
        <f>AND(#REF!,"AAAAAExxf5o=")</f>
        <v>#REF!</v>
      </c>
      <c r="EZ100" t="e">
        <f>AND(#REF!,"AAAAAExxf5s=")</f>
        <v>#REF!</v>
      </c>
      <c r="FA100" t="e">
        <f>AND(#REF!,"AAAAAExxf5w=")</f>
        <v>#REF!</v>
      </c>
      <c r="FB100" t="e">
        <f>AND(#REF!,"AAAAAExxf50=")</f>
        <v>#REF!</v>
      </c>
      <c r="FC100" t="e">
        <f>AND(#REF!,"AAAAAExxf54=")</f>
        <v>#REF!</v>
      </c>
      <c r="FD100" t="e">
        <f>AND(#REF!,"AAAAAExxf58=")</f>
        <v>#REF!</v>
      </c>
      <c r="FE100" t="e">
        <f>AND(#REF!,"AAAAAExxf6A=")</f>
        <v>#REF!</v>
      </c>
      <c r="FF100" t="e">
        <f>AND(#REF!,"AAAAAExxf6E=")</f>
        <v>#REF!</v>
      </c>
      <c r="FG100" t="e">
        <f>AND(#REF!,"AAAAAExxf6I=")</f>
        <v>#REF!</v>
      </c>
      <c r="FH100" t="e">
        <f>AND(#REF!,"AAAAAExxf6M=")</f>
        <v>#REF!</v>
      </c>
      <c r="FI100" t="e">
        <f>AND(#REF!,"AAAAAExxf6Q=")</f>
        <v>#REF!</v>
      </c>
      <c r="FJ100" t="e">
        <f>AND(#REF!,"AAAAAExxf6U=")</f>
        <v>#REF!</v>
      </c>
      <c r="FK100" t="e">
        <f>AND(#REF!,"AAAAAExxf6Y=")</f>
        <v>#REF!</v>
      </c>
      <c r="FL100" t="e">
        <f>AND(#REF!,"AAAAAExxf6c=")</f>
        <v>#REF!</v>
      </c>
      <c r="FM100" t="e">
        <f>AND(#REF!,"AAAAAExxf6g=")</f>
        <v>#REF!</v>
      </c>
      <c r="FN100" t="e">
        <f>AND(#REF!,"AAAAAExxf6k=")</f>
        <v>#REF!</v>
      </c>
      <c r="FO100" t="e">
        <f>AND(#REF!,"AAAAAExxf6o=")</f>
        <v>#REF!</v>
      </c>
      <c r="FP100" t="e">
        <f>AND(#REF!,"AAAAAExxf6s=")</f>
        <v>#REF!</v>
      </c>
      <c r="FQ100" t="e">
        <f>AND(#REF!,"AAAAAExxf6w=")</f>
        <v>#REF!</v>
      </c>
      <c r="FR100" t="e">
        <f>AND(#REF!,"AAAAAExxf60=")</f>
        <v>#REF!</v>
      </c>
      <c r="FS100" t="e">
        <f>AND(#REF!,"AAAAAExxf64=")</f>
        <v>#REF!</v>
      </c>
      <c r="FT100" t="e">
        <f>AND(#REF!,"AAAAAExxf68=")</f>
        <v>#REF!</v>
      </c>
      <c r="FU100" t="e">
        <f>AND(#REF!,"AAAAAExxf7A=")</f>
        <v>#REF!</v>
      </c>
      <c r="FV100" t="e">
        <f>AND(#REF!,"AAAAAExxf7E=")</f>
        <v>#REF!</v>
      </c>
      <c r="FW100" t="e">
        <f>AND(#REF!,"AAAAAExxf7I=")</f>
        <v>#REF!</v>
      </c>
      <c r="FX100" t="e">
        <f>AND(#REF!,"AAAAAExxf7M=")</f>
        <v>#REF!</v>
      </c>
      <c r="FY100" t="e">
        <f>AND(#REF!,"AAAAAExxf7Q=")</f>
        <v>#REF!</v>
      </c>
      <c r="FZ100" t="e">
        <f>AND(#REF!,"AAAAAExxf7U=")</f>
        <v>#REF!</v>
      </c>
      <c r="GA100" t="e">
        <f>AND(#REF!,"AAAAAExxf7Y=")</f>
        <v>#REF!</v>
      </c>
      <c r="GB100" t="e">
        <f>AND(#REF!,"AAAAAExxf7c=")</f>
        <v>#REF!</v>
      </c>
      <c r="GC100" t="e">
        <f>AND(#REF!,"AAAAAExxf7g=")</f>
        <v>#REF!</v>
      </c>
      <c r="GD100" t="e">
        <f>AND(#REF!,"AAAAAExxf7k=")</f>
        <v>#REF!</v>
      </c>
      <c r="GE100" t="e">
        <f>AND(#REF!,"AAAAAExxf7o=")</f>
        <v>#REF!</v>
      </c>
      <c r="GF100" t="e">
        <f>AND(#REF!,"AAAAAExxf7s=")</f>
        <v>#REF!</v>
      </c>
      <c r="GG100" t="e">
        <f>AND(#REF!,"AAAAAExxf7w=")</f>
        <v>#REF!</v>
      </c>
      <c r="GH100" t="e">
        <f>AND(#REF!,"AAAAAExxf70=")</f>
        <v>#REF!</v>
      </c>
      <c r="GI100" t="e">
        <f>AND(#REF!,"AAAAAExxf74=")</f>
        <v>#REF!</v>
      </c>
      <c r="GJ100" t="e">
        <f>AND(#REF!,"AAAAAExxf78=")</f>
        <v>#REF!</v>
      </c>
      <c r="GK100" t="e">
        <f>AND(#REF!,"AAAAAExxf8A=")</f>
        <v>#REF!</v>
      </c>
      <c r="GL100" t="e">
        <f>AND(#REF!,"AAAAAExxf8E=")</f>
        <v>#REF!</v>
      </c>
      <c r="GM100" t="e">
        <f>AND(#REF!,"AAAAAExxf8I=")</f>
        <v>#REF!</v>
      </c>
      <c r="GN100" t="e">
        <f>AND(#REF!,"AAAAAExxf8M=")</f>
        <v>#REF!</v>
      </c>
      <c r="GO100" t="e">
        <f>AND(#REF!,"AAAAAExxf8Q=")</f>
        <v>#REF!</v>
      </c>
      <c r="GP100" t="e">
        <f>AND(#REF!,"AAAAAExxf8U=")</f>
        <v>#REF!</v>
      </c>
      <c r="GQ100" t="e">
        <f>AND(#REF!,"AAAAAExxf8Y=")</f>
        <v>#REF!</v>
      </c>
      <c r="GR100" t="e">
        <f>AND(#REF!,"AAAAAExxf8c=")</f>
        <v>#REF!</v>
      </c>
      <c r="GS100" t="e">
        <f>AND(#REF!,"AAAAAExxf8g=")</f>
        <v>#REF!</v>
      </c>
      <c r="GT100" t="e">
        <f>AND(#REF!,"AAAAAExxf8k=")</f>
        <v>#REF!</v>
      </c>
      <c r="GU100" t="e">
        <f>AND(#REF!,"AAAAAExxf8o=")</f>
        <v>#REF!</v>
      </c>
      <c r="GV100" t="e">
        <f>AND(#REF!,"AAAAAExxf8s=")</f>
        <v>#REF!</v>
      </c>
      <c r="GW100" t="e">
        <f>AND(#REF!,"AAAAAExxf8w=")</f>
        <v>#REF!</v>
      </c>
      <c r="GX100" t="e">
        <f>AND(#REF!,"AAAAAExxf80=")</f>
        <v>#REF!</v>
      </c>
      <c r="GY100" t="e">
        <f>AND(#REF!,"AAAAAExxf84=")</f>
        <v>#REF!</v>
      </c>
      <c r="GZ100" t="e">
        <f>AND(#REF!,"AAAAAExxf88=")</f>
        <v>#REF!</v>
      </c>
      <c r="HA100" t="e">
        <f>AND(#REF!,"AAAAAExxf9A=")</f>
        <v>#REF!</v>
      </c>
      <c r="HB100" t="e">
        <f>AND(#REF!,"AAAAAExxf9E=")</f>
        <v>#REF!</v>
      </c>
      <c r="HC100" t="e">
        <f>AND(#REF!,"AAAAAExxf9I=")</f>
        <v>#REF!</v>
      </c>
      <c r="HD100" t="e">
        <f>AND(#REF!,"AAAAAExxf9M=")</f>
        <v>#REF!</v>
      </c>
      <c r="HE100" t="e">
        <f>AND(#REF!,"AAAAAExxf9Q=")</f>
        <v>#REF!</v>
      </c>
      <c r="HF100" t="e">
        <f>AND(#REF!,"AAAAAExxf9U=")</f>
        <v>#REF!</v>
      </c>
      <c r="HG100" t="e">
        <f>AND(#REF!,"AAAAAExxf9Y=")</f>
        <v>#REF!</v>
      </c>
      <c r="HH100" t="e">
        <f>AND(#REF!,"AAAAAExxf9c=")</f>
        <v>#REF!</v>
      </c>
      <c r="HI100" t="e">
        <f>AND(#REF!,"AAAAAExxf9g=")</f>
        <v>#REF!</v>
      </c>
      <c r="HJ100" t="e">
        <f>AND(#REF!,"AAAAAExxf9k=")</f>
        <v>#REF!</v>
      </c>
      <c r="HK100" t="e">
        <f>AND(#REF!,"AAAAAExxf9o=")</f>
        <v>#REF!</v>
      </c>
      <c r="HL100" t="e">
        <f>AND(#REF!,"AAAAAExxf9s=")</f>
        <v>#REF!</v>
      </c>
      <c r="HM100" t="e">
        <f>AND(#REF!,"AAAAAExxf9w=")</f>
        <v>#REF!</v>
      </c>
      <c r="HN100" t="e">
        <f>AND(#REF!,"AAAAAExxf90=")</f>
        <v>#REF!</v>
      </c>
      <c r="HO100" t="e">
        <f>AND(#REF!,"AAAAAExxf94=")</f>
        <v>#REF!</v>
      </c>
      <c r="HP100" t="e">
        <f>AND(#REF!,"AAAAAExxf98=")</f>
        <v>#REF!</v>
      </c>
      <c r="HQ100" t="e">
        <f>AND(#REF!,"AAAAAExxf+A=")</f>
        <v>#REF!</v>
      </c>
      <c r="HR100" t="e">
        <f>AND(#REF!,"AAAAAExxf+E=")</f>
        <v>#REF!</v>
      </c>
      <c r="HS100" t="e">
        <f>AND(#REF!,"AAAAAExxf+I=")</f>
        <v>#REF!</v>
      </c>
      <c r="HT100" t="e">
        <f>AND(#REF!,"AAAAAExxf+M=")</f>
        <v>#REF!</v>
      </c>
      <c r="HU100" t="e">
        <f>AND(#REF!,"AAAAAExxf+Q=")</f>
        <v>#REF!</v>
      </c>
      <c r="HV100" t="e">
        <f>AND(#REF!,"AAAAAExxf+U=")</f>
        <v>#REF!</v>
      </c>
      <c r="HW100" t="e">
        <f>AND(#REF!,"AAAAAExxf+Y=")</f>
        <v>#REF!</v>
      </c>
      <c r="HX100" t="e">
        <f>AND(#REF!,"AAAAAExxf+c=")</f>
        <v>#REF!</v>
      </c>
      <c r="HY100" t="e">
        <f>AND(#REF!,"AAAAAExxf+g=")</f>
        <v>#REF!</v>
      </c>
      <c r="HZ100" t="e">
        <f>AND(#REF!,"AAAAAExxf+k=")</f>
        <v>#REF!</v>
      </c>
      <c r="IA100" t="e">
        <f>AND(#REF!,"AAAAAExxf+o=")</f>
        <v>#REF!</v>
      </c>
      <c r="IB100" t="e">
        <f>AND(#REF!,"AAAAAExxf+s=")</f>
        <v>#REF!</v>
      </c>
      <c r="IC100" t="e">
        <f>AND(#REF!,"AAAAAExxf+w=")</f>
        <v>#REF!</v>
      </c>
      <c r="ID100" t="e">
        <f>AND(#REF!,"AAAAAExxf+0=")</f>
        <v>#REF!</v>
      </c>
      <c r="IE100" t="e">
        <f>AND(#REF!,"AAAAAExxf+4=")</f>
        <v>#REF!</v>
      </c>
      <c r="IF100" t="e">
        <f>AND(#REF!,"AAAAAExxf+8=")</f>
        <v>#REF!</v>
      </c>
      <c r="IG100" t="e">
        <f>AND(#REF!,"AAAAAExxf/A=")</f>
        <v>#REF!</v>
      </c>
      <c r="IH100" t="e">
        <f>AND(#REF!,"AAAAAExxf/E=")</f>
        <v>#REF!</v>
      </c>
      <c r="II100" t="e">
        <f>AND(#REF!,"AAAAAExxf/I=")</f>
        <v>#REF!</v>
      </c>
      <c r="IJ100" t="e">
        <f>AND(#REF!,"AAAAAExxf/M=")</f>
        <v>#REF!</v>
      </c>
      <c r="IK100" t="e">
        <f>AND(#REF!,"AAAAAExxf/Q=")</f>
        <v>#REF!</v>
      </c>
      <c r="IL100" t="e">
        <f>AND(#REF!,"AAAAAExxf/U=")</f>
        <v>#REF!</v>
      </c>
      <c r="IM100" t="e">
        <f>AND(#REF!,"AAAAAExxf/Y=")</f>
        <v>#REF!</v>
      </c>
      <c r="IN100" t="e">
        <f>AND(#REF!,"AAAAAExxf/c=")</f>
        <v>#REF!</v>
      </c>
      <c r="IO100" t="e">
        <f>AND(#REF!,"AAAAAExxf/g=")</f>
        <v>#REF!</v>
      </c>
      <c r="IP100" t="e">
        <f>AND(#REF!,"AAAAAExxf/k=")</f>
        <v>#REF!</v>
      </c>
      <c r="IQ100" t="e">
        <f>AND(#REF!,"AAAAAExxf/o=")</f>
        <v>#REF!</v>
      </c>
      <c r="IR100" t="e">
        <f>AND(#REF!,"AAAAAExxf/s=")</f>
        <v>#REF!</v>
      </c>
      <c r="IS100" t="e">
        <f>AND(#REF!,"AAAAAExxf/w=")</f>
        <v>#REF!</v>
      </c>
      <c r="IT100" t="e">
        <f>AND(#REF!,"AAAAAExxf/0=")</f>
        <v>#REF!</v>
      </c>
      <c r="IU100" t="e">
        <f>AND(#REF!,"AAAAAExxf/4=")</f>
        <v>#REF!</v>
      </c>
      <c r="IV100" t="e">
        <f>AND(#REF!,"AAAAAExxf/8=")</f>
        <v>#REF!</v>
      </c>
    </row>
    <row r="101" spans="1:256" x14ac:dyDescent="0.25">
      <c r="A101" t="e">
        <f>AND(#REF!,"AAAAAG/P9QA=")</f>
        <v>#REF!</v>
      </c>
      <c r="B101" t="e">
        <f>AND(#REF!,"AAAAAG/P9QE=")</f>
        <v>#REF!</v>
      </c>
      <c r="C101" t="e">
        <f>AND(#REF!,"AAAAAG/P9QI=")</f>
        <v>#REF!</v>
      </c>
      <c r="D101" t="e">
        <f>AND(#REF!,"AAAAAG/P9QM=")</f>
        <v>#REF!</v>
      </c>
      <c r="E101" t="e">
        <f>AND(#REF!,"AAAAAG/P9QQ=")</f>
        <v>#REF!</v>
      </c>
      <c r="F101" t="e">
        <f>AND(#REF!,"AAAAAG/P9QU=")</f>
        <v>#REF!</v>
      </c>
      <c r="G101" t="e">
        <f>AND(#REF!,"AAAAAG/P9QY=")</f>
        <v>#REF!</v>
      </c>
      <c r="H101" t="e">
        <f>AND(#REF!,"AAAAAG/P9Qc=")</f>
        <v>#REF!</v>
      </c>
      <c r="I101" t="e">
        <f>AND(#REF!,"AAAAAG/P9Qg=")</f>
        <v>#REF!</v>
      </c>
      <c r="J101" t="e">
        <f>AND(#REF!,"AAAAAG/P9Qk=")</f>
        <v>#REF!</v>
      </c>
      <c r="K101" t="e">
        <f>AND(#REF!,"AAAAAG/P9Qo=")</f>
        <v>#REF!</v>
      </c>
      <c r="L101" t="e">
        <f>AND(#REF!,"AAAAAG/P9Qs=")</f>
        <v>#REF!</v>
      </c>
      <c r="M101" t="e">
        <f>AND(#REF!,"AAAAAG/P9Qw=")</f>
        <v>#REF!</v>
      </c>
      <c r="N101" t="e">
        <f>AND(#REF!,"AAAAAG/P9Q0=")</f>
        <v>#REF!</v>
      </c>
      <c r="O101" t="e">
        <f>AND(#REF!,"AAAAAG/P9Q4=")</f>
        <v>#REF!</v>
      </c>
      <c r="P101" t="e">
        <f>AND(#REF!,"AAAAAG/P9Q8=")</f>
        <v>#REF!</v>
      </c>
      <c r="Q101" t="e">
        <f>AND(#REF!,"AAAAAG/P9RA=")</f>
        <v>#REF!</v>
      </c>
      <c r="R101" t="e">
        <f>AND(#REF!,"AAAAAG/P9RE=")</f>
        <v>#REF!</v>
      </c>
      <c r="S101" t="e">
        <f>AND(#REF!,"AAAAAG/P9RI=")</f>
        <v>#REF!</v>
      </c>
      <c r="T101" t="e">
        <f>AND(#REF!,"AAAAAG/P9RM=")</f>
        <v>#REF!</v>
      </c>
      <c r="U101" t="e">
        <f>AND(#REF!,"AAAAAG/P9RQ=")</f>
        <v>#REF!</v>
      </c>
      <c r="V101" t="e">
        <f>AND(#REF!,"AAAAAG/P9RU=")</f>
        <v>#REF!</v>
      </c>
      <c r="W101" t="e">
        <f>AND(#REF!,"AAAAAG/P9RY=")</f>
        <v>#REF!</v>
      </c>
      <c r="X101" t="e">
        <f>AND(#REF!,"AAAAAG/P9Rc=")</f>
        <v>#REF!</v>
      </c>
      <c r="Y101" t="e">
        <f>AND(#REF!,"AAAAAG/P9Rg=")</f>
        <v>#REF!</v>
      </c>
      <c r="Z101" t="e">
        <f>AND(#REF!,"AAAAAG/P9Rk=")</f>
        <v>#REF!</v>
      </c>
      <c r="AA101" t="e">
        <f>AND(#REF!,"AAAAAG/P9Ro=")</f>
        <v>#REF!</v>
      </c>
      <c r="AB101" t="e">
        <f>AND(#REF!,"AAAAAG/P9Rs=")</f>
        <v>#REF!</v>
      </c>
      <c r="AC101" t="e">
        <f>AND(#REF!,"AAAAAG/P9Rw=")</f>
        <v>#REF!</v>
      </c>
      <c r="AD101" t="e">
        <f>AND(#REF!,"AAAAAG/P9R0=")</f>
        <v>#REF!</v>
      </c>
      <c r="AE101" t="e">
        <f>AND(#REF!,"AAAAAG/P9R4=")</f>
        <v>#REF!</v>
      </c>
      <c r="AF101" t="e">
        <f>AND(#REF!,"AAAAAG/P9R8=")</f>
        <v>#REF!</v>
      </c>
      <c r="AG101" t="e">
        <f>AND(#REF!,"AAAAAG/P9SA=")</f>
        <v>#REF!</v>
      </c>
      <c r="AH101" t="e">
        <f>AND(#REF!,"AAAAAG/P9SE=")</f>
        <v>#REF!</v>
      </c>
      <c r="AI101" t="e">
        <f>AND(#REF!,"AAAAAG/P9SI=")</f>
        <v>#REF!</v>
      </c>
      <c r="AJ101" t="e">
        <f>AND(#REF!,"AAAAAG/P9SM=")</f>
        <v>#REF!</v>
      </c>
      <c r="AK101" t="e">
        <f>AND(#REF!,"AAAAAG/P9SQ=")</f>
        <v>#REF!</v>
      </c>
      <c r="AL101" t="e">
        <f>AND(#REF!,"AAAAAG/P9SU=")</f>
        <v>#REF!</v>
      </c>
      <c r="AM101" t="e">
        <f>AND(#REF!,"AAAAAG/P9SY=")</f>
        <v>#REF!</v>
      </c>
      <c r="AN101" t="e">
        <f>AND(#REF!,"AAAAAG/P9Sc=")</f>
        <v>#REF!</v>
      </c>
      <c r="AO101" t="e">
        <f>AND(#REF!,"AAAAAG/P9Sg=")</f>
        <v>#REF!</v>
      </c>
      <c r="AP101" t="e">
        <f>AND(#REF!,"AAAAAG/P9Sk=")</f>
        <v>#REF!</v>
      </c>
      <c r="AQ101" t="e">
        <f>AND(#REF!,"AAAAAG/P9So=")</f>
        <v>#REF!</v>
      </c>
      <c r="AR101" t="e">
        <f>AND(#REF!,"AAAAAG/P9Ss=")</f>
        <v>#REF!</v>
      </c>
      <c r="AS101" t="e">
        <f>AND(#REF!,"AAAAAG/P9Sw=")</f>
        <v>#REF!</v>
      </c>
      <c r="AT101" t="e">
        <f>AND(#REF!,"AAAAAG/P9S0=")</f>
        <v>#REF!</v>
      </c>
      <c r="AU101" t="e">
        <f>AND(#REF!,"AAAAAG/P9S4=")</f>
        <v>#REF!</v>
      </c>
      <c r="AV101" t="e">
        <f>AND(#REF!,"AAAAAG/P9S8=")</f>
        <v>#REF!</v>
      </c>
      <c r="AW101" t="e">
        <f>AND(#REF!,"AAAAAG/P9TA=")</f>
        <v>#REF!</v>
      </c>
      <c r="AX101" t="e">
        <f>AND(#REF!,"AAAAAG/P9TE=")</f>
        <v>#REF!</v>
      </c>
      <c r="AY101" t="e">
        <f>AND(#REF!,"AAAAAG/P9TI=")</f>
        <v>#REF!</v>
      </c>
      <c r="AZ101" t="e">
        <f>AND(#REF!,"AAAAAG/P9TM=")</f>
        <v>#REF!</v>
      </c>
      <c r="BA101" t="e">
        <f>AND(#REF!,"AAAAAG/P9TQ=")</f>
        <v>#REF!</v>
      </c>
      <c r="BB101" t="e">
        <f>AND(#REF!,"AAAAAG/P9TU=")</f>
        <v>#REF!</v>
      </c>
      <c r="BC101" t="e">
        <f>AND(#REF!,"AAAAAG/P9TY=")</f>
        <v>#REF!</v>
      </c>
      <c r="BD101" t="e">
        <f>AND(#REF!,"AAAAAG/P9Tc=")</f>
        <v>#REF!</v>
      </c>
      <c r="BE101" t="e">
        <f>AND(#REF!,"AAAAAG/P9Tg=")</f>
        <v>#REF!</v>
      </c>
      <c r="BF101" t="e">
        <f>AND(#REF!,"AAAAAG/P9Tk=")</f>
        <v>#REF!</v>
      </c>
      <c r="BG101" t="e">
        <f>AND(#REF!,"AAAAAG/P9To=")</f>
        <v>#REF!</v>
      </c>
      <c r="BH101" t="e">
        <f>AND(#REF!,"AAAAAG/P9Ts=")</f>
        <v>#REF!</v>
      </c>
      <c r="BI101" t="e">
        <f>AND(#REF!,"AAAAAG/P9Tw=")</f>
        <v>#REF!</v>
      </c>
      <c r="BJ101" t="e">
        <f>AND(#REF!,"AAAAAG/P9T0=")</f>
        <v>#REF!</v>
      </c>
      <c r="BK101" t="e">
        <f>AND(#REF!,"AAAAAG/P9T4=")</f>
        <v>#REF!</v>
      </c>
      <c r="BL101" t="e">
        <f>AND(#REF!,"AAAAAG/P9T8=")</f>
        <v>#REF!</v>
      </c>
      <c r="BM101" t="e">
        <f>AND(#REF!,"AAAAAG/P9UA=")</f>
        <v>#REF!</v>
      </c>
      <c r="BN101" t="e">
        <f>AND(#REF!,"AAAAAG/P9UE=")</f>
        <v>#REF!</v>
      </c>
      <c r="BO101" t="e">
        <f>AND(#REF!,"AAAAAG/P9UI=")</f>
        <v>#REF!</v>
      </c>
      <c r="BP101" t="e">
        <f>AND(#REF!,"AAAAAG/P9UM=")</f>
        <v>#REF!</v>
      </c>
      <c r="BQ101" t="e">
        <f>AND(#REF!,"AAAAAG/P9UQ=")</f>
        <v>#REF!</v>
      </c>
      <c r="BR101" t="e">
        <f>IF(#REF!,"AAAAAG/P9UU=",0)</f>
        <v>#REF!</v>
      </c>
      <c r="BS101" t="e">
        <f>AND(#REF!,"AAAAAG/P9UY=")</f>
        <v>#REF!</v>
      </c>
      <c r="BT101" t="e">
        <f>AND(#REF!,"AAAAAG/P9Uc=")</f>
        <v>#REF!</v>
      </c>
      <c r="BU101" t="e">
        <f>AND(#REF!,"AAAAAG/P9Ug=")</f>
        <v>#REF!</v>
      </c>
      <c r="BV101" t="e">
        <f>AND(#REF!,"AAAAAG/P9Uk=")</f>
        <v>#REF!</v>
      </c>
      <c r="BW101" t="e">
        <f>AND(#REF!,"AAAAAG/P9Uo=")</f>
        <v>#REF!</v>
      </c>
      <c r="BX101" t="e">
        <f>AND(#REF!,"AAAAAG/P9Us=")</f>
        <v>#REF!</v>
      </c>
      <c r="BY101" t="e">
        <f>AND(#REF!,"AAAAAG/P9Uw=")</f>
        <v>#REF!</v>
      </c>
      <c r="BZ101" t="e">
        <f>AND(#REF!,"AAAAAG/P9U0=")</f>
        <v>#REF!</v>
      </c>
      <c r="CA101" t="e">
        <f>AND(#REF!,"AAAAAG/P9U4=")</f>
        <v>#REF!</v>
      </c>
      <c r="CB101" t="e">
        <f>AND(#REF!,"AAAAAG/P9U8=")</f>
        <v>#REF!</v>
      </c>
      <c r="CC101" t="e">
        <f>AND(#REF!,"AAAAAG/P9VA=")</f>
        <v>#REF!</v>
      </c>
      <c r="CD101" t="e">
        <f>AND(#REF!,"AAAAAG/P9VE=")</f>
        <v>#REF!</v>
      </c>
      <c r="CE101" t="e">
        <f>AND(#REF!,"AAAAAG/P9VI=")</f>
        <v>#REF!</v>
      </c>
      <c r="CF101" t="e">
        <f>AND(#REF!,"AAAAAG/P9VM=")</f>
        <v>#REF!</v>
      </c>
      <c r="CG101" t="e">
        <f>AND(#REF!,"AAAAAG/P9VQ=")</f>
        <v>#REF!</v>
      </c>
      <c r="CH101" t="e">
        <f>AND(#REF!,"AAAAAG/P9VU=")</f>
        <v>#REF!</v>
      </c>
      <c r="CI101" t="e">
        <f>AND(#REF!,"AAAAAG/P9VY=")</f>
        <v>#REF!</v>
      </c>
      <c r="CJ101" t="e">
        <f>AND(#REF!,"AAAAAG/P9Vc=")</f>
        <v>#REF!</v>
      </c>
      <c r="CK101" t="e">
        <f>AND(#REF!,"AAAAAG/P9Vg=")</f>
        <v>#REF!</v>
      </c>
      <c r="CL101" t="e">
        <f>AND(#REF!,"AAAAAG/P9Vk=")</f>
        <v>#REF!</v>
      </c>
      <c r="CM101" t="e">
        <f>AND(#REF!,"AAAAAG/P9Vo=")</f>
        <v>#REF!</v>
      </c>
      <c r="CN101" t="e">
        <f>AND(#REF!,"AAAAAG/P9Vs=")</f>
        <v>#REF!</v>
      </c>
      <c r="CO101" t="e">
        <f>AND(#REF!,"AAAAAG/P9Vw=")</f>
        <v>#REF!</v>
      </c>
      <c r="CP101" t="e">
        <f>AND(#REF!,"AAAAAG/P9V0=")</f>
        <v>#REF!</v>
      </c>
      <c r="CQ101" t="e">
        <f>AND(#REF!,"AAAAAG/P9V4=")</f>
        <v>#REF!</v>
      </c>
      <c r="CR101" t="e">
        <f>AND(#REF!,"AAAAAG/P9V8=")</f>
        <v>#REF!</v>
      </c>
      <c r="CS101" t="e">
        <f>AND(#REF!,"AAAAAG/P9WA=")</f>
        <v>#REF!</v>
      </c>
      <c r="CT101" t="e">
        <f>AND(#REF!,"AAAAAG/P9WE=")</f>
        <v>#REF!</v>
      </c>
      <c r="CU101" t="e">
        <f>AND(#REF!,"AAAAAG/P9WI=")</f>
        <v>#REF!</v>
      </c>
      <c r="CV101" t="e">
        <f>AND(#REF!,"AAAAAG/P9WM=")</f>
        <v>#REF!</v>
      </c>
      <c r="CW101" t="e">
        <f>AND(#REF!,"AAAAAG/P9WQ=")</f>
        <v>#REF!</v>
      </c>
      <c r="CX101" t="e">
        <f>AND(#REF!,"AAAAAG/P9WU=")</f>
        <v>#REF!</v>
      </c>
      <c r="CY101" t="e">
        <f>AND(#REF!,"AAAAAG/P9WY=")</f>
        <v>#REF!</v>
      </c>
      <c r="CZ101" t="e">
        <f>AND(#REF!,"AAAAAG/P9Wc=")</f>
        <v>#REF!</v>
      </c>
      <c r="DA101" t="e">
        <f>AND(#REF!,"AAAAAG/P9Wg=")</f>
        <v>#REF!</v>
      </c>
      <c r="DB101" t="e">
        <f>AND(#REF!,"AAAAAG/P9Wk=")</f>
        <v>#REF!</v>
      </c>
      <c r="DC101" t="e">
        <f>AND(#REF!,"AAAAAG/P9Wo=")</f>
        <v>#REF!</v>
      </c>
      <c r="DD101" t="e">
        <f>AND(#REF!,"AAAAAG/P9Ws=")</f>
        <v>#REF!</v>
      </c>
      <c r="DE101" t="e">
        <f>AND(#REF!,"AAAAAG/P9Ww=")</f>
        <v>#REF!</v>
      </c>
      <c r="DF101" t="e">
        <f>AND(#REF!,"AAAAAG/P9W0=")</f>
        <v>#REF!</v>
      </c>
      <c r="DG101" t="e">
        <f>AND(#REF!,"AAAAAG/P9W4=")</f>
        <v>#REF!</v>
      </c>
      <c r="DH101" t="e">
        <f>AND(#REF!,"AAAAAG/P9W8=")</f>
        <v>#REF!</v>
      </c>
      <c r="DI101" t="e">
        <f>AND(#REF!,"AAAAAG/P9XA=")</f>
        <v>#REF!</v>
      </c>
      <c r="DJ101" t="e">
        <f>AND(#REF!,"AAAAAG/P9XE=")</f>
        <v>#REF!</v>
      </c>
      <c r="DK101" t="e">
        <f>AND(#REF!,"AAAAAG/P9XI=")</f>
        <v>#REF!</v>
      </c>
      <c r="DL101" t="e">
        <f>AND(#REF!,"AAAAAG/P9XM=")</f>
        <v>#REF!</v>
      </c>
      <c r="DM101" t="e">
        <f>AND(#REF!,"AAAAAG/P9XQ=")</f>
        <v>#REF!</v>
      </c>
      <c r="DN101" t="e">
        <f>AND(#REF!,"AAAAAG/P9XU=")</f>
        <v>#REF!</v>
      </c>
      <c r="DO101" t="e">
        <f>AND(#REF!,"AAAAAG/P9XY=")</f>
        <v>#REF!</v>
      </c>
      <c r="DP101" t="e">
        <f>AND(#REF!,"AAAAAG/P9Xc=")</f>
        <v>#REF!</v>
      </c>
      <c r="DQ101" t="e">
        <f>AND(#REF!,"AAAAAG/P9Xg=")</f>
        <v>#REF!</v>
      </c>
      <c r="DR101" t="e">
        <f>AND(#REF!,"AAAAAG/P9Xk=")</f>
        <v>#REF!</v>
      </c>
      <c r="DS101" t="e">
        <f>AND(#REF!,"AAAAAG/P9Xo=")</f>
        <v>#REF!</v>
      </c>
      <c r="DT101" t="e">
        <f>AND(#REF!,"AAAAAG/P9Xs=")</f>
        <v>#REF!</v>
      </c>
      <c r="DU101" t="e">
        <f>AND(#REF!,"AAAAAG/P9Xw=")</f>
        <v>#REF!</v>
      </c>
      <c r="DV101" t="e">
        <f>AND(#REF!,"AAAAAG/P9X0=")</f>
        <v>#REF!</v>
      </c>
      <c r="DW101" t="e">
        <f>AND(#REF!,"AAAAAG/P9X4=")</f>
        <v>#REF!</v>
      </c>
      <c r="DX101" t="e">
        <f>AND(#REF!,"AAAAAG/P9X8=")</f>
        <v>#REF!</v>
      </c>
      <c r="DY101" t="e">
        <f>AND(#REF!,"AAAAAG/P9YA=")</f>
        <v>#REF!</v>
      </c>
      <c r="DZ101" t="e">
        <f>AND(#REF!,"AAAAAG/P9YE=")</f>
        <v>#REF!</v>
      </c>
      <c r="EA101" t="e">
        <f>AND(#REF!,"AAAAAG/P9YI=")</f>
        <v>#REF!</v>
      </c>
      <c r="EB101" t="e">
        <f>AND(#REF!,"AAAAAG/P9YM=")</f>
        <v>#REF!</v>
      </c>
      <c r="EC101" t="e">
        <f>AND(#REF!,"AAAAAG/P9YQ=")</f>
        <v>#REF!</v>
      </c>
      <c r="ED101" t="e">
        <f>AND(#REF!,"AAAAAG/P9YU=")</f>
        <v>#REF!</v>
      </c>
      <c r="EE101" t="e">
        <f>AND(#REF!,"AAAAAG/P9YY=")</f>
        <v>#REF!</v>
      </c>
      <c r="EF101" t="e">
        <f>AND(#REF!,"AAAAAG/P9Yc=")</f>
        <v>#REF!</v>
      </c>
      <c r="EG101" t="e">
        <f>AND(#REF!,"AAAAAG/P9Yg=")</f>
        <v>#REF!</v>
      </c>
      <c r="EH101" t="e">
        <f>AND(#REF!,"AAAAAG/P9Yk=")</f>
        <v>#REF!</v>
      </c>
      <c r="EI101" t="e">
        <f>AND(#REF!,"AAAAAG/P9Yo=")</f>
        <v>#REF!</v>
      </c>
      <c r="EJ101" t="e">
        <f>AND(#REF!,"AAAAAG/P9Ys=")</f>
        <v>#REF!</v>
      </c>
      <c r="EK101" t="e">
        <f>AND(#REF!,"AAAAAG/P9Yw=")</f>
        <v>#REF!</v>
      </c>
      <c r="EL101" t="e">
        <f>AND(#REF!,"AAAAAG/P9Y0=")</f>
        <v>#REF!</v>
      </c>
      <c r="EM101" t="e">
        <f>AND(#REF!,"AAAAAG/P9Y4=")</f>
        <v>#REF!</v>
      </c>
      <c r="EN101" t="e">
        <f>AND(#REF!,"AAAAAG/P9Y8=")</f>
        <v>#REF!</v>
      </c>
      <c r="EO101" t="e">
        <f>AND(#REF!,"AAAAAG/P9ZA=")</f>
        <v>#REF!</v>
      </c>
      <c r="EP101" t="e">
        <f>AND(#REF!,"AAAAAG/P9ZE=")</f>
        <v>#REF!</v>
      </c>
      <c r="EQ101" t="e">
        <f>AND(#REF!,"AAAAAG/P9ZI=")</f>
        <v>#REF!</v>
      </c>
      <c r="ER101" t="e">
        <f>AND(#REF!,"AAAAAG/P9ZM=")</f>
        <v>#REF!</v>
      </c>
      <c r="ES101" t="e">
        <f>AND(#REF!,"AAAAAG/P9ZQ=")</f>
        <v>#REF!</v>
      </c>
      <c r="ET101" t="e">
        <f>AND(#REF!,"AAAAAG/P9ZU=")</f>
        <v>#REF!</v>
      </c>
      <c r="EU101" t="e">
        <f>AND(#REF!,"AAAAAG/P9ZY=")</f>
        <v>#REF!</v>
      </c>
      <c r="EV101" t="e">
        <f>AND(#REF!,"AAAAAG/P9Zc=")</f>
        <v>#REF!</v>
      </c>
      <c r="EW101" t="e">
        <f>AND(#REF!,"AAAAAG/P9Zg=")</f>
        <v>#REF!</v>
      </c>
      <c r="EX101" t="e">
        <f>AND(#REF!,"AAAAAG/P9Zk=")</f>
        <v>#REF!</v>
      </c>
      <c r="EY101" t="e">
        <f>AND(#REF!,"AAAAAG/P9Zo=")</f>
        <v>#REF!</v>
      </c>
      <c r="EZ101" t="e">
        <f>AND(#REF!,"AAAAAG/P9Zs=")</f>
        <v>#REF!</v>
      </c>
      <c r="FA101" t="e">
        <f>AND(#REF!,"AAAAAG/P9Zw=")</f>
        <v>#REF!</v>
      </c>
      <c r="FB101" t="e">
        <f>AND(#REF!,"AAAAAG/P9Z0=")</f>
        <v>#REF!</v>
      </c>
      <c r="FC101" t="e">
        <f>AND(#REF!,"AAAAAG/P9Z4=")</f>
        <v>#REF!</v>
      </c>
      <c r="FD101" t="e">
        <f>AND(#REF!,"AAAAAG/P9Z8=")</f>
        <v>#REF!</v>
      </c>
      <c r="FE101" t="e">
        <f>AND(#REF!,"AAAAAG/P9aA=")</f>
        <v>#REF!</v>
      </c>
      <c r="FF101" t="e">
        <f>AND(#REF!,"AAAAAG/P9aE=")</f>
        <v>#REF!</v>
      </c>
      <c r="FG101" t="e">
        <f>AND(#REF!,"AAAAAG/P9aI=")</f>
        <v>#REF!</v>
      </c>
      <c r="FH101" t="e">
        <f>AND(#REF!,"AAAAAG/P9aM=")</f>
        <v>#REF!</v>
      </c>
      <c r="FI101" t="e">
        <f>AND(#REF!,"AAAAAG/P9aQ=")</f>
        <v>#REF!</v>
      </c>
      <c r="FJ101" t="e">
        <f>AND(#REF!,"AAAAAG/P9aU=")</f>
        <v>#REF!</v>
      </c>
      <c r="FK101" t="e">
        <f>AND(#REF!,"AAAAAG/P9aY=")</f>
        <v>#REF!</v>
      </c>
      <c r="FL101" t="e">
        <f>AND(#REF!,"AAAAAG/P9ac=")</f>
        <v>#REF!</v>
      </c>
      <c r="FM101" t="e">
        <f>AND(#REF!,"AAAAAG/P9ag=")</f>
        <v>#REF!</v>
      </c>
      <c r="FN101" t="e">
        <f>AND(#REF!,"AAAAAG/P9ak=")</f>
        <v>#REF!</v>
      </c>
      <c r="FO101" t="e">
        <f>AND(#REF!,"AAAAAG/P9ao=")</f>
        <v>#REF!</v>
      </c>
      <c r="FP101" t="e">
        <f>AND(#REF!,"AAAAAG/P9as=")</f>
        <v>#REF!</v>
      </c>
      <c r="FQ101" t="e">
        <f>AND(#REF!,"AAAAAG/P9aw=")</f>
        <v>#REF!</v>
      </c>
      <c r="FR101" t="e">
        <f>AND(#REF!,"AAAAAG/P9a0=")</f>
        <v>#REF!</v>
      </c>
      <c r="FS101" t="e">
        <f>AND(#REF!,"AAAAAG/P9a4=")</f>
        <v>#REF!</v>
      </c>
      <c r="FT101" t="e">
        <f>AND(#REF!,"AAAAAG/P9a8=")</f>
        <v>#REF!</v>
      </c>
      <c r="FU101" t="e">
        <f>AND(#REF!,"AAAAAG/P9bA=")</f>
        <v>#REF!</v>
      </c>
      <c r="FV101" t="e">
        <f>AND(#REF!,"AAAAAG/P9bE=")</f>
        <v>#REF!</v>
      </c>
      <c r="FW101" t="e">
        <f>AND(#REF!,"AAAAAG/P9bI=")</f>
        <v>#REF!</v>
      </c>
      <c r="FX101" t="e">
        <f>AND(#REF!,"AAAAAG/P9bM=")</f>
        <v>#REF!</v>
      </c>
      <c r="FY101" t="e">
        <f>AND(#REF!,"AAAAAG/P9bQ=")</f>
        <v>#REF!</v>
      </c>
      <c r="FZ101" t="e">
        <f>AND(#REF!,"AAAAAG/P9bU=")</f>
        <v>#REF!</v>
      </c>
      <c r="GA101" t="e">
        <f>AND(#REF!,"AAAAAG/P9bY=")</f>
        <v>#REF!</v>
      </c>
      <c r="GB101" t="e">
        <f>AND(#REF!,"AAAAAG/P9bc=")</f>
        <v>#REF!</v>
      </c>
      <c r="GC101" t="e">
        <f>AND(#REF!,"AAAAAG/P9bg=")</f>
        <v>#REF!</v>
      </c>
      <c r="GD101" t="e">
        <f>AND(#REF!,"AAAAAG/P9bk=")</f>
        <v>#REF!</v>
      </c>
      <c r="GE101" t="e">
        <f>AND(#REF!,"AAAAAG/P9bo=")</f>
        <v>#REF!</v>
      </c>
      <c r="GF101" t="e">
        <f>AND(#REF!,"AAAAAG/P9bs=")</f>
        <v>#REF!</v>
      </c>
      <c r="GG101" t="e">
        <f>AND(#REF!,"AAAAAG/P9bw=")</f>
        <v>#REF!</v>
      </c>
      <c r="GH101" t="e">
        <f>AND(#REF!,"AAAAAG/P9b0=")</f>
        <v>#REF!</v>
      </c>
      <c r="GI101" t="e">
        <f>AND(#REF!,"AAAAAG/P9b4=")</f>
        <v>#REF!</v>
      </c>
      <c r="GJ101" t="e">
        <f>AND(#REF!,"AAAAAG/P9b8=")</f>
        <v>#REF!</v>
      </c>
      <c r="GK101" t="e">
        <f>AND(#REF!,"AAAAAG/P9cA=")</f>
        <v>#REF!</v>
      </c>
      <c r="GL101" t="e">
        <f>AND(#REF!,"AAAAAG/P9cE=")</f>
        <v>#REF!</v>
      </c>
      <c r="GM101" t="e">
        <f>AND(#REF!,"AAAAAG/P9cI=")</f>
        <v>#REF!</v>
      </c>
      <c r="GN101" t="e">
        <f>AND(#REF!,"AAAAAG/P9cM=")</f>
        <v>#REF!</v>
      </c>
      <c r="GO101" t="e">
        <f>AND(#REF!,"AAAAAG/P9cQ=")</f>
        <v>#REF!</v>
      </c>
      <c r="GP101" t="e">
        <f>AND(#REF!,"AAAAAG/P9cU=")</f>
        <v>#REF!</v>
      </c>
      <c r="GQ101" t="e">
        <f>AND(#REF!,"AAAAAG/P9cY=")</f>
        <v>#REF!</v>
      </c>
      <c r="GR101" t="e">
        <f>AND(#REF!,"AAAAAG/P9cc=")</f>
        <v>#REF!</v>
      </c>
      <c r="GS101" t="e">
        <f>AND(#REF!,"AAAAAG/P9cg=")</f>
        <v>#REF!</v>
      </c>
      <c r="GT101" t="e">
        <f>AND(#REF!,"AAAAAG/P9ck=")</f>
        <v>#REF!</v>
      </c>
      <c r="GU101" t="e">
        <f>AND(#REF!,"AAAAAG/P9co=")</f>
        <v>#REF!</v>
      </c>
      <c r="GV101" t="e">
        <f>AND(#REF!,"AAAAAG/P9cs=")</f>
        <v>#REF!</v>
      </c>
      <c r="GW101" t="e">
        <f>AND(#REF!,"AAAAAG/P9cw=")</f>
        <v>#REF!</v>
      </c>
      <c r="GX101" t="e">
        <f>AND(#REF!,"AAAAAG/P9c0=")</f>
        <v>#REF!</v>
      </c>
      <c r="GY101" t="e">
        <f>AND(#REF!,"AAAAAG/P9c4=")</f>
        <v>#REF!</v>
      </c>
      <c r="GZ101" t="e">
        <f>AND(#REF!,"AAAAAG/P9c8=")</f>
        <v>#REF!</v>
      </c>
      <c r="HA101" t="e">
        <f>AND(#REF!,"AAAAAG/P9dA=")</f>
        <v>#REF!</v>
      </c>
      <c r="HB101" t="e">
        <f>AND(#REF!,"AAAAAG/P9dE=")</f>
        <v>#REF!</v>
      </c>
      <c r="HC101" t="e">
        <f>AND(#REF!,"AAAAAG/P9dI=")</f>
        <v>#REF!</v>
      </c>
      <c r="HD101" t="e">
        <f>AND(#REF!,"AAAAAG/P9dM=")</f>
        <v>#REF!</v>
      </c>
      <c r="HE101" t="e">
        <f>AND(#REF!,"AAAAAG/P9dQ=")</f>
        <v>#REF!</v>
      </c>
      <c r="HF101" t="e">
        <f>AND(#REF!,"AAAAAG/P9dU=")</f>
        <v>#REF!</v>
      </c>
      <c r="HG101" t="e">
        <f>AND(#REF!,"AAAAAG/P9dY=")</f>
        <v>#REF!</v>
      </c>
      <c r="HH101" t="e">
        <f>AND(#REF!,"AAAAAG/P9dc=")</f>
        <v>#REF!</v>
      </c>
      <c r="HI101" t="e">
        <f>AND(#REF!,"AAAAAG/P9dg=")</f>
        <v>#REF!</v>
      </c>
      <c r="HJ101" t="e">
        <f>AND(#REF!,"AAAAAG/P9dk=")</f>
        <v>#REF!</v>
      </c>
      <c r="HK101" t="e">
        <f>AND(#REF!,"AAAAAG/P9do=")</f>
        <v>#REF!</v>
      </c>
      <c r="HL101" t="e">
        <f>AND(#REF!,"AAAAAG/P9ds=")</f>
        <v>#REF!</v>
      </c>
      <c r="HM101" t="e">
        <f>AND(#REF!,"AAAAAG/P9dw=")</f>
        <v>#REF!</v>
      </c>
      <c r="HN101" t="e">
        <f>AND(#REF!,"AAAAAG/P9d0=")</f>
        <v>#REF!</v>
      </c>
      <c r="HO101" t="e">
        <f>AND(#REF!,"AAAAAG/P9d4=")</f>
        <v>#REF!</v>
      </c>
      <c r="HP101" t="e">
        <f>AND(#REF!,"AAAAAG/P9d8=")</f>
        <v>#REF!</v>
      </c>
      <c r="HQ101" t="e">
        <f>AND(#REF!,"AAAAAG/P9eA=")</f>
        <v>#REF!</v>
      </c>
      <c r="HR101" t="e">
        <f>AND(#REF!,"AAAAAG/P9eE=")</f>
        <v>#REF!</v>
      </c>
      <c r="HS101" t="e">
        <f>AND(#REF!,"AAAAAG/P9eI=")</f>
        <v>#REF!</v>
      </c>
      <c r="HT101" t="e">
        <f>AND(#REF!,"AAAAAG/P9eM=")</f>
        <v>#REF!</v>
      </c>
      <c r="HU101" t="e">
        <f>AND(#REF!,"AAAAAG/P9eQ=")</f>
        <v>#REF!</v>
      </c>
      <c r="HV101" t="e">
        <f>AND(#REF!,"AAAAAG/P9eU=")</f>
        <v>#REF!</v>
      </c>
      <c r="HW101" t="e">
        <f>AND(#REF!,"AAAAAG/P9eY=")</f>
        <v>#REF!</v>
      </c>
      <c r="HX101" t="e">
        <f>AND(#REF!,"AAAAAG/P9ec=")</f>
        <v>#REF!</v>
      </c>
      <c r="HY101" t="e">
        <f>AND(#REF!,"AAAAAG/P9eg=")</f>
        <v>#REF!</v>
      </c>
      <c r="HZ101" t="e">
        <f>AND(#REF!,"AAAAAG/P9ek=")</f>
        <v>#REF!</v>
      </c>
      <c r="IA101" t="e">
        <f>AND(#REF!,"AAAAAG/P9eo=")</f>
        <v>#REF!</v>
      </c>
      <c r="IB101" t="e">
        <f>AND(#REF!,"AAAAAG/P9es=")</f>
        <v>#REF!</v>
      </c>
      <c r="IC101" t="e">
        <f>AND(#REF!,"AAAAAG/P9ew=")</f>
        <v>#REF!</v>
      </c>
      <c r="ID101" t="e">
        <f>AND(#REF!,"AAAAAG/P9e0=")</f>
        <v>#REF!</v>
      </c>
      <c r="IE101" t="e">
        <f>AND(#REF!,"AAAAAG/P9e4=")</f>
        <v>#REF!</v>
      </c>
      <c r="IF101" t="e">
        <f>AND(#REF!,"AAAAAG/P9e8=")</f>
        <v>#REF!</v>
      </c>
      <c r="IG101" t="e">
        <f>AND(#REF!,"AAAAAG/P9fA=")</f>
        <v>#REF!</v>
      </c>
      <c r="IH101" t="e">
        <f>AND(#REF!,"AAAAAG/P9fE=")</f>
        <v>#REF!</v>
      </c>
      <c r="II101" t="e">
        <f>AND(#REF!,"AAAAAG/P9fI=")</f>
        <v>#REF!</v>
      </c>
      <c r="IJ101" t="e">
        <f>AND(#REF!,"AAAAAG/P9fM=")</f>
        <v>#REF!</v>
      </c>
      <c r="IK101" t="e">
        <f>AND(#REF!,"AAAAAG/P9fQ=")</f>
        <v>#REF!</v>
      </c>
      <c r="IL101" t="e">
        <f>AND(#REF!,"AAAAAG/P9fU=")</f>
        <v>#REF!</v>
      </c>
      <c r="IM101" t="e">
        <f>AND(#REF!,"AAAAAG/P9fY=")</f>
        <v>#REF!</v>
      </c>
      <c r="IN101" t="e">
        <f>AND(#REF!,"AAAAAG/P9fc=")</f>
        <v>#REF!</v>
      </c>
      <c r="IO101" t="e">
        <f>AND(#REF!,"AAAAAG/P9fg=")</f>
        <v>#REF!</v>
      </c>
      <c r="IP101" t="e">
        <f>AND(#REF!,"AAAAAG/P9fk=")</f>
        <v>#REF!</v>
      </c>
      <c r="IQ101" t="e">
        <f>AND(#REF!,"AAAAAG/P9fo=")</f>
        <v>#REF!</v>
      </c>
      <c r="IR101" t="e">
        <f>AND(#REF!,"AAAAAG/P9fs=")</f>
        <v>#REF!</v>
      </c>
      <c r="IS101" t="e">
        <f>AND(#REF!,"AAAAAG/P9fw=")</f>
        <v>#REF!</v>
      </c>
      <c r="IT101" t="e">
        <f>AND(#REF!,"AAAAAG/P9f0=")</f>
        <v>#REF!</v>
      </c>
      <c r="IU101" t="e">
        <f>AND(#REF!,"AAAAAG/P9f4=")</f>
        <v>#REF!</v>
      </c>
      <c r="IV101" t="e">
        <f>AND(#REF!,"AAAAAG/P9f8=")</f>
        <v>#REF!</v>
      </c>
    </row>
    <row r="102" spans="1:256" x14ac:dyDescent="0.25">
      <c r="A102" t="e">
        <f>AND(#REF!,"AAAAAH9OdwA=")</f>
        <v>#REF!</v>
      </c>
      <c r="B102" t="e">
        <f>AND(#REF!,"AAAAAH9OdwE=")</f>
        <v>#REF!</v>
      </c>
      <c r="C102" t="e">
        <f>IF(#REF!,"AAAAAH9OdwI=",0)</f>
        <v>#REF!</v>
      </c>
      <c r="D102" t="e">
        <f>AND(#REF!,"AAAAAH9OdwM=")</f>
        <v>#REF!</v>
      </c>
      <c r="E102" t="e">
        <f>AND(#REF!,"AAAAAH9OdwQ=")</f>
        <v>#REF!</v>
      </c>
      <c r="F102" t="e">
        <f>AND(#REF!,"AAAAAH9OdwU=")</f>
        <v>#REF!</v>
      </c>
      <c r="G102" t="e">
        <f>AND(#REF!,"AAAAAH9OdwY=")</f>
        <v>#REF!</v>
      </c>
      <c r="H102" t="e">
        <f>AND(#REF!,"AAAAAH9Odwc=")</f>
        <v>#REF!</v>
      </c>
      <c r="I102" t="e">
        <f>AND(#REF!,"AAAAAH9Odwg=")</f>
        <v>#REF!</v>
      </c>
      <c r="J102" t="e">
        <f>AND(#REF!,"AAAAAH9Odwk=")</f>
        <v>#REF!</v>
      </c>
      <c r="K102" t="e">
        <f>AND(#REF!,"AAAAAH9Odwo=")</f>
        <v>#REF!</v>
      </c>
      <c r="L102" t="e">
        <f>AND(#REF!,"AAAAAH9Odws=")</f>
        <v>#REF!</v>
      </c>
      <c r="M102" t="e">
        <f>AND(#REF!,"AAAAAH9Odww=")</f>
        <v>#REF!</v>
      </c>
      <c r="N102" t="e">
        <f>AND(#REF!,"AAAAAH9Odw0=")</f>
        <v>#REF!</v>
      </c>
      <c r="O102" t="e">
        <f>AND(#REF!,"AAAAAH9Odw4=")</f>
        <v>#REF!</v>
      </c>
      <c r="P102" t="e">
        <f>AND(#REF!,"AAAAAH9Odw8=")</f>
        <v>#REF!</v>
      </c>
      <c r="Q102" t="e">
        <f>AND(#REF!,"AAAAAH9OdxA=")</f>
        <v>#REF!</v>
      </c>
      <c r="R102" t="e">
        <f>AND(#REF!,"AAAAAH9OdxE=")</f>
        <v>#REF!</v>
      </c>
      <c r="S102" t="e">
        <f>AND(#REF!,"AAAAAH9OdxI=")</f>
        <v>#REF!</v>
      </c>
      <c r="T102" t="e">
        <f>AND(#REF!,"AAAAAH9OdxM=")</f>
        <v>#REF!</v>
      </c>
      <c r="U102" t="e">
        <f>AND(#REF!,"AAAAAH9OdxQ=")</f>
        <v>#REF!</v>
      </c>
      <c r="V102" t="e">
        <f>AND(#REF!,"AAAAAH9OdxU=")</f>
        <v>#REF!</v>
      </c>
      <c r="W102" t="e">
        <f>AND(#REF!,"AAAAAH9OdxY=")</f>
        <v>#REF!</v>
      </c>
      <c r="X102" t="e">
        <f>AND(#REF!,"AAAAAH9Odxc=")</f>
        <v>#REF!</v>
      </c>
      <c r="Y102" t="e">
        <f>AND(#REF!,"AAAAAH9Odxg=")</f>
        <v>#REF!</v>
      </c>
      <c r="Z102" t="e">
        <f>AND(#REF!,"AAAAAH9Odxk=")</f>
        <v>#REF!</v>
      </c>
      <c r="AA102" t="e">
        <f>AND(#REF!,"AAAAAH9Odxo=")</f>
        <v>#REF!</v>
      </c>
      <c r="AB102" t="e">
        <f>AND(#REF!,"AAAAAH9Odxs=")</f>
        <v>#REF!</v>
      </c>
      <c r="AC102" t="e">
        <f>AND(#REF!,"AAAAAH9Odxw=")</f>
        <v>#REF!</v>
      </c>
      <c r="AD102" t="e">
        <f>AND(#REF!,"AAAAAH9Odx0=")</f>
        <v>#REF!</v>
      </c>
      <c r="AE102" t="e">
        <f>AND(#REF!,"AAAAAH9Odx4=")</f>
        <v>#REF!</v>
      </c>
      <c r="AF102" t="e">
        <f>AND(#REF!,"AAAAAH9Odx8=")</f>
        <v>#REF!</v>
      </c>
      <c r="AG102" t="e">
        <f>AND(#REF!,"AAAAAH9OdyA=")</f>
        <v>#REF!</v>
      </c>
      <c r="AH102" t="e">
        <f>AND(#REF!,"AAAAAH9OdyE=")</f>
        <v>#REF!</v>
      </c>
      <c r="AI102" t="e">
        <f>AND(#REF!,"AAAAAH9OdyI=")</f>
        <v>#REF!</v>
      </c>
      <c r="AJ102" t="e">
        <f>AND(#REF!,"AAAAAH9OdyM=")</f>
        <v>#REF!</v>
      </c>
      <c r="AK102" t="e">
        <f>AND(#REF!,"AAAAAH9OdyQ=")</f>
        <v>#REF!</v>
      </c>
      <c r="AL102" t="e">
        <f>AND(#REF!,"AAAAAH9OdyU=")</f>
        <v>#REF!</v>
      </c>
      <c r="AM102" t="e">
        <f>AND(#REF!,"AAAAAH9OdyY=")</f>
        <v>#REF!</v>
      </c>
      <c r="AN102" t="e">
        <f>AND(#REF!,"AAAAAH9Odyc=")</f>
        <v>#REF!</v>
      </c>
      <c r="AO102" t="e">
        <f>AND(#REF!,"AAAAAH9Odyg=")</f>
        <v>#REF!</v>
      </c>
      <c r="AP102" t="e">
        <f>AND(#REF!,"AAAAAH9Odyk=")</f>
        <v>#REF!</v>
      </c>
      <c r="AQ102" t="e">
        <f>AND(#REF!,"AAAAAH9Odyo=")</f>
        <v>#REF!</v>
      </c>
      <c r="AR102" t="e">
        <f>AND(#REF!,"AAAAAH9Odys=")</f>
        <v>#REF!</v>
      </c>
      <c r="AS102" t="e">
        <f>AND(#REF!,"AAAAAH9Odyw=")</f>
        <v>#REF!</v>
      </c>
      <c r="AT102" t="e">
        <f>AND(#REF!,"AAAAAH9Ody0=")</f>
        <v>#REF!</v>
      </c>
      <c r="AU102" t="e">
        <f>AND(#REF!,"AAAAAH9Ody4=")</f>
        <v>#REF!</v>
      </c>
      <c r="AV102" t="e">
        <f>AND(#REF!,"AAAAAH9Ody8=")</f>
        <v>#REF!</v>
      </c>
      <c r="AW102" t="e">
        <f>AND(#REF!,"AAAAAH9OdzA=")</f>
        <v>#REF!</v>
      </c>
      <c r="AX102" t="e">
        <f>AND(#REF!,"AAAAAH9OdzE=")</f>
        <v>#REF!</v>
      </c>
      <c r="AY102" t="e">
        <f>AND(#REF!,"AAAAAH9OdzI=")</f>
        <v>#REF!</v>
      </c>
      <c r="AZ102" t="e">
        <f>AND(#REF!,"AAAAAH9OdzM=")</f>
        <v>#REF!</v>
      </c>
      <c r="BA102" t="e">
        <f>AND(#REF!,"AAAAAH9OdzQ=")</f>
        <v>#REF!</v>
      </c>
      <c r="BB102" t="e">
        <f>AND(#REF!,"AAAAAH9OdzU=")</f>
        <v>#REF!</v>
      </c>
      <c r="BC102" t="e">
        <f>AND(#REF!,"AAAAAH9OdzY=")</f>
        <v>#REF!</v>
      </c>
      <c r="BD102" t="e">
        <f>AND(#REF!,"AAAAAH9Odzc=")</f>
        <v>#REF!</v>
      </c>
      <c r="BE102" t="e">
        <f>AND(#REF!,"AAAAAH9Odzg=")</f>
        <v>#REF!</v>
      </c>
      <c r="BF102" t="e">
        <f>AND(#REF!,"AAAAAH9Odzk=")</f>
        <v>#REF!</v>
      </c>
      <c r="BG102" t="e">
        <f>AND(#REF!,"AAAAAH9Odzo=")</f>
        <v>#REF!</v>
      </c>
      <c r="BH102" t="e">
        <f>AND(#REF!,"AAAAAH9Odzs=")</f>
        <v>#REF!</v>
      </c>
      <c r="BI102" t="e">
        <f>AND(#REF!,"AAAAAH9Odzw=")</f>
        <v>#REF!</v>
      </c>
      <c r="BJ102" t="e">
        <f>AND(#REF!,"AAAAAH9Odz0=")</f>
        <v>#REF!</v>
      </c>
      <c r="BK102" t="e">
        <f>AND(#REF!,"AAAAAH9Odz4=")</f>
        <v>#REF!</v>
      </c>
      <c r="BL102" t="e">
        <f>AND(#REF!,"AAAAAH9Odz8=")</f>
        <v>#REF!</v>
      </c>
      <c r="BM102" t="e">
        <f>AND(#REF!,"AAAAAH9Od0A=")</f>
        <v>#REF!</v>
      </c>
      <c r="BN102" t="e">
        <f>AND(#REF!,"AAAAAH9Od0E=")</f>
        <v>#REF!</v>
      </c>
      <c r="BO102" t="e">
        <f>AND(#REF!,"AAAAAH9Od0I=")</f>
        <v>#REF!</v>
      </c>
      <c r="BP102" t="e">
        <f>AND(#REF!,"AAAAAH9Od0M=")</f>
        <v>#REF!</v>
      </c>
      <c r="BQ102" t="e">
        <f>AND(#REF!,"AAAAAH9Od0Q=")</f>
        <v>#REF!</v>
      </c>
      <c r="BR102" t="e">
        <f>AND(#REF!,"AAAAAH9Od0U=")</f>
        <v>#REF!</v>
      </c>
      <c r="BS102" t="e">
        <f>AND(#REF!,"AAAAAH9Od0Y=")</f>
        <v>#REF!</v>
      </c>
      <c r="BT102" t="e">
        <f>AND(#REF!,"AAAAAH9Od0c=")</f>
        <v>#REF!</v>
      </c>
      <c r="BU102" t="e">
        <f>AND(#REF!,"AAAAAH9Od0g=")</f>
        <v>#REF!</v>
      </c>
      <c r="BV102" t="e">
        <f>AND(#REF!,"AAAAAH9Od0k=")</f>
        <v>#REF!</v>
      </c>
      <c r="BW102" t="e">
        <f>AND(#REF!,"AAAAAH9Od0o=")</f>
        <v>#REF!</v>
      </c>
      <c r="BX102" t="e">
        <f>AND(#REF!,"AAAAAH9Od0s=")</f>
        <v>#REF!</v>
      </c>
      <c r="BY102" t="e">
        <f>AND(#REF!,"AAAAAH9Od0w=")</f>
        <v>#REF!</v>
      </c>
      <c r="BZ102" t="e">
        <f>AND(#REF!,"AAAAAH9Od00=")</f>
        <v>#REF!</v>
      </c>
      <c r="CA102" t="e">
        <f>AND(#REF!,"AAAAAH9Od04=")</f>
        <v>#REF!</v>
      </c>
      <c r="CB102" t="e">
        <f>AND(#REF!,"AAAAAH9Od08=")</f>
        <v>#REF!</v>
      </c>
      <c r="CC102" t="e">
        <f>AND(#REF!,"AAAAAH9Od1A=")</f>
        <v>#REF!</v>
      </c>
      <c r="CD102" t="e">
        <f>AND(#REF!,"AAAAAH9Od1E=")</f>
        <v>#REF!</v>
      </c>
      <c r="CE102" t="e">
        <f>AND(#REF!,"AAAAAH9Od1I=")</f>
        <v>#REF!</v>
      </c>
      <c r="CF102" t="e">
        <f>AND(#REF!,"AAAAAH9Od1M=")</f>
        <v>#REF!</v>
      </c>
      <c r="CG102" t="e">
        <f>AND(#REF!,"AAAAAH9Od1Q=")</f>
        <v>#REF!</v>
      </c>
      <c r="CH102" t="e">
        <f>AND(#REF!,"AAAAAH9Od1U=")</f>
        <v>#REF!</v>
      </c>
      <c r="CI102" t="e">
        <f>AND(#REF!,"AAAAAH9Od1Y=")</f>
        <v>#REF!</v>
      </c>
      <c r="CJ102" t="e">
        <f>AND(#REF!,"AAAAAH9Od1c=")</f>
        <v>#REF!</v>
      </c>
      <c r="CK102" t="e">
        <f>AND(#REF!,"AAAAAH9Od1g=")</f>
        <v>#REF!</v>
      </c>
      <c r="CL102" t="e">
        <f>AND(#REF!,"AAAAAH9Od1k=")</f>
        <v>#REF!</v>
      </c>
      <c r="CM102" t="e">
        <f>AND(#REF!,"AAAAAH9Od1o=")</f>
        <v>#REF!</v>
      </c>
      <c r="CN102" t="e">
        <f>AND(#REF!,"AAAAAH9Od1s=")</f>
        <v>#REF!</v>
      </c>
      <c r="CO102" t="e">
        <f>AND(#REF!,"AAAAAH9Od1w=")</f>
        <v>#REF!</v>
      </c>
      <c r="CP102" t="e">
        <f>AND(#REF!,"AAAAAH9Od10=")</f>
        <v>#REF!</v>
      </c>
      <c r="CQ102" t="e">
        <f>AND(#REF!,"AAAAAH9Od14=")</f>
        <v>#REF!</v>
      </c>
      <c r="CR102" t="e">
        <f>AND(#REF!,"AAAAAH9Od18=")</f>
        <v>#REF!</v>
      </c>
      <c r="CS102" t="e">
        <f>AND(#REF!,"AAAAAH9Od2A=")</f>
        <v>#REF!</v>
      </c>
      <c r="CT102" t="e">
        <f>AND(#REF!,"AAAAAH9Od2E=")</f>
        <v>#REF!</v>
      </c>
      <c r="CU102" t="e">
        <f>AND(#REF!,"AAAAAH9Od2I=")</f>
        <v>#REF!</v>
      </c>
      <c r="CV102" t="e">
        <f>AND(#REF!,"AAAAAH9Od2M=")</f>
        <v>#REF!</v>
      </c>
      <c r="CW102" t="e">
        <f>AND(#REF!,"AAAAAH9Od2Q=")</f>
        <v>#REF!</v>
      </c>
      <c r="CX102" t="e">
        <f>AND(#REF!,"AAAAAH9Od2U=")</f>
        <v>#REF!</v>
      </c>
      <c r="CY102" t="e">
        <f>AND(#REF!,"AAAAAH9Od2Y=")</f>
        <v>#REF!</v>
      </c>
      <c r="CZ102" t="e">
        <f>AND(#REF!,"AAAAAH9Od2c=")</f>
        <v>#REF!</v>
      </c>
      <c r="DA102" t="e">
        <f>AND(#REF!,"AAAAAH9Od2g=")</f>
        <v>#REF!</v>
      </c>
      <c r="DB102" t="e">
        <f>AND(#REF!,"AAAAAH9Od2k=")</f>
        <v>#REF!</v>
      </c>
      <c r="DC102" t="e">
        <f>AND(#REF!,"AAAAAH9Od2o=")</f>
        <v>#REF!</v>
      </c>
      <c r="DD102" t="e">
        <f>AND(#REF!,"AAAAAH9Od2s=")</f>
        <v>#REF!</v>
      </c>
      <c r="DE102" t="e">
        <f>AND(#REF!,"AAAAAH9Od2w=")</f>
        <v>#REF!</v>
      </c>
      <c r="DF102" t="e">
        <f>AND(#REF!,"AAAAAH9Od20=")</f>
        <v>#REF!</v>
      </c>
      <c r="DG102" t="e">
        <f>AND(#REF!,"AAAAAH9Od24=")</f>
        <v>#REF!</v>
      </c>
      <c r="DH102" t="e">
        <f>AND(#REF!,"AAAAAH9Od28=")</f>
        <v>#REF!</v>
      </c>
      <c r="DI102" t="e">
        <f>AND(#REF!,"AAAAAH9Od3A=")</f>
        <v>#REF!</v>
      </c>
      <c r="DJ102" t="e">
        <f>AND(#REF!,"AAAAAH9Od3E=")</f>
        <v>#REF!</v>
      </c>
      <c r="DK102" t="e">
        <f>AND(#REF!,"AAAAAH9Od3I=")</f>
        <v>#REF!</v>
      </c>
      <c r="DL102" t="e">
        <f>AND(#REF!,"AAAAAH9Od3M=")</f>
        <v>#REF!</v>
      </c>
      <c r="DM102" t="e">
        <f>AND(#REF!,"AAAAAH9Od3Q=")</f>
        <v>#REF!</v>
      </c>
      <c r="DN102" t="e">
        <f>AND(#REF!,"AAAAAH9Od3U=")</f>
        <v>#REF!</v>
      </c>
      <c r="DO102" t="e">
        <f>AND(#REF!,"AAAAAH9Od3Y=")</f>
        <v>#REF!</v>
      </c>
      <c r="DP102" t="e">
        <f>AND(#REF!,"AAAAAH9Od3c=")</f>
        <v>#REF!</v>
      </c>
      <c r="DQ102" t="e">
        <f>AND(#REF!,"AAAAAH9Od3g=")</f>
        <v>#REF!</v>
      </c>
      <c r="DR102" t="e">
        <f>AND(#REF!,"AAAAAH9Od3k=")</f>
        <v>#REF!</v>
      </c>
      <c r="DS102" t="e">
        <f>AND(#REF!,"AAAAAH9Od3o=")</f>
        <v>#REF!</v>
      </c>
      <c r="DT102" t="e">
        <f>AND(#REF!,"AAAAAH9Od3s=")</f>
        <v>#REF!</v>
      </c>
      <c r="DU102" t="e">
        <f>AND(#REF!,"AAAAAH9Od3w=")</f>
        <v>#REF!</v>
      </c>
      <c r="DV102" t="e">
        <f>AND(#REF!,"AAAAAH9Od30=")</f>
        <v>#REF!</v>
      </c>
      <c r="DW102" t="e">
        <f>AND(#REF!,"AAAAAH9Od34=")</f>
        <v>#REF!</v>
      </c>
      <c r="DX102" t="e">
        <f>AND(#REF!,"AAAAAH9Od38=")</f>
        <v>#REF!</v>
      </c>
      <c r="DY102" t="e">
        <f>AND(#REF!,"AAAAAH9Od4A=")</f>
        <v>#REF!</v>
      </c>
      <c r="DZ102" t="e">
        <f>AND(#REF!,"AAAAAH9Od4E=")</f>
        <v>#REF!</v>
      </c>
      <c r="EA102" t="e">
        <f>AND(#REF!,"AAAAAH9Od4I=")</f>
        <v>#REF!</v>
      </c>
      <c r="EB102" t="e">
        <f>AND(#REF!,"AAAAAH9Od4M=")</f>
        <v>#REF!</v>
      </c>
      <c r="EC102" t="e">
        <f>AND(#REF!,"AAAAAH9Od4Q=")</f>
        <v>#REF!</v>
      </c>
      <c r="ED102" t="e">
        <f>AND(#REF!,"AAAAAH9Od4U=")</f>
        <v>#REF!</v>
      </c>
      <c r="EE102" t="e">
        <f>AND(#REF!,"AAAAAH9Od4Y=")</f>
        <v>#REF!</v>
      </c>
      <c r="EF102" t="e">
        <f>AND(#REF!,"AAAAAH9Od4c=")</f>
        <v>#REF!</v>
      </c>
      <c r="EG102" t="e">
        <f>AND(#REF!,"AAAAAH9Od4g=")</f>
        <v>#REF!</v>
      </c>
      <c r="EH102" t="e">
        <f>AND(#REF!,"AAAAAH9Od4k=")</f>
        <v>#REF!</v>
      </c>
      <c r="EI102" t="e">
        <f>AND(#REF!,"AAAAAH9Od4o=")</f>
        <v>#REF!</v>
      </c>
      <c r="EJ102" t="e">
        <f>AND(#REF!,"AAAAAH9Od4s=")</f>
        <v>#REF!</v>
      </c>
      <c r="EK102" t="e">
        <f>AND(#REF!,"AAAAAH9Od4w=")</f>
        <v>#REF!</v>
      </c>
      <c r="EL102" t="e">
        <f>AND(#REF!,"AAAAAH9Od40=")</f>
        <v>#REF!</v>
      </c>
      <c r="EM102" t="e">
        <f>AND(#REF!,"AAAAAH9Od44=")</f>
        <v>#REF!</v>
      </c>
      <c r="EN102" t="e">
        <f>AND(#REF!,"AAAAAH9Od48=")</f>
        <v>#REF!</v>
      </c>
      <c r="EO102" t="e">
        <f>AND(#REF!,"AAAAAH9Od5A=")</f>
        <v>#REF!</v>
      </c>
      <c r="EP102" t="e">
        <f>AND(#REF!,"AAAAAH9Od5E=")</f>
        <v>#REF!</v>
      </c>
      <c r="EQ102" t="e">
        <f>AND(#REF!,"AAAAAH9Od5I=")</f>
        <v>#REF!</v>
      </c>
      <c r="ER102" t="e">
        <f>AND(#REF!,"AAAAAH9Od5M=")</f>
        <v>#REF!</v>
      </c>
      <c r="ES102" t="e">
        <f>AND(#REF!,"AAAAAH9Od5Q=")</f>
        <v>#REF!</v>
      </c>
      <c r="ET102" t="e">
        <f>AND(#REF!,"AAAAAH9Od5U=")</f>
        <v>#REF!</v>
      </c>
      <c r="EU102" t="e">
        <f>AND(#REF!,"AAAAAH9Od5Y=")</f>
        <v>#REF!</v>
      </c>
      <c r="EV102" t="e">
        <f>AND(#REF!,"AAAAAH9Od5c=")</f>
        <v>#REF!</v>
      </c>
      <c r="EW102" t="e">
        <f>AND(#REF!,"AAAAAH9Od5g=")</f>
        <v>#REF!</v>
      </c>
      <c r="EX102" t="e">
        <f>AND(#REF!,"AAAAAH9Od5k=")</f>
        <v>#REF!</v>
      </c>
      <c r="EY102" t="e">
        <f>AND(#REF!,"AAAAAH9Od5o=")</f>
        <v>#REF!</v>
      </c>
      <c r="EZ102" t="e">
        <f>AND(#REF!,"AAAAAH9Od5s=")</f>
        <v>#REF!</v>
      </c>
      <c r="FA102" t="e">
        <f>AND(#REF!,"AAAAAH9Od5w=")</f>
        <v>#REF!</v>
      </c>
      <c r="FB102" t="e">
        <f>AND(#REF!,"AAAAAH9Od50=")</f>
        <v>#REF!</v>
      </c>
      <c r="FC102" t="e">
        <f>AND(#REF!,"AAAAAH9Od54=")</f>
        <v>#REF!</v>
      </c>
      <c r="FD102" t="e">
        <f>AND(#REF!,"AAAAAH9Od58=")</f>
        <v>#REF!</v>
      </c>
      <c r="FE102" t="e">
        <f>AND(#REF!,"AAAAAH9Od6A=")</f>
        <v>#REF!</v>
      </c>
      <c r="FF102" t="e">
        <f>AND(#REF!,"AAAAAH9Od6E=")</f>
        <v>#REF!</v>
      </c>
      <c r="FG102" t="e">
        <f>AND(#REF!,"AAAAAH9Od6I=")</f>
        <v>#REF!</v>
      </c>
      <c r="FH102" t="e">
        <f>AND(#REF!,"AAAAAH9Od6M=")</f>
        <v>#REF!</v>
      </c>
      <c r="FI102" t="e">
        <f>AND(#REF!,"AAAAAH9Od6Q=")</f>
        <v>#REF!</v>
      </c>
      <c r="FJ102" t="e">
        <f>AND(#REF!,"AAAAAH9Od6U=")</f>
        <v>#REF!</v>
      </c>
      <c r="FK102" t="e">
        <f>AND(#REF!,"AAAAAH9Od6Y=")</f>
        <v>#REF!</v>
      </c>
      <c r="FL102" t="e">
        <f>AND(#REF!,"AAAAAH9Od6c=")</f>
        <v>#REF!</v>
      </c>
      <c r="FM102" t="e">
        <f>AND(#REF!,"AAAAAH9Od6g=")</f>
        <v>#REF!</v>
      </c>
      <c r="FN102" t="e">
        <f>AND(#REF!,"AAAAAH9Od6k=")</f>
        <v>#REF!</v>
      </c>
      <c r="FO102" t="e">
        <f>AND(#REF!,"AAAAAH9Od6o=")</f>
        <v>#REF!</v>
      </c>
      <c r="FP102" t="e">
        <f>AND(#REF!,"AAAAAH9Od6s=")</f>
        <v>#REF!</v>
      </c>
      <c r="FQ102" t="e">
        <f>AND(#REF!,"AAAAAH9Od6w=")</f>
        <v>#REF!</v>
      </c>
      <c r="FR102" t="e">
        <f>AND(#REF!,"AAAAAH9Od60=")</f>
        <v>#REF!</v>
      </c>
      <c r="FS102" t="e">
        <f>AND(#REF!,"AAAAAH9Od64=")</f>
        <v>#REF!</v>
      </c>
      <c r="FT102" t="e">
        <f>AND(#REF!,"AAAAAH9Od68=")</f>
        <v>#REF!</v>
      </c>
      <c r="FU102" t="e">
        <f>AND(#REF!,"AAAAAH9Od7A=")</f>
        <v>#REF!</v>
      </c>
      <c r="FV102" t="e">
        <f>AND(#REF!,"AAAAAH9Od7E=")</f>
        <v>#REF!</v>
      </c>
      <c r="FW102" t="e">
        <f>AND(#REF!,"AAAAAH9Od7I=")</f>
        <v>#REF!</v>
      </c>
      <c r="FX102" t="e">
        <f>AND(#REF!,"AAAAAH9Od7M=")</f>
        <v>#REF!</v>
      </c>
      <c r="FY102" t="e">
        <f>AND(#REF!,"AAAAAH9Od7Q=")</f>
        <v>#REF!</v>
      </c>
      <c r="FZ102" t="e">
        <f>AND(#REF!,"AAAAAH9Od7U=")</f>
        <v>#REF!</v>
      </c>
      <c r="GA102" t="e">
        <f>AND(#REF!,"AAAAAH9Od7Y=")</f>
        <v>#REF!</v>
      </c>
      <c r="GB102" t="e">
        <f>AND(#REF!,"AAAAAH9Od7c=")</f>
        <v>#REF!</v>
      </c>
      <c r="GC102" t="e">
        <f>AND(#REF!,"AAAAAH9Od7g=")</f>
        <v>#REF!</v>
      </c>
      <c r="GD102" t="e">
        <f>AND(#REF!,"AAAAAH9Od7k=")</f>
        <v>#REF!</v>
      </c>
      <c r="GE102" t="e">
        <f>AND(#REF!,"AAAAAH9Od7o=")</f>
        <v>#REF!</v>
      </c>
      <c r="GF102" t="e">
        <f>AND(#REF!,"AAAAAH9Od7s=")</f>
        <v>#REF!</v>
      </c>
      <c r="GG102" t="e">
        <f>AND(#REF!,"AAAAAH9Od7w=")</f>
        <v>#REF!</v>
      </c>
      <c r="GH102" t="e">
        <f>AND(#REF!,"AAAAAH9Od70=")</f>
        <v>#REF!</v>
      </c>
      <c r="GI102" t="e">
        <f>AND(#REF!,"AAAAAH9Od74=")</f>
        <v>#REF!</v>
      </c>
      <c r="GJ102" t="e">
        <f>IF(#REF!,"AAAAAH9Od78=",0)</f>
        <v>#REF!</v>
      </c>
      <c r="GK102" t="e">
        <f>AND(#REF!,"AAAAAH9Od8A=")</f>
        <v>#REF!</v>
      </c>
      <c r="GL102" t="e">
        <f>AND(#REF!,"AAAAAH9Od8E=")</f>
        <v>#REF!</v>
      </c>
      <c r="GM102" t="e">
        <f>AND(#REF!,"AAAAAH9Od8I=")</f>
        <v>#REF!</v>
      </c>
      <c r="GN102" t="e">
        <f>AND(#REF!,"AAAAAH9Od8M=")</f>
        <v>#REF!</v>
      </c>
      <c r="GO102" t="e">
        <f>AND(#REF!,"AAAAAH9Od8Q=")</f>
        <v>#REF!</v>
      </c>
      <c r="GP102" t="e">
        <f>AND(#REF!,"AAAAAH9Od8U=")</f>
        <v>#REF!</v>
      </c>
      <c r="GQ102" t="e">
        <f>AND(#REF!,"AAAAAH9Od8Y=")</f>
        <v>#REF!</v>
      </c>
      <c r="GR102" t="e">
        <f>AND(#REF!,"AAAAAH9Od8c=")</f>
        <v>#REF!</v>
      </c>
      <c r="GS102" t="e">
        <f>AND(#REF!,"AAAAAH9Od8g=")</f>
        <v>#REF!</v>
      </c>
      <c r="GT102" t="e">
        <f>AND(#REF!,"AAAAAH9Od8k=")</f>
        <v>#REF!</v>
      </c>
      <c r="GU102" t="e">
        <f>AND(#REF!,"AAAAAH9Od8o=")</f>
        <v>#REF!</v>
      </c>
      <c r="GV102" t="e">
        <f>AND(#REF!,"AAAAAH9Od8s=")</f>
        <v>#REF!</v>
      </c>
      <c r="GW102" t="e">
        <f>AND(#REF!,"AAAAAH9Od8w=")</f>
        <v>#REF!</v>
      </c>
      <c r="GX102" t="e">
        <f>AND(#REF!,"AAAAAH9Od80=")</f>
        <v>#REF!</v>
      </c>
      <c r="GY102" t="e">
        <f>AND(#REF!,"AAAAAH9Od84=")</f>
        <v>#REF!</v>
      </c>
      <c r="GZ102" t="e">
        <f>AND(#REF!,"AAAAAH9Od88=")</f>
        <v>#REF!</v>
      </c>
      <c r="HA102" t="e">
        <f>AND(#REF!,"AAAAAH9Od9A=")</f>
        <v>#REF!</v>
      </c>
      <c r="HB102" t="e">
        <f>AND(#REF!,"AAAAAH9Od9E=")</f>
        <v>#REF!</v>
      </c>
      <c r="HC102" t="e">
        <f>AND(#REF!,"AAAAAH9Od9I=")</f>
        <v>#REF!</v>
      </c>
      <c r="HD102" t="e">
        <f>AND(#REF!,"AAAAAH9Od9M=")</f>
        <v>#REF!</v>
      </c>
      <c r="HE102" t="e">
        <f>AND(#REF!,"AAAAAH9Od9Q=")</f>
        <v>#REF!</v>
      </c>
      <c r="HF102" t="e">
        <f>AND(#REF!,"AAAAAH9Od9U=")</f>
        <v>#REF!</v>
      </c>
      <c r="HG102" t="e">
        <f>AND(#REF!,"AAAAAH9Od9Y=")</f>
        <v>#REF!</v>
      </c>
      <c r="HH102" t="e">
        <f>AND(#REF!,"AAAAAH9Od9c=")</f>
        <v>#REF!</v>
      </c>
      <c r="HI102" t="e">
        <f>AND(#REF!,"AAAAAH9Od9g=")</f>
        <v>#REF!</v>
      </c>
      <c r="HJ102" t="e">
        <f>AND(#REF!,"AAAAAH9Od9k=")</f>
        <v>#REF!</v>
      </c>
      <c r="HK102" t="e">
        <f>AND(#REF!,"AAAAAH9Od9o=")</f>
        <v>#REF!</v>
      </c>
      <c r="HL102" t="e">
        <f>AND(#REF!,"AAAAAH9Od9s=")</f>
        <v>#REF!</v>
      </c>
      <c r="HM102" t="e">
        <f>AND(#REF!,"AAAAAH9Od9w=")</f>
        <v>#REF!</v>
      </c>
      <c r="HN102" t="e">
        <f>AND(#REF!,"AAAAAH9Od90=")</f>
        <v>#REF!</v>
      </c>
      <c r="HO102" t="e">
        <f>AND(#REF!,"AAAAAH9Od94=")</f>
        <v>#REF!</v>
      </c>
      <c r="HP102" t="e">
        <f>AND(#REF!,"AAAAAH9Od98=")</f>
        <v>#REF!</v>
      </c>
      <c r="HQ102" t="e">
        <f>AND(#REF!,"AAAAAH9Od+A=")</f>
        <v>#REF!</v>
      </c>
      <c r="HR102" t="e">
        <f>AND(#REF!,"AAAAAH9Od+E=")</f>
        <v>#REF!</v>
      </c>
      <c r="HS102" t="e">
        <f>AND(#REF!,"AAAAAH9Od+I=")</f>
        <v>#REF!</v>
      </c>
      <c r="HT102" t="e">
        <f>AND(#REF!,"AAAAAH9Od+M=")</f>
        <v>#REF!</v>
      </c>
      <c r="HU102" t="e">
        <f>AND(#REF!,"AAAAAH9Od+Q=")</f>
        <v>#REF!</v>
      </c>
      <c r="HV102" t="e">
        <f>AND(#REF!,"AAAAAH9Od+U=")</f>
        <v>#REF!</v>
      </c>
      <c r="HW102" t="e">
        <f>AND(#REF!,"AAAAAH9Od+Y=")</f>
        <v>#REF!</v>
      </c>
      <c r="HX102" t="e">
        <f>AND(#REF!,"AAAAAH9Od+c=")</f>
        <v>#REF!</v>
      </c>
      <c r="HY102" t="e">
        <f>AND(#REF!,"AAAAAH9Od+g=")</f>
        <v>#REF!</v>
      </c>
      <c r="HZ102" t="e">
        <f>AND(#REF!,"AAAAAH9Od+k=")</f>
        <v>#REF!</v>
      </c>
      <c r="IA102" t="e">
        <f>AND(#REF!,"AAAAAH9Od+o=")</f>
        <v>#REF!</v>
      </c>
      <c r="IB102" t="e">
        <f>AND(#REF!,"AAAAAH9Od+s=")</f>
        <v>#REF!</v>
      </c>
      <c r="IC102" t="e">
        <f>AND(#REF!,"AAAAAH9Od+w=")</f>
        <v>#REF!</v>
      </c>
      <c r="ID102" t="e">
        <f>AND(#REF!,"AAAAAH9Od+0=")</f>
        <v>#REF!</v>
      </c>
      <c r="IE102" t="e">
        <f>AND(#REF!,"AAAAAH9Od+4=")</f>
        <v>#REF!</v>
      </c>
      <c r="IF102" t="e">
        <f>AND(#REF!,"AAAAAH9Od+8=")</f>
        <v>#REF!</v>
      </c>
      <c r="IG102" t="e">
        <f>AND(#REF!,"AAAAAH9Od/A=")</f>
        <v>#REF!</v>
      </c>
      <c r="IH102" t="e">
        <f>AND(#REF!,"AAAAAH9Od/E=")</f>
        <v>#REF!</v>
      </c>
      <c r="II102" t="e">
        <f>AND(#REF!,"AAAAAH9Od/I=")</f>
        <v>#REF!</v>
      </c>
      <c r="IJ102" t="e">
        <f>AND(#REF!,"AAAAAH9Od/M=")</f>
        <v>#REF!</v>
      </c>
      <c r="IK102" t="e">
        <f>AND(#REF!,"AAAAAH9Od/Q=")</f>
        <v>#REF!</v>
      </c>
      <c r="IL102" t="e">
        <f>AND(#REF!,"AAAAAH9Od/U=")</f>
        <v>#REF!</v>
      </c>
      <c r="IM102" t="e">
        <f>AND(#REF!,"AAAAAH9Od/Y=")</f>
        <v>#REF!</v>
      </c>
      <c r="IN102" t="e">
        <f>AND(#REF!,"AAAAAH9Od/c=")</f>
        <v>#REF!</v>
      </c>
      <c r="IO102" t="e">
        <f>AND(#REF!,"AAAAAH9Od/g=")</f>
        <v>#REF!</v>
      </c>
      <c r="IP102" t="e">
        <f>AND(#REF!,"AAAAAH9Od/k=")</f>
        <v>#REF!</v>
      </c>
      <c r="IQ102" t="e">
        <f>AND(#REF!,"AAAAAH9Od/o=")</f>
        <v>#REF!</v>
      </c>
      <c r="IR102" t="e">
        <f>AND(#REF!,"AAAAAH9Od/s=")</f>
        <v>#REF!</v>
      </c>
      <c r="IS102" t="e">
        <f>AND(#REF!,"AAAAAH9Od/w=")</f>
        <v>#REF!</v>
      </c>
      <c r="IT102" t="e">
        <f>AND(#REF!,"AAAAAH9Od/0=")</f>
        <v>#REF!</v>
      </c>
      <c r="IU102" t="e">
        <f>AND(#REF!,"AAAAAH9Od/4=")</f>
        <v>#REF!</v>
      </c>
      <c r="IV102" t="e">
        <f>AND(#REF!,"AAAAAH9Od/8=")</f>
        <v>#REF!</v>
      </c>
    </row>
    <row r="103" spans="1:256" x14ac:dyDescent="0.25">
      <c r="A103" t="e">
        <f>AND(#REF!,"AAAAAH/3OQA=")</f>
        <v>#REF!</v>
      </c>
      <c r="B103" t="e">
        <f>AND(#REF!,"AAAAAH/3OQE=")</f>
        <v>#REF!</v>
      </c>
      <c r="C103" t="e">
        <f>AND(#REF!,"AAAAAH/3OQI=")</f>
        <v>#REF!</v>
      </c>
      <c r="D103" t="e">
        <f>AND(#REF!,"AAAAAH/3OQM=")</f>
        <v>#REF!</v>
      </c>
      <c r="E103" t="e">
        <f>AND(#REF!,"AAAAAH/3OQQ=")</f>
        <v>#REF!</v>
      </c>
      <c r="F103" t="e">
        <f>AND(#REF!,"AAAAAH/3OQU=")</f>
        <v>#REF!</v>
      </c>
      <c r="G103" t="e">
        <f>AND(#REF!,"AAAAAH/3OQY=")</f>
        <v>#REF!</v>
      </c>
      <c r="H103" t="e">
        <f>AND(#REF!,"AAAAAH/3OQc=")</f>
        <v>#REF!</v>
      </c>
      <c r="I103" t="e">
        <f>AND(#REF!,"AAAAAH/3OQg=")</f>
        <v>#REF!</v>
      </c>
      <c r="J103" t="e">
        <f>AND(#REF!,"AAAAAH/3OQk=")</f>
        <v>#REF!</v>
      </c>
      <c r="K103" t="e">
        <f>AND(#REF!,"AAAAAH/3OQo=")</f>
        <v>#REF!</v>
      </c>
      <c r="L103" t="e">
        <f>AND(#REF!,"AAAAAH/3OQs=")</f>
        <v>#REF!</v>
      </c>
      <c r="M103" t="e">
        <f>AND(#REF!,"AAAAAH/3OQw=")</f>
        <v>#REF!</v>
      </c>
      <c r="N103" t="e">
        <f>AND(#REF!,"AAAAAH/3OQ0=")</f>
        <v>#REF!</v>
      </c>
      <c r="O103" t="e">
        <f>AND(#REF!,"AAAAAH/3OQ4=")</f>
        <v>#REF!</v>
      </c>
      <c r="P103" t="e">
        <f>AND(#REF!,"AAAAAH/3OQ8=")</f>
        <v>#REF!</v>
      </c>
      <c r="Q103" t="e">
        <f>AND(#REF!,"AAAAAH/3ORA=")</f>
        <v>#REF!</v>
      </c>
      <c r="R103" t="e">
        <f>AND(#REF!,"AAAAAH/3ORE=")</f>
        <v>#REF!</v>
      </c>
      <c r="S103" t="e">
        <f>AND(#REF!,"AAAAAH/3ORI=")</f>
        <v>#REF!</v>
      </c>
      <c r="T103" t="e">
        <f>AND(#REF!,"AAAAAH/3ORM=")</f>
        <v>#REF!</v>
      </c>
      <c r="U103" t="e">
        <f>AND(#REF!,"AAAAAH/3ORQ=")</f>
        <v>#REF!</v>
      </c>
      <c r="V103" t="e">
        <f>AND(#REF!,"AAAAAH/3ORU=")</f>
        <v>#REF!</v>
      </c>
      <c r="W103" t="e">
        <f>AND(#REF!,"AAAAAH/3ORY=")</f>
        <v>#REF!</v>
      </c>
      <c r="X103" t="e">
        <f>AND(#REF!,"AAAAAH/3ORc=")</f>
        <v>#REF!</v>
      </c>
      <c r="Y103" t="e">
        <f>AND(#REF!,"AAAAAH/3ORg=")</f>
        <v>#REF!</v>
      </c>
      <c r="Z103" t="e">
        <f>AND(#REF!,"AAAAAH/3ORk=")</f>
        <v>#REF!</v>
      </c>
      <c r="AA103" t="e">
        <f>AND(#REF!,"AAAAAH/3ORo=")</f>
        <v>#REF!</v>
      </c>
      <c r="AB103" t="e">
        <f>AND(#REF!,"AAAAAH/3ORs=")</f>
        <v>#REF!</v>
      </c>
      <c r="AC103" t="e">
        <f>AND(#REF!,"AAAAAH/3ORw=")</f>
        <v>#REF!</v>
      </c>
      <c r="AD103" t="e">
        <f>AND(#REF!,"AAAAAH/3OR0=")</f>
        <v>#REF!</v>
      </c>
      <c r="AE103" t="e">
        <f>AND(#REF!,"AAAAAH/3OR4=")</f>
        <v>#REF!</v>
      </c>
      <c r="AF103" t="e">
        <f>AND(#REF!,"AAAAAH/3OR8=")</f>
        <v>#REF!</v>
      </c>
      <c r="AG103" t="e">
        <f>AND(#REF!,"AAAAAH/3OSA=")</f>
        <v>#REF!</v>
      </c>
      <c r="AH103" t="e">
        <f>AND(#REF!,"AAAAAH/3OSE=")</f>
        <v>#REF!</v>
      </c>
      <c r="AI103" t="e">
        <f>AND(#REF!,"AAAAAH/3OSI=")</f>
        <v>#REF!</v>
      </c>
      <c r="AJ103" t="e">
        <f>AND(#REF!,"AAAAAH/3OSM=")</f>
        <v>#REF!</v>
      </c>
      <c r="AK103" t="e">
        <f>AND(#REF!,"AAAAAH/3OSQ=")</f>
        <v>#REF!</v>
      </c>
      <c r="AL103" t="e">
        <f>AND(#REF!,"AAAAAH/3OSU=")</f>
        <v>#REF!</v>
      </c>
      <c r="AM103" t="e">
        <f>AND(#REF!,"AAAAAH/3OSY=")</f>
        <v>#REF!</v>
      </c>
      <c r="AN103" t="e">
        <f>AND(#REF!,"AAAAAH/3OSc=")</f>
        <v>#REF!</v>
      </c>
      <c r="AO103" t="e">
        <f>AND(#REF!,"AAAAAH/3OSg=")</f>
        <v>#REF!</v>
      </c>
      <c r="AP103" t="e">
        <f>AND(#REF!,"AAAAAH/3OSk=")</f>
        <v>#REF!</v>
      </c>
      <c r="AQ103" t="e">
        <f>AND(#REF!,"AAAAAH/3OSo=")</f>
        <v>#REF!</v>
      </c>
      <c r="AR103" t="e">
        <f>AND(#REF!,"AAAAAH/3OSs=")</f>
        <v>#REF!</v>
      </c>
      <c r="AS103" t="e">
        <f>AND(#REF!,"AAAAAH/3OSw=")</f>
        <v>#REF!</v>
      </c>
      <c r="AT103" t="e">
        <f>AND(#REF!,"AAAAAH/3OS0=")</f>
        <v>#REF!</v>
      </c>
      <c r="AU103" t="e">
        <f>AND(#REF!,"AAAAAH/3OS4=")</f>
        <v>#REF!</v>
      </c>
      <c r="AV103" t="e">
        <f>AND(#REF!,"AAAAAH/3OS8=")</f>
        <v>#REF!</v>
      </c>
      <c r="AW103" t="e">
        <f>AND(#REF!,"AAAAAH/3OTA=")</f>
        <v>#REF!</v>
      </c>
      <c r="AX103" t="e">
        <f>AND(#REF!,"AAAAAH/3OTE=")</f>
        <v>#REF!</v>
      </c>
      <c r="AY103" t="e">
        <f>AND(#REF!,"AAAAAH/3OTI=")</f>
        <v>#REF!</v>
      </c>
      <c r="AZ103" t="e">
        <f>AND(#REF!,"AAAAAH/3OTM=")</f>
        <v>#REF!</v>
      </c>
      <c r="BA103" t="e">
        <f>AND(#REF!,"AAAAAH/3OTQ=")</f>
        <v>#REF!</v>
      </c>
      <c r="BB103" t="e">
        <f>AND(#REF!,"AAAAAH/3OTU=")</f>
        <v>#REF!</v>
      </c>
      <c r="BC103" t="e">
        <f>AND(#REF!,"AAAAAH/3OTY=")</f>
        <v>#REF!</v>
      </c>
      <c r="BD103" t="e">
        <f>AND(#REF!,"AAAAAH/3OTc=")</f>
        <v>#REF!</v>
      </c>
      <c r="BE103" t="e">
        <f>AND(#REF!,"AAAAAH/3OTg=")</f>
        <v>#REF!</v>
      </c>
      <c r="BF103" t="e">
        <f>AND(#REF!,"AAAAAH/3OTk=")</f>
        <v>#REF!</v>
      </c>
      <c r="BG103" t="e">
        <f>AND(#REF!,"AAAAAH/3OTo=")</f>
        <v>#REF!</v>
      </c>
      <c r="BH103" t="e">
        <f>AND(#REF!,"AAAAAH/3OTs=")</f>
        <v>#REF!</v>
      </c>
      <c r="BI103" t="e">
        <f>AND(#REF!,"AAAAAH/3OTw=")</f>
        <v>#REF!</v>
      </c>
      <c r="BJ103" t="e">
        <f>AND(#REF!,"AAAAAH/3OT0=")</f>
        <v>#REF!</v>
      </c>
      <c r="BK103" t="e">
        <f>AND(#REF!,"AAAAAH/3OT4=")</f>
        <v>#REF!</v>
      </c>
      <c r="BL103" t="e">
        <f>AND(#REF!,"AAAAAH/3OT8=")</f>
        <v>#REF!</v>
      </c>
      <c r="BM103" t="e">
        <f>AND(#REF!,"AAAAAH/3OUA=")</f>
        <v>#REF!</v>
      </c>
      <c r="BN103" t="e">
        <f>AND(#REF!,"AAAAAH/3OUE=")</f>
        <v>#REF!</v>
      </c>
      <c r="BO103" t="e">
        <f>AND(#REF!,"AAAAAH/3OUI=")</f>
        <v>#REF!</v>
      </c>
      <c r="BP103" t="e">
        <f>AND(#REF!,"AAAAAH/3OUM=")</f>
        <v>#REF!</v>
      </c>
      <c r="BQ103" t="e">
        <f>AND(#REF!,"AAAAAH/3OUQ=")</f>
        <v>#REF!</v>
      </c>
      <c r="BR103" t="e">
        <f>AND(#REF!,"AAAAAH/3OUU=")</f>
        <v>#REF!</v>
      </c>
      <c r="BS103" t="e">
        <f>AND(#REF!,"AAAAAH/3OUY=")</f>
        <v>#REF!</v>
      </c>
      <c r="BT103" t="e">
        <f>AND(#REF!,"AAAAAH/3OUc=")</f>
        <v>#REF!</v>
      </c>
      <c r="BU103" t="e">
        <f>AND(#REF!,"AAAAAH/3OUg=")</f>
        <v>#REF!</v>
      </c>
      <c r="BV103" t="e">
        <f>AND(#REF!,"AAAAAH/3OUk=")</f>
        <v>#REF!</v>
      </c>
      <c r="BW103" t="e">
        <f>AND(#REF!,"AAAAAH/3OUo=")</f>
        <v>#REF!</v>
      </c>
      <c r="BX103" t="e">
        <f>AND(#REF!,"AAAAAH/3OUs=")</f>
        <v>#REF!</v>
      </c>
      <c r="BY103" t="e">
        <f>AND(#REF!,"AAAAAH/3OUw=")</f>
        <v>#REF!</v>
      </c>
      <c r="BZ103" t="e">
        <f>AND(#REF!,"AAAAAH/3OU0=")</f>
        <v>#REF!</v>
      </c>
      <c r="CA103" t="e">
        <f>AND(#REF!,"AAAAAH/3OU4=")</f>
        <v>#REF!</v>
      </c>
      <c r="CB103" t="e">
        <f>AND(#REF!,"AAAAAH/3OU8=")</f>
        <v>#REF!</v>
      </c>
      <c r="CC103" t="e">
        <f>AND(#REF!,"AAAAAH/3OVA=")</f>
        <v>#REF!</v>
      </c>
      <c r="CD103" t="e">
        <f>AND(#REF!,"AAAAAH/3OVE=")</f>
        <v>#REF!</v>
      </c>
      <c r="CE103" t="e">
        <f>AND(#REF!,"AAAAAH/3OVI=")</f>
        <v>#REF!</v>
      </c>
      <c r="CF103" t="e">
        <f>AND(#REF!,"AAAAAH/3OVM=")</f>
        <v>#REF!</v>
      </c>
      <c r="CG103" t="e">
        <f>AND(#REF!,"AAAAAH/3OVQ=")</f>
        <v>#REF!</v>
      </c>
      <c r="CH103" t="e">
        <f>AND(#REF!,"AAAAAH/3OVU=")</f>
        <v>#REF!</v>
      </c>
      <c r="CI103" t="e">
        <f>AND(#REF!,"AAAAAH/3OVY=")</f>
        <v>#REF!</v>
      </c>
      <c r="CJ103" t="e">
        <f>AND(#REF!,"AAAAAH/3OVc=")</f>
        <v>#REF!</v>
      </c>
      <c r="CK103" t="e">
        <f>AND(#REF!,"AAAAAH/3OVg=")</f>
        <v>#REF!</v>
      </c>
      <c r="CL103" t="e">
        <f>AND(#REF!,"AAAAAH/3OVk=")</f>
        <v>#REF!</v>
      </c>
      <c r="CM103" t="e">
        <f>AND(#REF!,"AAAAAH/3OVo=")</f>
        <v>#REF!</v>
      </c>
      <c r="CN103" t="e">
        <f>AND(#REF!,"AAAAAH/3OVs=")</f>
        <v>#REF!</v>
      </c>
      <c r="CO103" t="e">
        <f>AND(#REF!,"AAAAAH/3OVw=")</f>
        <v>#REF!</v>
      </c>
      <c r="CP103" t="e">
        <f>AND(#REF!,"AAAAAH/3OV0=")</f>
        <v>#REF!</v>
      </c>
      <c r="CQ103" t="e">
        <f>AND(#REF!,"AAAAAH/3OV4=")</f>
        <v>#REF!</v>
      </c>
      <c r="CR103" t="e">
        <f>AND(#REF!,"AAAAAH/3OV8=")</f>
        <v>#REF!</v>
      </c>
      <c r="CS103" t="e">
        <f>AND(#REF!,"AAAAAH/3OWA=")</f>
        <v>#REF!</v>
      </c>
      <c r="CT103" t="e">
        <f>AND(#REF!,"AAAAAH/3OWE=")</f>
        <v>#REF!</v>
      </c>
      <c r="CU103" t="e">
        <f>AND(#REF!,"AAAAAH/3OWI=")</f>
        <v>#REF!</v>
      </c>
      <c r="CV103" t="e">
        <f>AND(#REF!,"AAAAAH/3OWM=")</f>
        <v>#REF!</v>
      </c>
      <c r="CW103" t="e">
        <f>AND(#REF!,"AAAAAH/3OWQ=")</f>
        <v>#REF!</v>
      </c>
      <c r="CX103" t="e">
        <f>AND(#REF!,"AAAAAH/3OWU=")</f>
        <v>#REF!</v>
      </c>
      <c r="CY103" t="e">
        <f>AND(#REF!,"AAAAAH/3OWY=")</f>
        <v>#REF!</v>
      </c>
      <c r="CZ103" t="e">
        <f>AND(#REF!,"AAAAAH/3OWc=")</f>
        <v>#REF!</v>
      </c>
      <c r="DA103" t="e">
        <f>AND(#REF!,"AAAAAH/3OWg=")</f>
        <v>#REF!</v>
      </c>
      <c r="DB103" t="e">
        <f>AND(#REF!,"AAAAAH/3OWk=")</f>
        <v>#REF!</v>
      </c>
      <c r="DC103" t="e">
        <f>AND(#REF!,"AAAAAH/3OWo=")</f>
        <v>#REF!</v>
      </c>
      <c r="DD103" t="e">
        <f>AND(#REF!,"AAAAAH/3OWs=")</f>
        <v>#REF!</v>
      </c>
      <c r="DE103" t="e">
        <f>AND(#REF!,"AAAAAH/3OWw=")</f>
        <v>#REF!</v>
      </c>
      <c r="DF103" t="e">
        <f>AND(#REF!,"AAAAAH/3OW0=")</f>
        <v>#REF!</v>
      </c>
      <c r="DG103" t="e">
        <f>AND(#REF!,"AAAAAH/3OW4=")</f>
        <v>#REF!</v>
      </c>
      <c r="DH103" t="e">
        <f>AND(#REF!,"AAAAAH/3OW8=")</f>
        <v>#REF!</v>
      </c>
      <c r="DI103" t="e">
        <f>AND(#REF!,"AAAAAH/3OXA=")</f>
        <v>#REF!</v>
      </c>
      <c r="DJ103" t="e">
        <f>AND(#REF!,"AAAAAH/3OXE=")</f>
        <v>#REF!</v>
      </c>
      <c r="DK103" t="e">
        <f>AND(#REF!,"AAAAAH/3OXI=")</f>
        <v>#REF!</v>
      </c>
      <c r="DL103" t="e">
        <f>AND(#REF!,"AAAAAH/3OXM=")</f>
        <v>#REF!</v>
      </c>
      <c r="DM103" t="e">
        <f>AND(#REF!,"AAAAAH/3OXQ=")</f>
        <v>#REF!</v>
      </c>
      <c r="DN103" t="e">
        <f>AND(#REF!,"AAAAAH/3OXU=")</f>
        <v>#REF!</v>
      </c>
      <c r="DO103" t="e">
        <f>AND(#REF!,"AAAAAH/3OXY=")</f>
        <v>#REF!</v>
      </c>
      <c r="DP103" t="e">
        <f>AND(#REF!,"AAAAAH/3OXc=")</f>
        <v>#REF!</v>
      </c>
      <c r="DQ103" t="e">
        <f>AND(#REF!,"AAAAAH/3OXg=")</f>
        <v>#REF!</v>
      </c>
      <c r="DR103" t="e">
        <f>AND(#REF!,"AAAAAH/3OXk=")</f>
        <v>#REF!</v>
      </c>
      <c r="DS103" t="e">
        <f>AND(#REF!,"AAAAAH/3OXo=")</f>
        <v>#REF!</v>
      </c>
      <c r="DT103" t="e">
        <f>AND(#REF!,"AAAAAH/3OXs=")</f>
        <v>#REF!</v>
      </c>
      <c r="DU103" t="e">
        <f>IF(#REF!,"AAAAAH/3OXw=",0)</f>
        <v>#REF!</v>
      </c>
      <c r="DV103" t="e">
        <f>AND(#REF!,"AAAAAH/3OX0=")</f>
        <v>#REF!</v>
      </c>
      <c r="DW103" t="e">
        <f>AND(#REF!,"AAAAAH/3OX4=")</f>
        <v>#REF!</v>
      </c>
      <c r="DX103" t="e">
        <f>AND(#REF!,"AAAAAH/3OX8=")</f>
        <v>#REF!</v>
      </c>
      <c r="DY103" t="e">
        <f>AND(#REF!,"AAAAAH/3OYA=")</f>
        <v>#REF!</v>
      </c>
      <c r="DZ103" t="e">
        <f>AND(#REF!,"AAAAAH/3OYE=")</f>
        <v>#REF!</v>
      </c>
      <c r="EA103" t="e">
        <f>AND(#REF!,"AAAAAH/3OYI=")</f>
        <v>#REF!</v>
      </c>
      <c r="EB103" t="e">
        <f>AND(#REF!,"AAAAAH/3OYM=")</f>
        <v>#REF!</v>
      </c>
      <c r="EC103" t="e">
        <f>AND(#REF!,"AAAAAH/3OYQ=")</f>
        <v>#REF!</v>
      </c>
      <c r="ED103" t="e">
        <f>AND(#REF!,"AAAAAH/3OYU=")</f>
        <v>#REF!</v>
      </c>
      <c r="EE103" t="e">
        <f>AND(#REF!,"AAAAAH/3OYY=")</f>
        <v>#REF!</v>
      </c>
      <c r="EF103" t="e">
        <f>AND(#REF!,"AAAAAH/3OYc=")</f>
        <v>#REF!</v>
      </c>
      <c r="EG103" t="e">
        <f>AND(#REF!,"AAAAAH/3OYg=")</f>
        <v>#REF!</v>
      </c>
      <c r="EH103" t="e">
        <f>AND(#REF!,"AAAAAH/3OYk=")</f>
        <v>#REF!</v>
      </c>
      <c r="EI103" t="e">
        <f>AND(#REF!,"AAAAAH/3OYo=")</f>
        <v>#REF!</v>
      </c>
      <c r="EJ103" t="e">
        <f>AND(#REF!,"AAAAAH/3OYs=")</f>
        <v>#REF!</v>
      </c>
      <c r="EK103" t="e">
        <f>AND(#REF!,"AAAAAH/3OYw=")</f>
        <v>#REF!</v>
      </c>
      <c r="EL103" t="e">
        <f>AND(#REF!,"AAAAAH/3OY0=")</f>
        <v>#REF!</v>
      </c>
      <c r="EM103" t="e">
        <f>AND(#REF!,"AAAAAH/3OY4=")</f>
        <v>#REF!</v>
      </c>
      <c r="EN103" t="e">
        <f>AND(#REF!,"AAAAAH/3OY8=")</f>
        <v>#REF!</v>
      </c>
      <c r="EO103" t="e">
        <f>AND(#REF!,"AAAAAH/3OZA=")</f>
        <v>#REF!</v>
      </c>
      <c r="EP103" t="e">
        <f>AND(#REF!,"AAAAAH/3OZE=")</f>
        <v>#REF!</v>
      </c>
      <c r="EQ103" t="e">
        <f>AND(#REF!,"AAAAAH/3OZI=")</f>
        <v>#REF!</v>
      </c>
      <c r="ER103" t="e">
        <f>AND(#REF!,"AAAAAH/3OZM=")</f>
        <v>#REF!</v>
      </c>
      <c r="ES103" t="e">
        <f>AND(#REF!,"AAAAAH/3OZQ=")</f>
        <v>#REF!</v>
      </c>
      <c r="ET103" t="e">
        <f>AND(#REF!,"AAAAAH/3OZU=")</f>
        <v>#REF!</v>
      </c>
      <c r="EU103" t="e">
        <f>AND(#REF!,"AAAAAH/3OZY=")</f>
        <v>#REF!</v>
      </c>
      <c r="EV103" t="e">
        <f>AND(#REF!,"AAAAAH/3OZc=")</f>
        <v>#REF!</v>
      </c>
      <c r="EW103" t="e">
        <f>AND(#REF!,"AAAAAH/3OZg=")</f>
        <v>#REF!</v>
      </c>
      <c r="EX103" t="e">
        <f>AND(#REF!,"AAAAAH/3OZk=")</f>
        <v>#REF!</v>
      </c>
      <c r="EY103" t="e">
        <f>AND(#REF!,"AAAAAH/3OZo=")</f>
        <v>#REF!</v>
      </c>
      <c r="EZ103" t="e">
        <f>AND(#REF!,"AAAAAH/3OZs=")</f>
        <v>#REF!</v>
      </c>
      <c r="FA103" t="e">
        <f>AND(#REF!,"AAAAAH/3OZw=")</f>
        <v>#REF!</v>
      </c>
      <c r="FB103" t="e">
        <f>AND(#REF!,"AAAAAH/3OZ0=")</f>
        <v>#REF!</v>
      </c>
      <c r="FC103" t="e">
        <f>AND(#REF!,"AAAAAH/3OZ4=")</f>
        <v>#REF!</v>
      </c>
      <c r="FD103" t="e">
        <f>AND(#REF!,"AAAAAH/3OZ8=")</f>
        <v>#REF!</v>
      </c>
      <c r="FE103" t="e">
        <f>AND(#REF!,"AAAAAH/3OaA=")</f>
        <v>#REF!</v>
      </c>
      <c r="FF103" t="e">
        <f>AND(#REF!,"AAAAAH/3OaE=")</f>
        <v>#REF!</v>
      </c>
      <c r="FG103" t="e">
        <f>AND(#REF!,"AAAAAH/3OaI=")</f>
        <v>#REF!</v>
      </c>
      <c r="FH103" t="e">
        <f>AND(#REF!,"AAAAAH/3OaM=")</f>
        <v>#REF!</v>
      </c>
      <c r="FI103" t="e">
        <f>AND(#REF!,"AAAAAH/3OaQ=")</f>
        <v>#REF!</v>
      </c>
      <c r="FJ103" t="e">
        <f>AND(#REF!,"AAAAAH/3OaU=")</f>
        <v>#REF!</v>
      </c>
      <c r="FK103" t="e">
        <f>AND(#REF!,"AAAAAH/3OaY=")</f>
        <v>#REF!</v>
      </c>
      <c r="FL103" t="e">
        <f>AND(#REF!,"AAAAAH/3Oac=")</f>
        <v>#REF!</v>
      </c>
      <c r="FM103" t="e">
        <f>AND(#REF!,"AAAAAH/3Oag=")</f>
        <v>#REF!</v>
      </c>
      <c r="FN103" t="e">
        <f>AND(#REF!,"AAAAAH/3Oak=")</f>
        <v>#REF!</v>
      </c>
      <c r="FO103" t="e">
        <f>AND(#REF!,"AAAAAH/3Oao=")</f>
        <v>#REF!</v>
      </c>
      <c r="FP103" t="e">
        <f>AND(#REF!,"AAAAAH/3Oas=")</f>
        <v>#REF!</v>
      </c>
      <c r="FQ103" t="e">
        <f>AND(#REF!,"AAAAAH/3Oaw=")</f>
        <v>#REF!</v>
      </c>
      <c r="FR103" t="e">
        <f>AND(#REF!,"AAAAAH/3Oa0=")</f>
        <v>#REF!</v>
      </c>
      <c r="FS103" t="e">
        <f>AND(#REF!,"AAAAAH/3Oa4=")</f>
        <v>#REF!</v>
      </c>
      <c r="FT103" t="e">
        <f>AND(#REF!,"AAAAAH/3Oa8=")</f>
        <v>#REF!</v>
      </c>
      <c r="FU103" t="e">
        <f>AND(#REF!,"AAAAAH/3ObA=")</f>
        <v>#REF!</v>
      </c>
      <c r="FV103" t="e">
        <f>AND(#REF!,"AAAAAH/3ObE=")</f>
        <v>#REF!</v>
      </c>
      <c r="FW103" t="e">
        <f>AND(#REF!,"AAAAAH/3ObI=")</f>
        <v>#REF!</v>
      </c>
      <c r="FX103" t="e">
        <f>AND(#REF!,"AAAAAH/3ObM=")</f>
        <v>#REF!</v>
      </c>
      <c r="FY103" t="e">
        <f>AND(#REF!,"AAAAAH/3ObQ=")</f>
        <v>#REF!</v>
      </c>
      <c r="FZ103" t="e">
        <f>AND(#REF!,"AAAAAH/3ObU=")</f>
        <v>#REF!</v>
      </c>
      <c r="GA103" t="e">
        <f>AND(#REF!,"AAAAAH/3ObY=")</f>
        <v>#REF!</v>
      </c>
      <c r="GB103" t="e">
        <f>AND(#REF!,"AAAAAH/3Obc=")</f>
        <v>#REF!</v>
      </c>
      <c r="GC103" t="e">
        <f>AND(#REF!,"AAAAAH/3Obg=")</f>
        <v>#REF!</v>
      </c>
      <c r="GD103" t="e">
        <f>AND(#REF!,"AAAAAH/3Obk=")</f>
        <v>#REF!</v>
      </c>
      <c r="GE103" t="e">
        <f>AND(#REF!,"AAAAAH/3Obo=")</f>
        <v>#REF!</v>
      </c>
      <c r="GF103" t="e">
        <f>AND(#REF!,"AAAAAH/3Obs=")</f>
        <v>#REF!</v>
      </c>
      <c r="GG103" t="e">
        <f>AND(#REF!,"AAAAAH/3Obw=")</f>
        <v>#REF!</v>
      </c>
      <c r="GH103" t="e">
        <f>AND(#REF!,"AAAAAH/3Ob0=")</f>
        <v>#REF!</v>
      </c>
      <c r="GI103" t="e">
        <f>AND(#REF!,"AAAAAH/3Ob4=")</f>
        <v>#REF!</v>
      </c>
      <c r="GJ103" t="e">
        <f>AND(#REF!,"AAAAAH/3Ob8=")</f>
        <v>#REF!</v>
      </c>
      <c r="GK103" t="e">
        <f>AND(#REF!,"AAAAAH/3OcA=")</f>
        <v>#REF!</v>
      </c>
      <c r="GL103" t="e">
        <f>AND(#REF!,"AAAAAH/3OcE=")</f>
        <v>#REF!</v>
      </c>
      <c r="GM103" t="e">
        <f>AND(#REF!,"AAAAAH/3OcI=")</f>
        <v>#REF!</v>
      </c>
      <c r="GN103" t="e">
        <f>AND(#REF!,"AAAAAH/3OcM=")</f>
        <v>#REF!</v>
      </c>
      <c r="GO103" t="e">
        <f>AND(#REF!,"AAAAAH/3OcQ=")</f>
        <v>#REF!</v>
      </c>
      <c r="GP103" t="e">
        <f>AND(#REF!,"AAAAAH/3OcU=")</f>
        <v>#REF!</v>
      </c>
      <c r="GQ103" t="e">
        <f>AND(#REF!,"AAAAAH/3OcY=")</f>
        <v>#REF!</v>
      </c>
      <c r="GR103" t="e">
        <f>AND(#REF!,"AAAAAH/3Occ=")</f>
        <v>#REF!</v>
      </c>
      <c r="GS103" t="e">
        <f>AND(#REF!,"AAAAAH/3Ocg=")</f>
        <v>#REF!</v>
      </c>
      <c r="GT103" t="e">
        <f>AND(#REF!,"AAAAAH/3Ock=")</f>
        <v>#REF!</v>
      </c>
      <c r="GU103" t="e">
        <f>AND(#REF!,"AAAAAH/3Oco=")</f>
        <v>#REF!</v>
      </c>
      <c r="GV103" t="e">
        <f>AND(#REF!,"AAAAAH/3Ocs=")</f>
        <v>#REF!</v>
      </c>
      <c r="GW103" t="e">
        <f>AND(#REF!,"AAAAAH/3Ocw=")</f>
        <v>#REF!</v>
      </c>
      <c r="GX103" t="e">
        <f>AND(#REF!,"AAAAAH/3Oc0=")</f>
        <v>#REF!</v>
      </c>
      <c r="GY103" t="e">
        <f>AND(#REF!,"AAAAAH/3Oc4=")</f>
        <v>#REF!</v>
      </c>
      <c r="GZ103" t="e">
        <f>AND(#REF!,"AAAAAH/3Oc8=")</f>
        <v>#REF!</v>
      </c>
      <c r="HA103" t="e">
        <f>AND(#REF!,"AAAAAH/3OdA=")</f>
        <v>#REF!</v>
      </c>
      <c r="HB103" t="e">
        <f>AND(#REF!,"AAAAAH/3OdE=")</f>
        <v>#REF!</v>
      </c>
      <c r="HC103" t="e">
        <f>AND(#REF!,"AAAAAH/3OdI=")</f>
        <v>#REF!</v>
      </c>
      <c r="HD103" t="e">
        <f>AND(#REF!,"AAAAAH/3OdM=")</f>
        <v>#REF!</v>
      </c>
      <c r="HE103" t="e">
        <f>AND(#REF!,"AAAAAH/3OdQ=")</f>
        <v>#REF!</v>
      </c>
      <c r="HF103" t="e">
        <f>AND(#REF!,"AAAAAH/3OdU=")</f>
        <v>#REF!</v>
      </c>
      <c r="HG103" t="e">
        <f>AND(#REF!,"AAAAAH/3OdY=")</f>
        <v>#REF!</v>
      </c>
      <c r="HH103" t="e">
        <f>AND(#REF!,"AAAAAH/3Odc=")</f>
        <v>#REF!</v>
      </c>
      <c r="HI103" t="e">
        <f>AND(#REF!,"AAAAAH/3Odg=")</f>
        <v>#REF!</v>
      </c>
      <c r="HJ103" t="e">
        <f>AND(#REF!,"AAAAAH/3Odk=")</f>
        <v>#REF!</v>
      </c>
      <c r="HK103" t="e">
        <f>AND(#REF!,"AAAAAH/3Odo=")</f>
        <v>#REF!</v>
      </c>
      <c r="HL103" t="e">
        <f>AND(#REF!,"AAAAAH/3Ods=")</f>
        <v>#REF!</v>
      </c>
      <c r="HM103" t="e">
        <f>AND(#REF!,"AAAAAH/3Odw=")</f>
        <v>#REF!</v>
      </c>
      <c r="HN103" t="e">
        <f>AND(#REF!,"AAAAAH/3Od0=")</f>
        <v>#REF!</v>
      </c>
      <c r="HO103" t="e">
        <f>AND(#REF!,"AAAAAH/3Od4=")</f>
        <v>#REF!</v>
      </c>
      <c r="HP103" t="e">
        <f>AND(#REF!,"AAAAAH/3Od8=")</f>
        <v>#REF!</v>
      </c>
      <c r="HQ103" t="e">
        <f>AND(#REF!,"AAAAAH/3OeA=")</f>
        <v>#REF!</v>
      </c>
      <c r="HR103" t="e">
        <f>AND(#REF!,"AAAAAH/3OeE=")</f>
        <v>#REF!</v>
      </c>
      <c r="HS103" t="e">
        <f>AND(#REF!,"AAAAAH/3OeI=")</f>
        <v>#REF!</v>
      </c>
      <c r="HT103" t="e">
        <f>AND(#REF!,"AAAAAH/3OeM=")</f>
        <v>#REF!</v>
      </c>
      <c r="HU103" t="e">
        <f>AND(#REF!,"AAAAAH/3OeQ=")</f>
        <v>#REF!</v>
      </c>
      <c r="HV103" t="e">
        <f>AND(#REF!,"AAAAAH/3OeU=")</f>
        <v>#REF!</v>
      </c>
      <c r="HW103" t="e">
        <f>AND(#REF!,"AAAAAH/3OeY=")</f>
        <v>#REF!</v>
      </c>
      <c r="HX103" t="e">
        <f>AND(#REF!,"AAAAAH/3Oec=")</f>
        <v>#REF!</v>
      </c>
      <c r="HY103" t="e">
        <f>AND(#REF!,"AAAAAH/3Oeg=")</f>
        <v>#REF!</v>
      </c>
      <c r="HZ103" t="e">
        <f>AND(#REF!,"AAAAAH/3Oek=")</f>
        <v>#REF!</v>
      </c>
      <c r="IA103" t="e">
        <f>AND(#REF!,"AAAAAH/3Oeo=")</f>
        <v>#REF!</v>
      </c>
      <c r="IB103" t="e">
        <f>AND(#REF!,"AAAAAH/3Oes=")</f>
        <v>#REF!</v>
      </c>
      <c r="IC103" t="e">
        <f>AND(#REF!,"AAAAAH/3Oew=")</f>
        <v>#REF!</v>
      </c>
      <c r="ID103" t="e">
        <f>AND(#REF!,"AAAAAH/3Oe0=")</f>
        <v>#REF!</v>
      </c>
      <c r="IE103" t="e">
        <f>AND(#REF!,"AAAAAH/3Oe4=")</f>
        <v>#REF!</v>
      </c>
      <c r="IF103" t="e">
        <f>AND(#REF!,"AAAAAH/3Oe8=")</f>
        <v>#REF!</v>
      </c>
      <c r="IG103" t="e">
        <f>AND(#REF!,"AAAAAH/3OfA=")</f>
        <v>#REF!</v>
      </c>
      <c r="IH103" t="e">
        <f>AND(#REF!,"AAAAAH/3OfE=")</f>
        <v>#REF!</v>
      </c>
      <c r="II103" t="e">
        <f>AND(#REF!,"AAAAAH/3OfI=")</f>
        <v>#REF!</v>
      </c>
      <c r="IJ103" t="e">
        <f>AND(#REF!,"AAAAAH/3OfM=")</f>
        <v>#REF!</v>
      </c>
      <c r="IK103" t="e">
        <f>AND(#REF!,"AAAAAH/3OfQ=")</f>
        <v>#REF!</v>
      </c>
      <c r="IL103" t="e">
        <f>AND(#REF!,"AAAAAH/3OfU=")</f>
        <v>#REF!</v>
      </c>
      <c r="IM103" t="e">
        <f>AND(#REF!,"AAAAAH/3OfY=")</f>
        <v>#REF!</v>
      </c>
      <c r="IN103" t="e">
        <f>AND(#REF!,"AAAAAH/3Ofc=")</f>
        <v>#REF!</v>
      </c>
      <c r="IO103" t="e">
        <f>AND(#REF!,"AAAAAH/3Ofg=")</f>
        <v>#REF!</v>
      </c>
      <c r="IP103" t="e">
        <f>AND(#REF!,"AAAAAH/3Ofk=")</f>
        <v>#REF!</v>
      </c>
      <c r="IQ103" t="e">
        <f>AND(#REF!,"AAAAAH/3Ofo=")</f>
        <v>#REF!</v>
      </c>
      <c r="IR103" t="e">
        <f>AND(#REF!,"AAAAAH/3Ofs=")</f>
        <v>#REF!</v>
      </c>
      <c r="IS103" t="e">
        <f>AND(#REF!,"AAAAAH/3Ofw=")</f>
        <v>#REF!</v>
      </c>
      <c r="IT103" t="e">
        <f>AND(#REF!,"AAAAAH/3Of0=")</f>
        <v>#REF!</v>
      </c>
      <c r="IU103" t="e">
        <f>AND(#REF!,"AAAAAH/3Of4=")</f>
        <v>#REF!</v>
      </c>
      <c r="IV103" t="e">
        <f>AND(#REF!,"AAAAAH/3Of8=")</f>
        <v>#REF!</v>
      </c>
    </row>
    <row r="104" spans="1:256" x14ac:dyDescent="0.25">
      <c r="A104" t="e">
        <f>AND(#REF!,"AAAAAHf//gA=")</f>
        <v>#REF!</v>
      </c>
      <c r="B104" t="e">
        <f>AND(#REF!,"AAAAAHf//gE=")</f>
        <v>#REF!</v>
      </c>
      <c r="C104" t="e">
        <f>AND(#REF!,"AAAAAHf//gI=")</f>
        <v>#REF!</v>
      </c>
      <c r="D104" t="e">
        <f>AND(#REF!,"AAAAAHf//gM=")</f>
        <v>#REF!</v>
      </c>
      <c r="E104" t="e">
        <f>AND(#REF!,"AAAAAHf//gQ=")</f>
        <v>#REF!</v>
      </c>
      <c r="F104" t="e">
        <f>AND(#REF!,"AAAAAHf//gU=")</f>
        <v>#REF!</v>
      </c>
      <c r="G104" t="e">
        <f>AND(#REF!,"AAAAAHf//gY=")</f>
        <v>#REF!</v>
      </c>
      <c r="H104" t="e">
        <f>AND(#REF!,"AAAAAHf//gc=")</f>
        <v>#REF!</v>
      </c>
      <c r="I104" t="e">
        <f>AND(#REF!,"AAAAAHf//gg=")</f>
        <v>#REF!</v>
      </c>
      <c r="J104" t="e">
        <f>AND(#REF!,"AAAAAHf//gk=")</f>
        <v>#REF!</v>
      </c>
      <c r="K104" t="e">
        <f>AND(#REF!,"AAAAAHf//go=")</f>
        <v>#REF!</v>
      </c>
      <c r="L104" t="e">
        <f>AND(#REF!,"AAAAAHf//gs=")</f>
        <v>#REF!</v>
      </c>
      <c r="M104" t="e">
        <f>AND(#REF!,"AAAAAHf//gw=")</f>
        <v>#REF!</v>
      </c>
      <c r="N104" t="e">
        <f>AND(#REF!,"AAAAAHf//g0=")</f>
        <v>#REF!</v>
      </c>
      <c r="O104" t="e">
        <f>AND(#REF!,"AAAAAHf//g4=")</f>
        <v>#REF!</v>
      </c>
      <c r="P104" t="e">
        <f>AND(#REF!,"AAAAAHf//g8=")</f>
        <v>#REF!</v>
      </c>
      <c r="Q104" t="e">
        <f>AND(#REF!,"AAAAAHf//hA=")</f>
        <v>#REF!</v>
      </c>
      <c r="R104" t="e">
        <f>AND(#REF!,"AAAAAHf//hE=")</f>
        <v>#REF!</v>
      </c>
      <c r="S104" t="e">
        <f>AND(#REF!,"AAAAAHf//hI=")</f>
        <v>#REF!</v>
      </c>
      <c r="T104" t="e">
        <f>AND(#REF!,"AAAAAHf//hM=")</f>
        <v>#REF!</v>
      </c>
      <c r="U104" t="e">
        <f>AND(#REF!,"AAAAAHf//hQ=")</f>
        <v>#REF!</v>
      </c>
      <c r="V104" t="e">
        <f>AND(#REF!,"AAAAAHf//hU=")</f>
        <v>#REF!</v>
      </c>
      <c r="W104" t="e">
        <f>AND(#REF!,"AAAAAHf//hY=")</f>
        <v>#REF!</v>
      </c>
      <c r="X104" t="e">
        <f>AND(#REF!,"AAAAAHf//hc=")</f>
        <v>#REF!</v>
      </c>
      <c r="Y104" t="e">
        <f>AND(#REF!,"AAAAAHf//hg=")</f>
        <v>#REF!</v>
      </c>
      <c r="Z104" t="e">
        <f>AND(#REF!,"AAAAAHf//hk=")</f>
        <v>#REF!</v>
      </c>
      <c r="AA104" t="e">
        <f>AND(#REF!,"AAAAAHf//ho=")</f>
        <v>#REF!</v>
      </c>
      <c r="AB104" t="e">
        <f>AND(#REF!,"AAAAAHf//hs=")</f>
        <v>#REF!</v>
      </c>
      <c r="AC104" t="e">
        <f>AND(#REF!,"AAAAAHf//hw=")</f>
        <v>#REF!</v>
      </c>
      <c r="AD104" t="e">
        <f>AND(#REF!,"AAAAAHf//h0=")</f>
        <v>#REF!</v>
      </c>
      <c r="AE104" t="e">
        <f>AND(#REF!,"AAAAAHf//h4=")</f>
        <v>#REF!</v>
      </c>
      <c r="AF104" t="e">
        <f>AND(#REF!,"AAAAAHf//h8=")</f>
        <v>#REF!</v>
      </c>
      <c r="AG104" t="e">
        <f>AND(#REF!,"AAAAAHf//iA=")</f>
        <v>#REF!</v>
      </c>
      <c r="AH104" t="e">
        <f>AND(#REF!,"AAAAAHf//iE=")</f>
        <v>#REF!</v>
      </c>
      <c r="AI104" t="e">
        <f>AND(#REF!,"AAAAAHf//iI=")</f>
        <v>#REF!</v>
      </c>
      <c r="AJ104" t="e">
        <f>AND(#REF!,"AAAAAHf//iM=")</f>
        <v>#REF!</v>
      </c>
      <c r="AK104" t="e">
        <f>AND(#REF!,"AAAAAHf//iQ=")</f>
        <v>#REF!</v>
      </c>
      <c r="AL104" t="e">
        <f>AND(#REF!,"AAAAAHf//iU=")</f>
        <v>#REF!</v>
      </c>
      <c r="AM104" t="e">
        <f>AND(#REF!,"AAAAAHf//iY=")</f>
        <v>#REF!</v>
      </c>
      <c r="AN104" t="e">
        <f>AND(#REF!,"AAAAAHf//ic=")</f>
        <v>#REF!</v>
      </c>
      <c r="AO104" t="e">
        <f>AND(#REF!,"AAAAAHf//ig=")</f>
        <v>#REF!</v>
      </c>
      <c r="AP104" t="e">
        <f>AND(#REF!,"AAAAAHf//ik=")</f>
        <v>#REF!</v>
      </c>
      <c r="AQ104" t="e">
        <f>AND(#REF!,"AAAAAHf//io=")</f>
        <v>#REF!</v>
      </c>
      <c r="AR104" t="e">
        <f>AND(#REF!,"AAAAAHf//is=")</f>
        <v>#REF!</v>
      </c>
      <c r="AS104" t="e">
        <f>AND(#REF!,"AAAAAHf//iw=")</f>
        <v>#REF!</v>
      </c>
      <c r="AT104" t="e">
        <f>AND(#REF!,"AAAAAHf//i0=")</f>
        <v>#REF!</v>
      </c>
      <c r="AU104" t="e">
        <f>AND(#REF!,"AAAAAHf//i4=")</f>
        <v>#REF!</v>
      </c>
      <c r="AV104" t="e">
        <f>AND(#REF!,"AAAAAHf//i8=")</f>
        <v>#REF!</v>
      </c>
      <c r="AW104" t="e">
        <f>AND(#REF!,"AAAAAHf//jA=")</f>
        <v>#REF!</v>
      </c>
      <c r="AX104" t="e">
        <f>AND(#REF!,"AAAAAHf//jE=")</f>
        <v>#REF!</v>
      </c>
      <c r="AY104" t="e">
        <f>AND(#REF!,"AAAAAHf//jI=")</f>
        <v>#REF!</v>
      </c>
      <c r="AZ104" t="e">
        <f>AND(#REF!,"AAAAAHf//jM=")</f>
        <v>#REF!</v>
      </c>
      <c r="BA104" t="e">
        <f>AND(#REF!,"AAAAAHf//jQ=")</f>
        <v>#REF!</v>
      </c>
      <c r="BB104" t="e">
        <f>AND(#REF!,"AAAAAHf//jU=")</f>
        <v>#REF!</v>
      </c>
      <c r="BC104" t="e">
        <f>AND(#REF!,"AAAAAHf//jY=")</f>
        <v>#REF!</v>
      </c>
      <c r="BD104" t="e">
        <f>AND(#REF!,"AAAAAHf//jc=")</f>
        <v>#REF!</v>
      </c>
      <c r="BE104" t="e">
        <f>AND(#REF!,"AAAAAHf//jg=")</f>
        <v>#REF!</v>
      </c>
      <c r="BF104" t="e">
        <f>IF(#REF!,"AAAAAHf//jk=",0)</f>
        <v>#REF!</v>
      </c>
      <c r="BG104" t="e">
        <f>AND(#REF!,"AAAAAHf//jo=")</f>
        <v>#REF!</v>
      </c>
      <c r="BH104" t="e">
        <f>AND(#REF!,"AAAAAHf//js=")</f>
        <v>#REF!</v>
      </c>
      <c r="BI104" t="e">
        <f>AND(#REF!,"AAAAAHf//jw=")</f>
        <v>#REF!</v>
      </c>
      <c r="BJ104" t="e">
        <f>AND(#REF!,"AAAAAHf//j0=")</f>
        <v>#REF!</v>
      </c>
      <c r="BK104" t="e">
        <f>AND(#REF!,"AAAAAHf//j4=")</f>
        <v>#REF!</v>
      </c>
      <c r="BL104" t="e">
        <f>AND(#REF!,"AAAAAHf//j8=")</f>
        <v>#REF!</v>
      </c>
      <c r="BM104" t="e">
        <f>AND(#REF!,"AAAAAHf//kA=")</f>
        <v>#REF!</v>
      </c>
      <c r="BN104" t="e">
        <f>AND(#REF!,"AAAAAHf//kE=")</f>
        <v>#REF!</v>
      </c>
      <c r="BO104" t="e">
        <f>AND(#REF!,"AAAAAHf//kI=")</f>
        <v>#REF!</v>
      </c>
      <c r="BP104" t="e">
        <f>AND(#REF!,"AAAAAHf//kM=")</f>
        <v>#REF!</v>
      </c>
      <c r="BQ104" t="e">
        <f>AND(#REF!,"AAAAAHf//kQ=")</f>
        <v>#REF!</v>
      </c>
      <c r="BR104" t="e">
        <f>AND(#REF!,"AAAAAHf//kU=")</f>
        <v>#REF!</v>
      </c>
      <c r="BS104" t="e">
        <f>AND(#REF!,"AAAAAHf//kY=")</f>
        <v>#REF!</v>
      </c>
      <c r="BT104" t="e">
        <f>AND(#REF!,"AAAAAHf//kc=")</f>
        <v>#REF!</v>
      </c>
      <c r="BU104" t="e">
        <f>AND(#REF!,"AAAAAHf//kg=")</f>
        <v>#REF!</v>
      </c>
      <c r="BV104" t="e">
        <f>AND(#REF!,"AAAAAHf//kk=")</f>
        <v>#REF!</v>
      </c>
      <c r="BW104" t="e">
        <f>AND(#REF!,"AAAAAHf//ko=")</f>
        <v>#REF!</v>
      </c>
      <c r="BX104" t="e">
        <f>AND(#REF!,"AAAAAHf//ks=")</f>
        <v>#REF!</v>
      </c>
      <c r="BY104" t="e">
        <f>AND(#REF!,"AAAAAHf//kw=")</f>
        <v>#REF!</v>
      </c>
      <c r="BZ104" t="e">
        <f>AND(#REF!,"AAAAAHf//k0=")</f>
        <v>#REF!</v>
      </c>
      <c r="CA104" t="e">
        <f>AND(#REF!,"AAAAAHf//k4=")</f>
        <v>#REF!</v>
      </c>
      <c r="CB104" t="e">
        <f>AND(#REF!,"AAAAAHf//k8=")</f>
        <v>#REF!</v>
      </c>
      <c r="CC104" t="e">
        <f>AND(#REF!,"AAAAAHf//lA=")</f>
        <v>#REF!</v>
      </c>
      <c r="CD104" t="e">
        <f>AND(#REF!,"AAAAAHf//lE=")</f>
        <v>#REF!</v>
      </c>
      <c r="CE104" t="e">
        <f>AND(#REF!,"AAAAAHf//lI=")</f>
        <v>#REF!</v>
      </c>
      <c r="CF104" t="e">
        <f>AND(#REF!,"AAAAAHf//lM=")</f>
        <v>#REF!</v>
      </c>
      <c r="CG104" t="e">
        <f>AND(#REF!,"AAAAAHf//lQ=")</f>
        <v>#REF!</v>
      </c>
      <c r="CH104" t="e">
        <f>AND(#REF!,"AAAAAHf//lU=")</f>
        <v>#REF!</v>
      </c>
      <c r="CI104" t="e">
        <f>AND(#REF!,"AAAAAHf//lY=")</f>
        <v>#REF!</v>
      </c>
      <c r="CJ104" t="e">
        <f>AND(#REF!,"AAAAAHf//lc=")</f>
        <v>#REF!</v>
      </c>
      <c r="CK104" t="e">
        <f>AND(#REF!,"AAAAAHf//lg=")</f>
        <v>#REF!</v>
      </c>
      <c r="CL104" t="e">
        <f>AND(#REF!,"AAAAAHf//lk=")</f>
        <v>#REF!</v>
      </c>
      <c r="CM104" t="e">
        <f>AND(#REF!,"AAAAAHf//lo=")</f>
        <v>#REF!</v>
      </c>
      <c r="CN104" t="e">
        <f>AND(#REF!,"AAAAAHf//ls=")</f>
        <v>#REF!</v>
      </c>
      <c r="CO104" t="e">
        <f>AND(#REF!,"AAAAAHf//lw=")</f>
        <v>#REF!</v>
      </c>
      <c r="CP104" t="e">
        <f>AND(#REF!,"AAAAAHf//l0=")</f>
        <v>#REF!</v>
      </c>
      <c r="CQ104" t="e">
        <f>AND(#REF!,"AAAAAHf//l4=")</f>
        <v>#REF!</v>
      </c>
      <c r="CR104" t="e">
        <f>AND(#REF!,"AAAAAHf//l8=")</f>
        <v>#REF!</v>
      </c>
      <c r="CS104" t="e">
        <f>AND(#REF!,"AAAAAHf//mA=")</f>
        <v>#REF!</v>
      </c>
      <c r="CT104" t="e">
        <f>AND(#REF!,"AAAAAHf//mE=")</f>
        <v>#REF!</v>
      </c>
      <c r="CU104" t="e">
        <f>AND(#REF!,"AAAAAHf//mI=")</f>
        <v>#REF!</v>
      </c>
      <c r="CV104" t="e">
        <f>AND(#REF!,"AAAAAHf//mM=")</f>
        <v>#REF!</v>
      </c>
      <c r="CW104" t="e">
        <f>AND(#REF!,"AAAAAHf//mQ=")</f>
        <v>#REF!</v>
      </c>
      <c r="CX104" t="e">
        <f>AND(#REF!,"AAAAAHf//mU=")</f>
        <v>#REF!</v>
      </c>
      <c r="CY104" t="e">
        <f>AND(#REF!,"AAAAAHf//mY=")</f>
        <v>#REF!</v>
      </c>
      <c r="CZ104" t="e">
        <f>AND(#REF!,"AAAAAHf//mc=")</f>
        <v>#REF!</v>
      </c>
      <c r="DA104" t="e">
        <f>AND(#REF!,"AAAAAHf//mg=")</f>
        <v>#REF!</v>
      </c>
      <c r="DB104" t="e">
        <f>AND(#REF!,"AAAAAHf//mk=")</f>
        <v>#REF!</v>
      </c>
      <c r="DC104" t="e">
        <f>AND(#REF!,"AAAAAHf//mo=")</f>
        <v>#REF!</v>
      </c>
      <c r="DD104" t="e">
        <f>AND(#REF!,"AAAAAHf//ms=")</f>
        <v>#REF!</v>
      </c>
      <c r="DE104" t="e">
        <f>AND(#REF!,"AAAAAHf//mw=")</f>
        <v>#REF!</v>
      </c>
      <c r="DF104" t="e">
        <f>AND(#REF!,"AAAAAHf//m0=")</f>
        <v>#REF!</v>
      </c>
      <c r="DG104" t="e">
        <f>AND(#REF!,"AAAAAHf//m4=")</f>
        <v>#REF!</v>
      </c>
      <c r="DH104" t="e">
        <f>AND(#REF!,"AAAAAHf//m8=")</f>
        <v>#REF!</v>
      </c>
      <c r="DI104" t="e">
        <f>AND(#REF!,"AAAAAHf//nA=")</f>
        <v>#REF!</v>
      </c>
      <c r="DJ104" t="e">
        <f>AND(#REF!,"AAAAAHf//nE=")</f>
        <v>#REF!</v>
      </c>
      <c r="DK104" t="e">
        <f>AND(#REF!,"AAAAAHf//nI=")</f>
        <v>#REF!</v>
      </c>
      <c r="DL104" t="e">
        <f>AND(#REF!,"AAAAAHf//nM=")</f>
        <v>#REF!</v>
      </c>
      <c r="DM104" t="e">
        <f>AND(#REF!,"AAAAAHf//nQ=")</f>
        <v>#REF!</v>
      </c>
      <c r="DN104" t="e">
        <f>AND(#REF!,"AAAAAHf//nU=")</f>
        <v>#REF!</v>
      </c>
      <c r="DO104" t="e">
        <f>AND(#REF!,"AAAAAHf//nY=")</f>
        <v>#REF!</v>
      </c>
      <c r="DP104" t="e">
        <f>AND(#REF!,"AAAAAHf//nc=")</f>
        <v>#REF!</v>
      </c>
      <c r="DQ104" t="e">
        <f>AND(#REF!,"AAAAAHf//ng=")</f>
        <v>#REF!</v>
      </c>
      <c r="DR104" t="e">
        <f>AND(#REF!,"AAAAAHf//nk=")</f>
        <v>#REF!</v>
      </c>
      <c r="DS104" t="e">
        <f>AND(#REF!,"AAAAAHf//no=")</f>
        <v>#REF!</v>
      </c>
      <c r="DT104" t="e">
        <f>AND(#REF!,"AAAAAHf//ns=")</f>
        <v>#REF!</v>
      </c>
      <c r="DU104" t="e">
        <f>AND(#REF!,"AAAAAHf//nw=")</f>
        <v>#REF!</v>
      </c>
      <c r="DV104" t="e">
        <f>AND(#REF!,"AAAAAHf//n0=")</f>
        <v>#REF!</v>
      </c>
      <c r="DW104" t="e">
        <f>AND(#REF!,"AAAAAHf//n4=")</f>
        <v>#REF!</v>
      </c>
      <c r="DX104" t="e">
        <f>AND(#REF!,"AAAAAHf//n8=")</f>
        <v>#REF!</v>
      </c>
      <c r="DY104" t="e">
        <f>AND(#REF!,"AAAAAHf//oA=")</f>
        <v>#REF!</v>
      </c>
      <c r="DZ104" t="e">
        <f>AND(#REF!,"AAAAAHf//oE=")</f>
        <v>#REF!</v>
      </c>
      <c r="EA104" t="e">
        <f>AND(#REF!,"AAAAAHf//oI=")</f>
        <v>#REF!</v>
      </c>
      <c r="EB104" t="e">
        <f>AND(#REF!,"AAAAAHf//oM=")</f>
        <v>#REF!</v>
      </c>
      <c r="EC104" t="e">
        <f>AND(#REF!,"AAAAAHf//oQ=")</f>
        <v>#REF!</v>
      </c>
      <c r="ED104" t="e">
        <f>AND(#REF!,"AAAAAHf//oU=")</f>
        <v>#REF!</v>
      </c>
      <c r="EE104" t="e">
        <f>AND(#REF!,"AAAAAHf//oY=")</f>
        <v>#REF!</v>
      </c>
      <c r="EF104" t="e">
        <f>AND(#REF!,"AAAAAHf//oc=")</f>
        <v>#REF!</v>
      </c>
      <c r="EG104" t="e">
        <f>AND(#REF!,"AAAAAHf//og=")</f>
        <v>#REF!</v>
      </c>
      <c r="EH104" t="e">
        <f>AND(#REF!,"AAAAAHf//ok=")</f>
        <v>#REF!</v>
      </c>
      <c r="EI104" t="e">
        <f>AND(#REF!,"AAAAAHf//oo=")</f>
        <v>#REF!</v>
      </c>
      <c r="EJ104" t="e">
        <f>AND(#REF!,"AAAAAHf//os=")</f>
        <v>#REF!</v>
      </c>
      <c r="EK104" t="e">
        <f>AND(#REF!,"AAAAAHf//ow=")</f>
        <v>#REF!</v>
      </c>
      <c r="EL104" t="e">
        <f>AND(#REF!,"AAAAAHf//o0=")</f>
        <v>#REF!</v>
      </c>
      <c r="EM104" t="e">
        <f>AND(#REF!,"AAAAAHf//o4=")</f>
        <v>#REF!</v>
      </c>
      <c r="EN104" t="e">
        <f>AND(#REF!,"AAAAAHf//o8=")</f>
        <v>#REF!</v>
      </c>
      <c r="EO104" t="e">
        <f>AND(#REF!,"AAAAAHf//pA=")</f>
        <v>#REF!</v>
      </c>
      <c r="EP104" t="e">
        <f>AND(#REF!,"AAAAAHf//pE=")</f>
        <v>#REF!</v>
      </c>
      <c r="EQ104" t="e">
        <f>AND(#REF!,"AAAAAHf//pI=")</f>
        <v>#REF!</v>
      </c>
      <c r="ER104" t="e">
        <f>AND(#REF!,"AAAAAHf//pM=")</f>
        <v>#REF!</v>
      </c>
      <c r="ES104" t="e">
        <f>AND(#REF!,"AAAAAHf//pQ=")</f>
        <v>#REF!</v>
      </c>
      <c r="ET104" t="e">
        <f>AND(#REF!,"AAAAAHf//pU=")</f>
        <v>#REF!</v>
      </c>
      <c r="EU104" t="e">
        <f>AND(#REF!,"AAAAAHf//pY=")</f>
        <v>#REF!</v>
      </c>
      <c r="EV104" t="e">
        <f>AND(#REF!,"AAAAAHf//pc=")</f>
        <v>#REF!</v>
      </c>
      <c r="EW104" t="e">
        <f>AND(#REF!,"AAAAAHf//pg=")</f>
        <v>#REF!</v>
      </c>
      <c r="EX104" t="e">
        <f>AND(#REF!,"AAAAAHf//pk=")</f>
        <v>#REF!</v>
      </c>
      <c r="EY104" t="e">
        <f>AND(#REF!,"AAAAAHf//po=")</f>
        <v>#REF!</v>
      </c>
      <c r="EZ104" t="e">
        <f>AND(#REF!,"AAAAAHf//ps=")</f>
        <v>#REF!</v>
      </c>
      <c r="FA104" t="e">
        <f>AND(#REF!,"AAAAAHf//pw=")</f>
        <v>#REF!</v>
      </c>
      <c r="FB104" t="e">
        <f>AND(#REF!,"AAAAAHf//p0=")</f>
        <v>#REF!</v>
      </c>
      <c r="FC104" t="e">
        <f>AND(#REF!,"AAAAAHf//p4=")</f>
        <v>#REF!</v>
      </c>
      <c r="FD104" t="e">
        <f>AND(#REF!,"AAAAAHf//p8=")</f>
        <v>#REF!</v>
      </c>
      <c r="FE104" t="e">
        <f>AND(#REF!,"AAAAAHf//qA=")</f>
        <v>#REF!</v>
      </c>
      <c r="FF104" t="e">
        <f>AND(#REF!,"AAAAAHf//qE=")</f>
        <v>#REF!</v>
      </c>
      <c r="FG104" t="e">
        <f>AND(#REF!,"AAAAAHf//qI=")</f>
        <v>#REF!</v>
      </c>
      <c r="FH104" t="e">
        <f>AND(#REF!,"AAAAAHf//qM=")</f>
        <v>#REF!</v>
      </c>
      <c r="FI104" t="e">
        <f>AND(#REF!,"AAAAAHf//qQ=")</f>
        <v>#REF!</v>
      </c>
      <c r="FJ104" t="e">
        <f>AND(#REF!,"AAAAAHf//qU=")</f>
        <v>#REF!</v>
      </c>
      <c r="FK104" t="e">
        <f>AND(#REF!,"AAAAAHf//qY=")</f>
        <v>#REF!</v>
      </c>
      <c r="FL104" t="e">
        <f>AND(#REF!,"AAAAAHf//qc=")</f>
        <v>#REF!</v>
      </c>
      <c r="FM104" t="e">
        <f>AND(#REF!,"AAAAAHf//qg=")</f>
        <v>#REF!</v>
      </c>
      <c r="FN104" t="e">
        <f>AND(#REF!,"AAAAAHf//qk=")</f>
        <v>#REF!</v>
      </c>
      <c r="FO104" t="e">
        <f>AND(#REF!,"AAAAAHf//qo=")</f>
        <v>#REF!</v>
      </c>
      <c r="FP104" t="e">
        <f>AND(#REF!,"AAAAAHf//qs=")</f>
        <v>#REF!</v>
      </c>
      <c r="FQ104" t="e">
        <f>AND(#REF!,"AAAAAHf//qw=")</f>
        <v>#REF!</v>
      </c>
      <c r="FR104" t="e">
        <f>AND(#REF!,"AAAAAHf//q0=")</f>
        <v>#REF!</v>
      </c>
      <c r="FS104" t="e">
        <f>AND(#REF!,"AAAAAHf//q4=")</f>
        <v>#REF!</v>
      </c>
      <c r="FT104" t="e">
        <f>AND(#REF!,"AAAAAHf//q8=")</f>
        <v>#REF!</v>
      </c>
      <c r="FU104" t="e">
        <f>AND(#REF!,"AAAAAHf//rA=")</f>
        <v>#REF!</v>
      </c>
      <c r="FV104" t="e">
        <f>AND(#REF!,"AAAAAHf//rE=")</f>
        <v>#REF!</v>
      </c>
      <c r="FW104" t="e">
        <f>AND(#REF!,"AAAAAHf//rI=")</f>
        <v>#REF!</v>
      </c>
      <c r="FX104" t="e">
        <f>AND(#REF!,"AAAAAHf//rM=")</f>
        <v>#REF!</v>
      </c>
      <c r="FY104" t="e">
        <f>AND(#REF!,"AAAAAHf//rQ=")</f>
        <v>#REF!</v>
      </c>
      <c r="FZ104" t="e">
        <f>AND(#REF!,"AAAAAHf//rU=")</f>
        <v>#REF!</v>
      </c>
      <c r="GA104" t="e">
        <f>AND(#REF!,"AAAAAHf//rY=")</f>
        <v>#REF!</v>
      </c>
      <c r="GB104" t="e">
        <f>AND(#REF!,"AAAAAHf//rc=")</f>
        <v>#REF!</v>
      </c>
      <c r="GC104" t="e">
        <f>AND(#REF!,"AAAAAHf//rg=")</f>
        <v>#REF!</v>
      </c>
      <c r="GD104" t="e">
        <f>AND(#REF!,"AAAAAHf//rk=")</f>
        <v>#REF!</v>
      </c>
      <c r="GE104" t="e">
        <f>AND(#REF!,"AAAAAHf//ro=")</f>
        <v>#REF!</v>
      </c>
      <c r="GF104" t="e">
        <f>AND(#REF!,"AAAAAHf//rs=")</f>
        <v>#REF!</v>
      </c>
      <c r="GG104" t="e">
        <f>AND(#REF!,"AAAAAHf//rw=")</f>
        <v>#REF!</v>
      </c>
      <c r="GH104" t="e">
        <f>AND(#REF!,"AAAAAHf//r0=")</f>
        <v>#REF!</v>
      </c>
      <c r="GI104" t="e">
        <f>AND(#REF!,"AAAAAHf//r4=")</f>
        <v>#REF!</v>
      </c>
      <c r="GJ104" t="e">
        <f>AND(#REF!,"AAAAAHf//r8=")</f>
        <v>#REF!</v>
      </c>
      <c r="GK104" t="e">
        <f>AND(#REF!,"AAAAAHf//sA=")</f>
        <v>#REF!</v>
      </c>
      <c r="GL104" t="e">
        <f>AND(#REF!,"AAAAAHf//sE=")</f>
        <v>#REF!</v>
      </c>
      <c r="GM104" t="e">
        <f>AND(#REF!,"AAAAAHf//sI=")</f>
        <v>#REF!</v>
      </c>
      <c r="GN104" t="e">
        <f>AND(#REF!,"AAAAAHf//sM=")</f>
        <v>#REF!</v>
      </c>
      <c r="GO104" t="e">
        <f>AND(#REF!,"AAAAAHf//sQ=")</f>
        <v>#REF!</v>
      </c>
      <c r="GP104" t="e">
        <f>AND(#REF!,"AAAAAHf//sU=")</f>
        <v>#REF!</v>
      </c>
      <c r="GQ104" t="e">
        <f>AND(#REF!,"AAAAAHf//sY=")</f>
        <v>#REF!</v>
      </c>
      <c r="GR104" t="e">
        <f>AND(#REF!,"AAAAAHf//sc=")</f>
        <v>#REF!</v>
      </c>
      <c r="GS104" t="e">
        <f>AND(#REF!,"AAAAAHf//sg=")</f>
        <v>#REF!</v>
      </c>
      <c r="GT104" t="e">
        <f>AND(#REF!,"AAAAAHf//sk=")</f>
        <v>#REF!</v>
      </c>
      <c r="GU104" t="e">
        <f>AND(#REF!,"AAAAAHf//so=")</f>
        <v>#REF!</v>
      </c>
      <c r="GV104" t="e">
        <f>AND(#REF!,"AAAAAHf//ss=")</f>
        <v>#REF!</v>
      </c>
      <c r="GW104" t="e">
        <f>AND(#REF!,"AAAAAHf//sw=")</f>
        <v>#REF!</v>
      </c>
      <c r="GX104" t="e">
        <f>AND(#REF!,"AAAAAHf//s0=")</f>
        <v>#REF!</v>
      </c>
      <c r="GY104" t="e">
        <f>AND(#REF!,"AAAAAHf//s4=")</f>
        <v>#REF!</v>
      </c>
      <c r="GZ104" t="e">
        <f>AND(#REF!,"AAAAAHf//s8=")</f>
        <v>#REF!</v>
      </c>
      <c r="HA104" t="e">
        <f>AND(#REF!,"AAAAAHf//tA=")</f>
        <v>#REF!</v>
      </c>
      <c r="HB104" t="e">
        <f>AND(#REF!,"AAAAAHf//tE=")</f>
        <v>#REF!</v>
      </c>
      <c r="HC104" t="e">
        <f>AND(#REF!,"AAAAAHf//tI=")</f>
        <v>#REF!</v>
      </c>
      <c r="HD104" t="e">
        <f>AND(#REF!,"AAAAAHf//tM=")</f>
        <v>#REF!</v>
      </c>
      <c r="HE104" t="e">
        <f>AND(#REF!,"AAAAAHf//tQ=")</f>
        <v>#REF!</v>
      </c>
      <c r="HF104" t="e">
        <f>AND(#REF!,"AAAAAHf//tU=")</f>
        <v>#REF!</v>
      </c>
      <c r="HG104" t="e">
        <f>AND(#REF!,"AAAAAHf//tY=")</f>
        <v>#REF!</v>
      </c>
      <c r="HH104" t="e">
        <f>AND(#REF!,"AAAAAHf//tc=")</f>
        <v>#REF!</v>
      </c>
      <c r="HI104" t="e">
        <f>AND(#REF!,"AAAAAHf//tg=")</f>
        <v>#REF!</v>
      </c>
      <c r="HJ104" t="e">
        <f>AND(#REF!,"AAAAAHf//tk=")</f>
        <v>#REF!</v>
      </c>
      <c r="HK104" t="e">
        <f>AND(#REF!,"AAAAAHf//to=")</f>
        <v>#REF!</v>
      </c>
      <c r="HL104" t="e">
        <f>AND(#REF!,"AAAAAHf//ts=")</f>
        <v>#REF!</v>
      </c>
      <c r="HM104" t="e">
        <f>AND(#REF!,"AAAAAHf//tw=")</f>
        <v>#REF!</v>
      </c>
      <c r="HN104" t="e">
        <f>AND(#REF!,"AAAAAHf//t0=")</f>
        <v>#REF!</v>
      </c>
      <c r="HO104" t="e">
        <f>AND(#REF!,"AAAAAHf//t4=")</f>
        <v>#REF!</v>
      </c>
      <c r="HP104" t="e">
        <f>AND(#REF!,"AAAAAHf//t8=")</f>
        <v>#REF!</v>
      </c>
      <c r="HQ104" t="e">
        <f>AND(#REF!,"AAAAAHf//uA=")</f>
        <v>#REF!</v>
      </c>
      <c r="HR104" t="e">
        <f>AND(#REF!,"AAAAAHf//uE=")</f>
        <v>#REF!</v>
      </c>
      <c r="HS104" t="e">
        <f>AND(#REF!,"AAAAAHf//uI=")</f>
        <v>#REF!</v>
      </c>
      <c r="HT104" t="e">
        <f>AND(#REF!,"AAAAAHf//uM=")</f>
        <v>#REF!</v>
      </c>
      <c r="HU104" t="e">
        <f>AND(#REF!,"AAAAAHf//uQ=")</f>
        <v>#REF!</v>
      </c>
      <c r="HV104" t="e">
        <f>AND(#REF!,"AAAAAHf//uU=")</f>
        <v>#REF!</v>
      </c>
      <c r="HW104" t="e">
        <f>AND(#REF!,"AAAAAHf//uY=")</f>
        <v>#REF!</v>
      </c>
      <c r="HX104" t="e">
        <f>AND(#REF!,"AAAAAHf//uc=")</f>
        <v>#REF!</v>
      </c>
      <c r="HY104" t="e">
        <f>AND(#REF!,"AAAAAHf//ug=")</f>
        <v>#REF!</v>
      </c>
      <c r="HZ104" t="e">
        <f>AND(#REF!,"AAAAAHf//uk=")</f>
        <v>#REF!</v>
      </c>
      <c r="IA104" t="e">
        <f>AND(#REF!,"AAAAAHf//uo=")</f>
        <v>#REF!</v>
      </c>
      <c r="IB104" t="e">
        <f>AND(#REF!,"AAAAAHf//us=")</f>
        <v>#REF!</v>
      </c>
      <c r="IC104" t="e">
        <f>AND(#REF!,"AAAAAHf//uw=")</f>
        <v>#REF!</v>
      </c>
      <c r="ID104" t="e">
        <f>AND(#REF!,"AAAAAHf//u0=")</f>
        <v>#REF!</v>
      </c>
      <c r="IE104" t="e">
        <f>AND(#REF!,"AAAAAHf//u4=")</f>
        <v>#REF!</v>
      </c>
      <c r="IF104" t="e">
        <f>AND(#REF!,"AAAAAHf//u8=")</f>
        <v>#REF!</v>
      </c>
      <c r="IG104" t="e">
        <f>AND(#REF!,"AAAAAHf//vA=")</f>
        <v>#REF!</v>
      </c>
      <c r="IH104" t="e">
        <f>AND(#REF!,"AAAAAHf//vE=")</f>
        <v>#REF!</v>
      </c>
      <c r="II104" t="e">
        <f>AND(#REF!,"AAAAAHf//vI=")</f>
        <v>#REF!</v>
      </c>
      <c r="IJ104" t="e">
        <f>AND(#REF!,"AAAAAHf//vM=")</f>
        <v>#REF!</v>
      </c>
      <c r="IK104" t="e">
        <f>AND(#REF!,"AAAAAHf//vQ=")</f>
        <v>#REF!</v>
      </c>
      <c r="IL104" t="e">
        <f>AND(#REF!,"AAAAAHf//vU=")</f>
        <v>#REF!</v>
      </c>
      <c r="IM104" t="e">
        <f>IF(#REF!,"AAAAAHf//vY=",0)</f>
        <v>#REF!</v>
      </c>
      <c r="IN104" t="e">
        <f>AND(#REF!,"AAAAAHf//vc=")</f>
        <v>#REF!</v>
      </c>
      <c r="IO104" t="e">
        <f>AND(#REF!,"AAAAAHf//vg=")</f>
        <v>#REF!</v>
      </c>
      <c r="IP104" t="e">
        <f>AND(#REF!,"AAAAAHf//vk=")</f>
        <v>#REF!</v>
      </c>
      <c r="IQ104" t="e">
        <f>AND(#REF!,"AAAAAHf//vo=")</f>
        <v>#REF!</v>
      </c>
      <c r="IR104" t="e">
        <f>AND(#REF!,"AAAAAHf//vs=")</f>
        <v>#REF!</v>
      </c>
      <c r="IS104" t="e">
        <f>AND(#REF!,"AAAAAHf//vw=")</f>
        <v>#REF!</v>
      </c>
      <c r="IT104" t="e">
        <f>AND(#REF!,"AAAAAHf//v0=")</f>
        <v>#REF!</v>
      </c>
      <c r="IU104" t="e">
        <f>AND(#REF!,"AAAAAHf//v4=")</f>
        <v>#REF!</v>
      </c>
      <c r="IV104" t="e">
        <f>AND(#REF!,"AAAAAHf//v8=")</f>
        <v>#REF!</v>
      </c>
    </row>
    <row r="105" spans="1:256" x14ac:dyDescent="0.25">
      <c r="A105" t="e">
        <f>AND(#REF!,"AAAAAH697wA=")</f>
        <v>#REF!</v>
      </c>
      <c r="B105" t="e">
        <f>AND(#REF!,"AAAAAH697wE=")</f>
        <v>#REF!</v>
      </c>
      <c r="C105" t="e">
        <f>AND(#REF!,"AAAAAH697wI=")</f>
        <v>#REF!</v>
      </c>
      <c r="D105" t="e">
        <f>AND(#REF!,"AAAAAH697wM=")</f>
        <v>#REF!</v>
      </c>
      <c r="E105" t="e">
        <f>AND(#REF!,"AAAAAH697wQ=")</f>
        <v>#REF!</v>
      </c>
      <c r="F105" t="e">
        <f>AND(#REF!,"AAAAAH697wU=")</f>
        <v>#REF!</v>
      </c>
      <c r="G105" t="e">
        <f>AND(#REF!,"AAAAAH697wY=")</f>
        <v>#REF!</v>
      </c>
      <c r="H105" t="e">
        <f>AND(#REF!,"AAAAAH697wc=")</f>
        <v>#REF!</v>
      </c>
      <c r="I105" t="e">
        <f>AND(#REF!,"AAAAAH697wg=")</f>
        <v>#REF!</v>
      </c>
      <c r="J105" t="e">
        <f>AND(#REF!,"AAAAAH697wk=")</f>
        <v>#REF!</v>
      </c>
      <c r="K105" t="e">
        <f>AND(#REF!,"AAAAAH697wo=")</f>
        <v>#REF!</v>
      </c>
      <c r="L105" t="e">
        <f>AND(#REF!,"AAAAAH697ws=")</f>
        <v>#REF!</v>
      </c>
      <c r="M105" t="e">
        <f>AND(#REF!,"AAAAAH697ww=")</f>
        <v>#REF!</v>
      </c>
      <c r="N105" t="e">
        <f>AND(#REF!,"AAAAAH697w0=")</f>
        <v>#REF!</v>
      </c>
      <c r="O105" t="e">
        <f>AND(#REF!,"AAAAAH697w4=")</f>
        <v>#REF!</v>
      </c>
      <c r="P105" t="e">
        <f>AND(#REF!,"AAAAAH697w8=")</f>
        <v>#REF!</v>
      </c>
      <c r="Q105" t="e">
        <f>AND(#REF!,"AAAAAH697xA=")</f>
        <v>#REF!</v>
      </c>
      <c r="R105" t="e">
        <f>AND(#REF!,"AAAAAH697xE=")</f>
        <v>#REF!</v>
      </c>
      <c r="S105" t="e">
        <f>AND(#REF!,"AAAAAH697xI=")</f>
        <v>#REF!</v>
      </c>
      <c r="T105" t="e">
        <f>AND(#REF!,"AAAAAH697xM=")</f>
        <v>#REF!</v>
      </c>
      <c r="U105" t="e">
        <f>AND(#REF!,"AAAAAH697xQ=")</f>
        <v>#REF!</v>
      </c>
      <c r="V105" t="e">
        <f>AND(#REF!,"AAAAAH697xU=")</f>
        <v>#REF!</v>
      </c>
      <c r="W105" t="e">
        <f>AND(#REF!,"AAAAAH697xY=")</f>
        <v>#REF!</v>
      </c>
      <c r="X105" t="e">
        <f>AND(#REF!,"AAAAAH697xc=")</f>
        <v>#REF!</v>
      </c>
      <c r="Y105" t="e">
        <f>AND(#REF!,"AAAAAH697xg=")</f>
        <v>#REF!</v>
      </c>
      <c r="Z105" t="e">
        <f>AND(#REF!,"AAAAAH697xk=")</f>
        <v>#REF!</v>
      </c>
      <c r="AA105" t="e">
        <f>AND(#REF!,"AAAAAH697xo=")</f>
        <v>#REF!</v>
      </c>
      <c r="AB105" t="e">
        <f>AND(#REF!,"AAAAAH697xs=")</f>
        <v>#REF!</v>
      </c>
      <c r="AC105" t="e">
        <f>AND(#REF!,"AAAAAH697xw=")</f>
        <v>#REF!</v>
      </c>
      <c r="AD105" t="e">
        <f>AND(#REF!,"AAAAAH697x0=")</f>
        <v>#REF!</v>
      </c>
      <c r="AE105" t="e">
        <f>AND(#REF!,"AAAAAH697x4=")</f>
        <v>#REF!</v>
      </c>
      <c r="AF105" t="e">
        <f>AND(#REF!,"AAAAAH697x8=")</f>
        <v>#REF!</v>
      </c>
      <c r="AG105" t="e">
        <f>AND(#REF!,"AAAAAH697yA=")</f>
        <v>#REF!</v>
      </c>
      <c r="AH105" t="e">
        <f>AND(#REF!,"AAAAAH697yE=")</f>
        <v>#REF!</v>
      </c>
      <c r="AI105" t="e">
        <f>AND(#REF!,"AAAAAH697yI=")</f>
        <v>#REF!</v>
      </c>
      <c r="AJ105" t="e">
        <f>AND(#REF!,"AAAAAH697yM=")</f>
        <v>#REF!</v>
      </c>
      <c r="AK105" t="e">
        <f>AND(#REF!,"AAAAAH697yQ=")</f>
        <v>#REF!</v>
      </c>
      <c r="AL105" t="e">
        <f>AND(#REF!,"AAAAAH697yU=")</f>
        <v>#REF!</v>
      </c>
      <c r="AM105" t="e">
        <f>AND(#REF!,"AAAAAH697yY=")</f>
        <v>#REF!</v>
      </c>
      <c r="AN105" t="e">
        <f>AND(#REF!,"AAAAAH697yc=")</f>
        <v>#REF!</v>
      </c>
      <c r="AO105" t="e">
        <f>AND(#REF!,"AAAAAH697yg=")</f>
        <v>#REF!</v>
      </c>
      <c r="AP105" t="e">
        <f>AND(#REF!,"AAAAAH697yk=")</f>
        <v>#REF!</v>
      </c>
      <c r="AQ105" t="e">
        <f>AND(#REF!,"AAAAAH697yo=")</f>
        <v>#REF!</v>
      </c>
      <c r="AR105" t="e">
        <f>AND(#REF!,"AAAAAH697ys=")</f>
        <v>#REF!</v>
      </c>
      <c r="AS105" t="e">
        <f>AND(#REF!,"AAAAAH697yw=")</f>
        <v>#REF!</v>
      </c>
      <c r="AT105" t="e">
        <f>AND(#REF!,"AAAAAH697y0=")</f>
        <v>#REF!</v>
      </c>
      <c r="AU105" t="e">
        <f>AND(#REF!,"AAAAAH697y4=")</f>
        <v>#REF!</v>
      </c>
      <c r="AV105" t="e">
        <f>AND(#REF!,"AAAAAH697y8=")</f>
        <v>#REF!</v>
      </c>
      <c r="AW105" t="e">
        <f>AND(#REF!,"AAAAAH697zA=")</f>
        <v>#REF!</v>
      </c>
      <c r="AX105" t="e">
        <f>AND(#REF!,"AAAAAH697zE=")</f>
        <v>#REF!</v>
      </c>
      <c r="AY105" t="e">
        <f>AND(#REF!,"AAAAAH697zI=")</f>
        <v>#REF!</v>
      </c>
      <c r="AZ105" t="e">
        <f>AND(#REF!,"AAAAAH697zM=")</f>
        <v>#REF!</v>
      </c>
      <c r="BA105" t="e">
        <f>AND(#REF!,"AAAAAH697zQ=")</f>
        <v>#REF!</v>
      </c>
      <c r="BB105" t="e">
        <f>AND(#REF!,"AAAAAH697zU=")</f>
        <v>#REF!</v>
      </c>
      <c r="BC105" t="e">
        <f>AND(#REF!,"AAAAAH697zY=")</f>
        <v>#REF!</v>
      </c>
      <c r="BD105" t="e">
        <f>AND(#REF!,"AAAAAH697zc=")</f>
        <v>#REF!</v>
      </c>
      <c r="BE105" t="e">
        <f>AND(#REF!,"AAAAAH697zg=")</f>
        <v>#REF!</v>
      </c>
      <c r="BF105" t="e">
        <f>AND(#REF!,"AAAAAH697zk=")</f>
        <v>#REF!</v>
      </c>
      <c r="BG105" t="e">
        <f>AND(#REF!,"AAAAAH697zo=")</f>
        <v>#REF!</v>
      </c>
      <c r="BH105" t="e">
        <f>AND(#REF!,"AAAAAH697zs=")</f>
        <v>#REF!</v>
      </c>
      <c r="BI105" t="e">
        <f>AND(#REF!,"AAAAAH697zw=")</f>
        <v>#REF!</v>
      </c>
      <c r="BJ105" t="e">
        <f>AND(#REF!,"AAAAAH697z0=")</f>
        <v>#REF!</v>
      </c>
      <c r="BK105" t="e">
        <f>AND(#REF!,"AAAAAH697z4=")</f>
        <v>#REF!</v>
      </c>
      <c r="BL105" t="e">
        <f>AND(#REF!,"AAAAAH697z8=")</f>
        <v>#REF!</v>
      </c>
      <c r="BM105" t="e">
        <f>AND(#REF!,"AAAAAH6970A=")</f>
        <v>#REF!</v>
      </c>
      <c r="BN105" t="e">
        <f>AND(#REF!,"AAAAAH6970E=")</f>
        <v>#REF!</v>
      </c>
      <c r="BO105" t="e">
        <f>AND(#REF!,"AAAAAH6970I=")</f>
        <v>#REF!</v>
      </c>
      <c r="BP105" t="e">
        <f>AND(#REF!,"AAAAAH6970M=")</f>
        <v>#REF!</v>
      </c>
      <c r="BQ105" t="e">
        <f>AND(#REF!,"AAAAAH6970Q=")</f>
        <v>#REF!</v>
      </c>
      <c r="BR105" t="e">
        <f>AND(#REF!,"AAAAAH6970U=")</f>
        <v>#REF!</v>
      </c>
      <c r="BS105" t="e">
        <f>AND(#REF!,"AAAAAH6970Y=")</f>
        <v>#REF!</v>
      </c>
      <c r="BT105" t="e">
        <f>AND(#REF!,"AAAAAH6970c=")</f>
        <v>#REF!</v>
      </c>
      <c r="BU105" t="e">
        <f>AND(#REF!,"AAAAAH6970g=")</f>
        <v>#REF!</v>
      </c>
      <c r="BV105" t="e">
        <f>AND(#REF!,"AAAAAH6970k=")</f>
        <v>#REF!</v>
      </c>
      <c r="BW105" t="e">
        <f>AND(#REF!,"AAAAAH6970o=")</f>
        <v>#REF!</v>
      </c>
      <c r="BX105" t="e">
        <f>AND(#REF!,"AAAAAH6970s=")</f>
        <v>#REF!</v>
      </c>
      <c r="BY105" t="e">
        <f>AND(#REF!,"AAAAAH6970w=")</f>
        <v>#REF!</v>
      </c>
      <c r="BZ105" t="e">
        <f>AND(#REF!,"AAAAAH69700=")</f>
        <v>#REF!</v>
      </c>
      <c r="CA105" t="e">
        <f>AND(#REF!,"AAAAAH69704=")</f>
        <v>#REF!</v>
      </c>
      <c r="CB105" t="e">
        <f>AND(#REF!,"AAAAAH69708=")</f>
        <v>#REF!</v>
      </c>
      <c r="CC105" t="e">
        <f>AND(#REF!,"AAAAAH6971A=")</f>
        <v>#REF!</v>
      </c>
      <c r="CD105" t="e">
        <f>AND(#REF!,"AAAAAH6971E=")</f>
        <v>#REF!</v>
      </c>
      <c r="CE105" t="e">
        <f>AND(#REF!,"AAAAAH6971I=")</f>
        <v>#REF!</v>
      </c>
      <c r="CF105" t="e">
        <f>AND(#REF!,"AAAAAH6971M=")</f>
        <v>#REF!</v>
      </c>
      <c r="CG105" t="e">
        <f>AND(#REF!,"AAAAAH6971Q=")</f>
        <v>#REF!</v>
      </c>
      <c r="CH105" t="e">
        <f>AND(#REF!,"AAAAAH6971U=")</f>
        <v>#REF!</v>
      </c>
      <c r="CI105" t="e">
        <f>AND(#REF!,"AAAAAH6971Y=")</f>
        <v>#REF!</v>
      </c>
      <c r="CJ105" t="e">
        <f>AND(#REF!,"AAAAAH6971c=")</f>
        <v>#REF!</v>
      </c>
      <c r="CK105" t="e">
        <f>AND(#REF!,"AAAAAH6971g=")</f>
        <v>#REF!</v>
      </c>
      <c r="CL105" t="e">
        <f>AND(#REF!,"AAAAAH6971k=")</f>
        <v>#REF!</v>
      </c>
      <c r="CM105" t="e">
        <f>AND(#REF!,"AAAAAH6971o=")</f>
        <v>#REF!</v>
      </c>
      <c r="CN105" t="e">
        <f>AND(#REF!,"AAAAAH6971s=")</f>
        <v>#REF!</v>
      </c>
      <c r="CO105" t="e">
        <f>AND(#REF!,"AAAAAH6971w=")</f>
        <v>#REF!</v>
      </c>
      <c r="CP105" t="e">
        <f>AND(#REF!,"AAAAAH69710=")</f>
        <v>#REF!</v>
      </c>
      <c r="CQ105" t="e">
        <f>AND(#REF!,"AAAAAH69714=")</f>
        <v>#REF!</v>
      </c>
      <c r="CR105" t="e">
        <f>AND(#REF!,"AAAAAH69718=")</f>
        <v>#REF!</v>
      </c>
      <c r="CS105" t="e">
        <f>AND(#REF!,"AAAAAH6972A=")</f>
        <v>#REF!</v>
      </c>
      <c r="CT105" t="e">
        <f>AND(#REF!,"AAAAAH6972E=")</f>
        <v>#REF!</v>
      </c>
      <c r="CU105" t="e">
        <f>AND(#REF!,"AAAAAH6972I=")</f>
        <v>#REF!</v>
      </c>
      <c r="CV105" t="e">
        <f>AND(#REF!,"AAAAAH6972M=")</f>
        <v>#REF!</v>
      </c>
      <c r="CW105" t="e">
        <f>AND(#REF!,"AAAAAH6972Q=")</f>
        <v>#REF!</v>
      </c>
      <c r="CX105" t="e">
        <f>AND(#REF!,"AAAAAH6972U=")</f>
        <v>#REF!</v>
      </c>
      <c r="CY105" t="e">
        <f>AND(#REF!,"AAAAAH6972Y=")</f>
        <v>#REF!</v>
      </c>
      <c r="CZ105" t="e">
        <f>AND(#REF!,"AAAAAH6972c=")</f>
        <v>#REF!</v>
      </c>
      <c r="DA105" t="e">
        <f>AND(#REF!,"AAAAAH6972g=")</f>
        <v>#REF!</v>
      </c>
      <c r="DB105" t="e">
        <f>AND(#REF!,"AAAAAH6972k=")</f>
        <v>#REF!</v>
      </c>
      <c r="DC105" t="e">
        <f>AND(#REF!,"AAAAAH6972o=")</f>
        <v>#REF!</v>
      </c>
      <c r="DD105" t="e">
        <f>AND(#REF!,"AAAAAH6972s=")</f>
        <v>#REF!</v>
      </c>
      <c r="DE105" t="e">
        <f>AND(#REF!,"AAAAAH6972w=")</f>
        <v>#REF!</v>
      </c>
      <c r="DF105" t="e">
        <f>AND(#REF!,"AAAAAH69720=")</f>
        <v>#REF!</v>
      </c>
      <c r="DG105" t="e">
        <f>AND(#REF!,"AAAAAH69724=")</f>
        <v>#REF!</v>
      </c>
      <c r="DH105" t="e">
        <f>AND(#REF!,"AAAAAH69728=")</f>
        <v>#REF!</v>
      </c>
      <c r="DI105" t="e">
        <f>AND(#REF!,"AAAAAH6973A=")</f>
        <v>#REF!</v>
      </c>
      <c r="DJ105" t="e">
        <f>AND(#REF!,"AAAAAH6973E=")</f>
        <v>#REF!</v>
      </c>
      <c r="DK105" t="e">
        <f>AND(#REF!,"AAAAAH6973I=")</f>
        <v>#REF!</v>
      </c>
      <c r="DL105" t="e">
        <f>AND(#REF!,"AAAAAH6973M=")</f>
        <v>#REF!</v>
      </c>
      <c r="DM105" t="e">
        <f>AND(#REF!,"AAAAAH6973Q=")</f>
        <v>#REF!</v>
      </c>
      <c r="DN105" t="e">
        <f>AND(#REF!,"AAAAAH6973U=")</f>
        <v>#REF!</v>
      </c>
      <c r="DO105" t="e">
        <f>AND(#REF!,"AAAAAH6973Y=")</f>
        <v>#REF!</v>
      </c>
      <c r="DP105" t="e">
        <f>AND(#REF!,"AAAAAH6973c=")</f>
        <v>#REF!</v>
      </c>
      <c r="DQ105" t="e">
        <f>AND(#REF!,"AAAAAH6973g=")</f>
        <v>#REF!</v>
      </c>
      <c r="DR105" t="e">
        <f>AND(#REF!,"AAAAAH6973k=")</f>
        <v>#REF!</v>
      </c>
      <c r="DS105" t="e">
        <f>AND(#REF!,"AAAAAH6973o=")</f>
        <v>#REF!</v>
      </c>
      <c r="DT105" t="e">
        <f>AND(#REF!,"AAAAAH6973s=")</f>
        <v>#REF!</v>
      </c>
      <c r="DU105" t="e">
        <f>AND(#REF!,"AAAAAH6973w=")</f>
        <v>#REF!</v>
      </c>
      <c r="DV105" t="e">
        <f>AND(#REF!,"AAAAAH69730=")</f>
        <v>#REF!</v>
      </c>
      <c r="DW105" t="e">
        <f>AND(#REF!,"AAAAAH69734=")</f>
        <v>#REF!</v>
      </c>
      <c r="DX105" t="e">
        <f>AND(#REF!,"AAAAAH69738=")</f>
        <v>#REF!</v>
      </c>
      <c r="DY105" t="e">
        <f>AND(#REF!,"AAAAAH6974A=")</f>
        <v>#REF!</v>
      </c>
      <c r="DZ105" t="e">
        <f>AND(#REF!,"AAAAAH6974E=")</f>
        <v>#REF!</v>
      </c>
      <c r="EA105" t="e">
        <f>AND(#REF!,"AAAAAH6974I=")</f>
        <v>#REF!</v>
      </c>
      <c r="EB105" t="e">
        <f>AND(#REF!,"AAAAAH6974M=")</f>
        <v>#REF!</v>
      </c>
      <c r="EC105" t="e">
        <f>AND(#REF!,"AAAAAH6974Q=")</f>
        <v>#REF!</v>
      </c>
      <c r="ED105" t="e">
        <f>AND(#REF!,"AAAAAH6974U=")</f>
        <v>#REF!</v>
      </c>
      <c r="EE105" t="e">
        <f>AND(#REF!,"AAAAAH6974Y=")</f>
        <v>#REF!</v>
      </c>
      <c r="EF105" t="e">
        <f>AND(#REF!,"AAAAAH6974c=")</f>
        <v>#REF!</v>
      </c>
      <c r="EG105" t="e">
        <f>AND(#REF!,"AAAAAH6974g=")</f>
        <v>#REF!</v>
      </c>
      <c r="EH105" t="e">
        <f>AND(#REF!,"AAAAAH6974k=")</f>
        <v>#REF!</v>
      </c>
      <c r="EI105" t="e">
        <f>AND(#REF!,"AAAAAH6974o=")</f>
        <v>#REF!</v>
      </c>
      <c r="EJ105" t="e">
        <f>AND(#REF!,"AAAAAH6974s=")</f>
        <v>#REF!</v>
      </c>
      <c r="EK105" t="e">
        <f>AND(#REF!,"AAAAAH6974w=")</f>
        <v>#REF!</v>
      </c>
      <c r="EL105" t="e">
        <f>AND(#REF!,"AAAAAH69740=")</f>
        <v>#REF!</v>
      </c>
      <c r="EM105" t="e">
        <f>AND(#REF!,"AAAAAH69744=")</f>
        <v>#REF!</v>
      </c>
      <c r="EN105" t="e">
        <f>AND(#REF!,"AAAAAH69748=")</f>
        <v>#REF!</v>
      </c>
      <c r="EO105" t="e">
        <f>AND(#REF!,"AAAAAH6975A=")</f>
        <v>#REF!</v>
      </c>
      <c r="EP105" t="e">
        <f>AND(#REF!,"AAAAAH6975E=")</f>
        <v>#REF!</v>
      </c>
      <c r="EQ105" t="e">
        <f>AND(#REF!,"AAAAAH6975I=")</f>
        <v>#REF!</v>
      </c>
      <c r="ER105" t="e">
        <f>AND(#REF!,"AAAAAH6975M=")</f>
        <v>#REF!</v>
      </c>
      <c r="ES105" t="e">
        <f>AND(#REF!,"AAAAAH6975Q=")</f>
        <v>#REF!</v>
      </c>
      <c r="ET105" t="e">
        <f>AND(#REF!,"AAAAAH6975U=")</f>
        <v>#REF!</v>
      </c>
      <c r="EU105" t="e">
        <f>AND(#REF!,"AAAAAH6975Y=")</f>
        <v>#REF!</v>
      </c>
      <c r="EV105" t="e">
        <f>AND(#REF!,"AAAAAH6975c=")</f>
        <v>#REF!</v>
      </c>
      <c r="EW105" t="e">
        <f>AND(#REF!,"AAAAAH6975g=")</f>
        <v>#REF!</v>
      </c>
      <c r="EX105" t="e">
        <f>AND(#REF!,"AAAAAH6975k=")</f>
        <v>#REF!</v>
      </c>
      <c r="EY105" t="e">
        <f>AND(#REF!,"AAAAAH6975o=")</f>
        <v>#REF!</v>
      </c>
      <c r="EZ105" t="e">
        <f>AND(#REF!,"AAAAAH6975s=")</f>
        <v>#REF!</v>
      </c>
      <c r="FA105" t="e">
        <f>AND(#REF!,"AAAAAH6975w=")</f>
        <v>#REF!</v>
      </c>
      <c r="FB105" t="e">
        <f>AND(#REF!,"AAAAAH69750=")</f>
        <v>#REF!</v>
      </c>
      <c r="FC105" t="e">
        <f>AND(#REF!,"AAAAAH69754=")</f>
        <v>#REF!</v>
      </c>
      <c r="FD105" t="e">
        <f>AND(#REF!,"AAAAAH69758=")</f>
        <v>#REF!</v>
      </c>
      <c r="FE105" t="e">
        <f>AND(#REF!,"AAAAAH6976A=")</f>
        <v>#REF!</v>
      </c>
      <c r="FF105" t="e">
        <f>AND(#REF!,"AAAAAH6976E=")</f>
        <v>#REF!</v>
      </c>
      <c r="FG105" t="e">
        <f>AND(#REF!,"AAAAAH6976I=")</f>
        <v>#REF!</v>
      </c>
      <c r="FH105" t="e">
        <f>AND(#REF!,"AAAAAH6976M=")</f>
        <v>#REF!</v>
      </c>
      <c r="FI105" t="e">
        <f>AND(#REF!,"AAAAAH6976Q=")</f>
        <v>#REF!</v>
      </c>
      <c r="FJ105" t="e">
        <f>AND(#REF!,"AAAAAH6976U=")</f>
        <v>#REF!</v>
      </c>
      <c r="FK105" t="e">
        <f>AND(#REF!,"AAAAAH6976Y=")</f>
        <v>#REF!</v>
      </c>
      <c r="FL105" t="e">
        <f>AND(#REF!,"AAAAAH6976c=")</f>
        <v>#REF!</v>
      </c>
      <c r="FM105" t="e">
        <f>AND(#REF!,"AAAAAH6976g=")</f>
        <v>#REF!</v>
      </c>
      <c r="FN105" t="e">
        <f>AND(#REF!,"AAAAAH6976k=")</f>
        <v>#REF!</v>
      </c>
      <c r="FO105" t="e">
        <f>AND(#REF!,"AAAAAH6976o=")</f>
        <v>#REF!</v>
      </c>
      <c r="FP105" t="e">
        <f>AND(#REF!,"AAAAAH6976s=")</f>
        <v>#REF!</v>
      </c>
      <c r="FQ105" t="e">
        <f>AND(#REF!,"AAAAAH6976w=")</f>
        <v>#REF!</v>
      </c>
      <c r="FR105" t="e">
        <f>AND(#REF!,"AAAAAH69760=")</f>
        <v>#REF!</v>
      </c>
      <c r="FS105" t="e">
        <f>AND(#REF!,"AAAAAH69764=")</f>
        <v>#REF!</v>
      </c>
      <c r="FT105" t="e">
        <f>AND(#REF!,"AAAAAH69768=")</f>
        <v>#REF!</v>
      </c>
      <c r="FU105" t="e">
        <f>AND(#REF!,"AAAAAH6977A=")</f>
        <v>#REF!</v>
      </c>
      <c r="FV105" t="e">
        <f>AND(#REF!,"AAAAAH6977E=")</f>
        <v>#REF!</v>
      </c>
      <c r="FW105" t="e">
        <f>AND(#REF!,"AAAAAH6977I=")</f>
        <v>#REF!</v>
      </c>
      <c r="FX105" t="e">
        <f>IF(#REF!,"AAAAAH6977M=",0)</f>
        <v>#REF!</v>
      </c>
      <c r="FY105" t="e">
        <f>AND(#REF!,"AAAAAH6977Q=")</f>
        <v>#REF!</v>
      </c>
      <c r="FZ105" t="e">
        <f>AND(#REF!,"AAAAAH6977U=")</f>
        <v>#REF!</v>
      </c>
      <c r="GA105" t="e">
        <f>AND(#REF!,"AAAAAH6977Y=")</f>
        <v>#REF!</v>
      </c>
      <c r="GB105" t="e">
        <f>AND(#REF!,"AAAAAH6977c=")</f>
        <v>#REF!</v>
      </c>
      <c r="GC105" t="e">
        <f>AND(#REF!,"AAAAAH6977g=")</f>
        <v>#REF!</v>
      </c>
      <c r="GD105" t="e">
        <f>AND(#REF!,"AAAAAH6977k=")</f>
        <v>#REF!</v>
      </c>
      <c r="GE105" t="e">
        <f>AND(#REF!,"AAAAAH6977o=")</f>
        <v>#REF!</v>
      </c>
      <c r="GF105" t="e">
        <f>AND(#REF!,"AAAAAH6977s=")</f>
        <v>#REF!</v>
      </c>
      <c r="GG105" t="e">
        <f>AND(#REF!,"AAAAAH6977w=")</f>
        <v>#REF!</v>
      </c>
      <c r="GH105" t="e">
        <f>AND(#REF!,"AAAAAH69770=")</f>
        <v>#REF!</v>
      </c>
      <c r="GI105" t="e">
        <f>AND(#REF!,"AAAAAH69774=")</f>
        <v>#REF!</v>
      </c>
      <c r="GJ105" t="e">
        <f>AND(#REF!,"AAAAAH69778=")</f>
        <v>#REF!</v>
      </c>
      <c r="GK105" t="e">
        <f>AND(#REF!,"AAAAAH6978A=")</f>
        <v>#REF!</v>
      </c>
      <c r="GL105" t="e">
        <f>AND(#REF!,"AAAAAH6978E=")</f>
        <v>#REF!</v>
      </c>
      <c r="GM105" t="e">
        <f>AND(#REF!,"AAAAAH6978I=")</f>
        <v>#REF!</v>
      </c>
      <c r="GN105" t="e">
        <f>AND(#REF!,"AAAAAH6978M=")</f>
        <v>#REF!</v>
      </c>
      <c r="GO105" t="e">
        <f>AND(#REF!,"AAAAAH6978Q=")</f>
        <v>#REF!</v>
      </c>
      <c r="GP105" t="e">
        <f>AND(#REF!,"AAAAAH6978U=")</f>
        <v>#REF!</v>
      </c>
      <c r="GQ105" t="e">
        <f>AND(#REF!,"AAAAAH6978Y=")</f>
        <v>#REF!</v>
      </c>
      <c r="GR105" t="e">
        <f>AND(#REF!,"AAAAAH6978c=")</f>
        <v>#REF!</v>
      </c>
      <c r="GS105" t="e">
        <f>AND(#REF!,"AAAAAH6978g=")</f>
        <v>#REF!</v>
      </c>
      <c r="GT105" t="e">
        <f>AND(#REF!,"AAAAAH6978k=")</f>
        <v>#REF!</v>
      </c>
      <c r="GU105" t="e">
        <f>AND(#REF!,"AAAAAH6978o=")</f>
        <v>#REF!</v>
      </c>
      <c r="GV105" t="e">
        <f>AND(#REF!,"AAAAAH6978s=")</f>
        <v>#REF!</v>
      </c>
      <c r="GW105" t="e">
        <f>AND(#REF!,"AAAAAH6978w=")</f>
        <v>#REF!</v>
      </c>
      <c r="GX105" t="e">
        <f>AND(#REF!,"AAAAAH69780=")</f>
        <v>#REF!</v>
      </c>
      <c r="GY105" t="e">
        <f>AND(#REF!,"AAAAAH69784=")</f>
        <v>#REF!</v>
      </c>
      <c r="GZ105" t="e">
        <f>AND(#REF!,"AAAAAH69788=")</f>
        <v>#REF!</v>
      </c>
      <c r="HA105" t="e">
        <f>AND(#REF!,"AAAAAH6979A=")</f>
        <v>#REF!</v>
      </c>
      <c r="HB105" t="e">
        <f>AND(#REF!,"AAAAAH6979E=")</f>
        <v>#REF!</v>
      </c>
      <c r="HC105" t="e">
        <f>AND(#REF!,"AAAAAH6979I=")</f>
        <v>#REF!</v>
      </c>
      <c r="HD105" t="e">
        <f>AND(#REF!,"AAAAAH6979M=")</f>
        <v>#REF!</v>
      </c>
      <c r="HE105" t="e">
        <f>AND(#REF!,"AAAAAH6979Q=")</f>
        <v>#REF!</v>
      </c>
      <c r="HF105" t="e">
        <f>AND(#REF!,"AAAAAH6979U=")</f>
        <v>#REF!</v>
      </c>
      <c r="HG105" t="e">
        <f>AND(#REF!,"AAAAAH6979Y=")</f>
        <v>#REF!</v>
      </c>
      <c r="HH105" t="e">
        <f>AND(#REF!,"AAAAAH6979c=")</f>
        <v>#REF!</v>
      </c>
      <c r="HI105" t="e">
        <f>AND(#REF!,"AAAAAH6979g=")</f>
        <v>#REF!</v>
      </c>
      <c r="HJ105" t="e">
        <f>AND(#REF!,"AAAAAH6979k=")</f>
        <v>#REF!</v>
      </c>
      <c r="HK105" t="e">
        <f>AND(#REF!,"AAAAAH6979o=")</f>
        <v>#REF!</v>
      </c>
      <c r="HL105" t="e">
        <f>AND(#REF!,"AAAAAH6979s=")</f>
        <v>#REF!</v>
      </c>
      <c r="HM105" t="e">
        <f>AND(#REF!,"AAAAAH6979w=")</f>
        <v>#REF!</v>
      </c>
      <c r="HN105" t="e">
        <f>AND(#REF!,"AAAAAH69790=")</f>
        <v>#REF!</v>
      </c>
      <c r="HO105" t="e">
        <f>AND(#REF!,"AAAAAH69794=")</f>
        <v>#REF!</v>
      </c>
      <c r="HP105" t="e">
        <f>AND(#REF!,"AAAAAH69798=")</f>
        <v>#REF!</v>
      </c>
      <c r="HQ105" t="e">
        <f>AND(#REF!,"AAAAAH697+A=")</f>
        <v>#REF!</v>
      </c>
      <c r="HR105" t="e">
        <f>AND(#REF!,"AAAAAH697+E=")</f>
        <v>#REF!</v>
      </c>
      <c r="HS105" t="e">
        <f>AND(#REF!,"AAAAAH697+I=")</f>
        <v>#REF!</v>
      </c>
      <c r="HT105" t="e">
        <f>AND(#REF!,"AAAAAH697+M=")</f>
        <v>#REF!</v>
      </c>
      <c r="HU105" t="e">
        <f>AND(#REF!,"AAAAAH697+Q=")</f>
        <v>#REF!</v>
      </c>
      <c r="HV105" t="e">
        <f>AND(#REF!,"AAAAAH697+U=")</f>
        <v>#REF!</v>
      </c>
      <c r="HW105" t="e">
        <f>AND(#REF!,"AAAAAH697+Y=")</f>
        <v>#REF!</v>
      </c>
      <c r="HX105" t="e">
        <f>AND(#REF!,"AAAAAH697+c=")</f>
        <v>#REF!</v>
      </c>
      <c r="HY105" t="e">
        <f>AND(#REF!,"AAAAAH697+g=")</f>
        <v>#REF!</v>
      </c>
      <c r="HZ105" t="e">
        <f>AND(#REF!,"AAAAAH697+k=")</f>
        <v>#REF!</v>
      </c>
      <c r="IA105" t="e">
        <f>AND(#REF!,"AAAAAH697+o=")</f>
        <v>#REF!</v>
      </c>
      <c r="IB105" t="e">
        <f>AND(#REF!,"AAAAAH697+s=")</f>
        <v>#REF!</v>
      </c>
      <c r="IC105" t="e">
        <f>AND(#REF!,"AAAAAH697+w=")</f>
        <v>#REF!</v>
      </c>
      <c r="ID105" t="e">
        <f>AND(#REF!,"AAAAAH697+0=")</f>
        <v>#REF!</v>
      </c>
      <c r="IE105" t="e">
        <f>AND(#REF!,"AAAAAH697+4=")</f>
        <v>#REF!</v>
      </c>
      <c r="IF105" t="e">
        <f>AND(#REF!,"AAAAAH697+8=")</f>
        <v>#REF!</v>
      </c>
      <c r="IG105" t="e">
        <f>AND(#REF!,"AAAAAH697/A=")</f>
        <v>#REF!</v>
      </c>
      <c r="IH105" t="e">
        <f>AND(#REF!,"AAAAAH697/E=")</f>
        <v>#REF!</v>
      </c>
      <c r="II105" t="e">
        <f>AND(#REF!,"AAAAAH697/I=")</f>
        <v>#REF!</v>
      </c>
      <c r="IJ105" t="e">
        <f>AND(#REF!,"AAAAAH697/M=")</f>
        <v>#REF!</v>
      </c>
      <c r="IK105" t="e">
        <f>AND(#REF!,"AAAAAH697/Q=")</f>
        <v>#REF!</v>
      </c>
      <c r="IL105" t="e">
        <f>AND(#REF!,"AAAAAH697/U=")</f>
        <v>#REF!</v>
      </c>
      <c r="IM105" t="e">
        <f>AND(#REF!,"AAAAAH697/Y=")</f>
        <v>#REF!</v>
      </c>
      <c r="IN105" t="e">
        <f>AND(#REF!,"AAAAAH697/c=")</f>
        <v>#REF!</v>
      </c>
      <c r="IO105" t="e">
        <f>AND(#REF!,"AAAAAH697/g=")</f>
        <v>#REF!</v>
      </c>
      <c r="IP105" t="e">
        <f>AND(#REF!,"AAAAAH697/k=")</f>
        <v>#REF!</v>
      </c>
      <c r="IQ105" t="e">
        <f>AND(#REF!,"AAAAAH697/o=")</f>
        <v>#REF!</v>
      </c>
      <c r="IR105" t="e">
        <f>AND(#REF!,"AAAAAH697/s=")</f>
        <v>#REF!</v>
      </c>
      <c r="IS105" t="e">
        <f>AND(#REF!,"AAAAAH697/w=")</f>
        <v>#REF!</v>
      </c>
      <c r="IT105" t="e">
        <f>AND(#REF!,"AAAAAH697/0=")</f>
        <v>#REF!</v>
      </c>
      <c r="IU105" t="e">
        <f>AND(#REF!,"AAAAAH697/4=")</f>
        <v>#REF!</v>
      </c>
      <c r="IV105" t="e">
        <f>AND(#REF!,"AAAAAH697/8=")</f>
        <v>#REF!</v>
      </c>
    </row>
    <row r="106" spans="1:256" x14ac:dyDescent="0.25">
      <c r="A106" t="e">
        <f>AND(#REF!,"AAAAADb/zgA=")</f>
        <v>#REF!</v>
      </c>
      <c r="B106" t="e">
        <f>AND(#REF!,"AAAAADb/zgE=")</f>
        <v>#REF!</v>
      </c>
      <c r="C106" t="e">
        <f>AND(#REF!,"AAAAADb/zgI=")</f>
        <v>#REF!</v>
      </c>
      <c r="D106" t="e">
        <f>AND(#REF!,"AAAAADb/zgM=")</f>
        <v>#REF!</v>
      </c>
      <c r="E106" t="e">
        <f>AND(#REF!,"AAAAADb/zgQ=")</f>
        <v>#REF!</v>
      </c>
      <c r="F106" t="e">
        <f>AND(#REF!,"AAAAADb/zgU=")</f>
        <v>#REF!</v>
      </c>
      <c r="G106" t="e">
        <f>AND(#REF!,"AAAAADb/zgY=")</f>
        <v>#REF!</v>
      </c>
      <c r="H106" t="e">
        <f>AND(#REF!,"AAAAADb/zgc=")</f>
        <v>#REF!</v>
      </c>
      <c r="I106" t="e">
        <f>AND(#REF!,"AAAAADb/zgg=")</f>
        <v>#REF!</v>
      </c>
      <c r="J106" t="e">
        <f>AND(#REF!,"AAAAADb/zgk=")</f>
        <v>#REF!</v>
      </c>
      <c r="K106" t="e">
        <f>AND(#REF!,"AAAAADb/zgo=")</f>
        <v>#REF!</v>
      </c>
      <c r="L106" t="e">
        <f>AND(#REF!,"AAAAADb/zgs=")</f>
        <v>#REF!</v>
      </c>
      <c r="M106" t="e">
        <f>AND(#REF!,"AAAAADb/zgw=")</f>
        <v>#REF!</v>
      </c>
      <c r="N106" t="e">
        <f>AND(#REF!,"AAAAADb/zg0=")</f>
        <v>#REF!</v>
      </c>
      <c r="O106" t="e">
        <f>AND(#REF!,"AAAAADb/zg4=")</f>
        <v>#REF!</v>
      </c>
      <c r="P106" t="e">
        <f>AND(#REF!,"AAAAADb/zg8=")</f>
        <v>#REF!</v>
      </c>
      <c r="Q106" t="e">
        <f>AND(#REF!,"AAAAADb/zhA=")</f>
        <v>#REF!</v>
      </c>
      <c r="R106" t="e">
        <f>AND(#REF!,"AAAAADb/zhE=")</f>
        <v>#REF!</v>
      </c>
      <c r="S106" t="e">
        <f>AND(#REF!,"AAAAADb/zhI=")</f>
        <v>#REF!</v>
      </c>
      <c r="T106" t="e">
        <f>AND(#REF!,"AAAAADb/zhM=")</f>
        <v>#REF!</v>
      </c>
      <c r="U106" t="e">
        <f>AND(#REF!,"AAAAADb/zhQ=")</f>
        <v>#REF!</v>
      </c>
      <c r="V106" t="e">
        <f>AND(#REF!,"AAAAADb/zhU=")</f>
        <v>#REF!</v>
      </c>
      <c r="W106" t="e">
        <f>AND(#REF!,"AAAAADb/zhY=")</f>
        <v>#REF!</v>
      </c>
      <c r="X106" t="e">
        <f>AND(#REF!,"AAAAADb/zhc=")</f>
        <v>#REF!</v>
      </c>
      <c r="Y106" t="e">
        <f>AND(#REF!,"AAAAADb/zhg=")</f>
        <v>#REF!</v>
      </c>
      <c r="Z106" t="e">
        <f>AND(#REF!,"AAAAADb/zhk=")</f>
        <v>#REF!</v>
      </c>
      <c r="AA106" t="e">
        <f>AND(#REF!,"AAAAADb/zho=")</f>
        <v>#REF!</v>
      </c>
      <c r="AB106" t="e">
        <f>AND(#REF!,"AAAAADb/zhs=")</f>
        <v>#REF!</v>
      </c>
      <c r="AC106" t="e">
        <f>AND(#REF!,"AAAAADb/zhw=")</f>
        <v>#REF!</v>
      </c>
      <c r="AD106" t="e">
        <f>AND(#REF!,"AAAAADb/zh0=")</f>
        <v>#REF!</v>
      </c>
      <c r="AE106" t="e">
        <f>AND(#REF!,"AAAAADb/zh4=")</f>
        <v>#REF!</v>
      </c>
      <c r="AF106" t="e">
        <f>AND(#REF!,"AAAAADb/zh8=")</f>
        <v>#REF!</v>
      </c>
      <c r="AG106" t="e">
        <f>AND(#REF!,"AAAAADb/ziA=")</f>
        <v>#REF!</v>
      </c>
      <c r="AH106" t="e">
        <f>AND(#REF!,"AAAAADb/ziE=")</f>
        <v>#REF!</v>
      </c>
      <c r="AI106" t="e">
        <f>AND(#REF!,"AAAAADb/ziI=")</f>
        <v>#REF!</v>
      </c>
      <c r="AJ106" t="e">
        <f>AND(#REF!,"AAAAADb/ziM=")</f>
        <v>#REF!</v>
      </c>
      <c r="AK106" t="e">
        <f>AND(#REF!,"AAAAADb/ziQ=")</f>
        <v>#REF!</v>
      </c>
      <c r="AL106" t="e">
        <f>AND(#REF!,"AAAAADb/ziU=")</f>
        <v>#REF!</v>
      </c>
      <c r="AM106" t="e">
        <f>AND(#REF!,"AAAAADb/ziY=")</f>
        <v>#REF!</v>
      </c>
      <c r="AN106" t="e">
        <f>AND(#REF!,"AAAAADb/zic=")</f>
        <v>#REF!</v>
      </c>
      <c r="AO106" t="e">
        <f>AND(#REF!,"AAAAADb/zig=")</f>
        <v>#REF!</v>
      </c>
      <c r="AP106" t="e">
        <f>AND(#REF!,"AAAAADb/zik=")</f>
        <v>#REF!</v>
      </c>
      <c r="AQ106" t="e">
        <f>AND(#REF!,"AAAAADb/zio=")</f>
        <v>#REF!</v>
      </c>
      <c r="AR106" t="e">
        <f>AND(#REF!,"AAAAADb/zis=")</f>
        <v>#REF!</v>
      </c>
      <c r="AS106" t="e">
        <f>AND(#REF!,"AAAAADb/ziw=")</f>
        <v>#REF!</v>
      </c>
      <c r="AT106" t="e">
        <f>AND(#REF!,"AAAAADb/zi0=")</f>
        <v>#REF!</v>
      </c>
      <c r="AU106" t="e">
        <f>AND(#REF!,"AAAAADb/zi4=")</f>
        <v>#REF!</v>
      </c>
      <c r="AV106" t="e">
        <f>AND(#REF!,"AAAAADb/zi8=")</f>
        <v>#REF!</v>
      </c>
      <c r="AW106" t="e">
        <f>AND(#REF!,"AAAAADb/zjA=")</f>
        <v>#REF!</v>
      </c>
      <c r="AX106" t="e">
        <f>AND(#REF!,"AAAAADb/zjE=")</f>
        <v>#REF!</v>
      </c>
      <c r="AY106" t="e">
        <f>AND(#REF!,"AAAAADb/zjI=")</f>
        <v>#REF!</v>
      </c>
      <c r="AZ106" t="e">
        <f>AND(#REF!,"AAAAADb/zjM=")</f>
        <v>#REF!</v>
      </c>
      <c r="BA106" t="e">
        <f>AND(#REF!,"AAAAADb/zjQ=")</f>
        <v>#REF!</v>
      </c>
      <c r="BB106" t="e">
        <f>AND(#REF!,"AAAAADb/zjU=")</f>
        <v>#REF!</v>
      </c>
      <c r="BC106" t="e">
        <f>AND(#REF!,"AAAAADb/zjY=")</f>
        <v>#REF!</v>
      </c>
      <c r="BD106" t="e">
        <f>AND(#REF!,"AAAAADb/zjc=")</f>
        <v>#REF!</v>
      </c>
      <c r="BE106" t="e">
        <f>AND(#REF!,"AAAAADb/zjg=")</f>
        <v>#REF!</v>
      </c>
      <c r="BF106" t="e">
        <f>AND(#REF!,"AAAAADb/zjk=")</f>
        <v>#REF!</v>
      </c>
      <c r="BG106" t="e">
        <f>AND(#REF!,"AAAAADb/zjo=")</f>
        <v>#REF!</v>
      </c>
      <c r="BH106" t="e">
        <f>AND(#REF!,"AAAAADb/zjs=")</f>
        <v>#REF!</v>
      </c>
      <c r="BI106" t="e">
        <f>AND(#REF!,"AAAAADb/zjw=")</f>
        <v>#REF!</v>
      </c>
      <c r="BJ106" t="e">
        <f>AND(#REF!,"AAAAADb/zj0=")</f>
        <v>#REF!</v>
      </c>
      <c r="BK106" t="e">
        <f>AND(#REF!,"AAAAADb/zj4=")</f>
        <v>#REF!</v>
      </c>
      <c r="BL106" t="e">
        <f>AND(#REF!,"AAAAADb/zj8=")</f>
        <v>#REF!</v>
      </c>
      <c r="BM106" t="e">
        <f>AND(#REF!,"AAAAADb/zkA=")</f>
        <v>#REF!</v>
      </c>
      <c r="BN106" t="e">
        <f>AND(#REF!,"AAAAADb/zkE=")</f>
        <v>#REF!</v>
      </c>
      <c r="BO106" t="e">
        <f>AND(#REF!,"AAAAADb/zkI=")</f>
        <v>#REF!</v>
      </c>
      <c r="BP106" t="e">
        <f>AND(#REF!,"AAAAADb/zkM=")</f>
        <v>#REF!</v>
      </c>
      <c r="BQ106" t="e">
        <f>AND(#REF!,"AAAAADb/zkQ=")</f>
        <v>#REF!</v>
      </c>
      <c r="BR106" t="e">
        <f>AND(#REF!,"AAAAADb/zkU=")</f>
        <v>#REF!</v>
      </c>
      <c r="BS106" t="e">
        <f>AND(#REF!,"AAAAADb/zkY=")</f>
        <v>#REF!</v>
      </c>
      <c r="BT106" t="e">
        <f>AND(#REF!,"AAAAADb/zkc=")</f>
        <v>#REF!</v>
      </c>
      <c r="BU106" t="e">
        <f>AND(#REF!,"AAAAADb/zkg=")</f>
        <v>#REF!</v>
      </c>
      <c r="BV106" t="e">
        <f>AND(#REF!,"AAAAADb/zkk=")</f>
        <v>#REF!</v>
      </c>
      <c r="BW106" t="e">
        <f>AND(#REF!,"AAAAADb/zko=")</f>
        <v>#REF!</v>
      </c>
      <c r="BX106" t="e">
        <f>AND(#REF!,"AAAAADb/zks=")</f>
        <v>#REF!</v>
      </c>
      <c r="BY106" t="e">
        <f>AND(#REF!,"AAAAADb/zkw=")</f>
        <v>#REF!</v>
      </c>
      <c r="BZ106" t="e">
        <f>AND(#REF!,"AAAAADb/zk0=")</f>
        <v>#REF!</v>
      </c>
      <c r="CA106" t="e">
        <f>AND(#REF!,"AAAAADb/zk4=")</f>
        <v>#REF!</v>
      </c>
      <c r="CB106" t="e">
        <f>AND(#REF!,"AAAAADb/zk8=")</f>
        <v>#REF!</v>
      </c>
      <c r="CC106" t="e">
        <f>AND(#REF!,"AAAAADb/zlA=")</f>
        <v>#REF!</v>
      </c>
      <c r="CD106" t="e">
        <f>AND(#REF!,"AAAAADb/zlE=")</f>
        <v>#REF!</v>
      </c>
      <c r="CE106" t="e">
        <f>AND(#REF!,"AAAAADb/zlI=")</f>
        <v>#REF!</v>
      </c>
      <c r="CF106" t="e">
        <f>AND(#REF!,"AAAAADb/zlM=")</f>
        <v>#REF!</v>
      </c>
      <c r="CG106" t="e">
        <f>AND(#REF!,"AAAAADb/zlQ=")</f>
        <v>#REF!</v>
      </c>
      <c r="CH106" t="e">
        <f>AND(#REF!,"AAAAADb/zlU=")</f>
        <v>#REF!</v>
      </c>
      <c r="CI106" t="e">
        <f>AND(#REF!,"AAAAADb/zlY=")</f>
        <v>#REF!</v>
      </c>
      <c r="CJ106" t="e">
        <f>AND(#REF!,"AAAAADb/zlc=")</f>
        <v>#REF!</v>
      </c>
      <c r="CK106" t="e">
        <f>AND(#REF!,"AAAAADb/zlg=")</f>
        <v>#REF!</v>
      </c>
      <c r="CL106" t="e">
        <f>AND(#REF!,"AAAAADb/zlk=")</f>
        <v>#REF!</v>
      </c>
      <c r="CM106" t="e">
        <f>AND(#REF!,"AAAAADb/zlo=")</f>
        <v>#REF!</v>
      </c>
      <c r="CN106" t="e">
        <f>AND(#REF!,"AAAAADb/zls=")</f>
        <v>#REF!</v>
      </c>
      <c r="CO106" t="e">
        <f>AND(#REF!,"AAAAADb/zlw=")</f>
        <v>#REF!</v>
      </c>
      <c r="CP106" t="e">
        <f>AND(#REF!,"AAAAADb/zl0=")</f>
        <v>#REF!</v>
      </c>
      <c r="CQ106" t="e">
        <f>AND(#REF!,"AAAAADb/zl4=")</f>
        <v>#REF!</v>
      </c>
      <c r="CR106" t="e">
        <f>AND(#REF!,"AAAAADb/zl8=")</f>
        <v>#REF!</v>
      </c>
      <c r="CS106" t="e">
        <f>AND(#REF!,"AAAAADb/zmA=")</f>
        <v>#REF!</v>
      </c>
      <c r="CT106" t="e">
        <f>AND(#REF!,"AAAAADb/zmE=")</f>
        <v>#REF!</v>
      </c>
      <c r="CU106" t="e">
        <f>AND(#REF!,"AAAAADb/zmI=")</f>
        <v>#REF!</v>
      </c>
      <c r="CV106" t="e">
        <f>AND(#REF!,"AAAAADb/zmM=")</f>
        <v>#REF!</v>
      </c>
      <c r="CW106" t="e">
        <f>AND(#REF!,"AAAAADb/zmQ=")</f>
        <v>#REF!</v>
      </c>
      <c r="CX106" t="e">
        <f>AND(#REF!,"AAAAADb/zmU=")</f>
        <v>#REF!</v>
      </c>
      <c r="CY106" t="e">
        <f>AND(#REF!,"AAAAADb/zmY=")</f>
        <v>#REF!</v>
      </c>
      <c r="CZ106" t="e">
        <f>AND(#REF!,"AAAAADb/zmc=")</f>
        <v>#REF!</v>
      </c>
      <c r="DA106" t="e">
        <f>AND(#REF!,"AAAAADb/zmg=")</f>
        <v>#REF!</v>
      </c>
      <c r="DB106" t="e">
        <f>AND(#REF!,"AAAAADb/zmk=")</f>
        <v>#REF!</v>
      </c>
      <c r="DC106" t="e">
        <f>AND(#REF!,"AAAAADb/zmo=")</f>
        <v>#REF!</v>
      </c>
      <c r="DD106" t="e">
        <f>AND(#REF!,"AAAAADb/zms=")</f>
        <v>#REF!</v>
      </c>
      <c r="DE106" t="e">
        <f>AND(#REF!,"AAAAADb/zmw=")</f>
        <v>#REF!</v>
      </c>
      <c r="DF106" t="e">
        <f>AND(#REF!,"AAAAADb/zm0=")</f>
        <v>#REF!</v>
      </c>
      <c r="DG106" t="e">
        <f>AND(#REF!,"AAAAADb/zm4=")</f>
        <v>#REF!</v>
      </c>
      <c r="DH106" t="e">
        <f>AND(#REF!,"AAAAADb/zm8=")</f>
        <v>#REF!</v>
      </c>
      <c r="DI106" t="e">
        <f>IF(#REF!,"AAAAADb/znA=",0)</f>
        <v>#REF!</v>
      </c>
      <c r="DJ106" t="e">
        <f>AND(#REF!,"AAAAADb/znE=")</f>
        <v>#REF!</v>
      </c>
      <c r="DK106" t="e">
        <f>AND(#REF!,"AAAAADb/znI=")</f>
        <v>#REF!</v>
      </c>
      <c r="DL106" t="e">
        <f>AND(#REF!,"AAAAADb/znM=")</f>
        <v>#REF!</v>
      </c>
      <c r="DM106" t="e">
        <f>AND(#REF!,"AAAAADb/znQ=")</f>
        <v>#REF!</v>
      </c>
      <c r="DN106" t="e">
        <f>AND(#REF!,"AAAAADb/znU=")</f>
        <v>#REF!</v>
      </c>
      <c r="DO106" t="e">
        <f>AND(#REF!,"AAAAADb/znY=")</f>
        <v>#REF!</v>
      </c>
      <c r="DP106" t="e">
        <f>AND(#REF!,"AAAAADb/znc=")</f>
        <v>#REF!</v>
      </c>
      <c r="DQ106" t="e">
        <f>AND(#REF!,"AAAAADb/zng=")</f>
        <v>#REF!</v>
      </c>
      <c r="DR106" t="e">
        <f>AND(#REF!,"AAAAADb/znk=")</f>
        <v>#REF!</v>
      </c>
      <c r="DS106" t="e">
        <f>AND(#REF!,"AAAAADb/zno=")</f>
        <v>#REF!</v>
      </c>
      <c r="DT106" t="e">
        <f>AND(#REF!,"AAAAADb/zns=")</f>
        <v>#REF!</v>
      </c>
      <c r="DU106" t="e">
        <f>AND(#REF!,"AAAAADb/znw=")</f>
        <v>#REF!</v>
      </c>
      <c r="DV106" t="e">
        <f>AND(#REF!,"AAAAADb/zn0=")</f>
        <v>#REF!</v>
      </c>
      <c r="DW106" t="e">
        <f>AND(#REF!,"AAAAADb/zn4=")</f>
        <v>#REF!</v>
      </c>
      <c r="DX106" t="e">
        <f>AND(#REF!,"AAAAADb/zn8=")</f>
        <v>#REF!</v>
      </c>
      <c r="DY106" t="e">
        <f>AND(#REF!,"AAAAADb/zoA=")</f>
        <v>#REF!</v>
      </c>
      <c r="DZ106" t="e">
        <f>AND(#REF!,"AAAAADb/zoE=")</f>
        <v>#REF!</v>
      </c>
      <c r="EA106" t="e">
        <f>AND(#REF!,"AAAAADb/zoI=")</f>
        <v>#REF!</v>
      </c>
      <c r="EB106" t="e">
        <f>AND(#REF!,"AAAAADb/zoM=")</f>
        <v>#REF!</v>
      </c>
      <c r="EC106" t="e">
        <f>AND(#REF!,"AAAAADb/zoQ=")</f>
        <v>#REF!</v>
      </c>
      <c r="ED106" t="e">
        <f>AND(#REF!,"AAAAADb/zoU=")</f>
        <v>#REF!</v>
      </c>
      <c r="EE106" t="e">
        <f>AND(#REF!,"AAAAADb/zoY=")</f>
        <v>#REF!</v>
      </c>
      <c r="EF106" t="e">
        <f>AND(#REF!,"AAAAADb/zoc=")</f>
        <v>#REF!</v>
      </c>
      <c r="EG106" t="e">
        <f>AND(#REF!,"AAAAADb/zog=")</f>
        <v>#REF!</v>
      </c>
      <c r="EH106" t="e">
        <f>AND(#REF!,"AAAAADb/zok=")</f>
        <v>#REF!</v>
      </c>
      <c r="EI106" t="e">
        <f>AND(#REF!,"AAAAADb/zoo=")</f>
        <v>#REF!</v>
      </c>
      <c r="EJ106" t="e">
        <f>AND(#REF!,"AAAAADb/zos=")</f>
        <v>#REF!</v>
      </c>
      <c r="EK106" t="e">
        <f>AND(#REF!,"AAAAADb/zow=")</f>
        <v>#REF!</v>
      </c>
      <c r="EL106" t="e">
        <f>AND(#REF!,"AAAAADb/zo0=")</f>
        <v>#REF!</v>
      </c>
      <c r="EM106" t="e">
        <f>AND(#REF!,"AAAAADb/zo4=")</f>
        <v>#REF!</v>
      </c>
      <c r="EN106" t="e">
        <f>AND(#REF!,"AAAAADb/zo8=")</f>
        <v>#REF!</v>
      </c>
      <c r="EO106" t="e">
        <f>AND(#REF!,"AAAAADb/zpA=")</f>
        <v>#REF!</v>
      </c>
      <c r="EP106" t="e">
        <f>AND(#REF!,"AAAAADb/zpE=")</f>
        <v>#REF!</v>
      </c>
      <c r="EQ106" t="e">
        <f>AND(#REF!,"AAAAADb/zpI=")</f>
        <v>#REF!</v>
      </c>
      <c r="ER106" t="e">
        <f>AND(#REF!,"AAAAADb/zpM=")</f>
        <v>#REF!</v>
      </c>
      <c r="ES106" t="e">
        <f>AND(#REF!,"AAAAADb/zpQ=")</f>
        <v>#REF!</v>
      </c>
      <c r="ET106" t="e">
        <f>AND(#REF!,"AAAAADb/zpU=")</f>
        <v>#REF!</v>
      </c>
      <c r="EU106" t="e">
        <f>AND(#REF!,"AAAAADb/zpY=")</f>
        <v>#REF!</v>
      </c>
      <c r="EV106" t="e">
        <f>AND(#REF!,"AAAAADb/zpc=")</f>
        <v>#REF!</v>
      </c>
      <c r="EW106" t="e">
        <f>AND(#REF!,"AAAAADb/zpg=")</f>
        <v>#REF!</v>
      </c>
      <c r="EX106" t="e">
        <f>AND(#REF!,"AAAAADb/zpk=")</f>
        <v>#REF!</v>
      </c>
      <c r="EY106" t="e">
        <f>AND(#REF!,"AAAAADb/zpo=")</f>
        <v>#REF!</v>
      </c>
      <c r="EZ106" t="e">
        <f>AND(#REF!,"AAAAADb/zps=")</f>
        <v>#REF!</v>
      </c>
      <c r="FA106" t="e">
        <f>AND(#REF!,"AAAAADb/zpw=")</f>
        <v>#REF!</v>
      </c>
      <c r="FB106" t="e">
        <f>AND(#REF!,"AAAAADb/zp0=")</f>
        <v>#REF!</v>
      </c>
      <c r="FC106" t="e">
        <f>AND(#REF!,"AAAAADb/zp4=")</f>
        <v>#REF!</v>
      </c>
      <c r="FD106" t="e">
        <f>AND(#REF!,"AAAAADb/zp8=")</f>
        <v>#REF!</v>
      </c>
      <c r="FE106" t="e">
        <f>AND(#REF!,"AAAAADb/zqA=")</f>
        <v>#REF!</v>
      </c>
      <c r="FF106" t="e">
        <f>AND(#REF!,"AAAAADb/zqE=")</f>
        <v>#REF!</v>
      </c>
      <c r="FG106" t="e">
        <f>AND(#REF!,"AAAAADb/zqI=")</f>
        <v>#REF!</v>
      </c>
      <c r="FH106" t="e">
        <f>AND(#REF!,"AAAAADb/zqM=")</f>
        <v>#REF!</v>
      </c>
      <c r="FI106" t="e">
        <f>AND(#REF!,"AAAAADb/zqQ=")</f>
        <v>#REF!</v>
      </c>
      <c r="FJ106" t="e">
        <f>AND(#REF!,"AAAAADb/zqU=")</f>
        <v>#REF!</v>
      </c>
      <c r="FK106" t="e">
        <f>AND(#REF!,"AAAAADb/zqY=")</f>
        <v>#REF!</v>
      </c>
      <c r="FL106" t="e">
        <f>AND(#REF!,"AAAAADb/zqc=")</f>
        <v>#REF!</v>
      </c>
      <c r="FM106" t="e">
        <f>AND(#REF!,"AAAAADb/zqg=")</f>
        <v>#REF!</v>
      </c>
      <c r="FN106" t="e">
        <f>AND(#REF!,"AAAAADb/zqk=")</f>
        <v>#REF!</v>
      </c>
      <c r="FO106" t="e">
        <f>AND(#REF!,"AAAAADb/zqo=")</f>
        <v>#REF!</v>
      </c>
      <c r="FP106" t="e">
        <f>AND(#REF!,"AAAAADb/zqs=")</f>
        <v>#REF!</v>
      </c>
      <c r="FQ106" t="e">
        <f>AND(#REF!,"AAAAADb/zqw=")</f>
        <v>#REF!</v>
      </c>
      <c r="FR106" t="e">
        <f>AND(#REF!,"AAAAADb/zq0=")</f>
        <v>#REF!</v>
      </c>
      <c r="FS106" t="e">
        <f>AND(#REF!,"AAAAADb/zq4=")</f>
        <v>#REF!</v>
      </c>
      <c r="FT106" t="e">
        <f>AND(#REF!,"AAAAADb/zq8=")</f>
        <v>#REF!</v>
      </c>
      <c r="FU106" t="e">
        <f>AND(#REF!,"AAAAADb/zrA=")</f>
        <v>#REF!</v>
      </c>
      <c r="FV106" t="e">
        <f>AND(#REF!,"AAAAADb/zrE=")</f>
        <v>#REF!</v>
      </c>
      <c r="FW106" t="e">
        <f>AND(#REF!,"AAAAADb/zrI=")</f>
        <v>#REF!</v>
      </c>
      <c r="FX106" t="e">
        <f>AND(#REF!,"AAAAADb/zrM=")</f>
        <v>#REF!</v>
      </c>
      <c r="FY106" t="e">
        <f>AND(#REF!,"AAAAADb/zrQ=")</f>
        <v>#REF!</v>
      </c>
      <c r="FZ106" t="e">
        <f>AND(#REF!,"AAAAADb/zrU=")</f>
        <v>#REF!</v>
      </c>
      <c r="GA106" t="e">
        <f>AND(#REF!,"AAAAADb/zrY=")</f>
        <v>#REF!</v>
      </c>
      <c r="GB106" t="e">
        <f>AND(#REF!,"AAAAADb/zrc=")</f>
        <v>#REF!</v>
      </c>
      <c r="GC106" t="e">
        <f>AND(#REF!,"AAAAADb/zrg=")</f>
        <v>#REF!</v>
      </c>
      <c r="GD106" t="e">
        <f>AND(#REF!,"AAAAADb/zrk=")</f>
        <v>#REF!</v>
      </c>
      <c r="GE106" t="e">
        <f>AND(#REF!,"AAAAADb/zro=")</f>
        <v>#REF!</v>
      </c>
      <c r="GF106" t="e">
        <f>AND(#REF!,"AAAAADb/zrs=")</f>
        <v>#REF!</v>
      </c>
      <c r="GG106" t="e">
        <f>AND(#REF!,"AAAAADb/zrw=")</f>
        <v>#REF!</v>
      </c>
      <c r="GH106" t="e">
        <f>AND(#REF!,"AAAAADb/zr0=")</f>
        <v>#REF!</v>
      </c>
      <c r="GI106" t="e">
        <f>AND(#REF!,"AAAAADb/zr4=")</f>
        <v>#REF!</v>
      </c>
      <c r="GJ106" t="e">
        <f>AND(#REF!,"AAAAADb/zr8=")</f>
        <v>#REF!</v>
      </c>
      <c r="GK106" t="e">
        <f>AND(#REF!,"AAAAADb/zsA=")</f>
        <v>#REF!</v>
      </c>
      <c r="GL106" t="e">
        <f>AND(#REF!,"AAAAADb/zsE=")</f>
        <v>#REF!</v>
      </c>
      <c r="GM106" t="e">
        <f>AND(#REF!,"AAAAADb/zsI=")</f>
        <v>#REF!</v>
      </c>
      <c r="GN106" t="e">
        <f>AND(#REF!,"AAAAADb/zsM=")</f>
        <v>#REF!</v>
      </c>
      <c r="GO106" t="e">
        <f>AND(#REF!,"AAAAADb/zsQ=")</f>
        <v>#REF!</v>
      </c>
      <c r="GP106" t="e">
        <f>AND(#REF!,"AAAAADb/zsU=")</f>
        <v>#REF!</v>
      </c>
      <c r="GQ106" t="e">
        <f>AND(#REF!,"AAAAADb/zsY=")</f>
        <v>#REF!</v>
      </c>
      <c r="GR106" t="e">
        <f>AND(#REF!,"AAAAADb/zsc=")</f>
        <v>#REF!</v>
      </c>
      <c r="GS106" t="e">
        <f>AND(#REF!,"AAAAADb/zsg=")</f>
        <v>#REF!</v>
      </c>
      <c r="GT106" t="e">
        <f>AND(#REF!,"AAAAADb/zsk=")</f>
        <v>#REF!</v>
      </c>
      <c r="GU106" t="e">
        <f>AND(#REF!,"AAAAADb/zso=")</f>
        <v>#REF!</v>
      </c>
      <c r="GV106" t="e">
        <f>AND(#REF!,"AAAAADb/zss=")</f>
        <v>#REF!</v>
      </c>
      <c r="GW106" t="e">
        <f>AND(#REF!,"AAAAADb/zsw=")</f>
        <v>#REF!</v>
      </c>
      <c r="GX106" t="e">
        <f>AND(#REF!,"AAAAADb/zs0=")</f>
        <v>#REF!</v>
      </c>
      <c r="GY106" t="e">
        <f>AND(#REF!,"AAAAADb/zs4=")</f>
        <v>#REF!</v>
      </c>
      <c r="GZ106" t="e">
        <f>AND(#REF!,"AAAAADb/zs8=")</f>
        <v>#REF!</v>
      </c>
      <c r="HA106" t="e">
        <f>AND(#REF!,"AAAAADb/ztA=")</f>
        <v>#REF!</v>
      </c>
      <c r="HB106" t="e">
        <f>AND(#REF!,"AAAAADb/ztE=")</f>
        <v>#REF!</v>
      </c>
      <c r="HC106" t="e">
        <f>AND(#REF!,"AAAAADb/ztI=")</f>
        <v>#REF!</v>
      </c>
      <c r="HD106" t="e">
        <f>AND(#REF!,"AAAAADb/ztM=")</f>
        <v>#REF!</v>
      </c>
      <c r="HE106" t="e">
        <f>AND(#REF!,"AAAAADb/ztQ=")</f>
        <v>#REF!</v>
      </c>
      <c r="HF106" t="e">
        <f>AND(#REF!,"AAAAADb/ztU=")</f>
        <v>#REF!</v>
      </c>
      <c r="HG106" t="e">
        <f>AND(#REF!,"AAAAADb/ztY=")</f>
        <v>#REF!</v>
      </c>
      <c r="HH106" t="e">
        <f>AND(#REF!,"AAAAADb/ztc=")</f>
        <v>#REF!</v>
      </c>
      <c r="HI106" t="e">
        <f>AND(#REF!,"AAAAADb/ztg=")</f>
        <v>#REF!</v>
      </c>
      <c r="HJ106" t="e">
        <f>AND(#REF!,"AAAAADb/ztk=")</f>
        <v>#REF!</v>
      </c>
      <c r="HK106" t="e">
        <f>AND(#REF!,"AAAAADb/zto=")</f>
        <v>#REF!</v>
      </c>
      <c r="HL106" t="e">
        <f>AND(#REF!,"AAAAADb/zts=")</f>
        <v>#REF!</v>
      </c>
      <c r="HM106" t="e">
        <f>AND(#REF!,"AAAAADb/ztw=")</f>
        <v>#REF!</v>
      </c>
      <c r="HN106" t="e">
        <f>AND(#REF!,"AAAAADb/zt0=")</f>
        <v>#REF!</v>
      </c>
      <c r="HO106" t="e">
        <f>AND(#REF!,"AAAAADb/zt4=")</f>
        <v>#REF!</v>
      </c>
      <c r="HP106" t="e">
        <f>AND(#REF!,"AAAAADb/zt8=")</f>
        <v>#REF!</v>
      </c>
      <c r="HQ106" t="e">
        <f>AND(#REF!,"AAAAADb/zuA=")</f>
        <v>#REF!</v>
      </c>
      <c r="HR106" t="e">
        <f>AND(#REF!,"AAAAADb/zuE=")</f>
        <v>#REF!</v>
      </c>
      <c r="HS106" t="e">
        <f>AND(#REF!,"AAAAADb/zuI=")</f>
        <v>#REF!</v>
      </c>
      <c r="HT106" t="e">
        <f>AND(#REF!,"AAAAADb/zuM=")</f>
        <v>#REF!</v>
      </c>
      <c r="HU106" t="e">
        <f>AND(#REF!,"AAAAADb/zuQ=")</f>
        <v>#REF!</v>
      </c>
      <c r="HV106" t="e">
        <f>AND(#REF!,"AAAAADb/zuU=")</f>
        <v>#REF!</v>
      </c>
      <c r="HW106" t="e">
        <f>AND(#REF!,"AAAAADb/zuY=")</f>
        <v>#REF!</v>
      </c>
      <c r="HX106" t="e">
        <f>AND(#REF!,"AAAAADb/zuc=")</f>
        <v>#REF!</v>
      </c>
      <c r="HY106" t="e">
        <f>AND(#REF!,"AAAAADb/zug=")</f>
        <v>#REF!</v>
      </c>
      <c r="HZ106" t="e">
        <f>AND(#REF!,"AAAAADb/zuk=")</f>
        <v>#REF!</v>
      </c>
      <c r="IA106" t="e">
        <f>AND(#REF!,"AAAAADb/zuo=")</f>
        <v>#REF!</v>
      </c>
      <c r="IB106" t="e">
        <f>AND(#REF!,"AAAAADb/zus=")</f>
        <v>#REF!</v>
      </c>
      <c r="IC106" t="e">
        <f>AND(#REF!,"AAAAADb/zuw=")</f>
        <v>#REF!</v>
      </c>
      <c r="ID106" t="e">
        <f>AND(#REF!,"AAAAADb/zu0=")</f>
        <v>#REF!</v>
      </c>
      <c r="IE106" t="e">
        <f>AND(#REF!,"AAAAADb/zu4=")</f>
        <v>#REF!</v>
      </c>
      <c r="IF106" t="e">
        <f>AND(#REF!,"AAAAADb/zu8=")</f>
        <v>#REF!</v>
      </c>
      <c r="IG106" t="e">
        <f>AND(#REF!,"AAAAADb/zvA=")</f>
        <v>#REF!</v>
      </c>
      <c r="IH106" t="e">
        <f>AND(#REF!,"AAAAADb/zvE=")</f>
        <v>#REF!</v>
      </c>
      <c r="II106" t="e">
        <f>AND(#REF!,"AAAAADb/zvI=")</f>
        <v>#REF!</v>
      </c>
      <c r="IJ106" t="e">
        <f>AND(#REF!,"AAAAADb/zvM=")</f>
        <v>#REF!</v>
      </c>
      <c r="IK106" t="e">
        <f>AND(#REF!,"AAAAADb/zvQ=")</f>
        <v>#REF!</v>
      </c>
      <c r="IL106" t="e">
        <f>AND(#REF!,"AAAAADb/zvU=")</f>
        <v>#REF!</v>
      </c>
      <c r="IM106" t="e">
        <f>AND(#REF!,"AAAAADb/zvY=")</f>
        <v>#REF!</v>
      </c>
      <c r="IN106" t="e">
        <f>AND(#REF!,"AAAAADb/zvc=")</f>
        <v>#REF!</v>
      </c>
      <c r="IO106" t="e">
        <f>AND(#REF!,"AAAAADb/zvg=")</f>
        <v>#REF!</v>
      </c>
      <c r="IP106" t="e">
        <f>AND(#REF!,"AAAAADb/zvk=")</f>
        <v>#REF!</v>
      </c>
      <c r="IQ106" t="e">
        <f>AND(#REF!,"AAAAADb/zvo=")</f>
        <v>#REF!</v>
      </c>
      <c r="IR106" t="e">
        <f>AND(#REF!,"AAAAADb/zvs=")</f>
        <v>#REF!</v>
      </c>
      <c r="IS106" t="e">
        <f>AND(#REF!,"AAAAADb/zvw=")</f>
        <v>#REF!</v>
      </c>
      <c r="IT106" t="e">
        <f>AND(#REF!,"AAAAADb/zv0=")</f>
        <v>#REF!</v>
      </c>
      <c r="IU106" t="e">
        <f>AND(#REF!,"AAAAADb/zv4=")</f>
        <v>#REF!</v>
      </c>
      <c r="IV106" t="e">
        <f>AND(#REF!,"AAAAADb/zv8=")</f>
        <v>#REF!</v>
      </c>
    </row>
    <row r="107" spans="1:256" x14ac:dyDescent="0.25">
      <c r="A107" t="e">
        <f>AND(#REF!,"AAAAAE5XfQA=")</f>
        <v>#REF!</v>
      </c>
      <c r="B107" t="e">
        <f>AND(#REF!,"AAAAAE5XfQE=")</f>
        <v>#REF!</v>
      </c>
      <c r="C107" t="e">
        <f>AND(#REF!,"AAAAAE5XfQI=")</f>
        <v>#REF!</v>
      </c>
      <c r="D107" t="e">
        <f>AND(#REF!,"AAAAAE5XfQM=")</f>
        <v>#REF!</v>
      </c>
      <c r="E107" t="e">
        <f>AND(#REF!,"AAAAAE5XfQQ=")</f>
        <v>#REF!</v>
      </c>
      <c r="F107" t="e">
        <f>AND(#REF!,"AAAAAE5XfQU=")</f>
        <v>#REF!</v>
      </c>
      <c r="G107" t="e">
        <f>AND(#REF!,"AAAAAE5XfQY=")</f>
        <v>#REF!</v>
      </c>
      <c r="H107" t="e">
        <f>AND(#REF!,"AAAAAE5XfQc=")</f>
        <v>#REF!</v>
      </c>
      <c r="I107" t="e">
        <f>AND(#REF!,"AAAAAE5XfQg=")</f>
        <v>#REF!</v>
      </c>
      <c r="J107" t="e">
        <f>AND(#REF!,"AAAAAE5XfQk=")</f>
        <v>#REF!</v>
      </c>
      <c r="K107" t="e">
        <f>AND(#REF!,"AAAAAE5XfQo=")</f>
        <v>#REF!</v>
      </c>
      <c r="L107" t="e">
        <f>AND(#REF!,"AAAAAE5XfQs=")</f>
        <v>#REF!</v>
      </c>
      <c r="M107" t="e">
        <f>AND(#REF!,"AAAAAE5XfQw=")</f>
        <v>#REF!</v>
      </c>
      <c r="N107" t="e">
        <f>AND(#REF!,"AAAAAE5XfQ0=")</f>
        <v>#REF!</v>
      </c>
      <c r="O107" t="e">
        <f>AND(#REF!,"AAAAAE5XfQ4=")</f>
        <v>#REF!</v>
      </c>
      <c r="P107" t="e">
        <f>AND(#REF!,"AAAAAE5XfQ8=")</f>
        <v>#REF!</v>
      </c>
      <c r="Q107" t="e">
        <f>AND(#REF!,"AAAAAE5XfRA=")</f>
        <v>#REF!</v>
      </c>
      <c r="R107" t="e">
        <f>AND(#REF!,"AAAAAE5XfRE=")</f>
        <v>#REF!</v>
      </c>
      <c r="S107" t="e">
        <f>AND(#REF!,"AAAAAE5XfRI=")</f>
        <v>#REF!</v>
      </c>
      <c r="T107" t="e">
        <f>AND(#REF!,"AAAAAE5XfRM=")</f>
        <v>#REF!</v>
      </c>
      <c r="U107" t="e">
        <f>AND(#REF!,"AAAAAE5XfRQ=")</f>
        <v>#REF!</v>
      </c>
      <c r="V107" t="e">
        <f>AND(#REF!,"AAAAAE5XfRU=")</f>
        <v>#REF!</v>
      </c>
      <c r="W107" t="e">
        <f>AND(#REF!,"AAAAAE5XfRY=")</f>
        <v>#REF!</v>
      </c>
      <c r="X107" t="e">
        <f>AND(#REF!,"AAAAAE5XfRc=")</f>
        <v>#REF!</v>
      </c>
      <c r="Y107" t="e">
        <f>AND(#REF!,"AAAAAE5XfRg=")</f>
        <v>#REF!</v>
      </c>
      <c r="Z107" t="e">
        <f>AND(#REF!,"AAAAAE5XfRk=")</f>
        <v>#REF!</v>
      </c>
      <c r="AA107" t="e">
        <f>AND(#REF!,"AAAAAE5XfRo=")</f>
        <v>#REF!</v>
      </c>
      <c r="AB107" t="e">
        <f>AND(#REF!,"AAAAAE5XfRs=")</f>
        <v>#REF!</v>
      </c>
      <c r="AC107" t="e">
        <f>AND(#REF!,"AAAAAE5XfRw=")</f>
        <v>#REF!</v>
      </c>
      <c r="AD107" t="e">
        <f>AND(#REF!,"AAAAAE5XfR0=")</f>
        <v>#REF!</v>
      </c>
      <c r="AE107" t="e">
        <f>AND(#REF!,"AAAAAE5XfR4=")</f>
        <v>#REF!</v>
      </c>
      <c r="AF107" t="e">
        <f>AND(#REF!,"AAAAAE5XfR8=")</f>
        <v>#REF!</v>
      </c>
      <c r="AG107" t="e">
        <f>AND(#REF!,"AAAAAE5XfSA=")</f>
        <v>#REF!</v>
      </c>
      <c r="AH107" t="e">
        <f>AND(#REF!,"AAAAAE5XfSE=")</f>
        <v>#REF!</v>
      </c>
      <c r="AI107" t="e">
        <f>AND(#REF!,"AAAAAE5XfSI=")</f>
        <v>#REF!</v>
      </c>
      <c r="AJ107" t="e">
        <f>AND(#REF!,"AAAAAE5XfSM=")</f>
        <v>#REF!</v>
      </c>
      <c r="AK107" t="e">
        <f>AND(#REF!,"AAAAAE5XfSQ=")</f>
        <v>#REF!</v>
      </c>
      <c r="AL107" t="e">
        <f>AND(#REF!,"AAAAAE5XfSU=")</f>
        <v>#REF!</v>
      </c>
      <c r="AM107" t="e">
        <f>AND(#REF!,"AAAAAE5XfSY=")</f>
        <v>#REF!</v>
      </c>
      <c r="AN107" t="e">
        <f>AND(#REF!,"AAAAAE5XfSc=")</f>
        <v>#REF!</v>
      </c>
      <c r="AO107" t="e">
        <f>AND(#REF!,"AAAAAE5XfSg=")</f>
        <v>#REF!</v>
      </c>
      <c r="AP107" t="e">
        <f>AND(#REF!,"AAAAAE5XfSk=")</f>
        <v>#REF!</v>
      </c>
      <c r="AQ107" t="e">
        <f>AND(#REF!,"AAAAAE5XfSo=")</f>
        <v>#REF!</v>
      </c>
      <c r="AR107" t="e">
        <f>AND(#REF!,"AAAAAE5XfSs=")</f>
        <v>#REF!</v>
      </c>
      <c r="AS107" t="e">
        <f>AND(#REF!,"AAAAAE5XfSw=")</f>
        <v>#REF!</v>
      </c>
      <c r="AT107" t="e">
        <f>IF(#REF!,"AAAAAE5XfS0=",0)</f>
        <v>#REF!</v>
      </c>
      <c r="AU107" t="e">
        <f>AND(#REF!,"AAAAAE5XfS4=")</f>
        <v>#REF!</v>
      </c>
      <c r="AV107" t="e">
        <f>AND(#REF!,"AAAAAE5XfS8=")</f>
        <v>#REF!</v>
      </c>
      <c r="AW107" t="e">
        <f>AND(#REF!,"AAAAAE5XfTA=")</f>
        <v>#REF!</v>
      </c>
      <c r="AX107" t="e">
        <f>AND(#REF!,"AAAAAE5XfTE=")</f>
        <v>#REF!</v>
      </c>
      <c r="AY107" t="e">
        <f>AND(#REF!,"AAAAAE5XfTI=")</f>
        <v>#REF!</v>
      </c>
      <c r="AZ107" t="e">
        <f>AND(#REF!,"AAAAAE5XfTM=")</f>
        <v>#REF!</v>
      </c>
      <c r="BA107" t="e">
        <f>AND(#REF!,"AAAAAE5XfTQ=")</f>
        <v>#REF!</v>
      </c>
      <c r="BB107" t="e">
        <f>AND(#REF!,"AAAAAE5XfTU=")</f>
        <v>#REF!</v>
      </c>
      <c r="BC107" t="e">
        <f>AND(#REF!,"AAAAAE5XfTY=")</f>
        <v>#REF!</v>
      </c>
      <c r="BD107" t="e">
        <f>AND(#REF!,"AAAAAE5XfTc=")</f>
        <v>#REF!</v>
      </c>
      <c r="BE107" t="e">
        <f>AND(#REF!,"AAAAAE5XfTg=")</f>
        <v>#REF!</v>
      </c>
      <c r="BF107" t="e">
        <f>AND(#REF!,"AAAAAE5XfTk=")</f>
        <v>#REF!</v>
      </c>
      <c r="BG107" t="e">
        <f>AND(#REF!,"AAAAAE5XfTo=")</f>
        <v>#REF!</v>
      </c>
      <c r="BH107" t="e">
        <f>AND(#REF!,"AAAAAE5XfTs=")</f>
        <v>#REF!</v>
      </c>
      <c r="BI107" t="e">
        <f>AND(#REF!,"AAAAAE5XfTw=")</f>
        <v>#REF!</v>
      </c>
      <c r="BJ107" t="e">
        <f>AND(#REF!,"AAAAAE5XfT0=")</f>
        <v>#REF!</v>
      </c>
      <c r="BK107" t="e">
        <f>AND(#REF!,"AAAAAE5XfT4=")</f>
        <v>#REF!</v>
      </c>
      <c r="BL107" t="e">
        <f>AND(#REF!,"AAAAAE5XfT8=")</f>
        <v>#REF!</v>
      </c>
      <c r="BM107" t="e">
        <f>AND(#REF!,"AAAAAE5XfUA=")</f>
        <v>#REF!</v>
      </c>
      <c r="BN107" t="e">
        <f>AND(#REF!,"AAAAAE5XfUE=")</f>
        <v>#REF!</v>
      </c>
      <c r="BO107" t="e">
        <f>AND(#REF!,"AAAAAE5XfUI=")</f>
        <v>#REF!</v>
      </c>
      <c r="BP107" t="e">
        <f>AND(#REF!,"AAAAAE5XfUM=")</f>
        <v>#REF!</v>
      </c>
      <c r="BQ107" t="e">
        <f>AND(#REF!,"AAAAAE5XfUQ=")</f>
        <v>#REF!</v>
      </c>
      <c r="BR107" t="e">
        <f>AND(#REF!,"AAAAAE5XfUU=")</f>
        <v>#REF!</v>
      </c>
      <c r="BS107" t="e">
        <f>AND(#REF!,"AAAAAE5XfUY=")</f>
        <v>#REF!</v>
      </c>
      <c r="BT107" t="e">
        <f>AND(#REF!,"AAAAAE5XfUc=")</f>
        <v>#REF!</v>
      </c>
      <c r="BU107" t="e">
        <f>AND(#REF!,"AAAAAE5XfUg=")</f>
        <v>#REF!</v>
      </c>
      <c r="BV107" t="e">
        <f>AND(#REF!,"AAAAAE5XfUk=")</f>
        <v>#REF!</v>
      </c>
      <c r="BW107" t="e">
        <f>AND(#REF!,"AAAAAE5XfUo=")</f>
        <v>#REF!</v>
      </c>
      <c r="BX107" t="e">
        <f>AND(#REF!,"AAAAAE5XfUs=")</f>
        <v>#REF!</v>
      </c>
      <c r="BY107" t="e">
        <f>AND(#REF!,"AAAAAE5XfUw=")</f>
        <v>#REF!</v>
      </c>
      <c r="BZ107" t="e">
        <f>AND(#REF!,"AAAAAE5XfU0=")</f>
        <v>#REF!</v>
      </c>
      <c r="CA107" t="e">
        <f>AND(#REF!,"AAAAAE5XfU4=")</f>
        <v>#REF!</v>
      </c>
      <c r="CB107" t="e">
        <f>AND(#REF!,"AAAAAE5XfU8=")</f>
        <v>#REF!</v>
      </c>
      <c r="CC107" t="e">
        <f>AND(#REF!,"AAAAAE5XfVA=")</f>
        <v>#REF!</v>
      </c>
      <c r="CD107" t="e">
        <f>AND(#REF!,"AAAAAE5XfVE=")</f>
        <v>#REF!</v>
      </c>
      <c r="CE107" t="e">
        <f>AND(#REF!,"AAAAAE5XfVI=")</f>
        <v>#REF!</v>
      </c>
      <c r="CF107" t="e">
        <f>AND(#REF!,"AAAAAE5XfVM=")</f>
        <v>#REF!</v>
      </c>
      <c r="CG107" t="e">
        <f>AND(#REF!,"AAAAAE5XfVQ=")</f>
        <v>#REF!</v>
      </c>
      <c r="CH107" t="e">
        <f>AND(#REF!,"AAAAAE5XfVU=")</f>
        <v>#REF!</v>
      </c>
      <c r="CI107" t="e">
        <f>AND(#REF!,"AAAAAE5XfVY=")</f>
        <v>#REF!</v>
      </c>
      <c r="CJ107" t="e">
        <f>AND(#REF!,"AAAAAE5XfVc=")</f>
        <v>#REF!</v>
      </c>
      <c r="CK107" t="e">
        <f>AND(#REF!,"AAAAAE5XfVg=")</f>
        <v>#REF!</v>
      </c>
      <c r="CL107" t="e">
        <f>AND(#REF!,"AAAAAE5XfVk=")</f>
        <v>#REF!</v>
      </c>
      <c r="CM107" t="e">
        <f>AND(#REF!,"AAAAAE5XfVo=")</f>
        <v>#REF!</v>
      </c>
      <c r="CN107" t="e">
        <f>AND(#REF!,"AAAAAE5XfVs=")</f>
        <v>#REF!</v>
      </c>
      <c r="CO107" t="e">
        <f>AND(#REF!,"AAAAAE5XfVw=")</f>
        <v>#REF!</v>
      </c>
      <c r="CP107" t="e">
        <f>AND(#REF!,"AAAAAE5XfV0=")</f>
        <v>#REF!</v>
      </c>
      <c r="CQ107" t="e">
        <f>AND(#REF!,"AAAAAE5XfV4=")</f>
        <v>#REF!</v>
      </c>
      <c r="CR107" t="e">
        <f>AND(#REF!,"AAAAAE5XfV8=")</f>
        <v>#REF!</v>
      </c>
      <c r="CS107" t="e">
        <f>AND(#REF!,"AAAAAE5XfWA=")</f>
        <v>#REF!</v>
      </c>
      <c r="CT107" t="e">
        <f>AND(#REF!,"AAAAAE5XfWE=")</f>
        <v>#REF!</v>
      </c>
      <c r="CU107" t="e">
        <f>AND(#REF!,"AAAAAE5XfWI=")</f>
        <v>#REF!</v>
      </c>
      <c r="CV107" t="e">
        <f>AND(#REF!,"AAAAAE5XfWM=")</f>
        <v>#REF!</v>
      </c>
      <c r="CW107" t="e">
        <f>AND(#REF!,"AAAAAE5XfWQ=")</f>
        <v>#REF!</v>
      </c>
      <c r="CX107" t="e">
        <f>AND(#REF!,"AAAAAE5XfWU=")</f>
        <v>#REF!</v>
      </c>
      <c r="CY107" t="e">
        <f>AND(#REF!,"AAAAAE5XfWY=")</f>
        <v>#REF!</v>
      </c>
      <c r="CZ107" t="e">
        <f>AND(#REF!,"AAAAAE5XfWc=")</f>
        <v>#REF!</v>
      </c>
      <c r="DA107" t="e">
        <f>AND(#REF!,"AAAAAE5XfWg=")</f>
        <v>#REF!</v>
      </c>
      <c r="DB107" t="e">
        <f>AND(#REF!,"AAAAAE5XfWk=")</f>
        <v>#REF!</v>
      </c>
      <c r="DC107" t="e">
        <f>AND(#REF!,"AAAAAE5XfWo=")</f>
        <v>#REF!</v>
      </c>
      <c r="DD107" t="e">
        <f>AND(#REF!,"AAAAAE5XfWs=")</f>
        <v>#REF!</v>
      </c>
      <c r="DE107" t="e">
        <f>AND(#REF!,"AAAAAE5XfWw=")</f>
        <v>#REF!</v>
      </c>
      <c r="DF107" t="e">
        <f>AND(#REF!,"AAAAAE5XfW0=")</f>
        <v>#REF!</v>
      </c>
      <c r="DG107" t="e">
        <f>AND(#REF!,"AAAAAE5XfW4=")</f>
        <v>#REF!</v>
      </c>
      <c r="DH107" t="e">
        <f>AND(#REF!,"AAAAAE5XfW8=")</f>
        <v>#REF!</v>
      </c>
      <c r="DI107" t="e">
        <f>AND(#REF!,"AAAAAE5XfXA=")</f>
        <v>#REF!</v>
      </c>
      <c r="DJ107" t="e">
        <f>AND(#REF!,"AAAAAE5XfXE=")</f>
        <v>#REF!</v>
      </c>
      <c r="DK107" t="e">
        <f>AND(#REF!,"AAAAAE5XfXI=")</f>
        <v>#REF!</v>
      </c>
      <c r="DL107" t="e">
        <f>AND(#REF!,"AAAAAE5XfXM=")</f>
        <v>#REF!</v>
      </c>
      <c r="DM107" t="e">
        <f>AND(#REF!,"AAAAAE5XfXQ=")</f>
        <v>#REF!</v>
      </c>
      <c r="DN107" t="e">
        <f>AND(#REF!,"AAAAAE5XfXU=")</f>
        <v>#REF!</v>
      </c>
      <c r="DO107" t="e">
        <f>AND(#REF!,"AAAAAE5XfXY=")</f>
        <v>#REF!</v>
      </c>
      <c r="DP107" t="e">
        <f>AND(#REF!,"AAAAAE5XfXc=")</f>
        <v>#REF!</v>
      </c>
      <c r="DQ107" t="e">
        <f>AND(#REF!,"AAAAAE5XfXg=")</f>
        <v>#REF!</v>
      </c>
      <c r="DR107" t="e">
        <f>AND(#REF!,"AAAAAE5XfXk=")</f>
        <v>#REF!</v>
      </c>
      <c r="DS107" t="e">
        <f>AND(#REF!,"AAAAAE5XfXo=")</f>
        <v>#REF!</v>
      </c>
      <c r="DT107" t="e">
        <f>AND(#REF!,"AAAAAE5XfXs=")</f>
        <v>#REF!</v>
      </c>
      <c r="DU107" t="e">
        <f>AND(#REF!,"AAAAAE5XfXw=")</f>
        <v>#REF!</v>
      </c>
      <c r="DV107" t="e">
        <f>AND(#REF!,"AAAAAE5XfX0=")</f>
        <v>#REF!</v>
      </c>
      <c r="DW107" t="e">
        <f>AND(#REF!,"AAAAAE5XfX4=")</f>
        <v>#REF!</v>
      </c>
      <c r="DX107" t="e">
        <f>AND(#REF!,"AAAAAE5XfX8=")</f>
        <v>#REF!</v>
      </c>
      <c r="DY107" t="e">
        <f>AND(#REF!,"AAAAAE5XfYA=")</f>
        <v>#REF!</v>
      </c>
      <c r="DZ107" t="e">
        <f>AND(#REF!,"AAAAAE5XfYE=")</f>
        <v>#REF!</v>
      </c>
      <c r="EA107" t="e">
        <f>AND(#REF!,"AAAAAE5XfYI=")</f>
        <v>#REF!</v>
      </c>
      <c r="EB107" t="e">
        <f>AND(#REF!,"AAAAAE5XfYM=")</f>
        <v>#REF!</v>
      </c>
      <c r="EC107" t="e">
        <f>AND(#REF!,"AAAAAE5XfYQ=")</f>
        <v>#REF!</v>
      </c>
      <c r="ED107" t="e">
        <f>AND(#REF!,"AAAAAE5XfYU=")</f>
        <v>#REF!</v>
      </c>
      <c r="EE107" t="e">
        <f>AND(#REF!,"AAAAAE5XfYY=")</f>
        <v>#REF!</v>
      </c>
      <c r="EF107" t="e">
        <f>AND(#REF!,"AAAAAE5XfYc=")</f>
        <v>#REF!</v>
      </c>
      <c r="EG107" t="e">
        <f>AND(#REF!,"AAAAAE5XfYg=")</f>
        <v>#REF!</v>
      </c>
      <c r="EH107" t="e">
        <f>AND(#REF!,"AAAAAE5XfYk=")</f>
        <v>#REF!</v>
      </c>
      <c r="EI107" t="e">
        <f>AND(#REF!,"AAAAAE5XfYo=")</f>
        <v>#REF!</v>
      </c>
      <c r="EJ107" t="e">
        <f>AND(#REF!,"AAAAAE5XfYs=")</f>
        <v>#REF!</v>
      </c>
      <c r="EK107" t="e">
        <f>AND(#REF!,"AAAAAE5XfYw=")</f>
        <v>#REF!</v>
      </c>
      <c r="EL107" t="e">
        <f>AND(#REF!,"AAAAAE5XfY0=")</f>
        <v>#REF!</v>
      </c>
      <c r="EM107" t="e">
        <f>AND(#REF!,"AAAAAE5XfY4=")</f>
        <v>#REF!</v>
      </c>
      <c r="EN107" t="e">
        <f>AND(#REF!,"AAAAAE5XfY8=")</f>
        <v>#REF!</v>
      </c>
      <c r="EO107" t="e">
        <f>AND(#REF!,"AAAAAE5XfZA=")</f>
        <v>#REF!</v>
      </c>
      <c r="EP107" t="e">
        <f>AND(#REF!,"AAAAAE5XfZE=")</f>
        <v>#REF!</v>
      </c>
      <c r="EQ107" t="e">
        <f>AND(#REF!,"AAAAAE5XfZI=")</f>
        <v>#REF!</v>
      </c>
      <c r="ER107" t="e">
        <f>AND(#REF!,"AAAAAE5XfZM=")</f>
        <v>#REF!</v>
      </c>
      <c r="ES107" t="e">
        <f>AND(#REF!,"AAAAAE5XfZQ=")</f>
        <v>#REF!</v>
      </c>
      <c r="ET107" t="e">
        <f>AND(#REF!,"AAAAAE5XfZU=")</f>
        <v>#REF!</v>
      </c>
      <c r="EU107" t="e">
        <f>AND(#REF!,"AAAAAE5XfZY=")</f>
        <v>#REF!</v>
      </c>
      <c r="EV107" t="e">
        <f>AND(#REF!,"AAAAAE5XfZc=")</f>
        <v>#REF!</v>
      </c>
      <c r="EW107" t="e">
        <f>AND(#REF!,"AAAAAE5XfZg=")</f>
        <v>#REF!</v>
      </c>
      <c r="EX107" t="e">
        <f>AND(#REF!,"AAAAAE5XfZk=")</f>
        <v>#REF!</v>
      </c>
      <c r="EY107" t="e">
        <f>AND(#REF!,"AAAAAE5XfZo=")</f>
        <v>#REF!</v>
      </c>
      <c r="EZ107" t="e">
        <f>AND(#REF!,"AAAAAE5XfZs=")</f>
        <v>#REF!</v>
      </c>
      <c r="FA107" t="e">
        <f>AND(#REF!,"AAAAAE5XfZw=")</f>
        <v>#REF!</v>
      </c>
      <c r="FB107" t="e">
        <f>AND(#REF!,"AAAAAE5XfZ0=")</f>
        <v>#REF!</v>
      </c>
      <c r="FC107" t="e">
        <f>AND(#REF!,"AAAAAE5XfZ4=")</f>
        <v>#REF!</v>
      </c>
      <c r="FD107" t="e">
        <f>AND(#REF!,"AAAAAE5XfZ8=")</f>
        <v>#REF!</v>
      </c>
      <c r="FE107" t="e">
        <f>AND(#REF!,"AAAAAE5XfaA=")</f>
        <v>#REF!</v>
      </c>
      <c r="FF107" t="e">
        <f>AND(#REF!,"AAAAAE5XfaE=")</f>
        <v>#REF!</v>
      </c>
      <c r="FG107" t="e">
        <f>AND(#REF!,"AAAAAE5XfaI=")</f>
        <v>#REF!</v>
      </c>
      <c r="FH107" t="e">
        <f>AND(#REF!,"AAAAAE5XfaM=")</f>
        <v>#REF!</v>
      </c>
      <c r="FI107" t="e">
        <f>AND(#REF!,"AAAAAE5XfaQ=")</f>
        <v>#REF!</v>
      </c>
      <c r="FJ107" t="e">
        <f>AND(#REF!,"AAAAAE5XfaU=")</f>
        <v>#REF!</v>
      </c>
      <c r="FK107" t="e">
        <f>AND(#REF!,"AAAAAE5XfaY=")</f>
        <v>#REF!</v>
      </c>
      <c r="FL107" t="e">
        <f>AND(#REF!,"AAAAAE5Xfac=")</f>
        <v>#REF!</v>
      </c>
      <c r="FM107" t="e">
        <f>AND(#REF!,"AAAAAE5Xfag=")</f>
        <v>#REF!</v>
      </c>
      <c r="FN107" t="e">
        <f>AND(#REF!,"AAAAAE5Xfak=")</f>
        <v>#REF!</v>
      </c>
      <c r="FO107" t="e">
        <f>AND(#REF!,"AAAAAE5Xfao=")</f>
        <v>#REF!</v>
      </c>
      <c r="FP107" t="e">
        <f>AND(#REF!,"AAAAAE5Xfas=")</f>
        <v>#REF!</v>
      </c>
      <c r="FQ107" t="e">
        <f>AND(#REF!,"AAAAAE5Xfaw=")</f>
        <v>#REF!</v>
      </c>
      <c r="FR107" t="e">
        <f>AND(#REF!,"AAAAAE5Xfa0=")</f>
        <v>#REF!</v>
      </c>
      <c r="FS107" t="e">
        <f>AND(#REF!,"AAAAAE5Xfa4=")</f>
        <v>#REF!</v>
      </c>
      <c r="FT107" t="e">
        <f>AND(#REF!,"AAAAAE5Xfa8=")</f>
        <v>#REF!</v>
      </c>
      <c r="FU107" t="e">
        <f>AND(#REF!,"AAAAAE5XfbA=")</f>
        <v>#REF!</v>
      </c>
      <c r="FV107" t="e">
        <f>AND(#REF!,"AAAAAE5XfbE=")</f>
        <v>#REF!</v>
      </c>
      <c r="FW107" t="e">
        <f>AND(#REF!,"AAAAAE5XfbI=")</f>
        <v>#REF!</v>
      </c>
      <c r="FX107" t="e">
        <f>AND(#REF!,"AAAAAE5XfbM=")</f>
        <v>#REF!</v>
      </c>
      <c r="FY107" t="e">
        <f>AND(#REF!,"AAAAAE5XfbQ=")</f>
        <v>#REF!</v>
      </c>
      <c r="FZ107" t="e">
        <f>AND(#REF!,"AAAAAE5XfbU=")</f>
        <v>#REF!</v>
      </c>
      <c r="GA107" t="e">
        <f>AND(#REF!,"AAAAAE5XfbY=")</f>
        <v>#REF!</v>
      </c>
      <c r="GB107" t="e">
        <f>AND(#REF!,"AAAAAE5Xfbc=")</f>
        <v>#REF!</v>
      </c>
      <c r="GC107" t="e">
        <f>AND(#REF!,"AAAAAE5Xfbg=")</f>
        <v>#REF!</v>
      </c>
      <c r="GD107" t="e">
        <f>AND(#REF!,"AAAAAE5Xfbk=")</f>
        <v>#REF!</v>
      </c>
      <c r="GE107" t="e">
        <f>AND(#REF!,"AAAAAE5Xfbo=")</f>
        <v>#REF!</v>
      </c>
      <c r="GF107" t="e">
        <f>AND(#REF!,"AAAAAE5Xfbs=")</f>
        <v>#REF!</v>
      </c>
      <c r="GG107" t="e">
        <f>AND(#REF!,"AAAAAE5Xfbw=")</f>
        <v>#REF!</v>
      </c>
      <c r="GH107" t="e">
        <f>AND(#REF!,"AAAAAE5Xfb0=")</f>
        <v>#REF!</v>
      </c>
      <c r="GI107" t="e">
        <f>AND(#REF!,"AAAAAE5Xfb4=")</f>
        <v>#REF!</v>
      </c>
      <c r="GJ107" t="e">
        <f>AND(#REF!,"AAAAAE5Xfb8=")</f>
        <v>#REF!</v>
      </c>
      <c r="GK107" t="e">
        <f>AND(#REF!,"AAAAAE5XfcA=")</f>
        <v>#REF!</v>
      </c>
      <c r="GL107" t="e">
        <f>AND(#REF!,"AAAAAE5XfcE=")</f>
        <v>#REF!</v>
      </c>
      <c r="GM107" t="e">
        <f>AND(#REF!,"AAAAAE5XfcI=")</f>
        <v>#REF!</v>
      </c>
      <c r="GN107" t="e">
        <f>AND(#REF!,"AAAAAE5XfcM=")</f>
        <v>#REF!</v>
      </c>
      <c r="GO107" t="e">
        <f>AND(#REF!,"AAAAAE5XfcQ=")</f>
        <v>#REF!</v>
      </c>
      <c r="GP107" t="e">
        <f>AND(#REF!,"AAAAAE5XfcU=")</f>
        <v>#REF!</v>
      </c>
      <c r="GQ107" t="e">
        <f>AND(#REF!,"AAAAAE5XfcY=")</f>
        <v>#REF!</v>
      </c>
      <c r="GR107" t="e">
        <f>AND(#REF!,"AAAAAE5Xfcc=")</f>
        <v>#REF!</v>
      </c>
      <c r="GS107" t="e">
        <f>AND(#REF!,"AAAAAE5Xfcg=")</f>
        <v>#REF!</v>
      </c>
      <c r="GT107" t="e">
        <f>AND(#REF!,"AAAAAE5Xfck=")</f>
        <v>#REF!</v>
      </c>
      <c r="GU107" t="e">
        <f>AND(#REF!,"AAAAAE5Xfco=")</f>
        <v>#REF!</v>
      </c>
      <c r="GV107" t="e">
        <f>AND(#REF!,"AAAAAE5Xfcs=")</f>
        <v>#REF!</v>
      </c>
      <c r="GW107" t="e">
        <f>AND(#REF!,"AAAAAE5Xfcw=")</f>
        <v>#REF!</v>
      </c>
      <c r="GX107" t="e">
        <f>AND(#REF!,"AAAAAE5Xfc0=")</f>
        <v>#REF!</v>
      </c>
      <c r="GY107" t="e">
        <f>AND(#REF!,"AAAAAE5Xfc4=")</f>
        <v>#REF!</v>
      </c>
      <c r="GZ107" t="e">
        <f>AND(#REF!,"AAAAAE5Xfc8=")</f>
        <v>#REF!</v>
      </c>
      <c r="HA107" t="e">
        <f>AND(#REF!,"AAAAAE5XfdA=")</f>
        <v>#REF!</v>
      </c>
      <c r="HB107" t="e">
        <f>AND(#REF!,"AAAAAE5XfdE=")</f>
        <v>#REF!</v>
      </c>
      <c r="HC107" t="e">
        <f>AND(#REF!,"AAAAAE5XfdI=")</f>
        <v>#REF!</v>
      </c>
      <c r="HD107" t="e">
        <f>AND(#REF!,"AAAAAE5XfdM=")</f>
        <v>#REF!</v>
      </c>
      <c r="HE107" t="e">
        <f>AND(#REF!,"AAAAAE5XfdQ=")</f>
        <v>#REF!</v>
      </c>
      <c r="HF107" t="e">
        <f>AND(#REF!,"AAAAAE5XfdU=")</f>
        <v>#REF!</v>
      </c>
      <c r="HG107" t="e">
        <f>AND(#REF!,"AAAAAE5XfdY=")</f>
        <v>#REF!</v>
      </c>
      <c r="HH107" t="e">
        <f>AND(#REF!,"AAAAAE5Xfdc=")</f>
        <v>#REF!</v>
      </c>
      <c r="HI107" t="e">
        <f>AND(#REF!,"AAAAAE5Xfdg=")</f>
        <v>#REF!</v>
      </c>
      <c r="HJ107" t="e">
        <f>AND(#REF!,"AAAAAE5Xfdk=")</f>
        <v>#REF!</v>
      </c>
      <c r="HK107" t="e">
        <f>AND(#REF!,"AAAAAE5Xfdo=")</f>
        <v>#REF!</v>
      </c>
      <c r="HL107" t="e">
        <f>AND(#REF!,"AAAAAE5Xfds=")</f>
        <v>#REF!</v>
      </c>
      <c r="HM107" t="e">
        <f>AND(#REF!,"AAAAAE5Xfdw=")</f>
        <v>#REF!</v>
      </c>
      <c r="HN107" t="e">
        <f>AND(#REF!,"AAAAAE5Xfd0=")</f>
        <v>#REF!</v>
      </c>
      <c r="HO107" t="e">
        <f>AND(#REF!,"AAAAAE5Xfd4=")</f>
        <v>#REF!</v>
      </c>
      <c r="HP107" t="e">
        <f>AND(#REF!,"AAAAAE5Xfd8=")</f>
        <v>#REF!</v>
      </c>
      <c r="HQ107" t="e">
        <f>AND(#REF!,"AAAAAE5XfeA=")</f>
        <v>#REF!</v>
      </c>
      <c r="HR107" t="e">
        <f>AND(#REF!,"AAAAAE5XfeE=")</f>
        <v>#REF!</v>
      </c>
      <c r="HS107" t="e">
        <f>AND(#REF!,"AAAAAE5XfeI=")</f>
        <v>#REF!</v>
      </c>
      <c r="HT107" t="e">
        <f>AND(#REF!,"AAAAAE5XfeM=")</f>
        <v>#REF!</v>
      </c>
      <c r="HU107" t="e">
        <f>AND(#REF!,"AAAAAE5XfeQ=")</f>
        <v>#REF!</v>
      </c>
      <c r="HV107" t="e">
        <f>AND(#REF!,"AAAAAE5XfeU=")</f>
        <v>#REF!</v>
      </c>
      <c r="HW107" t="e">
        <f>AND(#REF!,"AAAAAE5XfeY=")</f>
        <v>#REF!</v>
      </c>
      <c r="HX107" t="e">
        <f>AND(#REF!,"AAAAAE5Xfec=")</f>
        <v>#REF!</v>
      </c>
      <c r="HY107" t="e">
        <f>AND(#REF!,"AAAAAE5Xfeg=")</f>
        <v>#REF!</v>
      </c>
      <c r="HZ107" t="e">
        <f>AND(#REF!,"AAAAAE5Xfek=")</f>
        <v>#REF!</v>
      </c>
      <c r="IA107" t="e">
        <f>IF(#REF!,"AAAAAE5Xfeo=",0)</f>
        <v>#REF!</v>
      </c>
      <c r="IB107" t="e">
        <f>AND(#REF!,"AAAAAE5Xfes=")</f>
        <v>#REF!</v>
      </c>
      <c r="IC107" t="e">
        <f>AND(#REF!,"AAAAAE5Xfew=")</f>
        <v>#REF!</v>
      </c>
      <c r="ID107" t="e">
        <f>AND(#REF!,"AAAAAE5Xfe0=")</f>
        <v>#REF!</v>
      </c>
      <c r="IE107" t="e">
        <f>AND(#REF!,"AAAAAE5Xfe4=")</f>
        <v>#REF!</v>
      </c>
      <c r="IF107" t="e">
        <f>AND(#REF!,"AAAAAE5Xfe8=")</f>
        <v>#REF!</v>
      </c>
      <c r="IG107" t="e">
        <f>AND(#REF!,"AAAAAE5XffA=")</f>
        <v>#REF!</v>
      </c>
      <c r="IH107" t="e">
        <f>AND(#REF!,"AAAAAE5XffE=")</f>
        <v>#REF!</v>
      </c>
      <c r="II107" t="e">
        <f>AND(#REF!,"AAAAAE5XffI=")</f>
        <v>#REF!</v>
      </c>
      <c r="IJ107" t="e">
        <f>AND(#REF!,"AAAAAE5XffM=")</f>
        <v>#REF!</v>
      </c>
      <c r="IK107" t="e">
        <f>AND(#REF!,"AAAAAE5XffQ=")</f>
        <v>#REF!</v>
      </c>
      <c r="IL107" t="e">
        <f>AND(#REF!,"AAAAAE5XffU=")</f>
        <v>#REF!</v>
      </c>
      <c r="IM107" t="e">
        <f>AND(#REF!,"AAAAAE5XffY=")</f>
        <v>#REF!</v>
      </c>
      <c r="IN107" t="e">
        <f>AND(#REF!,"AAAAAE5Xffc=")</f>
        <v>#REF!</v>
      </c>
      <c r="IO107" t="e">
        <f>AND(#REF!,"AAAAAE5Xffg=")</f>
        <v>#REF!</v>
      </c>
      <c r="IP107" t="e">
        <f>AND(#REF!,"AAAAAE5Xffk=")</f>
        <v>#REF!</v>
      </c>
      <c r="IQ107" t="e">
        <f>AND(#REF!,"AAAAAE5Xffo=")</f>
        <v>#REF!</v>
      </c>
      <c r="IR107" t="e">
        <f>AND(#REF!,"AAAAAE5Xffs=")</f>
        <v>#REF!</v>
      </c>
      <c r="IS107" t="e">
        <f>AND(#REF!,"AAAAAE5Xffw=")</f>
        <v>#REF!</v>
      </c>
      <c r="IT107" t="e">
        <f>AND(#REF!,"AAAAAE5Xff0=")</f>
        <v>#REF!</v>
      </c>
      <c r="IU107" t="e">
        <f>AND(#REF!,"AAAAAE5Xff4=")</f>
        <v>#REF!</v>
      </c>
      <c r="IV107" t="e">
        <f>AND(#REF!,"AAAAAE5Xff8=")</f>
        <v>#REF!</v>
      </c>
    </row>
    <row r="108" spans="1:256" x14ac:dyDescent="0.25">
      <c r="A108" t="e">
        <f>AND(#REF!,"AAAAAGe//wA=")</f>
        <v>#REF!</v>
      </c>
      <c r="B108" t="e">
        <f>AND(#REF!,"AAAAAGe//wE=")</f>
        <v>#REF!</v>
      </c>
      <c r="C108" t="e">
        <f>AND(#REF!,"AAAAAGe//wI=")</f>
        <v>#REF!</v>
      </c>
      <c r="D108" t="e">
        <f>AND(#REF!,"AAAAAGe//wM=")</f>
        <v>#REF!</v>
      </c>
      <c r="E108" t="e">
        <f>AND(#REF!,"AAAAAGe//wQ=")</f>
        <v>#REF!</v>
      </c>
      <c r="F108" t="e">
        <f>AND(#REF!,"AAAAAGe//wU=")</f>
        <v>#REF!</v>
      </c>
      <c r="G108" t="e">
        <f>AND(#REF!,"AAAAAGe//wY=")</f>
        <v>#REF!</v>
      </c>
      <c r="H108" t="e">
        <f>AND(#REF!,"AAAAAGe//wc=")</f>
        <v>#REF!</v>
      </c>
      <c r="I108" t="e">
        <f>AND(#REF!,"AAAAAGe//wg=")</f>
        <v>#REF!</v>
      </c>
      <c r="J108" t="e">
        <f>AND(#REF!,"AAAAAGe//wk=")</f>
        <v>#REF!</v>
      </c>
      <c r="K108" t="e">
        <f>AND(#REF!,"AAAAAGe//wo=")</f>
        <v>#REF!</v>
      </c>
      <c r="L108" t="e">
        <f>AND(#REF!,"AAAAAGe//ws=")</f>
        <v>#REF!</v>
      </c>
      <c r="M108" t="e">
        <f>AND(#REF!,"AAAAAGe//ww=")</f>
        <v>#REF!</v>
      </c>
      <c r="N108" t="e">
        <f>AND(#REF!,"AAAAAGe//w0=")</f>
        <v>#REF!</v>
      </c>
      <c r="O108" t="e">
        <f>AND(#REF!,"AAAAAGe//w4=")</f>
        <v>#REF!</v>
      </c>
      <c r="P108" t="e">
        <f>AND(#REF!,"AAAAAGe//w8=")</f>
        <v>#REF!</v>
      </c>
      <c r="Q108" t="e">
        <f>AND(#REF!,"AAAAAGe//xA=")</f>
        <v>#REF!</v>
      </c>
      <c r="R108" t="e">
        <f>AND(#REF!,"AAAAAGe//xE=")</f>
        <v>#REF!</v>
      </c>
      <c r="S108" t="e">
        <f>AND(#REF!,"AAAAAGe//xI=")</f>
        <v>#REF!</v>
      </c>
      <c r="T108" t="e">
        <f>AND(#REF!,"AAAAAGe//xM=")</f>
        <v>#REF!</v>
      </c>
      <c r="U108" t="e">
        <f>AND(#REF!,"AAAAAGe//xQ=")</f>
        <v>#REF!</v>
      </c>
      <c r="V108" t="e">
        <f>AND(#REF!,"AAAAAGe//xU=")</f>
        <v>#REF!</v>
      </c>
      <c r="W108" t="e">
        <f>AND(#REF!,"AAAAAGe//xY=")</f>
        <v>#REF!</v>
      </c>
      <c r="X108" t="e">
        <f>AND(#REF!,"AAAAAGe//xc=")</f>
        <v>#REF!</v>
      </c>
      <c r="Y108" t="e">
        <f>AND(#REF!,"AAAAAGe//xg=")</f>
        <v>#REF!</v>
      </c>
      <c r="Z108" t="e">
        <f>AND(#REF!,"AAAAAGe//xk=")</f>
        <v>#REF!</v>
      </c>
      <c r="AA108" t="e">
        <f>AND(#REF!,"AAAAAGe//xo=")</f>
        <v>#REF!</v>
      </c>
      <c r="AB108" t="e">
        <f>AND(#REF!,"AAAAAGe//xs=")</f>
        <v>#REF!</v>
      </c>
      <c r="AC108" t="e">
        <f>AND(#REF!,"AAAAAGe//xw=")</f>
        <v>#REF!</v>
      </c>
      <c r="AD108" t="e">
        <f>AND(#REF!,"AAAAAGe//x0=")</f>
        <v>#REF!</v>
      </c>
      <c r="AE108" t="e">
        <f>AND(#REF!,"AAAAAGe//x4=")</f>
        <v>#REF!</v>
      </c>
      <c r="AF108" t="e">
        <f>AND(#REF!,"AAAAAGe//x8=")</f>
        <v>#REF!</v>
      </c>
      <c r="AG108" t="e">
        <f>AND(#REF!,"AAAAAGe//yA=")</f>
        <v>#REF!</v>
      </c>
      <c r="AH108" t="e">
        <f>AND(#REF!,"AAAAAGe//yE=")</f>
        <v>#REF!</v>
      </c>
      <c r="AI108" t="e">
        <f>AND(#REF!,"AAAAAGe//yI=")</f>
        <v>#REF!</v>
      </c>
      <c r="AJ108" t="e">
        <f>AND(#REF!,"AAAAAGe//yM=")</f>
        <v>#REF!</v>
      </c>
      <c r="AK108" t="e">
        <f>AND(#REF!,"AAAAAGe//yQ=")</f>
        <v>#REF!</v>
      </c>
      <c r="AL108" t="e">
        <f>AND(#REF!,"AAAAAGe//yU=")</f>
        <v>#REF!</v>
      </c>
      <c r="AM108" t="e">
        <f>AND(#REF!,"AAAAAGe//yY=")</f>
        <v>#REF!</v>
      </c>
      <c r="AN108" t="e">
        <f>AND(#REF!,"AAAAAGe//yc=")</f>
        <v>#REF!</v>
      </c>
      <c r="AO108" t="e">
        <f>AND(#REF!,"AAAAAGe//yg=")</f>
        <v>#REF!</v>
      </c>
      <c r="AP108" t="e">
        <f>AND(#REF!,"AAAAAGe//yk=")</f>
        <v>#REF!</v>
      </c>
      <c r="AQ108" t="e">
        <f>AND(#REF!,"AAAAAGe//yo=")</f>
        <v>#REF!</v>
      </c>
      <c r="AR108" t="e">
        <f>AND(#REF!,"AAAAAGe//ys=")</f>
        <v>#REF!</v>
      </c>
      <c r="AS108" t="e">
        <f>AND(#REF!,"AAAAAGe//yw=")</f>
        <v>#REF!</v>
      </c>
      <c r="AT108" t="e">
        <f>AND(#REF!,"AAAAAGe//y0=")</f>
        <v>#REF!</v>
      </c>
      <c r="AU108" t="e">
        <f>AND(#REF!,"AAAAAGe//y4=")</f>
        <v>#REF!</v>
      </c>
      <c r="AV108" t="e">
        <f>AND(#REF!,"AAAAAGe//y8=")</f>
        <v>#REF!</v>
      </c>
      <c r="AW108" t="e">
        <f>AND(#REF!,"AAAAAGe//zA=")</f>
        <v>#REF!</v>
      </c>
      <c r="AX108" t="e">
        <f>AND(#REF!,"AAAAAGe//zE=")</f>
        <v>#REF!</v>
      </c>
      <c r="AY108" t="e">
        <f>AND(#REF!,"AAAAAGe//zI=")</f>
        <v>#REF!</v>
      </c>
      <c r="AZ108" t="e">
        <f>AND(#REF!,"AAAAAGe//zM=")</f>
        <v>#REF!</v>
      </c>
      <c r="BA108" t="e">
        <f>AND(#REF!,"AAAAAGe//zQ=")</f>
        <v>#REF!</v>
      </c>
      <c r="BB108" t="e">
        <f>AND(#REF!,"AAAAAGe//zU=")</f>
        <v>#REF!</v>
      </c>
      <c r="BC108" t="e">
        <f>AND(#REF!,"AAAAAGe//zY=")</f>
        <v>#REF!</v>
      </c>
      <c r="BD108" t="e">
        <f>AND(#REF!,"AAAAAGe//zc=")</f>
        <v>#REF!</v>
      </c>
      <c r="BE108" t="e">
        <f>AND(#REF!,"AAAAAGe//zg=")</f>
        <v>#REF!</v>
      </c>
      <c r="BF108" t="e">
        <f>AND(#REF!,"AAAAAGe//zk=")</f>
        <v>#REF!</v>
      </c>
      <c r="BG108" t="e">
        <f>AND(#REF!,"AAAAAGe//zo=")</f>
        <v>#REF!</v>
      </c>
      <c r="BH108" t="e">
        <f>AND(#REF!,"AAAAAGe//zs=")</f>
        <v>#REF!</v>
      </c>
      <c r="BI108" t="e">
        <f>AND(#REF!,"AAAAAGe//zw=")</f>
        <v>#REF!</v>
      </c>
      <c r="BJ108" t="e">
        <f>AND(#REF!,"AAAAAGe//z0=")</f>
        <v>#REF!</v>
      </c>
      <c r="BK108" t="e">
        <f>AND(#REF!,"AAAAAGe//z4=")</f>
        <v>#REF!</v>
      </c>
      <c r="BL108" t="e">
        <f>AND(#REF!,"AAAAAGe//z8=")</f>
        <v>#REF!</v>
      </c>
      <c r="BM108" t="e">
        <f>AND(#REF!,"AAAAAGe//0A=")</f>
        <v>#REF!</v>
      </c>
      <c r="BN108" t="e">
        <f>AND(#REF!,"AAAAAGe//0E=")</f>
        <v>#REF!</v>
      </c>
      <c r="BO108" t="e">
        <f>AND(#REF!,"AAAAAGe//0I=")</f>
        <v>#REF!</v>
      </c>
      <c r="BP108" t="e">
        <f>AND(#REF!,"AAAAAGe//0M=")</f>
        <v>#REF!</v>
      </c>
      <c r="BQ108" t="e">
        <f>AND(#REF!,"AAAAAGe//0Q=")</f>
        <v>#REF!</v>
      </c>
      <c r="BR108" t="e">
        <f>AND(#REF!,"AAAAAGe//0U=")</f>
        <v>#REF!</v>
      </c>
      <c r="BS108" t="e">
        <f>AND(#REF!,"AAAAAGe//0Y=")</f>
        <v>#REF!</v>
      </c>
      <c r="BT108" t="e">
        <f>AND(#REF!,"AAAAAGe//0c=")</f>
        <v>#REF!</v>
      </c>
      <c r="BU108" t="e">
        <f>AND(#REF!,"AAAAAGe//0g=")</f>
        <v>#REF!</v>
      </c>
      <c r="BV108" t="e">
        <f>AND(#REF!,"AAAAAGe//0k=")</f>
        <v>#REF!</v>
      </c>
      <c r="BW108" t="e">
        <f>AND(#REF!,"AAAAAGe//0o=")</f>
        <v>#REF!</v>
      </c>
      <c r="BX108" t="e">
        <f>AND(#REF!,"AAAAAGe//0s=")</f>
        <v>#REF!</v>
      </c>
      <c r="BY108" t="e">
        <f>AND(#REF!,"AAAAAGe//0w=")</f>
        <v>#REF!</v>
      </c>
      <c r="BZ108" t="e">
        <f>AND(#REF!,"AAAAAGe//00=")</f>
        <v>#REF!</v>
      </c>
      <c r="CA108" t="e">
        <f>AND(#REF!,"AAAAAGe//04=")</f>
        <v>#REF!</v>
      </c>
      <c r="CB108" t="e">
        <f>AND(#REF!,"AAAAAGe//08=")</f>
        <v>#REF!</v>
      </c>
      <c r="CC108" t="e">
        <f>AND(#REF!,"AAAAAGe//1A=")</f>
        <v>#REF!</v>
      </c>
      <c r="CD108" t="e">
        <f>AND(#REF!,"AAAAAGe//1E=")</f>
        <v>#REF!</v>
      </c>
      <c r="CE108" t="e">
        <f>AND(#REF!,"AAAAAGe//1I=")</f>
        <v>#REF!</v>
      </c>
      <c r="CF108" t="e">
        <f>AND(#REF!,"AAAAAGe//1M=")</f>
        <v>#REF!</v>
      </c>
      <c r="CG108" t="e">
        <f>AND(#REF!,"AAAAAGe//1Q=")</f>
        <v>#REF!</v>
      </c>
      <c r="CH108" t="e">
        <f>AND(#REF!,"AAAAAGe//1U=")</f>
        <v>#REF!</v>
      </c>
      <c r="CI108" t="e">
        <f>AND(#REF!,"AAAAAGe//1Y=")</f>
        <v>#REF!</v>
      </c>
      <c r="CJ108" t="e">
        <f>AND(#REF!,"AAAAAGe//1c=")</f>
        <v>#REF!</v>
      </c>
      <c r="CK108" t="e">
        <f>AND(#REF!,"AAAAAGe//1g=")</f>
        <v>#REF!</v>
      </c>
      <c r="CL108" t="e">
        <f>AND(#REF!,"AAAAAGe//1k=")</f>
        <v>#REF!</v>
      </c>
      <c r="CM108" t="e">
        <f>AND(#REF!,"AAAAAGe//1o=")</f>
        <v>#REF!</v>
      </c>
      <c r="CN108" t="e">
        <f>AND(#REF!,"AAAAAGe//1s=")</f>
        <v>#REF!</v>
      </c>
      <c r="CO108" t="e">
        <f>AND(#REF!,"AAAAAGe//1w=")</f>
        <v>#REF!</v>
      </c>
      <c r="CP108" t="e">
        <f>AND(#REF!,"AAAAAGe//10=")</f>
        <v>#REF!</v>
      </c>
      <c r="CQ108" t="e">
        <f>AND(#REF!,"AAAAAGe//14=")</f>
        <v>#REF!</v>
      </c>
      <c r="CR108" t="e">
        <f>AND(#REF!,"AAAAAGe//18=")</f>
        <v>#REF!</v>
      </c>
      <c r="CS108" t="e">
        <f>AND(#REF!,"AAAAAGe//2A=")</f>
        <v>#REF!</v>
      </c>
      <c r="CT108" t="e">
        <f>AND(#REF!,"AAAAAGe//2E=")</f>
        <v>#REF!</v>
      </c>
      <c r="CU108" t="e">
        <f>AND(#REF!,"AAAAAGe//2I=")</f>
        <v>#REF!</v>
      </c>
      <c r="CV108" t="e">
        <f>AND(#REF!,"AAAAAGe//2M=")</f>
        <v>#REF!</v>
      </c>
      <c r="CW108" t="e">
        <f>AND(#REF!,"AAAAAGe//2Q=")</f>
        <v>#REF!</v>
      </c>
      <c r="CX108" t="e">
        <f>AND(#REF!,"AAAAAGe//2U=")</f>
        <v>#REF!</v>
      </c>
      <c r="CY108" t="e">
        <f>AND(#REF!,"AAAAAGe//2Y=")</f>
        <v>#REF!</v>
      </c>
      <c r="CZ108" t="e">
        <f>AND(#REF!,"AAAAAGe//2c=")</f>
        <v>#REF!</v>
      </c>
      <c r="DA108" t="e">
        <f>AND(#REF!,"AAAAAGe//2g=")</f>
        <v>#REF!</v>
      </c>
      <c r="DB108" t="e">
        <f>AND(#REF!,"AAAAAGe//2k=")</f>
        <v>#REF!</v>
      </c>
      <c r="DC108" t="e">
        <f>AND(#REF!,"AAAAAGe//2o=")</f>
        <v>#REF!</v>
      </c>
      <c r="DD108" t="e">
        <f>AND(#REF!,"AAAAAGe//2s=")</f>
        <v>#REF!</v>
      </c>
      <c r="DE108" t="e">
        <f>AND(#REF!,"AAAAAGe//2w=")</f>
        <v>#REF!</v>
      </c>
      <c r="DF108" t="e">
        <f>AND(#REF!,"AAAAAGe//20=")</f>
        <v>#REF!</v>
      </c>
      <c r="DG108" t="e">
        <f>AND(#REF!,"AAAAAGe//24=")</f>
        <v>#REF!</v>
      </c>
      <c r="DH108" t="e">
        <f>AND(#REF!,"AAAAAGe//28=")</f>
        <v>#REF!</v>
      </c>
      <c r="DI108" t="e">
        <f>AND(#REF!,"AAAAAGe//3A=")</f>
        <v>#REF!</v>
      </c>
      <c r="DJ108" t="e">
        <f>AND(#REF!,"AAAAAGe//3E=")</f>
        <v>#REF!</v>
      </c>
      <c r="DK108" t="e">
        <f>AND(#REF!,"AAAAAGe//3I=")</f>
        <v>#REF!</v>
      </c>
      <c r="DL108" t="e">
        <f>AND(#REF!,"AAAAAGe//3M=")</f>
        <v>#REF!</v>
      </c>
      <c r="DM108" t="e">
        <f>AND(#REF!,"AAAAAGe//3Q=")</f>
        <v>#REF!</v>
      </c>
      <c r="DN108" t="e">
        <f>AND(#REF!,"AAAAAGe//3U=")</f>
        <v>#REF!</v>
      </c>
      <c r="DO108" t="e">
        <f>AND(#REF!,"AAAAAGe//3Y=")</f>
        <v>#REF!</v>
      </c>
      <c r="DP108" t="e">
        <f>AND(#REF!,"AAAAAGe//3c=")</f>
        <v>#REF!</v>
      </c>
      <c r="DQ108" t="e">
        <f>AND(#REF!,"AAAAAGe//3g=")</f>
        <v>#REF!</v>
      </c>
      <c r="DR108" t="e">
        <f>AND(#REF!,"AAAAAGe//3k=")</f>
        <v>#REF!</v>
      </c>
      <c r="DS108" t="e">
        <f>AND(#REF!,"AAAAAGe//3o=")</f>
        <v>#REF!</v>
      </c>
      <c r="DT108" t="e">
        <f>AND(#REF!,"AAAAAGe//3s=")</f>
        <v>#REF!</v>
      </c>
      <c r="DU108" t="e">
        <f>AND(#REF!,"AAAAAGe//3w=")</f>
        <v>#REF!</v>
      </c>
      <c r="DV108" t="e">
        <f>AND(#REF!,"AAAAAGe//30=")</f>
        <v>#REF!</v>
      </c>
      <c r="DW108" t="e">
        <f>AND(#REF!,"AAAAAGe//34=")</f>
        <v>#REF!</v>
      </c>
      <c r="DX108" t="e">
        <f>AND(#REF!,"AAAAAGe//38=")</f>
        <v>#REF!</v>
      </c>
      <c r="DY108" t="e">
        <f>AND(#REF!,"AAAAAGe//4A=")</f>
        <v>#REF!</v>
      </c>
      <c r="DZ108" t="e">
        <f>AND(#REF!,"AAAAAGe//4E=")</f>
        <v>#REF!</v>
      </c>
      <c r="EA108" t="e">
        <f>AND(#REF!,"AAAAAGe//4I=")</f>
        <v>#REF!</v>
      </c>
      <c r="EB108" t="e">
        <f>AND(#REF!,"AAAAAGe//4M=")</f>
        <v>#REF!</v>
      </c>
      <c r="EC108" t="e">
        <f>AND(#REF!,"AAAAAGe//4Q=")</f>
        <v>#REF!</v>
      </c>
      <c r="ED108" t="e">
        <f>AND(#REF!,"AAAAAGe//4U=")</f>
        <v>#REF!</v>
      </c>
      <c r="EE108" t="e">
        <f>AND(#REF!,"AAAAAGe//4Y=")</f>
        <v>#REF!</v>
      </c>
      <c r="EF108" t="e">
        <f>AND(#REF!,"AAAAAGe//4c=")</f>
        <v>#REF!</v>
      </c>
      <c r="EG108" t="e">
        <f>AND(#REF!,"AAAAAGe//4g=")</f>
        <v>#REF!</v>
      </c>
      <c r="EH108" t="e">
        <f>AND(#REF!,"AAAAAGe//4k=")</f>
        <v>#REF!</v>
      </c>
      <c r="EI108" t="e">
        <f>AND(#REF!,"AAAAAGe//4o=")</f>
        <v>#REF!</v>
      </c>
      <c r="EJ108" t="e">
        <f>AND(#REF!,"AAAAAGe//4s=")</f>
        <v>#REF!</v>
      </c>
      <c r="EK108" t="e">
        <f>AND(#REF!,"AAAAAGe//4w=")</f>
        <v>#REF!</v>
      </c>
      <c r="EL108" t="e">
        <f>AND(#REF!,"AAAAAGe//40=")</f>
        <v>#REF!</v>
      </c>
      <c r="EM108" t="e">
        <f>AND(#REF!,"AAAAAGe//44=")</f>
        <v>#REF!</v>
      </c>
      <c r="EN108" t="e">
        <f>AND(#REF!,"AAAAAGe//48=")</f>
        <v>#REF!</v>
      </c>
      <c r="EO108" t="e">
        <f>AND(#REF!,"AAAAAGe//5A=")</f>
        <v>#REF!</v>
      </c>
      <c r="EP108" t="e">
        <f>AND(#REF!,"AAAAAGe//5E=")</f>
        <v>#REF!</v>
      </c>
      <c r="EQ108" t="e">
        <f>AND(#REF!,"AAAAAGe//5I=")</f>
        <v>#REF!</v>
      </c>
      <c r="ER108" t="e">
        <f>AND(#REF!,"AAAAAGe//5M=")</f>
        <v>#REF!</v>
      </c>
      <c r="ES108" t="e">
        <f>AND(#REF!,"AAAAAGe//5Q=")</f>
        <v>#REF!</v>
      </c>
      <c r="ET108" t="e">
        <f>AND(#REF!,"AAAAAGe//5U=")</f>
        <v>#REF!</v>
      </c>
      <c r="EU108" t="e">
        <f>AND(#REF!,"AAAAAGe//5Y=")</f>
        <v>#REF!</v>
      </c>
      <c r="EV108" t="e">
        <f>AND(#REF!,"AAAAAGe//5c=")</f>
        <v>#REF!</v>
      </c>
      <c r="EW108" t="e">
        <f>AND(#REF!,"AAAAAGe//5g=")</f>
        <v>#REF!</v>
      </c>
      <c r="EX108" t="e">
        <f>AND(#REF!,"AAAAAGe//5k=")</f>
        <v>#REF!</v>
      </c>
      <c r="EY108" t="e">
        <f>AND(#REF!,"AAAAAGe//5o=")</f>
        <v>#REF!</v>
      </c>
      <c r="EZ108" t="e">
        <f>AND(#REF!,"AAAAAGe//5s=")</f>
        <v>#REF!</v>
      </c>
      <c r="FA108" t="e">
        <f>AND(#REF!,"AAAAAGe//5w=")</f>
        <v>#REF!</v>
      </c>
      <c r="FB108" t="e">
        <f>AND(#REF!,"AAAAAGe//50=")</f>
        <v>#REF!</v>
      </c>
      <c r="FC108" t="e">
        <f>AND(#REF!,"AAAAAGe//54=")</f>
        <v>#REF!</v>
      </c>
      <c r="FD108" t="e">
        <f>AND(#REF!,"AAAAAGe//58=")</f>
        <v>#REF!</v>
      </c>
      <c r="FE108" t="e">
        <f>AND(#REF!,"AAAAAGe//6A=")</f>
        <v>#REF!</v>
      </c>
      <c r="FF108" t="e">
        <f>AND(#REF!,"AAAAAGe//6E=")</f>
        <v>#REF!</v>
      </c>
      <c r="FG108" t="e">
        <f>AND(#REF!,"AAAAAGe//6I=")</f>
        <v>#REF!</v>
      </c>
      <c r="FH108" t="e">
        <f>AND(#REF!,"AAAAAGe//6M=")</f>
        <v>#REF!</v>
      </c>
      <c r="FI108" t="e">
        <f>AND(#REF!,"AAAAAGe//6Q=")</f>
        <v>#REF!</v>
      </c>
      <c r="FJ108" t="e">
        <f>AND(#REF!,"AAAAAGe//6U=")</f>
        <v>#REF!</v>
      </c>
      <c r="FK108" t="e">
        <f>AND(#REF!,"AAAAAGe//6Y=")</f>
        <v>#REF!</v>
      </c>
      <c r="FL108" t="e">
        <f>IF(#REF!,"AAAAAGe//6c=",0)</f>
        <v>#REF!</v>
      </c>
      <c r="FM108" t="e">
        <f>AND(#REF!,"AAAAAGe//6g=")</f>
        <v>#REF!</v>
      </c>
      <c r="FN108" t="e">
        <f>AND(#REF!,"AAAAAGe//6k=")</f>
        <v>#REF!</v>
      </c>
      <c r="FO108" t="e">
        <f>AND(#REF!,"AAAAAGe//6o=")</f>
        <v>#REF!</v>
      </c>
      <c r="FP108" t="e">
        <f>AND(#REF!,"AAAAAGe//6s=")</f>
        <v>#REF!</v>
      </c>
      <c r="FQ108" t="e">
        <f>AND(#REF!,"AAAAAGe//6w=")</f>
        <v>#REF!</v>
      </c>
      <c r="FR108" t="e">
        <f>AND(#REF!,"AAAAAGe//60=")</f>
        <v>#REF!</v>
      </c>
      <c r="FS108" t="e">
        <f>AND(#REF!,"AAAAAGe//64=")</f>
        <v>#REF!</v>
      </c>
      <c r="FT108" t="e">
        <f>AND(#REF!,"AAAAAGe//68=")</f>
        <v>#REF!</v>
      </c>
      <c r="FU108" t="e">
        <f>AND(#REF!,"AAAAAGe//7A=")</f>
        <v>#REF!</v>
      </c>
      <c r="FV108" t="e">
        <f>AND(#REF!,"AAAAAGe//7E=")</f>
        <v>#REF!</v>
      </c>
      <c r="FW108" t="e">
        <f>AND(#REF!,"AAAAAGe//7I=")</f>
        <v>#REF!</v>
      </c>
      <c r="FX108" t="e">
        <f>AND(#REF!,"AAAAAGe//7M=")</f>
        <v>#REF!</v>
      </c>
      <c r="FY108" t="e">
        <f>AND(#REF!,"AAAAAGe//7Q=")</f>
        <v>#REF!</v>
      </c>
      <c r="FZ108" t="e">
        <f>AND(#REF!,"AAAAAGe//7U=")</f>
        <v>#REF!</v>
      </c>
      <c r="GA108" t="e">
        <f>AND(#REF!,"AAAAAGe//7Y=")</f>
        <v>#REF!</v>
      </c>
      <c r="GB108" t="e">
        <f>AND(#REF!,"AAAAAGe//7c=")</f>
        <v>#REF!</v>
      </c>
      <c r="GC108" t="e">
        <f>AND(#REF!,"AAAAAGe//7g=")</f>
        <v>#REF!</v>
      </c>
      <c r="GD108" t="e">
        <f>AND(#REF!,"AAAAAGe//7k=")</f>
        <v>#REF!</v>
      </c>
      <c r="GE108" t="e">
        <f>AND(#REF!,"AAAAAGe//7o=")</f>
        <v>#REF!</v>
      </c>
      <c r="GF108" t="e">
        <f>AND(#REF!,"AAAAAGe//7s=")</f>
        <v>#REF!</v>
      </c>
      <c r="GG108" t="e">
        <f>AND(#REF!,"AAAAAGe//7w=")</f>
        <v>#REF!</v>
      </c>
      <c r="GH108" t="e">
        <f>AND(#REF!,"AAAAAGe//70=")</f>
        <v>#REF!</v>
      </c>
      <c r="GI108" t="e">
        <f>AND(#REF!,"AAAAAGe//74=")</f>
        <v>#REF!</v>
      </c>
      <c r="GJ108" t="e">
        <f>AND(#REF!,"AAAAAGe//78=")</f>
        <v>#REF!</v>
      </c>
      <c r="GK108" t="e">
        <f>AND(#REF!,"AAAAAGe//8A=")</f>
        <v>#REF!</v>
      </c>
      <c r="GL108" t="e">
        <f>AND(#REF!,"AAAAAGe//8E=")</f>
        <v>#REF!</v>
      </c>
      <c r="GM108" t="e">
        <f>AND(#REF!,"AAAAAGe//8I=")</f>
        <v>#REF!</v>
      </c>
      <c r="GN108" t="e">
        <f>AND(#REF!,"AAAAAGe//8M=")</f>
        <v>#REF!</v>
      </c>
      <c r="GO108" t="e">
        <f>AND(#REF!,"AAAAAGe//8Q=")</f>
        <v>#REF!</v>
      </c>
      <c r="GP108" t="e">
        <f>AND(#REF!,"AAAAAGe//8U=")</f>
        <v>#REF!</v>
      </c>
      <c r="GQ108" t="e">
        <f>AND(#REF!,"AAAAAGe//8Y=")</f>
        <v>#REF!</v>
      </c>
      <c r="GR108" t="e">
        <f>AND(#REF!,"AAAAAGe//8c=")</f>
        <v>#REF!</v>
      </c>
      <c r="GS108" t="e">
        <f>AND(#REF!,"AAAAAGe//8g=")</f>
        <v>#REF!</v>
      </c>
      <c r="GT108" t="e">
        <f>AND(#REF!,"AAAAAGe//8k=")</f>
        <v>#REF!</v>
      </c>
      <c r="GU108" t="e">
        <f>AND(#REF!,"AAAAAGe//8o=")</f>
        <v>#REF!</v>
      </c>
      <c r="GV108" t="e">
        <f>AND(#REF!,"AAAAAGe//8s=")</f>
        <v>#REF!</v>
      </c>
      <c r="GW108" t="e">
        <f>AND(#REF!,"AAAAAGe//8w=")</f>
        <v>#REF!</v>
      </c>
      <c r="GX108" t="e">
        <f>AND(#REF!,"AAAAAGe//80=")</f>
        <v>#REF!</v>
      </c>
      <c r="GY108" t="e">
        <f>AND(#REF!,"AAAAAGe//84=")</f>
        <v>#REF!</v>
      </c>
      <c r="GZ108" t="e">
        <f>AND(#REF!,"AAAAAGe//88=")</f>
        <v>#REF!</v>
      </c>
      <c r="HA108" t="e">
        <f>AND(#REF!,"AAAAAGe//9A=")</f>
        <v>#REF!</v>
      </c>
      <c r="HB108" t="e">
        <f>AND(#REF!,"AAAAAGe//9E=")</f>
        <v>#REF!</v>
      </c>
      <c r="HC108" t="e">
        <f>AND(#REF!,"AAAAAGe//9I=")</f>
        <v>#REF!</v>
      </c>
      <c r="HD108" t="e">
        <f>AND(#REF!,"AAAAAGe//9M=")</f>
        <v>#REF!</v>
      </c>
      <c r="HE108" t="e">
        <f>AND(#REF!,"AAAAAGe//9Q=")</f>
        <v>#REF!</v>
      </c>
      <c r="HF108" t="e">
        <f>AND(#REF!,"AAAAAGe//9U=")</f>
        <v>#REF!</v>
      </c>
      <c r="HG108" t="e">
        <f>AND(#REF!,"AAAAAGe//9Y=")</f>
        <v>#REF!</v>
      </c>
      <c r="HH108" t="e">
        <f>AND(#REF!,"AAAAAGe//9c=")</f>
        <v>#REF!</v>
      </c>
      <c r="HI108" t="e">
        <f>AND(#REF!,"AAAAAGe//9g=")</f>
        <v>#REF!</v>
      </c>
      <c r="HJ108" t="e">
        <f>AND(#REF!,"AAAAAGe//9k=")</f>
        <v>#REF!</v>
      </c>
      <c r="HK108" t="e">
        <f>AND(#REF!,"AAAAAGe//9o=")</f>
        <v>#REF!</v>
      </c>
      <c r="HL108" t="e">
        <f>AND(#REF!,"AAAAAGe//9s=")</f>
        <v>#REF!</v>
      </c>
      <c r="HM108" t="e">
        <f>AND(#REF!,"AAAAAGe//9w=")</f>
        <v>#REF!</v>
      </c>
      <c r="HN108" t="e">
        <f>AND(#REF!,"AAAAAGe//90=")</f>
        <v>#REF!</v>
      </c>
      <c r="HO108" t="e">
        <f>AND(#REF!,"AAAAAGe//94=")</f>
        <v>#REF!</v>
      </c>
      <c r="HP108" t="e">
        <f>AND(#REF!,"AAAAAGe//98=")</f>
        <v>#REF!</v>
      </c>
      <c r="HQ108" t="e">
        <f>AND(#REF!,"AAAAAGe//+A=")</f>
        <v>#REF!</v>
      </c>
      <c r="HR108" t="e">
        <f>AND(#REF!,"AAAAAGe//+E=")</f>
        <v>#REF!</v>
      </c>
      <c r="HS108" t="e">
        <f>AND(#REF!,"AAAAAGe//+I=")</f>
        <v>#REF!</v>
      </c>
      <c r="HT108" t="e">
        <f>AND(#REF!,"AAAAAGe//+M=")</f>
        <v>#REF!</v>
      </c>
      <c r="HU108" t="e">
        <f>AND(#REF!,"AAAAAGe//+Q=")</f>
        <v>#REF!</v>
      </c>
      <c r="HV108" t="e">
        <f>AND(#REF!,"AAAAAGe//+U=")</f>
        <v>#REF!</v>
      </c>
      <c r="HW108" t="e">
        <f>AND(#REF!,"AAAAAGe//+Y=")</f>
        <v>#REF!</v>
      </c>
      <c r="HX108" t="e">
        <f>AND(#REF!,"AAAAAGe//+c=")</f>
        <v>#REF!</v>
      </c>
      <c r="HY108" t="e">
        <f>AND(#REF!,"AAAAAGe//+g=")</f>
        <v>#REF!</v>
      </c>
      <c r="HZ108" t="e">
        <f>AND(#REF!,"AAAAAGe//+k=")</f>
        <v>#REF!</v>
      </c>
      <c r="IA108" t="e">
        <f>AND(#REF!,"AAAAAGe//+o=")</f>
        <v>#REF!</v>
      </c>
      <c r="IB108" t="e">
        <f>AND(#REF!,"AAAAAGe//+s=")</f>
        <v>#REF!</v>
      </c>
      <c r="IC108" t="e">
        <f>AND(#REF!,"AAAAAGe//+w=")</f>
        <v>#REF!</v>
      </c>
      <c r="ID108" t="e">
        <f>AND(#REF!,"AAAAAGe//+0=")</f>
        <v>#REF!</v>
      </c>
      <c r="IE108" t="e">
        <f>AND(#REF!,"AAAAAGe//+4=")</f>
        <v>#REF!</v>
      </c>
      <c r="IF108" t="e">
        <f>AND(#REF!,"AAAAAGe//+8=")</f>
        <v>#REF!</v>
      </c>
      <c r="IG108" t="e">
        <f>AND(#REF!,"AAAAAGe///A=")</f>
        <v>#REF!</v>
      </c>
      <c r="IH108" t="e">
        <f>AND(#REF!,"AAAAAGe///E=")</f>
        <v>#REF!</v>
      </c>
      <c r="II108" t="e">
        <f>AND(#REF!,"AAAAAGe///I=")</f>
        <v>#REF!</v>
      </c>
      <c r="IJ108" t="e">
        <f>AND(#REF!,"AAAAAGe///M=")</f>
        <v>#REF!</v>
      </c>
      <c r="IK108" t="e">
        <f>AND(#REF!,"AAAAAGe///Q=")</f>
        <v>#REF!</v>
      </c>
      <c r="IL108" t="e">
        <f>AND(#REF!,"AAAAAGe///U=")</f>
        <v>#REF!</v>
      </c>
      <c r="IM108" t="e">
        <f>AND(#REF!,"AAAAAGe///Y=")</f>
        <v>#REF!</v>
      </c>
      <c r="IN108" t="e">
        <f>AND(#REF!,"AAAAAGe///c=")</f>
        <v>#REF!</v>
      </c>
      <c r="IO108" t="e">
        <f>AND(#REF!,"AAAAAGe///g=")</f>
        <v>#REF!</v>
      </c>
      <c r="IP108" t="e">
        <f>AND(#REF!,"AAAAAGe///k=")</f>
        <v>#REF!</v>
      </c>
      <c r="IQ108" t="e">
        <f>AND(#REF!,"AAAAAGe///o=")</f>
        <v>#REF!</v>
      </c>
      <c r="IR108" t="e">
        <f>AND(#REF!,"AAAAAGe///s=")</f>
        <v>#REF!</v>
      </c>
      <c r="IS108" t="e">
        <f>AND(#REF!,"AAAAAGe///w=")</f>
        <v>#REF!</v>
      </c>
      <c r="IT108" t="e">
        <f>AND(#REF!,"AAAAAGe///0=")</f>
        <v>#REF!</v>
      </c>
      <c r="IU108" t="e">
        <f>AND(#REF!,"AAAAAGe///4=")</f>
        <v>#REF!</v>
      </c>
      <c r="IV108" t="e">
        <f>AND(#REF!,"AAAAAGe///8=")</f>
        <v>#REF!</v>
      </c>
    </row>
    <row r="109" spans="1:256" x14ac:dyDescent="0.25">
      <c r="A109" t="e">
        <f>AND(#REF!,"AAAAAC51lwA=")</f>
        <v>#REF!</v>
      </c>
      <c r="B109" t="e">
        <f>AND(#REF!,"AAAAAC51lwE=")</f>
        <v>#REF!</v>
      </c>
      <c r="C109" t="e">
        <f>AND(#REF!,"AAAAAC51lwI=")</f>
        <v>#REF!</v>
      </c>
      <c r="D109" t="e">
        <f>AND(#REF!,"AAAAAC51lwM=")</f>
        <v>#REF!</v>
      </c>
      <c r="E109" t="e">
        <f>AND(#REF!,"AAAAAC51lwQ=")</f>
        <v>#REF!</v>
      </c>
      <c r="F109" t="e">
        <f>AND(#REF!,"AAAAAC51lwU=")</f>
        <v>#REF!</v>
      </c>
      <c r="G109" t="e">
        <f>AND(#REF!,"AAAAAC51lwY=")</f>
        <v>#REF!</v>
      </c>
      <c r="H109" t="e">
        <f>AND(#REF!,"AAAAAC51lwc=")</f>
        <v>#REF!</v>
      </c>
      <c r="I109" t="e">
        <f>AND(#REF!,"AAAAAC51lwg=")</f>
        <v>#REF!</v>
      </c>
      <c r="J109" t="e">
        <f>AND(#REF!,"AAAAAC51lwk=")</f>
        <v>#REF!</v>
      </c>
      <c r="K109" t="e">
        <f>AND(#REF!,"AAAAAC51lwo=")</f>
        <v>#REF!</v>
      </c>
      <c r="L109" t="e">
        <f>AND(#REF!,"AAAAAC51lws=")</f>
        <v>#REF!</v>
      </c>
      <c r="M109" t="e">
        <f>AND(#REF!,"AAAAAC51lww=")</f>
        <v>#REF!</v>
      </c>
      <c r="N109" t="e">
        <f>AND(#REF!,"AAAAAC51lw0=")</f>
        <v>#REF!</v>
      </c>
      <c r="O109" t="e">
        <f>AND(#REF!,"AAAAAC51lw4=")</f>
        <v>#REF!</v>
      </c>
      <c r="P109" t="e">
        <f>AND(#REF!,"AAAAAC51lw8=")</f>
        <v>#REF!</v>
      </c>
      <c r="Q109" t="e">
        <f>AND(#REF!,"AAAAAC51lxA=")</f>
        <v>#REF!</v>
      </c>
      <c r="R109" t="e">
        <f>AND(#REF!,"AAAAAC51lxE=")</f>
        <v>#REF!</v>
      </c>
      <c r="S109" t="e">
        <f>AND(#REF!,"AAAAAC51lxI=")</f>
        <v>#REF!</v>
      </c>
      <c r="T109" t="e">
        <f>AND(#REF!,"AAAAAC51lxM=")</f>
        <v>#REF!</v>
      </c>
      <c r="U109" t="e">
        <f>AND(#REF!,"AAAAAC51lxQ=")</f>
        <v>#REF!</v>
      </c>
      <c r="V109" t="e">
        <f>AND(#REF!,"AAAAAC51lxU=")</f>
        <v>#REF!</v>
      </c>
      <c r="W109" t="e">
        <f>AND(#REF!,"AAAAAC51lxY=")</f>
        <v>#REF!</v>
      </c>
      <c r="X109" t="e">
        <f>AND(#REF!,"AAAAAC51lxc=")</f>
        <v>#REF!</v>
      </c>
      <c r="Y109" t="e">
        <f>AND(#REF!,"AAAAAC51lxg=")</f>
        <v>#REF!</v>
      </c>
      <c r="Z109" t="e">
        <f>AND(#REF!,"AAAAAC51lxk=")</f>
        <v>#REF!</v>
      </c>
      <c r="AA109" t="e">
        <f>AND(#REF!,"AAAAAC51lxo=")</f>
        <v>#REF!</v>
      </c>
      <c r="AB109" t="e">
        <f>AND(#REF!,"AAAAAC51lxs=")</f>
        <v>#REF!</v>
      </c>
      <c r="AC109" t="e">
        <f>AND(#REF!,"AAAAAC51lxw=")</f>
        <v>#REF!</v>
      </c>
      <c r="AD109" t="e">
        <f>AND(#REF!,"AAAAAC51lx0=")</f>
        <v>#REF!</v>
      </c>
      <c r="AE109" t="e">
        <f>AND(#REF!,"AAAAAC51lx4=")</f>
        <v>#REF!</v>
      </c>
      <c r="AF109" t="e">
        <f>AND(#REF!,"AAAAAC51lx8=")</f>
        <v>#REF!</v>
      </c>
      <c r="AG109" t="e">
        <f>AND(#REF!,"AAAAAC51lyA=")</f>
        <v>#REF!</v>
      </c>
      <c r="AH109" t="e">
        <f>AND(#REF!,"AAAAAC51lyE=")</f>
        <v>#REF!</v>
      </c>
      <c r="AI109" t="e">
        <f>AND(#REF!,"AAAAAC51lyI=")</f>
        <v>#REF!</v>
      </c>
      <c r="AJ109" t="e">
        <f>AND(#REF!,"AAAAAC51lyM=")</f>
        <v>#REF!</v>
      </c>
      <c r="AK109" t="e">
        <f>AND(#REF!,"AAAAAC51lyQ=")</f>
        <v>#REF!</v>
      </c>
      <c r="AL109" t="e">
        <f>AND(#REF!,"AAAAAC51lyU=")</f>
        <v>#REF!</v>
      </c>
      <c r="AM109" t="e">
        <f>AND(#REF!,"AAAAAC51lyY=")</f>
        <v>#REF!</v>
      </c>
      <c r="AN109" t="e">
        <f>AND(#REF!,"AAAAAC51lyc=")</f>
        <v>#REF!</v>
      </c>
      <c r="AO109" t="e">
        <f>AND(#REF!,"AAAAAC51lyg=")</f>
        <v>#REF!</v>
      </c>
      <c r="AP109" t="e">
        <f>AND(#REF!,"AAAAAC51lyk=")</f>
        <v>#REF!</v>
      </c>
      <c r="AQ109" t="e">
        <f>AND(#REF!,"AAAAAC51lyo=")</f>
        <v>#REF!</v>
      </c>
      <c r="AR109" t="e">
        <f>AND(#REF!,"AAAAAC51lys=")</f>
        <v>#REF!</v>
      </c>
      <c r="AS109" t="e">
        <f>AND(#REF!,"AAAAAC51lyw=")</f>
        <v>#REF!</v>
      </c>
      <c r="AT109" t="e">
        <f>AND(#REF!,"AAAAAC51ly0=")</f>
        <v>#REF!</v>
      </c>
      <c r="AU109" t="e">
        <f>AND(#REF!,"AAAAAC51ly4=")</f>
        <v>#REF!</v>
      </c>
      <c r="AV109" t="e">
        <f>AND(#REF!,"AAAAAC51ly8=")</f>
        <v>#REF!</v>
      </c>
      <c r="AW109" t="e">
        <f>AND(#REF!,"AAAAAC51lzA=")</f>
        <v>#REF!</v>
      </c>
      <c r="AX109" t="e">
        <f>AND(#REF!,"AAAAAC51lzE=")</f>
        <v>#REF!</v>
      </c>
      <c r="AY109" t="e">
        <f>AND(#REF!,"AAAAAC51lzI=")</f>
        <v>#REF!</v>
      </c>
      <c r="AZ109" t="e">
        <f>AND(#REF!,"AAAAAC51lzM=")</f>
        <v>#REF!</v>
      </c>
      <c r="BA109" t="e">
        <f>AND(#REF!,"AAAAAC51lzQ=")</f>
        <v>#REF!</v>
      </c>
      <c r="BB109" t="e">
        <f>AND(#REF!,"AAAAAC51lzU=")</f>
        <v>#REF!</v>
      </c>
      <c r="BC109" t="e">
        <f>AND(#REF!,"AAAAAC51lzY=")</f>
        <v>#REF!</v>
      </c>
      <c r="BD109" t="e">
        <f>AND(#REF!,"AAAAAC51lzc=")</f>
        <v>#REF!</v>
      </c>
      <c r="BE109" t="e">
        <f>AND(#REF!,"AAAAAC51lzg=")</f>
        <v>#REF!</v>
      </c>
      <c r="BF109" t="e">
        <f>AND(#REF!,"AAAAAC51lzk=")</f>
        <v>#REF!</v>
      </c>
      <c r="BG109" t="e">
        <f>AND(#REF!,"AAAAAC51lzo=")</f>
        <v>#REF!</v>
      </c>
      <c r="BH109" t="e">
        <f>AND(#REF!,"AAAAAC51lzs=")</f>
        <v>#REF!</v>
      </c>
      <c r="BI109" t="e">
        <f>AND(#REF!,"AAAAAC51lzw=")</f>
        <v>#REF!</v>
      </c>
      <c r="BJ109" t="e">
        <f>AND(#REF!,"AAAAAC51lz0=")</f>
        <v>#REF!</v>
      </c>
      <c r="BK109" t="e">
        <f>AND(#REF!,"AAAAAC51lz4=")</f>
        <v>#REF!</v>
      </c>
      <c r="BL109" t="e">
        <f>AND(#REF!,"AAAAAC51lz8=")</f>
        <v>#REF!</v>
      </c>
      <c r="BM109" t="e">
        <f>AND(#REF!,"AAAAAC51l0A=")</f>
        <v>#REF!</v>
      </c>
      <c r="BN109" t="e">
        <f>AND(#REF!,"AAAAAC51l0E=")</f>
        <v>#REF!</v>
      </c>
      <c r="BO109" t="e">
        <f>AND(#REF!,"AAAAAC51l0I=")</f>
        <v>#REF!</v>
      </c>
      <c r="BP109" t="e">
        <f>AND(#REF!,"AAAAAC51l0M=")</f>
        <v>#REF!</v>
      </c>
      <c r="BQ109" t="e">
        <f>AND(#REF!,"AAAAAC51l0Q=")</f>
        <v>#REF!</v>
      </c>
      <c r="BR109" t="e">
        <f>AND(#REF!,"AAAAAC51l0U=")</f>
        <v>#REF!</v>
      </c>
      <c r="BS109" t="e">
        <f>AND(#REF!,"AAAAAC51l0Y=")</f>
        <v>#REF!</v>
      </c>
      <c r="BT109" t="e">
        <f>AND(#REF!,"AAAAAC51l0c=")</f>
        <v>#REF!</v>
      </c>
      <c r="BU109" t="e">
        <f>AND(#REF!,"AAAAAC51l0g=")</f>
        <v>#REF!</v>
      </c>
      <c r="BV109" t="e">
        <f>AND(#REF!,"AAAAAC51l0k=")</f>
        <v>#REF!</v>
      </c>
      <c r="BW109" t="e">
        <f>AND(#REF!,"AAAAAC51l0o=")</f>
        <v>#REF!</v>
      </c>
      <c r="BX109" t="e">
        <f>AND(#REF!,"AAAAAC51l0s=")</f>
        <v>#REF!</v>
      </c>
      <c r="BY109" t="e">
        <f>AND(#REF!,"AAAAAC51l0w=")</f>
        <v>#REF!</v>
      </c>
      <c r="BZ109" t="e">
        <f>AND(#REF!,"AAAAAC51l00=")</f>
        <v>#REF!</v>
      </c>
      <c r="CA109" t="e">
        <f>AND(#REF!,"AAAAAC51l04=")</f>
        <v>#REF!</v>
      </c>
      <c r="CB109" t="e">
        <f>AND(#REF!,"AAAAAC51l08=")</f>
        <v>#REF!</v>
      </c>
      <c r="CC109" t="e">
        <f>AND(#REF!,"AAAAAC51l1A=")</f>
        <v>#REF!</v>
      </c>
      <c r="CD109" t="e">
        <f>AND(#REF!,"AAAAAC51l1E=")</f>
        <v>#REF!</v>
      </c>
      <c r="CE109" t="e">
        <f>AND(#REF!,"AAAAAC51l1I=")</f>
        <v>#REF!</v>
      </c>
      <c r="CF109" t="e">
        <f>AND(#REF!,"AAAAAC51l1M=")</f>
        <v>#REF!</v>
      </c>
      <c r="CG109" t="e">
        <f>AND(#REF!,"AAAAAC51l1Q=")</f>
        <v>#REF!</v>
      </c>
      <c r="CH109" t="e">
        <f>AND(#REF!,"AAAAAC51l1U=")</f>
        <v>#REF!</v>
      </c>
      <c r="CI109" t="e">
        <f>AND(#REF!,"AAAAAC51l1Y=")</f>
        <v>#REF!</v>
      </c>
      <c r="CJ109" t="e">
        <f>AND(#REF!,"AAAAAC51l1c=")</f>
        <v>#REF!</v>
      </c>
      <c r="CK109" t="e">
        <f>AND(#REF!,"AAAAAC51l1g=")</f>
        <v>#REF!</v>
      </c>
      <c r="CL109" t="e">
        <f>AND(#REF!,"AAAAAC51l1k=")</f>
        <v>#REF!</v>
      </c>
      <c r="CM109" t="e">
        <f>AND(#REF!,"AAAAAC51l1o=")</f>
        <v>#REF!</v>
      </c>
      <c r="CN109" t="e">
        <f>AND(#REF!,"AAAAAC51l1s=")</f>
        <v>#REF!</v>
      </c>
      <c r="CO109" t="e">
        <f>AND(#REF!,"AAAAAC51l1w=")</f>
        <v>#REF!</v>
      </c>
      <c r="CP109" t="e">
        <f>AND(#REF!,"AAAAAC51l10=")</f>
        <v>#REF!</v>
      </c>
      <c r="CQ109" t="e">
        <f>AND(#REF!,"AAAAAC51l14=")</f>
        <v>#REF!</v>
      </c>
      <c r="CR109" t="e">
        <f>AND(#REF!,"AAAAAC51l18=")</f>
        <v>#REF!</v>
      </c>
      <c r="CS109" t="e">
        <f>AND(#REF!,"AAAAAC51l2A=")</f>
        <v>#REF!</v>
      </c>
      <c r="CT109" t="e">
        <f>AND(#REF!,"AAAAAC51l2E=")</f>
        <v>#REF!</v>
      </c>
      <c r="CU109" t="e">
        <f>AND(#REF!,"AAAAAC51l2I=")</f>
        <v>#REF!</v>
      </c>
      <c r="CV109" t="e">
        <f>AND(#REF!,"AAAAAC51l2M=")</f>
        <v>#REF!</v>
      </c>
      <c r="CW109" t="e">
        <f>IF(#REF!,"AAAAAC51l2Q=",0)</f>
        <v>#REF!</v>
      </c>
      <c r="CX109" t="e">
        <f>AND(#REF!,"AAAAAC51l2U=")</f>
        <v>#REF!</v>
      </c>
      <c r="CY109" t="e">
        <f>AND(#REF!,"AAAAAC51l2Y=")</f>
        <v>#REF!</v>
      </c>
      <c r="CZ109" t="e">
        <f>AND(#REF!,"AAAAAC51l2c=")</f>
        <v>#REF!</v>
      </c>
      <c r="DA109" t="e">
        <f>AND(#REF!,"AAAAAC51l2g=")</f>
        <v>#REF!</v>
      </c>
      <c r="DB109" t="e">
        <f>AND(#REF!,"AAAAAC51l2k=")</f>
        <v>#REF!</v>
      </c>
      <c r="DC109" t="e">
        <f>AND(#REF!,"AAAAAC51l2o=")</f>
        <v>#REF!</v>
      </c>
      <c r="DD109" t="e">
        <f>AND(#REF!,"AAAAAC51l2s=")</f>
        <v>#REF!</v>
      </c>
      <c r="DE109" t="e">
        <f>AND(#REF!,"AAAAAC51l2w=")</f>
        <v>#REF!</v>
      </c>
      <c r="DF109" t="e">
        <f>AND(#REF!,"AAAAAC51l20=")</f>
        <v>#REF!</v>
      </c>
      <c r="DG109" t="e">
        <f>AND(#REF!,"AAAAAC51l24=")</f>
        <v>#REF!</v>
      </c>
      <c r="DH109" t="e">
        <f>AND(#REF!,"AAAAAC51l28=")</f>
        <v>#REF!</v>
      </c>
      <c r="DI109" t="e">
        <f>AND(#REF!,"AAAAAC51l3A=")</f>
        <v>#REF!</v>
      </c>
      <c r="DJ109" t="e">
        <f>AND(#REF!,"AAAAAC51l3E=")</f>
        <v>#REF!</v>
      </c>
      <c r="DK109" t="e">
        <f>AND(#REF!,"AAAAAC51l3I=")</f>
        <v>#REF!</v>
      </c>
      <c r="DL109" t="e">
        <f>AND(#REF!,"AAAAAC51l3M=")</f>
        <v>#REF!</v>
      </c>
      <c r="DM109" t="e">
        <f>AND(#REF!,"AAAAAC51l3Q=")</f>
        <v>#REF!</v>
      </c>
      <c r="DN109" t="e">
        <f>AND(#REF!,"AAAAAC51l3U=")</f>
        <v>#REF!</v>
      </c>
      <c r="DO109" t="e">
        <f>AND(#REF!,"AAAAAC51l3Y=")</f>
        <v>#REF!</v>
      </c>
      <c r="DP109" t="e">
        <f>AND(#REF!,"AAAAAC51l3c=")</f>
        <v>#REF!</v>
      </c>
      <c r="DQ109" t="e">
        <f>AND(#REF!,"AAAAAC51l3g=")</f>
        <v>#REF!</v>
      </c>
      <c r="DR109" t="e">
        <f>AND(#REF!,"AAAAAC51l3k=")</f>
        <v>#REF!</v>
      </c>
      <c r="DS109" t="e">
        <f>AND(#REF!,"AAAAAC51l3o=")</f>
        <v>#REF!</v>
      </c>
      <c r="DT109" t="e">
        <f>AND(#REF!,"AAAAAC51l3s=")</f>
        <v>#REF!</v>
      </c>
      <c r="DU109" t="e">
        <f>AND(#REF!,"AAAAAC51l3w=")</f>
        <v>#REF!</v>
      </c>
      <c r="DV109" t="e">
        <f>AND(#REF!,"AAAAAC51l30=")</f>
        <v>#REF!</v>
      </c>
      <c r="DW109" t="e">
        <f>AND(#REF!,"AAAAAC51l34=")</f>
        <v>#REF!</v>
      </c>
      <c r="DX109" t="e">
        <f>AND(#REF!,"AAAAAC51l38=")</f>
        <v>#REF!</v>
      </c>
      <c r="DY109" t="e">
        <f>AND(#REF!,"AAAAAC51l4A=")</f>
        <v>#REF!</v>
      </c>
      <c r="DZ109" t="e">
        <f>AND(#REF!,"AAAAAC51l4E=")</f>
        <v>#REF!</v>
      </c>
      <c r="EA109" t="e">
        <f>AND(#REF!,"AAAAAC51l4I=")</f>
        <v>#REF!</v>
      </c>
      <c r="EB109" t="e">
        <f>AND(#REF!,"AAAAAC51l4M=")</f>
        <v>#REF!</v>
      </c>
      <c r="EC109" t="e">
        <f>AND(#REF!,"AAAAAC51l4Q=")</f>
        <v>#REF!</v>
      </c>
      <c r="ED109" t="e">
        <f>AND(#REF!,"AAAAAC51l4U=")</f>
        <v>#REF!</v>
      </c>
      <c r="EE109" t="e">
        <f>AND(#REF!,"AAAAAC51l4Y=")</f>
        <v>#REF!</v>
      </c>
      <c r="EF109" t="e">
        <f>AND(#REF!,"AAAAAC51l4c=")</f>
        <v>#REF!</v>
      </c>
      <c r="EG109" t="e">
        <f>AND(#REF!,"AAAAAC51l4g=")</f>
        <v>#REF!</v>
      </c>
      <c r="EH109" t="e">
        <f>AND(#REF!,"AAAAAC51l4k=")</f>
        <v>#REF!</v>
      </c>
      <c r="EI109" t="e">
        <f>AND(#REF!,"AAAAAC51l4o=")</f>
        <v>#REF!</v>
      </c>
      <c r="EJ109" t="e">
        <f>AND(#REF!,"AAAAAC51l4s=")</f>
        <v>#REF!</v>
      </c>
      <c r="EK109" t="e">
        <f>AND(#REF!,"AAAAAC51l4w=")</f>
        <v>#REF!</v>
      </c>
      <c r="EL109" t="e">
        <f>AND(#REF!,"AAAAAC51l40=")</f>
        <v>#REF!</v>
      </c>
      <c r="EM109" t="e">
        <f>AND(#REF!,"AAAAAC51l44=")</f>
        <v>#REF!</v>
      </c>
      <c r="EN109" t="e">
        <f>AND(#REF!,"AAAAAC51l48=")</f>
        <v>#REF!</v>
      </c>
      <c r="EO109" t="e">
        <f>AND(#REF!,"AAAAAC51l5A=")</f>
        <v>#REF!</v>
      </c>
      <c r="EP109" t="e">
        <f>AND(#REF!,"AAAAAC51l5E=")</f>
        <v>#REF!</v>
      </c>
      <c r="EQ109" t="e">
        <f>AND(#REF!,"AAAAAC51l5I=")</f>
        <v>#REF!</v>
      </c>
      <c r="ER109" t="e">
        <f>AND(#REF!,"AAAAAC51l5M=")</f>
        <v>#REF!</v>
      </c>
      <c r="ES109" t="e">
        <f>AND(#REF!,"AAAAAC51l5Q=")</f>
        <v>#REF!</v>
      </c>
      <c r="ET109" t="e">
        <f>AND(#REF!,"AAAAAC51l5U=")</f>
        <v>#REF!</v>
      </c>
      <c r="EU109" t="e">
        <f>AND(#REF!,"AAAAAC51l5Y=")</f>
        <v>#REF!</v>
      </c>
      <c r="EV109" t="e">
        <f>AND(#REF!,"AAAAAC51l5c=")</f>
        <v>#REF!</v>
      </c>
      <c r="EW109" t="e">
        <f>AND(#REF!,"AAAAAC51l5g=")</f>
        <v>#REF!</v>
      </c>
      <c r="EX109" t="e">
        <f>AND(#REF!,"AAAAAC51l5k=")</f>
        <v>#REF!</v>
      </c>
      <c r="EY109" t="e">
        <f>AND(#REF!,"AAAAAC51l5o=")</f>
        <v>#REF!</v>
      </c>
      <c r="EZ109" t="e">
        <f>AND(#REF!,"AAAAAC51l5s=")</f>
        <v>#REF!</v>
      </c>
      <c r="FA109" t="e">
        <f>AND(#REF!,"AAAAAC51l5w=")</f>
        <v>#REF!</v>
      </c>
      <c r="FB109" t="e">
        <f>AND(#REF!,"AAAAAC51l50=")</f>
        <v>#REF!</v>
      </c>
      <c r="FC109" t="e">
        <f>AND(#REF!,"AAAAAC51l54=")</f>
        <v>#REF!</v>
      </c>
      <c r="FD109" t="e">
        <f>AND(#REF!,"AAAAAC51l58=")</f>
        <v>#REF!</v>
      </c>
      <c r="FE109" t="e">
        <f>AND(#REF!,"AAAAAC51l6A=")</f>
        <v>#REF!</v>
      </c>
      <c r="FF109" t="e">
        <f>AND(#REF!,"AAAAAC51l6E=")</f>
        <v>#REF!</v>
      </c>
      <c r="FG109" t="e">
        <f>AND(#REF!,"AAAAAC51l6I=")</f>
        <v>#REF!</v>
      </c>
      <c r="FH109" t="e">
        <f>AND(#REF!,"AAAAAC51l6M=")</f>
        <v>#REF!</v>
      </c>
      <c r="FI109" t="e">
        <f>AND(#REF!,"AAAAAC51l6Q=")</f>
        <v>#REF!</v>
      </c>
      <c r="FJ109" t="e">
        <f>AND(#REF!,"AAAAAC51l6U=")</f>
        <v>#REF!</v>
      </c>
      <c r="FK109" t="e">
        <f>AND(#REF!,"AAAAAC51l6Y=")</f>
        <v>#REF!</v>
      </c>
      <c r="FL109" t="e">
        <f>AND(#REF!,"AAAAAC51l6c=")</f>
        <v>#REF!</v>
      </c>
      <c r="FM109" t="e">
        <f>AND(#REF!,"AAAAAC51l6g=")</f>
        <v>#REF!</v>
      </c>
      <c r="FN109" t="e">
        <f>AND(#REF!,"AAAAAC51l6k=")</f>
        <v>#REF!</v>
      </c>
      <c r="FO109" t="e">
        <f>AND(#REF!,"AAAAAC51l6o=")</f>
        <v>#REF!</v>
      </c>
      <c r="FP109" t="e">
        <f>AND(#REF!,"AAAAAC51l6s=")</f>
        <v>#REF!</v>
      </c>
      <c r="FQ109" t="e">
        <f>AND(#REF!,"AAAAAC51l6w=")</f>
        <v>#REF!</v>
      </c>
      <c r="FR109" t="e">
        <f>AND(#REF!,"AAAAAC51l60=")</f>
        <v>#REF!</v>
      </c>
      <c r="FS109" t="e">
        <f>AND(#REF!,"AAAAAC51l64=")</f>
        <v>#REF!</v>
      </c>
      <c r="FT109" t="e">
        <f>AND(#REF!,"AAAAAC51l68=")</f>
        <v>#REF!</v>
      </c>
      <c r="FU109" t="e">
        <f>AND(#REF!,"AAAAAC51l7A=")</f>
        <v>#REF!</v>
      </c>
      <c r="FV109" t="e">
        <f>AND(#REF!,"AAAAAC51l7E=")</f>
        <v>#REF!</v>
      </c>
      <c r="FW109" t="e">
        <f>AND(#REF!,"AAAAAC51l7I=")</f>
        <v>#REF!</v>
      </c>
      <c r="FX109" t="e">
        <f>AND(#REF!,"AAAAAC51l7M=")</f>
        <v>#REF!</v>
      </c>
      <c r="FY109" t="e">
        <f>AND(#REF!,"AAAAAC51l7Q=")</f>
        <v>#REF!</v>
      </c>
      <c r="FZ109" t="e">
        <f>AND(#REF!,"AAAAAC51l7U=")</f>
        <v>#REF!</v>
      </c>
      <c r="GA109" t="e">
        <f>AND(#REF!,"AAAAAC51l7Y=")</f>
        <v>#REF!</v>
      </c>
      <c r="GB109" t="e">
        <f>AND(#REF!,"AAAAAC51l7c=")</f>
        <v>#REF!</v>
      </c>
      <c r="GC109" t="e">
        <f>AND(#REF!,"AAAAAC51l7g=")</f>
        <v>#REF!</v>
      </c>
      <c r="GD109" t="e">
        <f>AND(#REF!,"AAAAAC51l7k=")</f>
        <v>#REF!</v>
      </c>
      <c r="GE109" t="e">
        <f>AND(#REF!,"AAAAAC51l7o=")</f>
        <v>#REF!</v>
      </c>
      <c r="GF109" t="e">
        <f>AND(#REF!,"AAAAAC51l7s=")</f>
        <v>#REF!</v>
      </c>
      <c r="GG109" t="e">
        <f>AND(#REF!,"AAAAAC51l7w=")</f>
        <v>#REF!</v>
      </c>
      <c r="GH109" t="e">
        <f>AND(#REF!,"AAAAAC51l70=")</f>
        <v>#REF!</v>
      </c>
      <c r="GI109" t="e">
        <f>AND(#REF!,"AAAAAC51l74=")</f>
        <v>#REF!</v>
      </c>
      <c r="GJ109" t="e">
        <f>AND(#REF!,"AAAAAC51l78=")</f>
        <v>#REF!</v>
      </c>
      <c r="GK109" t="e">
        <f>AND(#REF!,"AAAAAC51l8A=")</f>
        <v>#REF!</v>
      </c>
      <c r="GL109" t="e">
        <f>AND(#REF!,"AAAAAC51l8E=")</f>
        <v>#REF!</v>
      </c>
      <c r="GM109" t="e">
        <f>AND(#REF!,"AAAAAC51l8I=")</f>
        <v>#REF!</v>
      </c>
      <c r="GN109" t="e">
        <f>AND(#REF!,"AAAAAC51l8M=")</f>
        <v>#REF!</v>
      </c>
      <c r="GO109" t="e">
        <f>AND(#REF!,"AAAAAC51l8Q=")</f>
        <v>#REF!</v>
      </c>
      <c r="GP109" t="e">
        <f>AND(#REF!,"AAAAAC51l8U=")</f>
        <v>#REF!</v>
      </c>
      <c r="GQ109" t="e">
        <f>AND(#REF!,"AAAAAC51l8Y=")</f>
        <v>#REF!</v>
      </c>
      <c r="GR109" t="e">
        <f>AND(#REF!,"AAAAAC51l8c=")</f>
        <v>#REF!</v>
      </c>
      <c r="GS109" t="e">
        <f>AND(#REF!,"AAAAAC51l8g=")</f>
        <v>#REF!</v>
      </c>
      <c r="GT109" t="e">
        <f>AND(#REF!,"AAAAAC51l8k=")</f>
        <v>#REF!</v>
      </c>
      <c r="GU109" t="e">
        <f>AND(#REF!,"AAAAAC51l8o=")</f>
        <v>#REF!</v>
      </c>
      <c r="GV109" t="e">
        <f>AND(#REF!,"AAAAAC51l8s=")</f>
        <v>#REF!</v>
      </c>
      <c r="GW109" t="e">
        <f>AND(#REF!,"AAAAAC51l8w=")</f>
        <v>#REF!</v>
      </c>
      <c r="GX109" t="e">
        <f>AND(#REF!,"AAAAAC51l80=")</f>
        <v>#REF!</v>
      </c>
      <c r="GY109" t="e">
        <f>AND(#REF!,"AAAAAC51l84=")</f>
        <v>#REF!</v>
      </c>
      <c r="GZ109" t="e">
        <f>AND(#REF!,"AAAAAC51l88=")</f>
        <v>#REF!</v>
      </c>
      <c r="HA109" t="e">
        <f>AND(#REF!,"AAAAAC51l9A=")</f>
        <v>#REF!</v>
      </c>
      <c r="HB109" t="e">
        <f>AND(#REF!,"AAAAAC51l9E=")</f>
        <v>#REF!</v>
      </c>
      <c r="HC109" t="e">
        <f>AND(#REF!,"AAAAAC51l9I=")</f>
        <v>#REF!</v>
      </c>
      <c r="HD109" t="e">
        <f>AND(#REF!,"AAAAAC51l9M=")</f>
        <v>#REF!</v>
      </c>
      <c r="HE109" t="e">
        <f>AND(#REF!,"AAAAAC51l9Q=")</f>
        <v>#REF!</v>
      </c>
      <c r="HF109" t="e">
        <f>AND(#REF!,"AAAAAC51l9U=")</f>
        <v>#REF!</v>
      </c>
      <c r="HG109" t="e">
        <f>AND(#REF!,"AAAAAC51l9Y=")</f>
        <v>#REF!</v>
      </c>
      <c r="HH109" t="e">
        <f>AND(#REF!,"AAAAAC51l9c=")</f>
        <v>#REF!</v>
      </c>
      <c r="HI109" t="e">
        <f>AND(#REF!,"AAAAAC51l9g=")</f>
        <v>#REF!</v>
      </c>
      <c r="HJ109" t="e">
        <f>AND(#REF!,"AAAAAC51l9k=")</f>
        <v>#REF!</v>
      </c>
      <c r="HK109" t="e">
        <f>AND(#REF!,"AAAAAC51l9o=")</f>
        <v>#REF!</v>
      </c>
      <c r="HL109" t="e">
        <f>AND(#REF!,"AAAAAC51l9s=")</f>
        <v>#REF!</v>
      </c>
      <c r="HM109" t="e">
        <f>AND(#REF!,"AAAAAC51l9w=")</f>
        <v>#REF!</v>
      </c>
      <c r="HN109" t="e">
        <f>AND(#REF!,"AAAAAC51l90=")</f>
        <v>#REF!</v>
      </c>
      <c r="HO109" t="e">
        <f>AND(#REF!,"AAAAAC51l94=")</f>
        <v>#REF!</v>
      </c>
      <c r="HP109" t="e">
        <f>AND(#REF!,"AAAAAC51l98=")</f>
        <v>#REF!</v>
      </c>
      <c r="HQ109" t="e">
        <f>AND(#REF!,"AAAAAC51l+A=")</f>
        <v>#REF!</v>
      </c>
      <c r="HR109" t="e">
        <f>AND(#REF!,"AAAAAC51l+E=")</f>
        <v>#REF!</v>
      </c>
      <c r="HS109" t="e">
        <f>AND(#REF!,"AAAAAC51l+I=")</f>
        <v>#REF!</v>
      </c>
      <c r="HT109" t="e">
        <f>AND(#REF!,"AAAAAC51l+M=")</f>
        <v>#REF!</v>
      </c>
      <c r="HU109" t="e">
        <f>AND(#REF!,"AAAAAC51l+Q=")</f>
        <v>#REF!</v>
      </c>
      <c r="HV109" t="e">
        <f>AND(#REF!,"AAAAAC51l+U=")</f>
        <v>#REF!</v>
      </c>
      <c r="HW109" t="e">
        <f>AND(#REF!,"AAAAAC51l+Y=")</f>
        <v>#REF!</v>
      </c>
      <c r="HX109" t="e">
        <f>AND(#REF!,"AAAAAC51l+c=")</f>
        <v>#REF!</v>
      </c>
      <c r="HY109" t="e">
        <f>AND(#REF!,"AAAAAC51l+g=")</f>
        <v>#REF!</v>
      </c>
      <c r="HZ109" t="e">
        <f>AND(#REF!,"AAAAAC51l+k=")</f>
        <v>#REF!</v>
      </c>
      <c r="IA109" t="e">
        <f>AND(#REF!,"AAAAAC51l+o=")</f>
        <v>#REF!</v>
      </c>
      <c r="IB109" t="e">
        <f>AND(#REF!,"AAAAAC51l+s=")</f>
        <v>#REF!</v>
      </c>
      <c r="IC109" t="e">
        <f>AND(#REF!,"AAAAAC51l+w=")</f>
        <v>#REF!</v>
      </c>
      <c r="ID109" t="e">
        <f>AND(#REF!,"AAAAAC51l+0=")</f>
        <v>#REF!</v>
      </c>
      <c r="IE109" t="e">
        <f>AND(#REF!,"AAAAAC51l+4=")</f>
        <v>#REF!</v>
      </c>
      <c r="IF109" t="e">
        <f>AND(#REF!,"AAAAAC51l+8=")</f>
        <v>#REF!</v>
      </c>
      <c r="IG109" t="e">
        <f>AND(#REF!,"AAAAAC51l/A=")</f>
        <v>#REF!</v>
      </c>
      <c r="IH109" t="e">
        <f>AND(#REF!,"AAAAAC51l/E=")</f>
        <v>#REF!</v>
      </c>
      <c r="II109" t="e">
        <f>AND(#REF!,"AAAAAC51l/I=")</f>
        <v>#REF!</v>
      </c>
      <c r="IJ109" t="e">
        <f>AND(#REF!,"AAAAAC51l/M=")</f>
        <v>#REF!</v>
      </c>
      <c r="IK109" t="e">
        <f>AND(#REF!,"AAAAAC51l/Q=")</f>
        <v>#REF!</v>
      </c>
      <c r="IL109" t="e">
        <f>AND(#REF!,"AAAAAC51l/U=")</f>
        <v>#REF!</v>
      </c>
      <c r="IM109" t="e">
        <f>AND(#REF!,"AAAAAC51l/Y=")</f>
        <v>#REF!</v>
      </c>
      <c r="IN109" t="e">
        <f>AND(#REF!,"AAAAAC51l/c=")</f>
        <v>#REF!</v>
      </c>
      <c r="IO109" t="e">
        <f>AND(#REF!,"AAAAAC51l/g=")</f>
        <v>#REF!</v>
      </c>
      <c r="IP109" t="e">
        <f>AND(#REF!,"AAAAAC51l/k=")</f>
        <v>#REF!</v>
      </c>
      <c r="IQ109" t="e">
        <f>AND(#REF!,"AAAAAC51l/o=")</f>
        <v>#REF!</v>
      </c>
      <c r="IR109" t="e">
        <f>AND(#REF!,"AAAAAC51l/s=")</f>
        <v>#REF!</v>
      </c>
      <c r="IS109" t="e">
        <f>AND(#REF!,"AAAAAC51l/w=")</f>
        <v>#REF!</v>
      </c>
      <c r="IT109" t="e">
        <f>AND(#REF!,"AAAAAC51l/0=")</f>
        <v>#REF!</v>
      </c>
      <c r="IU109" t="e">
        <f>AND(#REF!,"AAAAAC51l/4=")</f>
        <v>#REF!</v>
      </c>
      <c r="IV109" t="e">
        <f>AND(#REF!,"AAAAAC51l/8=")</f>
        <v>#REF!</v>
      </c>
    </row>
    <row r="110" spans="1:256" x14ac:dyDescent="0.25">
      <c r="A110" t="e">
        <f>AND(#REF!,"AAAAAHXr9QA=")</f>
        <v>#REF!</v>
      </c>
      <c r="B110" t="e">
        <f>AND(#REF!,"AAAAAHXr9QE=")</f>
        <v>#REF!</v>
      </c>
      <c r="C110" t="e">
        <f>AND(#REF!,"AAAAAHXr9QI=")</f>
        <v>#REF!</v>
      </c>
      <c r="D110" t="e">
        <f>AND(#REF!,"AAAAAHXr9QM=")</f>
        <v>#REF!</v>
      </c>
      <c r="E110" t="e">
        <f>AND(#REF!,"AAAAAHXr9QQ=")</f>
        <v>#REF!</v>
      </c>
      <c r="F110" t="e">
        <f>AND(#REF!,"AAAAAHXr9QU=")</f>
        <v>#REF!</v>
      </c>
      <c r="G110" t="e">
        <f>AND(#REF!,"AAAAAHXr9QY=")</f>
        <v>#REF!</v>
      </c>
      <c r="H110" t="e">
        <f>AND(#REF!,"AAAAAHXr9Qc=")</f>
        <v>#REF!</v>
      </c>
      <c r="I110" t="e">
        <f>AND(#REF!,"AAAAAHXr9Qg=")</f>
        <v>#REF!</v>
      </c>
      <c r="J110" t="e">
        <f>AND(#REF!,"AAAAAHXr9Qk=")</f>
        <v>#REF!</v>
      </c>
      <c r="K110" t="e">
        <f>AND(#REF!,"AAAAAHXr9Qo=")</f>
        <v>#REF!</v>
      </c>
      <c r="L110" t="e">
        <f>AND(#REF!,"AAAAAHXr9Qs=")</f>
        <v>#REF!</v>
      </c>
      <c r="M110" t="e">
        <f>AND(#REF!,"AAAAAHXr9Qw=")</f>
        <v>#REF!</v>
      </c>
      <c r="N110" t="e">
        <f>AND(#REF!,"AAAAAHXr9Q0=")</f>
        <v>#REF!</v>
      </c>
      <c r="O110" t="e">
        <f>AND(#REF!,"AAAAAHXr9Q4=")</f>
        <v>#REF!</v>
      </c>
      <c r="P110" t="e">
        <f>AND(#REF!,"AAAAAHXr9Q8=")</f>
        <v>#REF!</v>
      </c>
      <c r="Q110" t="e">
        <f>AND(#REF!,"AAAAAHXr9RA=")</f>
        <v>#REF!</v>
      </c>
      <c r="R110" t="e">
        <f>AND(#REF!,"AAAAAHXr9RE=")</f>
        <v>#REF!</v>
      </c>
      <c r="S110" t="e">
        <f>AND(#REF!,"AAAAAHXr9RI=")</f>
        <v>#REF!</v>
      </c>
      <c r="T110" t="e">
        <f>AND(#REF!,"AAAAAHXr9RM=")</f>
        <v>#REF!</v>
      </c>
      <c r="U110" t="e">
        <f>AND(#REF!,"AAAAAHXr9RQ=")</f>
        <v>#REF!</v>
      </c>
      <c r="V110" t="e">
        <f>AND(#REF!,"AAAAAHXr9RU=")</f>
        <v>#REF!</v>
      </c>
      <c r="W110" t="e">
        <f>AND(#REF!,"AAAAAHXr9RY=")</f>
        <v>#REF!</v>
      </c>
      <c r="X110" t="e">
        <f>AND(#REF!,"AAAAAHXr9Rc=")</f>
        <v>#REF!</v>
      </c>
      <c r="Y110" t="e">
        <f>AND(#REF!,"AAAAAHXr9Rg=")</f>
        <v>#REF!</v>
      </c>
      <c r="Z110" t="e">
        <f>AND(#REF!,"AAAAAHXr9Rk=")</f>
        <v>#REF!</v>
      </c>
      <c r="AA110" t="e">
        <f>AND(#REF!,"AAAAAHXr9Ro=")</f>
        <v>#REF!</v>
      </c>
      <c r="AB110" t="e">
        <f>AND(#REF!,"AAAAAHXr9Rs=")</f>
        <v>#REF!</v>
      </c>
      <c r="AC110" t="e">
        <f>AND(#REF!,"AAAAAHXr9Rw=")</f>
        <v>#REF!</v>
      </c>
      <c r="AD110" t="e">
        <f>AND(#REF!,"AAAAAHXr9R0=")</f>
        <v>#REF!</v>
      </c>
      <c r="AE110" t="e">
        <f>AND(#REF!,"AAAAAHXr9R4=")</f>
        <v>#REF!</v>
      </c>
      <c r="AF110" t="e">
        <f>AND(#REF!,"AAAAAHXr9R8=")</f>
        <v>#REF!</v>
      </c>
      <c r="AG110" t="e">
        <f>AND(#REF!,"AAAAAHXr9SA=")</f>
        <v>#REF!</v>
      </c>
      <c r="AH110" t="e">
        <f>IF(#REF!,"AAAAAHXr9SE=",0)</f>
        <v>#REF!</v>
      </c>
      <c r="AI110" t="e">
        <f>AND(#REF!,"AAAAAHXr9SI=")</f>
        <v>#REF!</v>
      </c>
      <c r="AJ110" t="e">
        <f>AND(#REF!,"AAAAAHXr9SM=")</f>
        <v>#REF!</v>
      </c>
      <c r="AK110" t="e">
        <f>AND(#REF!,"AAAAAHXr9SQ=")</f>
        <v>#REF!</v>
      </c>
      <c r="AL110" t="e">
        <f>AND(#REF!,"AAAAAHXr9SU=")</f>
        <v>#REF!</v>
      </c>
      <c r="AM110" t="e">
        <f>AND(#REF!,"AAAAAHXr9SY=")</f>
        <v>#REF!</v>
      </c>
      <c r="AN110" t="e">
        <f>AND(#REF!,"AAAAAHXr9Sc=")</f>
        <v>#REF!</v>
      </c>
      <c r="AO110" t="e">
        <f>AND(#REF!,"AAAAAHXr9Sg=")</f>
        <v>#REF!</v>
      </c>
      <c r="AP110" t="e">
        <f>AND(#REF!,"AAAAAHXr9Sk=")</f>
        <v>#REF!</v>
      </c>
      <c r="AQ110" t="e">
        <f>AND(#REF!,"AAAAAHXr9So=")</f>
        <v>#REF!</v>
      </c>
      <c r="AR110" t="e">
        <f>AND(#REF!,"AAAAAHXr9Ss=")</f>
        <v>#REF!</v>
      </c>
      <c r="AS110" t="e">
        <f>AND(#REF!,"AAAAAHXr9Sw=")</f>
        <v>#REF!</v>
      </c>
      <c r="AT110" t="e">
        <f>AND(#REF!,"AAAAAHXr9S0=")</f>
        <v>#REF!</v>
      </c>
      <c r="AU110" t="e">
        <f>AND(#REF!,"AAAAAHXr9S4=")</f>
        <v>#REF!</v>
      </c>
      <c r="AV110" t="e">
        <f>AND(#REF!,"AAAAAHXr9S8=")</f>
        <v>#REF!</v>
      </c>
      <c r="AW110" t="e">
        <f>AND(#REF!,"AAAAAHXr9TA=")</f>
        <v>#REF!</v>
      </c>
      <c r="AX110" t="e">
        <f>AND(#REF!,"AAAAAHXr9TE=")</f>
        <v>#REF!</v>
      </c>
      <c r="AY110" t="e">
        <f>AND(#REF!,"AAAAAHXr9TI=")</f>
        <v>#REF!</v>
      </c>
      <c r="AZ110" t="e">
        <f>AND(#REF!,"AAAAAHXr9TM=")</f>
        <v>#REF!</v>
      </c>
      <c r="BA110" t="e">
        <f>AND(#REF!,"AAAAAHXr9TQ=")</f>
        <v>#REF!</v>
      </c>
      <c r="BB110" t="e">
        <f>AND(#REF!,"AAAAAHXr9TU=")</f>
        <v>#REF!</v>
      </c>
      <c r="BC110" t="e">
        <f>AND(#REF!,"AAAAAHXr9TY=")</f>
        <v>#REF!</v>
      </c>
      <c r="BD110" t="e">
        <f>AND(#REF!,"AAAAAHXr9Tc=")</f>
        <v>#REF!</v>
      </c>
      <c r="BE110" t="e">
        <f>AND(#REF!,"AAAAAHXr9Tg=")</f>
        <v>#REF!</v>
      </c>
      <c r="BF110" t="e">
        <f>AND(#REF!,"AAAAAHXr9Tk=")</f>
        <v>#REF!</v>
      </c>
      <c r="BG110" t="e">
        <f>AND(#REF!,"AAAAAHXr9To=")</f>
        <v>#REF!</v>
      </c>
      <c r="BH110" t="e">
        <f>AND(#REF!,"AAAAAHXr9Ts=")</f>
        <v>#REF!</v>
      </c>
      <c r="BI110" t="e">
        <f>AND(#REF!,"AAAAAHXr9Tw=")</f>
        <v>#REF!</v>
      </c>
      <c r="BJ110" t="e">
        <f>AND(#REF!,"AAAAAHXr9T0=")</f>
        <v>#REF!</v>
      </c>
      <c r="BK110" t="e">
        <f>AND(#REF!,"AAAAAHXr9T4=")</f>
        <v>#REF!</v>
      </c>
      <c r="BL110" t="e">
        <f>AND(#REF!,"AAAAAHXr9T8=")</f>
        <v>#REF!</v>
      </c>
      <c r="BM110" t="e">
        <f>AND(#REF!,"AAAAAHXr9UA=")</f>
        <v>#REF!</v>
      </c>
      <c r="BN110" t="e">
        <f>AND(#REF!,"AAAAAHXr9UE=")</f>
        <v>#REF!</v>
      </c>
      <c r="BO110" t="e">
        <f>AND(#REF!,"AAAAAHXr9UI=")</f>
        <v>#REF!</v>
      </c>
      <c r="BP110" t="e">
        <f>AND(#REF!,"AAAAAHXr9UM=")</f>
        <v>#REF!</v>
      </c>
      <c r="BQ110" t="e">
        <f>AND(#REF!,"AAAAAHXr9UQ=")</f>
        <v>#REF!</v>
      </c>
      <c r="BR110" t="e">
        <f>AND(#REF!,"AAAAAHXr9UU=")</f>
        <v>#REF!</v>
      </c>
      <c r="BS110" t="e">
        <f>AND(#REF!,"AAAAAHXr9UY=")</f>
        <v>#REF!</v>
      </c>
      <c r="BT110" t="e">
        <f>AND(#REF!,"AAAAAHXr9Uc=")</f>
        <v>#REF!</v>
      </c>
      <c r="BU110" t="e">
        <f>AND(#REF!,"AAAAAHXr9Ug=")</f>
        <v>#REF!</v>
      </c>
      <c r="BV110" t="e">
        <f>AND(#REF!,"AAAAAHXr9Uk=")</f>
        <v>#REF!</v>
      </c>
      <c r="BW110" t="e">
        <f>AND(#REF!,"AAAAAHXr9Uo=")</f>
        <v>#REF!</v>
      </c>
      <c r="BX110" t="e">
        <f>AND(#REF!,"AAAAAHXr9Us=")</f>
        <v>#REF!</v>
      </c>
      <c r="BY110" t="e">
        <f>AND(#REF!,"AAAAAHXr9Uw=")</f>
        <v>#REF!</v>
      </c>
      <c r="BZ110" t="e">
        <f>AND(#REF!,"AAAAAHXr9U0=")</f>
        <v>#REF!</v>
      </c>
      <c r="CA110" t="e">
        <f>AND(#REF!,"AAAAAHXr9U4=")</f>
        <v>#REF!</v>
      </c>
      <c r="CB110" t="e">
        <f>AND(#REF!,"AAAAAHXr9U8=")</f>
        <v>#REF!</v>
      </c>
      <c r="CC110" t="e">
        <f>AND(#REF!,"AAAAAHXr9VA=")</f>
        <v>#REF!</v>
      </c>
      <c r="CD110" t="e">
        <f>AND(#REF!,"AAAAAHXr9VE=")</f>
        <v>#REF!</v>
      </c>
      <c r="CE110" t="e">
        <f>AND(#REF!,"AAAAAHXr9VI=")</f>
        <v>#REF!</v>
      </c>
      <c r="CF110" t="e">
        <f>AND(#REF!,"AAAAAHXr9VM=")</f>
        <v>#REF!</v>
      </c>
      <c r="CG110" t="e">
        <f>AND(#REF!,"AAAAAHXr9VQ=")</f>
        <v>#REF!</v>
      </c>
      <c r="CH110" t="e">
        <f>AND(#REF!,"AAAAAHXr9VU=")</f>
        <v>#REF!</v>
      </c>
      <c r="CI110" t="e">
        <f>AND(#REF!,"AAAAAHXr9VY=")</f>
        <v>#REF!</v>
      </c>
      <c r="CJ110" t="e">
        <f>AND(#REF!,"AAAAAHXr9Vc=")</f>
        <v>#REF!</v>
      </c>
      <c r="CK110" t="e">
        <f>AND(#REF!,"AAAAAHXr9Vg=")</f>
        <v>#REF!</v>
      </c>
      <c r="CL110" t="e">
        <f>AND(#REF!,"AAAAAHXr9Vk=")</f>
        <v>#REF!</v>
      </c>
      <c r="CM110" t="e">
        <f>AND(#REF!,"AAAAAHXr9Vo=")</f>
        <v>#REF!</v>
      </c>
      <c r="CN110" t="e">
        <f>AND(#REF!,"AAAAAHXr9Vs=")</f>
        <v>#REF!</v>
      </c>
      <c r="CO110" t="e">
        <f>AND(#REF!,"AAAAAHXr9Vw=")</f>
        <v>#REF!</v>
      </c>
      <c r="CP110" t="e">
        <f>AND(#REF!,"AAAAAHXr9V0=")</f>
        <v>#REF!</v>
      </c>
      <c r="CQ110" t="e">
        <f>AND(#REF!,"AAAAAHXr9V4=")</f>
        <v>#REF!</v>
      </c>
      <c r="CR110" t="e">
        <f>AND(#REF!,"AAAAAHXr9V8=")</f>
        <v>#REF!</v>
      </c>
      <c r="CS110" t="e">
        <f>AND(#REF!,"AAAAAHXr9WA=")</f>
        <v>#REF!</v>
      </c>
      <c r="CT110" t="e">
        <f>AND(#REF!,"AAAAAHXr9WE=")</f>
        <v>#REF!</v>
      </c>
      <c r="CU110" t="e">
        <f>AND(#REF!,"AAAAAHXr9WI=")</f>
        <v>#REF!</v>
      </c>
      <c r="CV110" t="e">
        <f>AND(#REF!,"AAAAAHXr9WM=")</f>
        <v>#REF!</v>
      </c>
      <c r="CW110" t="e">
        <f>AND(#REF!,"AAAAAHXr9WQ=")</f>
        <v>#REF!</v>
      </c>
      <c r="CX110" t="e">
        <f>AND(#REF!,"AAAAAHXr9WU=")</f>
        <v>#REF!</v>
      </c>
      <c r="CY110" t="e">
        <f>AND(#REF!,"AAAAAHXr9WY=")</f>
        <v>#REF!</v>
      </c>
      <c r="CZ110" t="e">
        <f>AND(#REF!,"AAAAAHXr9Wc=")</f>
        <v>#REF!</v>
      </c>
      <c r="DA110" t="e">
        <f>AND(#REF!,"AAAAAHXr9Wg=")</f>
        <v>#REF!</v>
      </c>
      <c r="DB110" t="e">
        <f>AND(#REF!,"AAAAAHXr9Wk=")</f>
        <v>#REF!</v>
      </c>
      <c r="DC110" t="e">
        <f>AND(#REF!,"AAAAAHXr9Wo=")</f>
        <v>#REF!</v>
      </c>
      <c r="DD110" t="e">
        <f>AND(#REF!,"AAAAAHXr9Ws=")</f>
        <v>#REF!</v>
      </c>
      <c r="DE110" t="e">
        <f>AND(#REF!,"AAAAAHXr9Ww=")</f>
        <v>#REF!</v>
      </c>
      <c r="DF110" t="e">
        <f>AND(#REF!,"AAAAAHXr9W0=")</f>
        <v>#REF!</v>
      </c>
      <c r="DG110" t="e">
        <f>AND(#REF!,"AAAAAHXr9W4=")</f>
        <v>#REF!</v>
      </c>
      <c r="DH110" t="e">
        <f>AND(#REF!,"AAAAAHXr9W8=")</f>
        <v>#REF!</v>
      </c>
      <c r="DI110" t="e">
        <f>AND(#REF!,"AAAAAHXr9XA=")</f>
        <v>#REF!</v>
      </c>
      <c r="DJ110" t="e">
        <f>AND(#REF!,"AAAAAHXr9XE=")</f>
        <v>#REF!</v>
      </c>
      <c r="DK110" t="e">
        <f>AND(#REF!,"AAAAAHXr9XI=")</f>
        <v>#REF!</v>
      </c>
      <c r="DL110" t="e">
        <f>AND(#REF!,"AAAAAHXr9XM=")</f>
        <v>#REF!</v>
      </c>
      <c r="DM110" t="e">
        <f>AND(#REF!,"AAAAAHXr9XQ=")</f>
        <v>#REF!</v>
      </c>
      <c r="DN110" t="e">
        <f>AND(#REF!,"AAAAAHXr9XU=")</f>
        <v>#REF!</v>
      </c>
      <c r="DO110" t="e">
        <f>AND(#REF!,"AAAAAHXr9XY=")</f>
        <v>#REF!</v>
      </c>
      <c r="DP110" t="e">
        <f>AND(#REF!,"AAAAAHXr9Xc=")</f>
        <v>#REF!</v>
      </c>
      <c r="DQ110" t="e">
        <f>AND(#REF!,"AAAAAHXr9Xg=")</f>
        <v>#REF!</v>
      </c>
      <c r="DR110" t="e">
        <f>AND(#REF!,"AAAAAHXr9Xk=")</f>
        <v>#REF!</v>
      </c>
      <c r="DS110" t="e">
        <f>AND(#REF!,"AAAAAHXr9Xo=")</f>
        <v>#REF!</v>
      </c>
      <c r="DT110" t="e">
        <f>AND(#REF!,"AAAAAHXr9Xs=")</f>
        <v>#REF!</v>
      </c>
      <c r="DU110" t="e">
        <f>AND(#REF!,"AAAAAHXr9Xw=")</f>
        <v>#REF!</v>
      </c>
      <c r="DV110" t="e">
        <f>AND(#REF!,"AAAAAHXr9X0=")</f>
        <v>#REF!</v>
      </c>
      <c r="DW110" t="e">
        <f>AND(#REF!,"AAAAAHXr9X4=")</f>
        <v>#REF!</v>
      </c>
      <c r="DX110" t="e">
        <f>AND(#REF!,"AAAAAHXr9X8=")</f>
        <v>#REF!</v>
      </c>
      <c r="DY110" t="e">
        <f>AND(#REF!,"AAAAAHXr9YA=")</f>
        <v>#REF!</v>
      </c>
      <c r="DZ110" t="e">
        <f>AND(#REF!,"AAAAAHXr9YE=")</f>
        <v>#REF!</v>
      </c>
      <c r="EA110" t="e">
        <f>AND(#REF!,"AAAAAHXr9YI=")</f>
        <v>#REF!</v>
      </c>
      <c r="EB110" t="e">
        <f>AND(#REF!,"AAAAAHXr9YM=")</f>
        <v>#REF!</v>
      </c>
      <c r="EC110" t="e">
        <f>AND(#REF!,"AAAAAHXr9YQ=")</f>
        <v>#REF!</v>
      </c>
      <c r="ED110" t="e">
        <f>AND(#REF!,"AAAAAHXr9YU=")</f>
        <v>#REF!</v>
      </c>
      <c r="EE110" t="e">
        <f>AND(#REF!,"AAAAAHXr9YY=")</f>
        <v>#REF!</v>
      </c>
      <c r="EF110" t="e">
        <f>AND(#REF!,"AAAAAHXr9Yc=")</f>
        <v>#REF!</v>
      </c>
      <c r="EG110" t="e">
        <f>AND(#REF!,"AAAAAHXr9Yg=")</f>
        <v>#REF!</v>
      </c>
      <c r="EH110" t="e">
        <f>AND(#REF!,"AAAAAHXr9Yk=")</f>
        <v>#REF!</v>
      </c>
      <c r="EI110" t="e">
        <f>AND(#REF!,"AAAAAHXr9Yo=")</f>
        <v>#REF!</v>
      </c>
      <c r="EJ110" t="e">
        <f>AND(#REF!,"AAAAAHXr9Ys=")</f>
        <v>#REF!</v>
      </c>
      <c r="EK110" t="e">
        <f>AND(#REF!,"AAAAAHXr9Yw=")</f>
        <v>#REF!</v>
      </c>
      <c r="EL110" t="e">
        <f>AND(#REF!,"AAAAAHXr9Y0=")</f>
        <v>#REF!</v>
      </c>
      <c r="EM110" t="e">
        <f>AND(#REF!,"AAAAAHXr9Y4=")</f>
        <v>#REF!</v>
      </c>
      <c r="EN110" t="e">
        <f>AND(#REF!,"AAAAAHXr9Y8=")</f>
        <v>#REF!</v>
      </c>
      <c r="EO110" t="e">
        <f>AND(#REF!,"AAAAAHXr9ZA=")</f>
        <v>#REF!</v>
      </c>
      <c r="EP110" t="e">
        <f>AND(#REF!,"AAAAAHXr9ZE=")</f>
        <v>#REF!</v>
      </c>
      <c r="EQ110" t="e">
        <f>AND(#REF!,"AAAAAHXr9ZI=")</f>
        <v>#REF!</v>
      </c>
      <c r="ER110" t="e">
        <f>AND(#REF!,"AAAAAHXr9ZM=")</f>
        <v>#REF!</v>
      </c>
      <c r="ES110" t="e">
        <f>AND(#REF!,"AAAAAHXr9ZQ=")</f>
        <v>#REF!</v>
      </c>
      <c r="ET110" t="e">
        <f>AND(#REF!,"AAAAAHXr9ZU=")</f>
        <v>#REF!</v>
      </c>
      <c r="EU110" t="e">
        <f>AND(#REF!,"AAAAAHXr9ZY=")</f>
        <v>#REF!</v>
      </c>
      <c r="EV110" t="e">
        <f>AND(#REF!,"AAAAAHXr9Zc=")</f>
        <v>#REF!</v>
      </c>
      <c r="EW110" t="e">
        <f>AND(#REF!,"AAAAAHXr9Zg=")</f>
        <v>#REF!</v>
      </c>
      <c r="EX110" t="e">
        <f>AND(#REF!,"AAAAAHXr9Zk=")</f>
        <v>#REF!</v>
      </c>
      <c r="EY110" t="e">
        <f>AND(#REF!,"AAAAAHXr9Zo=")</f>
        <v>#REF!</v>
      </c>
      <c r="EZ110" t="e">
        <f>AND(#REF!,"AAAAAHXr9Zs=")</f>
        <v>#REF!</v>
      </c>
      <c r="FA110" t="e">
        <f>AND(#REF!,"AAAAAHXr9Zw=")</f>
        <v>#REF!</v>
      </c>
      <c r="FB110" t="e">
        <f>AND(#REF!,"AAAAAHXr9Z0=")</f>
        <v>#REF!</v>
      </c>
      <c r="FC110" t="e">
        <f>AND(#REF!,"AAAAAHXr9Z4=")</f>
        <v>#REF!</v>
      </c>
      <c r="FD110" t="e">
        <f>AND(#REF!,"AAAAAHXr9Z8=")</f>
        <v>#REF!</v>
      </c>
      <c r="FE110" t="e">
        <f>AND(#REF!,"AAAAAHXr9aA=")</f>
        <v>#REF!</v>
      </c>
      <c r="FF110" t="e">
        <f>AND(#REF!,"AAAAAHXr9aE=")</f>
        <v>#REF!</v>
      </c>
      <c r="FG110" t="e">
        <f>AND(#REF!,"AAAAAHXr9aI=")</f>
        <v>#REF!</v>
      </c>
      <c r="FH110" t="e">
        <f>AND(#REF!,"AAAAAHXr9aM=")</f>
        <v>#REF!</v>
      </c>
      <c r="FI110" t="e">
        <f>AND(#REF!,"AAAAAHXr9aQ=")</f>
        <v>#REF!</v>
      </c>
      <c r="FJ110" t="e">
        <f>AND(#REF!,"AAAAAHXr9aU=")</f>
        <v>#REF!</v>
      </c>
      <c r="FK110" t="e">
        <f>AND(#REF!,"AAAAAHXr9aY=")</f>
        <v>#REF!</v>
      </c>
      <c r="FL110" t="e">
        <f>AND(#REF!,"AAAAAHXr9ac=")</f>
        <v>#REF!</v>
      </c>
      <c r="FM110" t="e">
        <f>AND(#REF!,"AAAAAHXr9ag=")</f>
        <v>#REF!</v>
      </c>
      <c r="FN110" t="e">
        <f>AND(#REF!,"AAAAAHXr9ak=")</f>
        <v>#REF!</v>
      </c>
      <c r="FO110" t="e">
        <f>AND(#REF!,"AAAAAHXr9ao=")</f>
        <v>#REF!</v>
      </c>
      <c r="FP110" t="e">
        <f>AND(#REF!,"AAAAAHXr9as=")</f>
        <v>#REF!</v>
      </c>
      <c r="FQ110" t="e">
        <f>AND(#REF!,"AAAAAHXr9aw=")</f>
        <v>#REF!</v>
      </c>
      <c r="FR110" t="e">
        <f>AND(#REF!,"AAAAAHXr9a0=")</f>
        <v>#REF!</v>
      </c>
      <c r="FS110" t="e">
        <f>AND(#REF!,"AAAAAHXr9a4=")</f>
        <v>#REF!</v>
      </c>
      <c r="FT110" t="e">
        <f>AND(#REF!,"AAAAAHXr9a8=")</f>
        <v>#REF!</v>
      </c>
      <c r="FU110" t="e">
        <f>AND(#REF!,"AAAAAHXr9bA=")</f>
        <v>#REF!</v>
      </c>
      <c r="FV110" t="e">
        <f>AND(#REF!,"AAAAAHXr9bE=")</f>
        <v>#REF!</v>
      </c>
      <c r="FW110" t="e">
        <f>AND(#REF!,"AAAAAHXr9bI=")</f>
        <v>#REF!</v>
      </c>
      <c r="FX110" t="e">
        <f>AND(#REF!,"AAAAAHXr9bM=")</f>
        <v>#REF!</v>
      </c>
      <c r="FY110" t="e">
        <f>AND(#REF!,"AAAAAHXr9bQ=")</f>
        <v>#REF!</v>
      </c>
      <c r="FZ110" t="e">
        <f>AND(#REF!,"AAAAAHXr9bU=")</f>
        <v>#REF!</v>
      </c>
      <c r="GA110" t="e">
        <f>AND(#REF!,"AAAAAHXr9bY=")</f>
        <v>#REF!</v>
      </c>
      <c r="GB110" t="e">
        <f>AND(#REF!,"AAAAAHXr9bc=")</f>
        <v>#REF!</v>
      </c>
      <c r="GC110" t="e">
        <f>AND(#REF!,"AAAAAHXr9bg=")</f>
        <v>#REF!</v>
      </c>
      <c r="GD110" t="e">
        <f>AND(#REF!,"AAAAAHXr9bk=")</f>
        <v>#REF!</v>
      </c>
      <c r="GE110" t="e">
        <f>AND(#REF!,"AAAAAHXr9bo=")</f>
        <v>#REF!</v>
      </c>
      <c r="GF110" t="e">
        <f>AND(#REF!,"AAAAAHXr9bs=")</f>
        <v>#REF!</v>
      </c>
      <c r="GG110" t="e">
        <f>AND(#REF!,"AAAAAHXr9bw=")</f>
        <v>#REF!</v>
      </c>
      <c r="GH110" t="e">
        <f>AND(#REF!,"AAAAAHXr9b0=")</f>
        <v>#REF!</v>
      </c>
      <c r="GI110" t="e">
        <f>AND(#REF!,"AAAAAHXr9b4=")</f>
        <v>#REF!</v>
      </c>
      <c r="GJ110" t="e">
        <f>AND(#REF!,"AAAAAHXr9b8=")</f>
        <v>#REF!</v>
      </c>
      <c r="GK110" t="e">
        <f>AND(#REF!,"AAAAAHXr9cA=")</f>
        <v>#REF!</v>
      </c>
      <c r="GL110" t="e">
        <f>AND(#REF!,"AAAAAHXr9cE=")</f>
        <v>#REF!</v>
      </c>
      <c r="GM110" t="e">
        <f>AND(#REF!,"AAAAAHXr9cI=")</f>
        <v>#REF!</v>
      </c>
      <c r="GN110" t="e">
        <f>AND(#REF!,"AAAAAHXr9cM=")</f>
        <v>#REF!</v>
      </c>
      <c r="GO110" t="e">
        <f>AND(#REF!,"AAAAAHXr9cQ=")</f>
        <v>#REF!</v>
      </c>
      <c r="GP110" t="e">
        <f>AND(#REF!,"AAAAAHXr9cU=")</f>
        <v>#REF!</v>
      </c>
      <c r="GQ110" t="e">
        <f>AND(#REF!,"AAAAAHXr9cY=")</f>
        <v>#REF!</v>
      </c>
      <c r="GR110" t="e">
        <f>AND(#REF!,"AAAAAHXr9cc=")</f>
        <v>#REF!</v>
      </c>
      <c r="GS110" t="e">
        <f>AND(#REF!,"AAAAAHXr9cg=")</f>
        <v>#REF!</v>
      </c>
      <c r="GT110" t="e">
        <f>AND(#REF!,"AAAAAHXr9ck=")</f>
        <v>#REF!</v>
      </c>
      <c r="GU110" t="e">
        <f>AND(#REF!,"AAAAAHXr9co=")</f>
        <v>#REF!</v>
      </c>
      <c r="GV110" t="e">
        <f>AND(#REF!,"AAAAAHXr9cs=")</f>
        <v>#REF!</v>
      </c>
      <c r="GW110" t="e">
        <f>AND(#REF!,"AAAAAHXr9cw=")</f>
        <v>#REF!</v>
      </c>
      <c r="GX110" t="e">
        <f>AND(#REF!,"AAAAAHXr9c0=")</f>
        <v>#REF!</v>
      </c>
      <c r="GY110" t="e">
        <f>AND(#REF!,"AAAAAHXr9c4=")</f>
        <v>#REF!</v>
      </c>
      <c r="GZ110" t="e">
        <f>AND(#REF!,"AAAAAHXr9c8=")</f>
        <v>#REF!</v>
      </c>
      <c r="HA110" t="e">
        <f>AND(#REF!,"AAAAAHXr9dA=")</f>
        <v>#REF!</v>
      </c>
      <c r="HB110" t="e">
        <f>AND(#REF!,"AAAAAHXr9dE=")</f>
        <v>#REF!</v>
      </c>
      <c r="HC110" t="e">
        <f>AND(#REF!,"AAAAAHXr9dI=")</f>
        <v>#REF!</v>
      </c>
      <c r="HD110" t="e">
        <f>AND(#REF!,"AAAAAHXr9dM=")</f>
        <v>#REF!</v>
      </c>
      <c r="HE110" t="e">
        <f>AND(#REF!,"AAAAAHXr9dQ=")</f>
        <v>#REF!</v>
      </c>
      <c r="HF110" t="e">
        <f>AND(#REF!,"AAAAAHXr9dU=")</f>
        <v>#REF!</v>
      </c>
      <c r="HG110" t="e">
        <f>AND(#REF!,"AAAAAHXr9dY=")</f>
        <v>#REF!</v>
      </c>
      <c r="HH110" t="e">
        <f>AND(#REF!,"AAAAAHXr9dc=")</f>
        <v>#REF!</v>
      </c>
      <c r="HI110" t="e">
        <f>AND(#REF!,"AAAAAHXr9dg=")</f>
        <v>#REF!</v>
      </c>
      <c r="HJ110" t="e">
        <f>AND(#REF!,"AAAAAHXr9dk=")</f>
        <v>#REF!</v>
      </c>
      <c r="HK110" t="e">
        <f>AND(#REF!,"AAAAAHXr9do=")</f>
        <v>#REF!</v>
      </c>
      <c r="HL110" t="e">
        <f>AND(#REF!,"AAAAAHXr9ds=")</f>
        <v>#REF!</v>
      </c>
      <c r="HM110" t="e">
        <f>AND(#REF!,"AAAAAHXr9dw=")</f>
        <v>#REF!</v>
      </c>
      <c r="HN110" t="e">
        <f>AND(#REF!,"AAAAAHXr9d0=")</f>
        <v>#REF!</v>
      </c>
      <c r="HO110" t="e">
        <f>IF(#REF!,"AAAAAHXr9d4=",0)</f>
        <v>#REF!</v>
      </c>
      <c r="HP110" t="e">
        <f>AND(#REF!,"AAAAAHXr9d8=")</f>
        <v>#REF!</v>
      </c>
      <c r="HQ110" t="e">
        <f>AND(#REF!,"AAAAAHXr9eA=")</f>
        <v>#REF!</v>
      </c>
      <c r="HR110" t="e">
        <f>AND(#REF!,"AAAAAHXr9eE=")</f>
        <v>#REF!</v>
      </c>
      <c r="HS110" t="e">
        <f>AND(#REF!,"AAAAAHXr9eI=")</f>
        <v>#REF!</v>
      </c>
      <c r="HT110" t="e">
        <f>AND(#REF!,"AAAAAHXr9eM=")</f>
        <v>#REF!</v>
      </c>
      <c r="HU110" t="e">
        <f>AND(#REF!,"AAAAAHXr9eQ=")</f>
        <v>#REF!</v>
      </c>
      <c r="HV110" t="e">
        <f>AND(#REF!,"AAAAAHXr9eU=")</f>
        <v>#REF!</v>
      </c>
      <c r="HW110" t="e">
        <f>AND(#REF!,"AAAAAHXr9eY=")</f>
        <v>#REF!</v>
      </c>
      <c r="HX110" t="e">
        <f>AND(#REF!,"AAAAAHXr9ec=")</f>
        <v>#REF!</v>
      </c>
      <c r="HY110" t="e">
        <f>AND(#REF!,"AAAAAHXr9eg=")</f>
        <v>#REF!</v>
      </c>
      <c r="HZ110" t="e">
        <f>AND(#REF!,"AAAAAHXr9ek=")</f>
        <v>#REF!</v>
      </c>
      <c r="IA110" t="e">
        <f>AND(#REF!,"AAAAAHXr9eo=")</f>
        <v>#REF!</v>
      </c>
      <c r="IB110" t="e">
        <f>AND(#REF!,"AAAAAHXr9es=")</f>
        <v>#REF!</v>
      </c>
      <c r="IC110" t="e">
        <f>AND(#REF!,"AAAAAHXr9ew=")</f>
        <v>#REF!</v>
      </c>
      <c r="ID110" t="e">
        <f>AND(#REF!,"AAAAAHXr9e0=")</f>
        <v>#REF!</v>
      </c>
      <c r="IE110" t="e">
        <f>AND(#REF!,"AAAAAHXr9e4=")</f>
        <v>#REF!</v>
      </c>
      <c r="IF110" t="e">
        <f>AND(#REF!,"AAAAAHXr9e8=")</f>
        <v>#REF!</v>
      </c>
      <c r="IG110" t="e">
        <f>AND(#REF!,"AAAAAHXr9fA=")</f>
        <v>#REF!</v>
      </c>
      <c r="IH110" t="e">
        <f>AND(#REF!,"AAAAAHXr9fE=")</f>
        <v>#REF!</v>
      </c>
      <c r="II110" t="e">
        <f>AND(#REF!,"AAAAAHXr9fI=")</f>
        <v>#REF!</v>
      </c>
      <c r="IJ110" t="e">
        <f>AND(#REF!,"AAAAAHXr9fM=")</f>
        <v>#REF!</v>
      </c>
      <c r="IK110" t="e">
        <f>AND(#REF!,"AAAAAHXr9fQ=")</f>
        <v>#REF!</v>
      </c>
      <c r="IL110" t="e">
        <f>AND(#REF!,"AAAAAHXr9fU=")</f>
        <v>#REF!</v>
      </c>
      <c r="IM110" t="e">
        <f>AND(#REF!,"AAAAAHXr9fY=")</f>
        <v>#REF!</v>
      </c>
      <c r="IN110" t="e">
        <f>AND(#REF!,"AAAAAHXr9fc=")</f>
        <v>#REF!</v>
      </c>
      <c r="IO110" t="e">
        <f>AND(#REF!,"AAAAAHXr9fg=")</f>
        <v>#REF!</v>
      </c>
      <c r="IP110" t="e">
        <f>AND(#REF!,"AAAAAHXr9fk=")</f>
        <v>#REF!</v>
      </c>
      <c r="IQ110" t="e">
        <f>AND(#REF!,"AAAAAHXr9fo=")</f>
        <v>#REF!</v>
      </c>
      <c r="IR110" t="e">
        <f>AND(#REF!,"AAAAAHXr9fs=")</f>
        <v>#REF!</v>
      </c>
      <c r="IS110" t="e">
        <f>AND(#REF!,"AAAAAHXr9fw=")</f>
        <v>#REF!</v>
      </c>
      <c r="IT110" t="e">
        <f>AND(#REF!,"AAAAAHXr9f0=")</f>
        <v>#REF!</v>
      </c>
      <c r="IU110" t="e">
        <f>AND(#REF!,"AAAAAHXr9f4=")</f>
        <v>#REF!</v>
      </c>
      <c r="IV110" t="e">
        <f>AND(#REF!,"AAAAAHXr9f8=")</f>
        <v>#REF!</v>
      </c>
    </row>
    <row r="111" spans="1:256" x14ac:dyDescent="0.25">
      <c r="A111" t="e">
        <f>AND(#REF!,"AAAAAHvqRwA=")</f>
        <v>#REF!</v>
      </c>
      <c r="B111" t="e">
        <f>AND(#REF!,"AAAAAHvqRwE=")</f>
        <v>#REF!</v>
      </c>
      <c r="C111" t="e">
        <f>AND(#REF!,"AAAAAHvqRwI=")</f>
        <v>#REF!</v>
      </c>
      <c r="D111" t="e">
        <f>AND(#REF!,"AAAAAHvqRwM=")</f>
        <v>#REF!</v>
      </c>
      <c r="E111" t="e">
        <f>AND(#REF!,"AAAAAHvqRwQ=")</f>
        <v>#REF!</v>
      </c>
      <c r="F111" t="e">
        <f>AND(#REF!,"AAAAAHvqRwU=")</f>
        <v>#REF!</v>
      </c>
      <c r="G111" t="e">
        <f>AND(#REF!,"AAAAAHvqRwY=")</f>
        <v>#REF!</v>
      </c>
      <c r="H111" t="e">
        <f>AND(#REF!,"AAAAAHvqRwc=")</f>
        <v>#REF!</v>
      </c>
      <c r="I111" t="e">
        <f>AND(#REF!,"AAAAAHvqRwg=")</f>
        <v>#REF!</v>
      </c>
      <c r="J111" t="e">
        <f>AND(#REF!,"AAAAAHvqRwk=")</f>
        <v>#REF!</v>
      </c>
      <c r="K111" t="e">
        <f>AND(#REF!,"AAAAAHvqRwo=")</f>
        <v>#REF!</v>
      </c>
      <c r="L111" t="e">
        <f>AND(#REF!,"AAAAAHvqRws=")</f>
        <v>#REF!</v>
      </c>
      <c r="M111" t="e">
        <f>AND(#REF!,"AAAAAHvqRww=")</f>
        <v>#REF!</v>
      </c>
      <c r="N111" t="e">
        <f>AND(#REF!,"AAAAAHvqRw0=")</f>
        <v>#REF!</v>
      </c>
      <c r="O111" t="e">
        <f>AND(#REF!,"AAAAAHvqRw4=")</f>
        <v>#REF!</v>
      </c>
      <c r="P111" t="e">
        <f>AND(#REF!,"AAAAAHvqRw8=")</f>
        <v>#REF!</v>
      </c>
      <c r="Q111" t="e">
        <f>AND(#REF!,"AAAAAHvqRxA=")</f>
        <v>#REF!</v>
      </c>
      <c r="R111" t="e">
        <f>AND(#REF!,"AAAAAHvqRxE=")</f>
        <v>#REF!</v>
      </c>
      <c r="S111" t="e">
        <f>AND(#REF!,"AAAAAHvqRxI=")</f>
        <v>#REF!</v>
      </c>
      <c r="T111" t="e">
        <f>AND(#REF!,"AAAAAHvqRxM=")</f>
        <v>#REF!</v>
      </c>
      <c r="U111" t="e">
        <f>AND(#REF!,"AAAAAHvqRxQ=")</f>
        <v>#REF!</v>
      </c>
      <c r="V111" t="e">
        <f>AND(#REF!,"AAAAAHvqRxU=")</f>
        <v>#REF!</v>
      </c>
      <c r="W111" t="e">
        <f>AND(#REF!,"AAAAAHvqRxY=")</f>
        <v>#REF!</v>
      </c>
      <c r="X111" t="e">
        <f>AND(#REF!,"AAAAAHvqRxc=")</f>
        <v>#REF!</v>
      </c>
      <c r="Y111" t="e">
        <f>AND(#REF!,"AAAAAHvqRxg=")</f>
        <v>#REF!</v>
      </c>
      <c r="Z111" t="e">
        <f>AND(#REF!,"AAAAAHvqRxk=")</f>
        <v>#REF!</v>
      </c>
      <c r="AA111" t="e">
        <f>AND(#REF!,"AAAAAHvqRxo=")</f>
        <v>#REF!</v>
      </c>
      <c r="AB111" t="e">
        <f>AND(#REF!,"AAAAAHvqRxs=")</f>
        <v>#REF!</v>
      </c>
      <c r="AC111" t="e">
        <f>AND(#REF!,"AAAAAHvqRxw=")</f>
        <v>#REF!</v>
      </c>
      <c r="AD111" t="e">
        <f>AND(#REF!,"AAAAAHvqRx0=")</f>
        <v>#REF!</v>
      </c>
      <c r="AE111" t="e">
        <f>AND(#REF!,"AAAAAHvqRx4=")</f>
        <v>#REF!</v>
      </c>
      <c r="AF111" t="e">
        <f>AND(#REF!,"AAAAAHvqRx8=")</f>
        <v>#REF!</v>
      </c>
      <c r="AG111" t="e">
        <f>AND(#REF!,"AAAAAHvqRyA=")</f>
        <v>#REF!</v>
      </c>
      <c r="AH111" t="e">
        <f>AND(#REF!,"AAAAAHvqRyE=")</f>
        <v>#REF!</v>
      </c>
      <c r="AI111" t="e">
        <f>AND(#REF!,"AAAAAHvqRyI=")</f>
        <v>#REF!</v>
      </c>
      <c r="AJ111" t="e">
        <f>AND(#REF!,"AAAAAHvqRyM=")</f>
        <v>#REF!</v>
      </c>
      <c r="AK111" t="e">
        <f>AND(#REF!,"AAAAAHvqRyQ=")</f>
        <v>#REF!</v>
      </c>
      <c r="AL111" t="e">
        <f>AND(#REF!,"AAAAAHvqRyU=")</f>
        <v>#REF!</v>
      </c>
      <c r="AM111" t="e">
        <f>AND(#REF!,"AAAAAHvqRyY=")</f>
        <v>#REF!</v>
      </c>
      <c r="AN111" t="e">
        <f>AND(#REF!,"AAAAAHvqRyc=")</f>
        <v>#REF!</v>
      </c>
      <c r="AO111" t="e">
        <f>AND(#REF!,"AAAAAHvqRyg=")</f>
        <v>#REF!</v>
      </c>
      <c r="AP111" t="e">
        <f>AND(#REF!,"AAAAAHvqRyk=")</f>
        <v>#REF!</v>
      </c>
      <c r="AQ111" t="e">
        <f>AND(#REF!,"AAAAAHvqRyo=")</f>
        <v>#REF!</v>
      </c>
      <c r="AR111" t="e">
        <f>AND(#REF!,"AAAAAHvqRys=")</f>
        <v>#REF!</v>
      </c>
      <c r="AS111" t="e">
        <f>AND(#REF!,"AAAAAHvqRyw=")</f>
        <v>#REF!</v>
      </c>
      <c r="AT111" t="e">
        <f>AND(#REF!,"AAAAAHvqRy0=")</f>
        <v>#REF!</v>
      </c>
      <c r="AU111" t="e">
        <f>AND(#REF!,"AAAAAHvqRy4=")</f>
        <v>#REF!</v>
      </c>
      <c r="AV111" t="e">
        <f>AND(#REF!,"AAAAAHvqRy8=")</f>
        <v>#REF!</v>
      </c>
      <c r="AW111" t="e">
        <f>AND(#REF!,"AAAAAHvqRzA=")</f>
        <v>#REF!</v>
      </c>
      <c r="AX111" t="e">
        <f>AND(#REF!,"AAAAAHvqRzE=")</f>
        <v>#REF!</v>
      </c>
      <c r="AY111" t="e">
        <f>AND(#REF!,"AAAAAHvqRzI=")</f>
        <v>#REF!</v>
      </c>
      <c r="AZ111" t="e">
        <f>AND(#REF!,"AAAAAHvqRzM=")</f>
        <v>#REF!</v>
      </c>
      <c r="BA111" t="e">
        <f>AND(#REF!,"AAAAAHvqRzQ=")</f>
        <v>#REF!</v>
      </c>
      <c r="BB111" t="e">
        <f>AND(#REF!,"AAAAAHvqRzU=")</f>
        <v>#REF!</v>
      </c>
      <c r="BC111" t="e">
        <f>AND(#REF!,"AAAAAHvqRzY=")</f>
        <v>#REF!</v>
      </c>
      <c r="BD111" t="e">
        <f>AND(#REF!,"AAAAAHvqRzc=")</f>
        <v>#REF!</v>
      </c>
      <c r="BE111" t="e">
        <f>AND(#REF!,"AAAAAHvqRzg=")</f>
        <v>#REF!</v>
      </c>
      <c r="BF111" t="e">
        <f>AND(#REF!,"AAAAAHvqRzk=")</f>
        <v>#REF!</v>
      </c>
      <c r="BG111" t="e">
        <f>AND(#REF!,"AAAAAHvqRzo=")</f>
        <v>#REF!</v>
      </c>
      <c r="BH111" t="e">
        <f>AND(#REF!,"AAAAAHvqRzs=")</f>
        <v>#REF!</v>
      </c>
      <c r="BI111" t="e">
        <f>AND(#REF!,"AAAAAHvqRzw=")</f>
        <v>#REF!</v>
      </c>
      <c r="BJ111" t="e">
        <f>AND(#REF!,"AAAAAHvqRz0=")</f>
        <v>#REF!</v>
      </c>
      <c r="BK111" t="e">
        <f>AND(#REF!,"AAAAAHvqRz4=")</f>
        <v>#REF!</v>
      </c>
      <c r="BL111" t="e">
        <f>AND(#REF!,"AAAAAHvqRz8=")</f>
        <v>#REF!</v>
      </c>
      <c r="BM111" t="e">
        <f>AND(#REF!,"AAAAAHvqR0A=")</f>
        <v>#REF!</v>
      </c>
      <c r="BN111" t="e">
        <f>AND(#REF!,"AAAAAHvqR0E=")</f>
        <v>#REF!</v>
      </c>
      <c r="BO111" t="e">
        <f>AND(#REF!,"AAAAAHvqR0I=")</f>
        <v>#REF!</v>
      </c>
      <c r="BP111" t="e">
        <f>AND(#REF!,"AAAAAHvqR0M=")</f>
        <v>#REF!</v>
      </c>
      <c r="BQ111" t="e">
        <f>AND(#REF!,"AAAAAHvqR0Q=")</f>
        <v>#REF!</v>
      </c>
      <c r="BR111" t="e">
        <f>AND(#REF!,"AAAAAHvqR0U=")</f>
        <v>#REF!</v>
      </c>
      <c r="BS111" t="e">
        <f>AND(#REF!,"AAAAAHvqR0Y=")</f>
        <v>#REF!</v>
      </c>
      <c r="BT111" t="e">
        <f>AND(#REF!,"AAAAAHvqR0c=")</f>
        <v>#REF!</v>
      </c>
      <c r="BU111" t="e">
        <f>AND(#REF!,"AAAAAHvqR0g=")</f>
        <v>#REF!</v>
      </c>
      <c r="BV111" t="e">
        <f>AND(#REF!,"AAAAAHvqR0k=")</f>
        <v>#REF!</v>
      </c>
      <c r="BW111" t="e">
        <f>AND(#REF!,"AAAAAHvqR0o=")</f>
        <v>#REF!</v>
      </c>
      <c r="BX111" t="e">
        <f>AND(#REF!,"AAAAAHvqR0s=")</f>
        <v>#REF!</v>
      </c>
      <c r="BY111" t="e">
        <f>AND(#REF!,"AAAAAHvqR0w=")</f>
        <v>#REF!</v>
      </c>
      <c r="BZ111" t="e">
        <f>AND(#REF!,"AAAAAHvqR00=")</f>
        <v>#REF!</v>
      </c>
      <c r="CA111" t="e">
        <f>AND(#REF!,"AAAAAHvqR04=")</f>
        <v>#REF!</v>
      </c>
      <c r="CB111" t="e">
        <f>AND(#REF!,"AAAAAHvqR08=")</f>
        <v>#REF!</v>
      </c>
      <c r="CC111" t="e">
        <f>AND(#REF!,"AAAAAHvqR1A=")</f>
        <v>#REF!</v>
      </c>
      <c r="CD111" t="e">
        <f>AND(#REF!,"AAAAAHvqR1E=")</f>
        <v>#REF!</v>
      </c>
      <c r="CE111" t="e">
        <f>AND(#REF!,"AAAAAHvqR1I=")</f>
        <v>#REF!</v>
      </c>
      <c r="CF111" t="e">
        <f>AND(#REF!,"AAAAAHvqR1M=")</f>
        <v>#REF!</v>
      </c>
      <c r="CG111" t="e">
        <f>AND(#REF!,"AAAAAHvqR1Q=")</f>
        <v>#REF!</v>
      </c>
      <c r="CH111" t="e">
        <f>AND(#REF!,"AAAAAHvqR1U=")</f>
        <v>#REF!</v>
      </c>
      <c r="CI111" t="e">
        <f>AND(#REF!,"AAAAAHvqR1Y=")</f>
        <v>#REF!</v>
      </c>
      <c r="CJ111" t="e">
        <f>AND(#REF!,"AAAAAHvqR1c=")</f>
        <v>#REF!</v>
      </c>
      <c r="CK111" t="e">
        <f>AND(#REF!,"AAAAAHvqR1g=")</f>
        <v>#REF!</v>
      </c>
      <c r="CL111" t="e">
        <f>AND(#REF!,"AAAAAHvqR1k=")</f>
        <v>#REF!</v>
      </c>
      <c r="CM111" t="e">
        <f>AND(#REF!,"AAAAAHvqR1o=")</f>
        <v>#REF!</v>
      </c>
      <c r="CN111" t="e">
        <f>AND(#REF!,"AAAAAHvqR1s=")</f>
        <v>#REF!</v>
      </c>
      <c r="CO111" t="e">
        <f>AND(#REF!,"AAAAAHvqR1w=")</f>
        <v>#REF!</v>
      </c>
      <c r="CP111" t="e">
        <f>AND(#REF!,"AAAAAHvqR10=")</f>
        <v>#REF!</v>
      </c>
      <c r="CQ111" t="e">
        <f>AND(#REF!,"AAAAAHvqR14=")</f>
        <v>#REF!</v>
      </c>
      <c r="CR111" t="e">
        <f>AND(#REF!,"AAAAAHvqR18=")</f>
        <v>#REF!</v>
      </c>
      <c r="CS111" t="e">
        <f>AND(#REF!,"AAAAAHvqR2A=")</f>
        <v>#REF!</v>
      </c>
      <c r="CT111" t="e">
        <f>AND(#REF!,"AAAAAHvqR2E=")</f>
        <v>#REF!</v>
      </c>
      <c r="CU111" t="e">
        <f>AND(#REF!,"AAAAAHvqR2I=")</f>
        <v>#REF!</v>
      </c>
      <c r="CV111" t="e">
        <f>AND(#REF!,"AAAAAHvqR2M=")</f>
        <v>#REF!</v>
      </c>
      <c r="CW111" t="e">
        <f>AND(#REF!,"AAAAAHvqR2Q=")</f>
        <v>#REF!</v>
      </c>
      <c r="CX111" t="e">
        <f>AND(#REF!,"AAAAAHvqR2U=")</f>
        <v>#REF!</v>
      </c>
      <c r="CY111" t="e">
        <f>AND(#REF!,"AAAAAHvqR2Y=")</f>
        <v>#REF!</v>
      </c>
      <c r="CZ111" t="e">
        <f>AND(#REF!,"AAAAAHvqR2c=")</f>
        <v>#REF!</v>
      </c>
      <c r="DA111" t="e">
        <f>AND(#REF!,"AAAAAHvqR2g=")</f>
        <v>#REF!</v>
      </c>
      <c r="DB111" t="e">
        <f>AND(#REF!,"AAAAAHvqR2k=")</f>
        <v>#REF!</v>
      </c>
      <c r="DC111" t="e">
        <f>AND(#REF!,"AAAAAHvqR2o=")</f>
        <v>#REF!</v>
      </c>
      <c r="DD111" t="e">
        <f>AND(#REF!,"AAAAAHvqR2s=")</f>
        <v>#REF!</v>
      </c>
      <c r="DE111" t="e">
        <f>AND(#REF!,"AAAAAHvqR2w=")</f>
        <v>#REF!</v>
      </c>
      <c r="DF111" t="e">
        <f>AND(#REF!,"AAAAAHvqR20=")</f>
        <v>#REF!</v>
      </c>
      <c r="DG111" t="e">
        <f>AND(#REF!,"AAAAAHvqR24=")</f>
        <v>#REF!</v>
      </c>
      <c r="DH111" t="e">
        <f>AND(#REF!,"AAAAAHvqR28=")</f>
        <v>#REF!</v>
      </c>
      <c r="DI111" t="e">
        <f>AND(#REF!,"AAAAAHvqR3A=")</f>
        <v>#REF!</v>
      </c>
      <c r="DJ111" t="e">
        <f>AND(#REF!,"AAAAAHvqR3E=")</f>
        <v>#REF!</v>
      </c>
      <c r="DK111" t="e">
        <f>AND(#REF!,"AAAAAHvqR3I=")</f>
        <v>#REF!</v>
      </c>
      <c r="DL111" t="e">
        <f>AND(#REF!,"AAAAAHvqR3M=")</f>
        <v>#REF!</v>
      </c>
      <c r="DM111" t="e">
        <f>AND(#REF!,"AAAAAHvqR3Q=")</f>
        <v>#REF!</v>
      </c>
      <c r="DN111" t="e">
        <f>AND(#REF!,"AAAAAHvqR3U=")</f>
        <v>#REF!</v>
      </c>
      <c r="DO111" t="e">
        <f>AND(#REF!,"AAAAAHvqR3Y=")</f>
        <v>#REF!</v>
      </c>
      <c r="DP111" t="e">
        <f>AND(#REF!,"AAAAAHvqR3c=")</f>
        <v>#REF!</v>
      </c>
      <c r="DQ111" t="e">
        <f>AND(#REF!,"AAAAAHvqR3g=")</f>
        <v>#REF!</v>
      </c>
      <c r="DR111" t="e">
        <f>AND(#REF!,"AAAAAHvqR3k=")</f>
        <v>#REF!</v>
      </c>
      <c r="DS111" t="e">
        <f>AND(#REF!,"AAAAAHvqR3o=")</f>
        <v>#REF!</v>
      </c>
      <c r="DT111" t="e">
        <f>AND(#REF!,"AAAAAHvqR3s=")</f>
        <v>#REF!</v>
      </c>
      <c r="DU111" t="e">
        <f>AND(#REF!,"AAAAAHvqR3w=")</f>
        <v>#REF!</v>
      </c>
      <c r="DV111" t="e">
        <f>AND(#REF!,"AAAAAHvqR30=")</f>
        <v>#REF!</v>
      </c>
      <c r="DW111" t="e">
        <f>AND(#REF!,"AAAAAHvqR34=")</f>
        <v>#REF!</v>
      </c>
      <c r="DX111" t="e">
        <f>AND(#REF!,"AAAAAHvqR38=")</f>
        <v>#REF!</v>
      </c>
      <c r="DY111" t="e">
        <f>AND(#REF!,"AAAAAHvqR4A=")</f>
        <v>#REF!</v>
      </c>
      <c r="DZ111" t="e">
        <f>AND(#REF!,"AAAAAHvqR4E=")</f>
        <v>#REF!</v>
      </c>
      <c r="EA111" t="e">
        <f>AND(#REF!,"AAAAAHvqR4I=")</f>
        <v>#REF!</v>
      </c>
      <c r="EB111" t="e">
        <f>AND(#REF!,"AAAAAHvqR4M=")</f>
        <v>#REF!</v>
      </c>
      <c r="EC111" t="e">
        <f>AND(#REF!,"AAAAAHvqR4Q=")</f>
        <v>#REF!</v>
      </c>
      <c r="ED111" t="e">
        <f>AND(#REF!,"AAAAAHvqR4U=")</f>
        <v>#REF!</v>
      </c>
      <c r="EE111" t="e">
        <f>AND(#REF!,"AAAAAHvqR4Y=")</f>
        <v>#REF!</v>
      </c>
      <c r="EF111" t="e">
        <f>AND(#REF!,"AAAAAHvqR4c=")</f>
        <v>#REF!</v>
      </c>
      <c r="EG111" t="e">
        <f>AND(#REF!,"AAAAAHvqR4g=")</f>
        <v>#REF!</v>
      </c>
      <c r="EH111" t="e">
        <f>AND(#REF!,"AAAAAHvqR4k=")</f>
        <v>#REF!</v>
      </c>
      <c r="EI111" t="e">
        <f>AND(#REF!,"AAAAAHvqR4o=")</f>
        <v>#REF!</v>
      </c>
      <c r="EJ111" t="e">
        <f>AND(#REF!,"AAAAAHvqR4s=")</f>
        <v>#REF!</v>
      </c>
      <c r="EK111" t="e">
        <f>AND(#REF!,"AAAAAHvqR4w=")</f>
        <v>#REF!</v>
      </c>
      <c r="EL111" t="e">
        <f>AND(#REF!,"AAAAAHvqR40=")</f>
        <v>#REF!</v>
      </c>
      <c r="EM111" t="e">
        <f>AND(#REF!,"AAAAAHvqR44=")</f>
        <v>#REF!</v>
      </c>
      <c r="EN111" t="e">
        <f>AND(#REF!,"AAAAAHvqR48=")</f>
        <v>#REF!</v>
      </c>
      <c r="EO111" t="e">
        <f>AND(#REF!,"AAAAAHvqR5A=")</f>
        <v>#REF!</v>
      </c>
      <c r="EP111" t="e">
        <f>AND(#REF!,"AAAAAHvqR5E=")</f>
        <v>#REF!</v>
      </c>
      <c r="EQ111" t="e">
        <f>AND(#REF!,"AAAAAHvqR5I=")</f>
        <v>#REF!</v>
      </c>
      <c r="ER111" t="e">
        <f>AND(#REF!,"AAAAAHvqR5M=")</f>
        <v>#REF!</v>
      </c>
      <c r="ES111" t="e">
        <f>AND(#REF!,"AAAAAHvqR5Q=")</f>
        <v>#REF!</v>
      </c>
      <c r="ET111" t="e">
        <f>AND(#REF!,"AAAAAHvqR5U=")</f>
        <v>#REF!</v>
      </c>
      <c r="EU111" t="e">
        <f>AND(#REF!,"AAAAAHvqR5Y=")</f>
        <v>#REF!</v>
      </c>
      <c r="EV111" t="e">
        <f>AND(#REF!,"AAAAAHvqR5c=")</f>
        <v>#REF!</v>
      </c>
      <c r="EW111" t="e">
        <f>AND(#REF!,"AAAAAHvqR5g=")</f>
        <v>#REF!</v>
      </c>
      <c r="EX111" t="e">
        <f>AND(#REF!,"AAAAAHvqR5k=")</f>
        <v>#REF!</v>
      </c>
      <c r="EY111" t="e">
        <f>AND(#REF!,"AAAAAHvqR5o=")</f>
        <v>#REF!</v>
      </c>
      <c r="EZ111" t="e">
        <f>IF(#REF!,"AAAAAHvqR5s=",0)</f>
        <v>#REF!</v>
      </c>
      <c r="FA111" t="e">
        <f>AND(#REF!,"AAAAAHvqR5w=")</f>
        <v>#REF!</v>
      </c>
      <c r="FB111" t="e">
        <f>AND(#REF!,"AAAAAHvqR50=")</f>
        <v>#REF!</v>
      </c>
      <c r="FC111" t="e">
        <f>AND(#REF!,"AAAAAHvqR54=")</f>
        <v>#REF!</v>
      </c>
      <c r="FD111" t="e">
        <f>AND(#REF!,"AAAAAHvqR58=")</f>
        <v>#REF!</v>
      </c>
      <c r="FE111" t="e">
        <f>AND(#REF!,"AAAAAHvqR6A=")</f>
        <v>#REF!</v>
      </c>
      <c r="FF111" t="e">
        <f>AND(#REF!,"AAAAAHvqR6E=")</f>
        <v>#REF!</v>
      </c>
      <c r="FG111" t="e">
        <f>AND(#REF!,"AAAAAHvqR6I=")</f>
        <v>#REF!</v>
      </c>
      <c r="FH111" t="e">
        <f>AND(#REF!,"AAAAAHvqR6M=")</f>
        <v>#REF!</v>
      </c>
      <c r="FI111" t="e">
        <f>AND(#REF!,"AAAAAHvqR6Q=")</f>
        <v>#REF!</v>
      </c>
      <c r="FJ111" t="e">
        <f>AND(#REF!,"AAAAAHvqR6U=")</f>
        <v>#REF!</v>
      </c>
      <c r="FK111" t="e">
        <f>AND(#REF!,"AAAAAHvqR6Y=")</f>
        <v>#REF!</v>
      </c>
      <c r="FL111" t="e">
        <f>AND(#REF!,"AAAAAHvqR6c=")</f>
        <v>#REF!</v>
      </c>
      <c r="FM111" t="e">
        <f>AND(#REF!,"AAAAAHvqR6g=")</f>
        <v>#REF!</v>
      </c>
      <c r="FN111" t="e">
        <f>AND(#REF!,"AAAAAHvqR6k=")</f>
        <v>#REF!</v>
      </c>
      <c r="FO111" t="e">
        <f>AND(#REF!,"AAAAAHvqR6o=")</f>
        <v>#REF!</v>
      </c>
      <c r="FP111" t="e">
        <f>AND(#REF!,"AAAAAHvqR6s=")</f>
        <v>#REF!</v>
      </c>
      <c r="FQ111" t="e">
        <f>AND(#REF!,"AAAAAHvqR6w=")</f>
        <v>#REF!</v>
      </c>
      <c r="FR111" t="e">
        <f>AND(#REF!,"AAAAAHvqR60=")</f>
        <v>#REF!</v>
      </c>
      <c r="FS111" t="e">
        <f>AND(#REF!,"AAAAAHvqR64=")</f>
        <v>#REF!</v>
      </c>
      <c r="FT111" t="e">
        <f>AND(#REF!,"AAAAAHvqR68=")</f>
        <v>#REF!</v>
      </c>
      <c r="FU111" t="e">
        <f>AND(#REF!,"AAAAAHvqR7A=")</f>
        <v>#REF!</v>
      </c>
      <c r="FV111" t="e">
        <f>AND(#REF!,"AAAAAHvqR7E=")</f>
        <v>#REF!</v>
      </c>
      <c r="FW111" t="e">
        <f>AND(#REF!,"AAAAAHvqR7I=")</f>
        <v>#REF!</v>
      </c>
      <c r="FX111" t="e">
        <f>AND(#REF!,"AAAAAHvqR7M=")</f>
        <v>#REF!</v>
      </c>
      <c r="FY111" t="e">
        <f>AND(#REF!,"AAAAAHvqR7Q=")</f>
        <v>#REF!</v>
      </c>
      <c r="FZ111" t="e">
        <f>AND(#REF!,"AAAAAHvqR7U=")</f>
        <v>#REF!</v>
      </c>
      <c r="GA111" t="e">
        <f>AND(#REF!,"AAAAAHvqR7Y=")</f>
        <v>#REF!</v>
      </c>
      <c r="GB111" t="e">
        <f>AND(#REF!,"AAAAAHvqR7c=")</f>
        <v>#REF!</v>
      </c>
      <c r="GC111" t="e">
        <f>AND(#REF!,"AAAAAHvqR7g=")</f>
        <v>#REF!</v>
      </c>
      <c r="GD111" t="e">
        <f>AND(#REF!,"AAAAAHvqR7k=")</f>
        <v>#REF!</v>
      </c>
      <c r="GE111" t="e">
        <f>AND(#REF!,"AAAAAHvqR7o=")</f>
        <v>#REF!</v>
      </c>
      <c r="GF111" t="e">
        <f>AND(#REF!,"AAAAAHvqR7s=")</f>
        <v>#REF!</v>
      </c>
      <c r="GG111" t="e">
        <f>AND(#REF!,"AAAAAHvqR7w=")</f>
        <v>#REF!</v>
      </c>
      <c r="GH111" t="e">
        <f>AND(#REF!,"AAAAAHvqR70=")</f>
        <v>#REF!</v>
      </c>
      <c r="GI111" t="e">
        <f>AND(#REF!,"AAAAAHvqR74=")</f>
        <v>#REF!</v>
      </c>
      <c r="GJ111" t="e">
        <f>AND(#REF!,"AAAAAHvqR78=")</f>
        <v>#REF!</v>
      </c>
      <c r="GK111" t="e">
        <f>AND(#REF!,"AAAAAHvqR8A=")</f>
        <v>#REF!</v>
      </c>
      <c r="GL111" t="e">
        <f>AND(#REF!,"AAAAAHvqR8E=")</f>
        <v>#REF!</v>
      </c>
      <c r="GM111" t="e">
        <f>AND(#REF!,"AAAAAHvqR8I=")</f>
        <v>#REF!</v>
      </c>
      <c r="GN111" t="e">
        <f>AND(#REF!,"AAAAAHvqR8M=")</f>
        <v>#REF!</v>
      </c>
      <c r="GO111" t="e">
        <f>AND(#REF!,"AAAAAHvqR8Q=")</f>
        <v>#REF!</v>
      </c>
      <c r="GP111" t="e">
        <f>AND(#REF!,"AAAAAHvqR8U=")</f>
        <v>#REF!</v>
      </c>
      <c r="GQ111" t="e">
        <f>AND(#REF!,"AAAAAHvqR8Y=")</f>
        <v>#REF!</v>
      </c>
      <c r="GR111" t="e">
        <f>AND(#REF!,"AAAAAHvqR8c=")</f>
        <v>#REF!</v>
      </c>
      <c r="GS111" t="e">
        <f>AND(#REF!,"AAAAAHvqR8g=")</f>
        <v>#REF!</v>
      </c>
      <c r="GT111" t="e">
        <f>AND(#REF!,"AAAAAHvqR8k=")</f>
        <v>#REF!</v>
      </c>
      <c r="GU111" t="e">
        <f>AND(#REF!,"AAAAAHvqR8o=")</f>
        <v>#REF!</v>
      </c>
      <c r="GV111" t="e">
        <f>AND(#REF!,"AAAAAHvqR8s=")</f>
        <v>#REF!</v>
      </c>
      <c r="GW111" t="e">
        <f>AND(#REF!,"AAAAAHvqR8w=")</f>
        <v>#REF!</v>
      </c>
      <c r="GX111" t="e">
        <f>AND(#REF!,"AAAAAHvqR80=")</f>
        <v>#REF!</v>
      </c>
      <c r="GY111" t="e">
        <f>AND(#REF!,"AAAAAHvqR84=")</f>
        <v>#REF!</v>
      </c>
      <c r="GZ111" t="e">
        <f>AND(#REF!,"AAAAAHvqR88=")</f>
        <v>#REF!</v>
      </c>
      <c r="HA111" t="e">
        <f>AND(#REF!,"AAAAAHvqR9A=")</f>
        <v>#REF!</v>
      </c>
      <c r="HB111" t="e">
        <f>AND(#REF!,"AAAAAHvqR9E=")</f>
        <v>#REF!</v>
      </c>
      <c r="HC111" t="e">
        <f>AND(#REF!,"AAAAAHvqR9I=")</f>
        <v>#REF!</v>
      </c>
      <c r="HD111" t="e">
        <f>AND(#REF!,"AAAAAHvqR9M=")</f>
        <v>#REF!</v>
      </c>
      <c r="HE111" t="e">
        <f>AND(#REF!,"AAAAAHvqR9Q=")</f>
        <v>#REF!</v>
      </c>
      <c r="HF111" t="e">
        <f>AND(#REF!,"AAAAAHvqR9U=")</f>
        <v>#REF!</v>
      </c>
      <c r="HG111" t="e">
        <f>AND(#REF!,"AAAAAHvqR9Y=")</f>
        <v>#REF!</v>
      </c>
      <c r="HH111" t="e">
        <f>AND(#REF!,"AAAAAHvqR9c=")</f>
        <v>#REF!</v>
      </c>
      <c r="HI111" t="e">
        <f>AND(#REF!,"AAAAAHvqR9g=")</f>
        <v>#REF!</v>
      </c>
      <c r="HJ111" t="e">
        <f>AND(#REF!,"AAAAAHvqR9k=")</f>
        <v>#REF!</v>
      </c>
      <c r="HK111" t="e">
        <f>AND(#REF!,"AAAAAHvqR9o=")</f>
        <v>#REF!</v>
      </c>
      <c r="HL111" t="e">
        <f>AND(#REF!,"AAAAAHvqR9s=")</f>
        <v>#REF!</v>
      </c>
      <c r="HM111" t="e">
        <f>AND(#REF!,"AAAAAHvqR9w=")</f>
        <v>#REF!</v>
      </c>
      <c r="HN111" t="e">
        <f>AND(#REF!,"AAAAAHvqR90=")</f>
        <v>#REF!</v>
      </c>
      <c r="HO111" t="e">
        <f>AND(#REF!,"AAAAAHvqR94=")</f>
        <v>#REF!</v>
      </c>
      <c r="HP111" t="e">
        <f>AND(#REF!,"AAAAAHvqR98=")</f>
        <v>#REF!</v>
      </c>
      <c r="HQ111" t="e">
        <f>AND(#REF!,"AAAAAHvqR+A=")</f>
        <v>#REF!</v>
      </c>
      <c r="HR111" t="e">
        <f>AND(#REF!,"AAAAAHvqR+E=")</f>
        <v>#REF!</v>
      </c>
      <c r="HS111" t="e">
        <f>AND(#REF!,"AAAAAHvqR+I=")</f>
        <v>#REF!</v>
      </c>
      <c r="HT111" t="e">
        <f>AND(#REF!,"AAAAAHvqR+M=")</f>
        <v>#REF!</v>
      </c>
      <c r="HU111" t="e">
        <f>AND(#REF!,"AAAAAHvqR+Q=")</f>
        <v>#REF!</v>
      </c>
      <c r="HV111" t="e">
        <f>AND(#REF!,"AAAAAHvqR+U=")</f>
        <v>#REF!</v>
      </c>
      <c r="HW111" t="e">
        <f>AND(#REF!,"AAAAAHvqR+Y=")</f>
        <v>#REF!</v>
      </c>
      <c r="HX111" t="e">
        <f>AND(#REF!,"AAAAAHvqR+c=")</f>
        <v>#REF!</v>
      </c>
      <c r="HY111" t="e">
        <f>AND(#REF!,"AAAAAHvqR+g=")</f>
        <v>#REF!</v>
      </c>
      <c r="HZ111" t="e">
        <f>AND(#REF!,"AAAAAHvqR+k=")</f>
        <v>#REF!</v>
      </c>
      <c r="IA111" t="e">
        <f>AND(#REF!,"AAAAAHvqR+o=")</f>
        <v>#REF!</v>
      </c>
      <c r="IB111" t="e">
        <f>AND(#REF!,"AAAAAHvqR+s=")</f>
        <v>#REF!</v>
      </c>
      <c r="IC111" t="e">
        <f>AND(#REF!,"AAAAAHvqR+w=")</f>
        <v>#REF!</v>
      </c>
      <c r="ID111" t="e">
        <f>AND(#REF!,"AAAAAHvqR+0=")</f>
        <v>#REF!</v>
      </c>
      <c r="IE111" t="e">
        <f>AND(#REF!,"AAAAAHvqR+4=")</f>
        <v>#REF!</v>
      </c>
      <c r="IF111" t="e">
        <f>AND(#REF!,"AAAAAHvqR+8=")</f>
        <v>#REF!</v>
      </c>
      <c r="IG111" t="e">
        <f>AND(#REF!,"AAAAAHvqR/A=")</f>
        <v>#REF!</v>
      </c>
      <c r="IH111" t="e">
        <f>AND(#REF!,"AAAAAHvqR/E=")</f>
        <v>#REF!</v>
      </c>
      <c r="II111" t="e">
        <f>AND(#REF!,"AAAAAHvqR/I=")</f>
        <v>#REF!</v>
      </c>
      <c r="IJ111" t="e">
        <f>AND(#REF!,"AAAAAHvqR/M=")</f>
        <v>#REF!</v>
      </c>
      <c r="IK111" t="e">
        <f>AND(#REF!,"AAAAAHvqR/Q=")</f>
        <v>#REF!</v>
      </c>
      <c r="IL111" t="e">
        <f>AND(#REF!,"AAAAAHvqR/U=")</f>
        <v>#REF!</v>
      </c>
      <c r="IM111" t="e">
        <f>AND(#REF!,"AAAAAHvqR/Y=")</f>
        <v>#REF!</v>
      </c>
      <c r="IN111" t="e">
        <f>AND(#REF!,"AAAAAHvqR/c=")</f>
        <v>#REF!</v>
      </c>
      <c r="IO111" t="e">
        <f>AND(#REF!,"AAAAAHvqR/g=")</f>
        <v>#REF!</v>
      </c>
      <c r="IP111" t="e">
        <f>AND(#REF!,"AAAAAHvqR/k=")</f>
        <v>#REF!</v>
      </c>
      <c r="IQ111" t="e">
        <f>AND(#REF!,"AAAAAHvqR/o=")</f>
        <v>#REF!</v>
      </c>
      <c r="IR111" t="e">
        <f>AND(#REF!,"AAAAAHvqR/s=")</f>
        <v>#REF!</v>
      </c>
      <c r="IS111" t="e">
        <f>AND(#REF!,"AAAAAHvqR/w=")</f>
        <v>#REF!</v>
      </c>
      <c r="IT111" t="e">
        <f>AND(#REF!,"AAAAAHvqR/0=")</f>
        <v>#REF!</v>
      </c>
      <c r="IU111" t="e">
        <f>AND(#REF!,"AAAAAHvqR/4=")</f>
        <v>#REF!</v>
      </c>
      <c r="IV111" t="e">
        <f>AND(#REF!,"AAAAAHvqR/8=")</f>
        <v>#REF!</v>
      </c>
    </row>
    <row r="112" spans="1:256" x14ac:dyDescent="0.25">
      <c r="A112" t="e">
        <f>AND(#REF!,"AAAAAFr91QA=")</f>
        <v>#REF!</v>
      </c>
      <c r="B112" t="e">
        <f>AND(#REF!,"AAAAAFr91QE=")</f>
        <v>#REF!</v>
      </c>
      <c r="C112" t="e">
        <f>AND(#REF!,"AAAAAFr91QI=")</f>
        <v>#REF!</v>
      </c>
      <c r="D112" t="e">
        <f>AND(#REF!,"AAAAAFr91QM=")</f>
        <v>#REF!</v>
      </c>
      <c r="E112" t="e">
        <f>AND(#REF!,"AAAAAFr91QQ=")</f>
        <v>#REF!</v>
      </c>
      <c r="F112" t="e">
        <f>AND(#REF!,"AAAAAFr91QU=")</f>
        <v>#REF!</v>
      </c>
      <c r="G112" t="e">
        <f>AND(#REF!,"AAAAAFr91QY=")</f>
        <v>#REF!</v>
      </c>
      <c r="H112" t="e">
        <f>AND(#REF!,"AAAAAFr91Qc=")</f>
        <v>#REF!</v>
      </c>
      <c r="I112" t="e">
        <f>AND(#REF!,"AAAAAFr91Qg=")</f>
        <v>#REF!</v>
      </c>
      <c r="J112" t="e">
        <f>AND(#REF!,"AAAAAFr91Qk=")</f>
        <v>#REF!</v>
      </c>
      <c r="K112" t="e">
        <f>AND(#REF!,"AAAAAFr91Qo=")</f>
        <v>#REF!</v>
      </c>
      <c r="L112" t="e">
        <f>AND(#REF!,"AAAAAFr91Qs=")</f>
        <v>#REF!</v>
      </c>
      <c r="M112" t="e">
        <f>AND(#REF!,"AAAAAFr91Qw=")</f>
        <v>#REF!</v>
      </c>
      <c r="N112" t="e">
        <f>AND(#REF!,"AAAAAFr91Q0=")</f>
        <v>#REF!</v>
      </c>
      <c r="O112" t="e">
        <f>AND(#REF!,"AAAAAFr91Q4=")</f>
        <v>#REF!</v>
      </c>
      <c r="P112" t="e">
        <f>AND(#REF!,"AAAAAFr91Q8=")</f>
        <v>#REF!</v>
      </c>
      <c r="Q112" t="e">
        <f>AND(#REF!,"AAAAAFr91RA=")</f>
        <v>#REF!</v>
      </c>
      <c r="R112" t="e">
        <f>AND(#REF!,"AAAAAFr91RE=")</f>
        <v>#REF!</v>
      </c>
      <c r="S112" t="e">
        <f>AND(#REF!,"AAAAAFr91RI=")</f>
        <v>#REF!</v>
      </c>
      <c r="T112" t="e">
        <f>AND(#REF!,"AAAAAFr91RM=")</f>
        <v>#REF!</v>
      </c>
      <c r="U112" t="e">
        <f>AND(#REF!,"AAAAAFr91RQ=")</f>
        <v>#REF!</v>
      </c>
      <c r="V112" t="e">
        <f>AND(#REF!,"AAAAAFr91RU=")</f>
        <v>#REF!</v>
      </c>
      <c r="W112" t="e">
        <f>AND(#REF!,"AAAAAFr91RY=")</f>
        <v>#REF!</v>
      </c>
      <c r="X112" t="e">
        <f>AND(#REF!,"AAAAAFr91Rc=")</f>
        <v>#REF!</v>
      </c>
      <c r="Y112" t="e">
        <f>AND(#REF!,"AAAAAFr91Rg=")</f>
        <v>#REF!</v>
      </c>
      <c r="Z112" t="e">
        <f>AND(#REF!,"AAAAAFr91Rk=")</f>
        <v>#REF!</v>
      </c>
      <c r="AA112" t="e">
        <f>AND(#REF!,"AAAAAFr91Ro=")</f>
        <v>#REF!</v>
      </c>
      <c r="AB112" t="e">
        <f>AND(#REF!,"AAAAAFr91Rs=")</f>
        <v>#REF!</v>
      </c>
      <c r="AC112" t="e">
        <f>AND(#REF!,"AAAAAFr91Rw=")</f>
        <v>#REF!</v>
      </c>
      <c r="AD112" t="e">
        <f>AND(#REF!,"AAAAAFr91R0=")</f>
        <v>#REF!</v>
      </c>
      <c r="AE112" t="e">
        <f>AND(#REF!,"AAAAAFr91R4=")</f>
        <v>#REF!</v>
      </c>
      <c r="AF112" t="e">
        <f>AND(#REF!,"AAAAAFr91R8=")</f>
        <v>#REF!</v>
      </c>
      <c r="AG112" t="e">
        <f>AND(#REF!,"AAAAAFr91SA=")</f>
        <v>#REF!</v>
      </c>
      <c r="AH112" t="e">
        <f>AND(#REF!,"AAAAAFr91SE=")</f>
        <v>#REF!</v>
      </c>
      <c r="AI112" t="e">
        <f>AND(#REF!,"AAAAAFr91SI=")</f>
        <v>#REF!</v>
      </c>
      <c r="AJ112" t="e">
        <f>AND(#REF!,"AAAAAFr91SM=")</f>
        <v>#REF!</v>
      </c>
      <c r="AK112" t="e">
        <f>AND(#REF!,"AAAAAFr91SQ=")</f>
        <v>#REF!</v>
      </c>
      <c r="AL112" t="e">
        <f>AND(#REF!,"AAAAAFr91SU=")</f>
        <v>#REF!</v>
      </c>
      <c r="AM112" t="e">
        <f>AND(#REF!,"AAAAAFr91SY=")</f>
        <v>#REF!</v>
      </c>
      <c r="AN112" t="e">
        <f>AND(#REF!,"AAAAAFr91Sc=")</f>
        <v>#REF!</v>
      </c>
      <c r="AO112" t="e">
        <f>AND(#REF!,"AAAAAFr91Sg=")</f>
        <v>#REF!</v>
      </c>
      <c r="AP112" t="e">
        <f>AND(#REF!,"AAAAAFr91Sk=")</f>
        <v>#REF!</v>
      </c>
      <c r="AQ112" t="e">
        <f>AND(#REF!,"AAAAAFr91So=")</f>
        <v>#REF!</v>
      </c>
      <c r="AR112" t="e">
        <f>AND(#REF!,"AAAAAFr91Ss=")</f>
        <v>#REF!</v>
      </c>
      <c r="AS112" t="e">
        <f>AND(#REF!,"AAAAAFr91Sw=")</f>
        <v>#REF!</v>
      </c>
      <c r="AT112" t="e">
        <f>AND(#REF!,"AAAAAFr91S0=")</f>
        <v>#REF!</v>
      </c>
      <c r="AU112" t="e">
        <f>AND(#REF!,"AAAAAFr91S4=")</f>
        <v>#REF!</v>
      </c>
      <c r="AV112" t="e">
        <f>AND(#REF!,"AAAAAFr91S8=")</f>
        <v>#REF!</v>
      </c>
      <c r="AW112" t="e">
        <f>AND(#REF!,"AAAAAFr91TA=")</f>
        <v>#REF!</v>
      </c>
      <c r="AX112" t="e">
        <f>AND(#REF!,"AAAAAFr91TE=")</f>
        <v>#REF!</v>
      </c>
      <c r="AY112" t="e">
        <f>AND(#REF!,"AAAAAFr91TI=")</f>
        <v>#REF!</v>
      </c>
      <c r="AZ112" t="e">
        <f>AND(#REF!,"AAAAAFr91TM=")</f>
        <v>#REF!</v>
      </c>
      <c r="BA112" t="e">
        <f>AND(#REF!,"AAAAAFr91TQ=")</f>
        <v>#REF!</v>
      </c>
      <c r="BB112" t="e">
        <f>AND(#REF!,"AAAAAFr91TU=")</f>
        <v>#REF!</v>
      </c>
      <c r="BC112" t="e">
        <f>AND(#REF!,"AAAAAFr91TY=")</f>
        <v>#REF!</v>
      </c>
      <c r="BD112" t="e">
        <f>AND(#REF!,"AAAAAFr91Tc=")</f>
        <v>#REF!</v>
      </c>
      <c r="BE112" t="e">
        <f>AND(#REF!,"AAAAAFr91Tg=")</f>
        <v>#REF!</v>
      </c>
      <c r="BF112" t="e">
        <f>AND(#REF!,"AAAAAFr91Tk=")</f>
        <v>#REF!</v>
      </c>
      <c r="BG112" t="e">
        <f>AND(#REF!,"AAAAAFr91To=")</f>
        <v>#REF!</v>
      </c>
      <c r="BH112" t="e">
        <f>AND(#REF!,"AAAAAFr91Ts=")</f>
        <v>#REF!</v>
      </c>
      <c r="BI112" t="e">
        <f>AND(#REF!,"AAAAAFr91Tw=")</f>
        <v>#REF!</v>
      </c>
      <c r="BJ112" t="e">
        <f>AND(#REF!,"AAAAAFr91T0=")</f>
        <v>#REF!</v>
      </c>
      <c r="BK112" t="e">
        <f>AND(#REF!,"AAAAAFr91T4=")</f>
        <v>#REF!</v>
      </c>
      <c r="BL112" t="e">
        <f>AND(#REF!,"AAAAAFr91T8=")</f>
        <v>#REF!</v>
      </c>
      <c r="BM112" t="e">
        <f>AND(#REF!,"AAAAAFr91UA=")</f>
        <v>#REF!</v>
      </c>
      <c r="BN112" t="e">
        <f>AND(#REF!,"AAAAAFr91UE=")</f>
        <v>#REF!</v>
      </c>
      <c r="BO112" t="e">
        <f>AND(#REF!,"AAAAAFr91UI=")</f>
        <v>#REF!</v>
      </c>
      <c r="BP112" t="e">
        <f>AND(#REF!,"AAAAAFr91UM=")</f>
        <v>#REF!</v>
      </c>
      <c r="BQ112" t="e">
        <f>AND(#REF!,"AAAAAFr91UQ=")</f>
        <v>#REF!</v>
      </c>
      <c r="BR112" t="e">
        <f>AND(#REF!,"AAAAAFr91UU=")</f>
        <v>#REF!</v>
      </c>
      <c r="BS112" t="e">
        <f>AND(#REF!,"AAAAAFr91UY=")</f>
        <v>#REF!</v>
      </c>
      <c r="BT112" t="e">
        <f>AND(#REF!,"AAAAAFr91Uc=")</f>
        <v>#REF!</v>
      </c>
      <c r="BU112" t="e">
        <f>AND(#REF!,"AAAAAFr91Ug=")</f>
        <v>#REF!</v>
      </c>
      <c r="BV112" t="e">
        <f>AND(#REF!,"AAAAAFr91Uk=")</f>
        <v>#REF!</v>
      </c>
      <c r="BW112" t="e">
        <f>AND(#REF!,"AAAAAFr91Uo=")</f>
        <v>#REF!</v>
      </c>
      <c r="BX112" t="e">
        <f>AND(#REF!,"AAAAAFr91Us=")</f>
        <v>#REF!</v>
      </c>
      <c r="BY112" t="e">
        <f>AND(#REF!,"AAAAAFr91Uw=")</f>
        <v>#REF!</v>
      </c>
      <c r="BZ112" t="e">
        <f>AND(#REF!,"AAAAAFr91U0=")</f>
        <v>#REF!</v>
      </c>
      <c r="CA112" t="e">
        <f>AND(#REF!,"AAAAAFr91U4=")</f>
        <v>#REF!</v>
      </c>
      <c r="CB112" t="e">
        <f>AND(#REF!,"AAAAAFr91U8=")</f>
        <v>#REF!</v>
      </c>
      <c r="CC112" t="e">
        <f>AND(#REF!,"AAAAAFr91VA=")</f>
        <v>#REF!</v>
      </c>
      <c r="CD112" t="e">
        <f>AND(#REF!,"AAAAAFr91VE=")</f>
        <v>#REF!</v>
      </c>
      <c r="CE112" t="e">
        <f>AND(#REF!,"AAAAAFr91VI=")</f>
        <v>#REF!</v>
      </c>
      <c r="CF112" t="e">
        <f>AND(#REF!,"AAAAAFr91VM=")</f>
        <v>#REF!</v>
      </c>
      <c r="CG112" t="e">
        <f>AND(#REF!,"AAAAAFr91VQ=")</f>
        <v>#REF!</v>
      </c>
      <c r="CH112" t="e">
        <f>AND(#REF!,"AAAAAFr91VU=")</f>
        <v>#REF!</v>
      </c>
      <c r="CI112" t="e">
        <f>AND(#REF!,"AAAAAFr91VY=")</f>
        <v>#REF!</v>
      </c>
      <c r="CJ112" t="e">
        <f>AND(#REF!,"AAAAAFr91Vc=")</f>
        <v>#REF!</v>
      </c>
      <c r="CK112" t="e">
        <f>IF(#REF!,"AAAAAFr91Vg=",0)</f>
        <v>#REF!</v>
      </c>
      <c r="CL112" t="e">
        <f>AND(#REF!,"AAAAAFr91Vk=")</f>
        <v>#REF!</v>
      </c>
      <c r="CM112" t="e">
        <f>AND(#REF!,"AAAAAFr91Vo=")</f>
        <v>#REF!</v>
      </c>
      <c r="CN112" t="e">
        <f>AND(#REF!,"AAAAAFr91Vs=")</f>
        <v>#REF!</v>
      </c>
      <c r="CO112" t="e">
        <f>AND(#REF!,"AAAAAFr91Vw=")</f>
        <v>#REF!</v>
      </c>
      <c r="CP112" t="e">
        <f>AND(#REF!,"AAAAAFr91V0=")</f>
        <v>#REF!</v>
      </c>
      <c r="CQ112" t="e">
        <f>AND(#REF!,"AAAAAFr91V4=")</f>
        <v>#REF!</v>
      </c>
      <c r="CR112" t="e">
        <f>AND(#REF!,"AAAAAFr91V8=")</f>
        <v>#REF!</v>
      </c>
      <c r="CS112" t="e">
        <f>AND(#REF!,"AAAAAFr91WA=")</f>
        <v>#REF!</v>
      </c>
      <c r="CT112" t="e">
        <f>AND(#REF!,"AAAAAFr91WE=")</f>
        <v>#REF!</v>
      </c>
      <c r="CU112" t="e">
        <f>AND(#REF!,"AAAAAFr91WI=")</f>
        <v>#REF!</v>
      </c>
      <c r="CV112" t="e">
        <f>AND(#REF!,"AAAAAFr91WM=")</f>
        <v>#REF!</v>
      </c>
      <c r="CW112" t="e">
        <f>AND(#REF!,"AAAAAFr91WQ=")</f>
        <v>#REF!</v>
      </c>
      <c r="CX112" t="e">
        <f>AND(#REF!,"AAAAAFr91WU=")</f>
        <v>#REF!</v>
      </c>
      <c r="CY112" t="e">
        <f>AND(#REF!,"AAAAAFr91WY=")</f>
        <v>#REF!</v>
      </c>
      <c r="CZ112" t="e">
        <f>AND(#REF!,"AAAAAFr91Wc=")</f>
        <v>#REF!</v>
      </c>
      <c r="DA112" t="e">
        <f>AND(#REF!,"AAAAAFr91Wg=")</f>
        <v>#REF!</v>
      </c>
      <c r="DB112" t="e">
        <f>AND(#REF!,"AAAAAFr91Wk=")</f>
        <v>#REF!</v>
      </c>
      <c r="DC112" t="e">
        <f>AND(#REF!,"AAAAAFr91Wo=")</f>
        <v>#REF!</v>
      </c>
      <c r="DD112" t="e">
        <f>AND(#REF!,"AAAAAFr91Ws=")</f>
        <v>#REF!</v>
      </c>
      <c r="DE112" t="e">
        <f>AND(#REF!,"AAAAAFr91Ww=")</f>
        <v>#REF!</v>
      </c>
      <c r="DF112" t="e">
        <f>AND(#REF!,"AAAAAFr91W0=")</f>
        <v>#REF!</v>
      </c>
      <c r="DG112" t="e">
        <f>AND(#REF!,"AAAAAFr91W4=")</f>
        <v>#REF!</v>
      </c>
      <c r="DH112" t="e">
        <f>AND(#REF!,"AAAAAFr91W8=")</f>
        <v>#REF!</v>
      </c>
      <c r="DI112" t="e">
        <f>AND(#REF!,"AAAAAFr91XA=")</f>
        <v>#REF!</v>
      </c>
      <c r="DJ112" t="e">
        <f>AND(#REF!,"AAAAAFr91XE=")</f>
        <v>#REF!</v>
      </c>
      <c r="DK112" t="e">
        <f>AND(#REF!,"AAAAAFr91XI=")</f>
        <v>#REF!</v>
      </c>
      <c r="DL112" t="e">
        <f>AND(#REF!,"AAAAAFr91XM=")</f>
        <v>#REF!</v>
      </c>
      <c r="DM112" t="e">
        <f>AND(#REF!,"AAAAAFr91XQ=")</f>
        <v>#REF!</v>
      </c>
      <c r="DN112" t="e">
        <f>AND(#REF!,"AAAAAFr91XU=")</f>
        <v>#REF!</v>
      </c>
      <c r="DO112" t="e">
        <f>AND(#REF!,"AAAAAFr91XY=")</f>
        <v>#REF!</v>
      </c>
      <c r="DP112" t="e">
        <f>AND(#REF!,"AAAAAFr91Xc=")</f>
        <v>#REF!</v>
      </c>
      <c r="DQ112" t="e">
        <f>AND(#REF!,"AAAAAFr91Xg=")</f>
        <v>#REF!</v>
      </c>
      <c r="DR112" t="e">
        <f>AND(#REF!,"AAAAAFr91Xk=")</f>
        <v>#REF!</v>
      </c>
      <c r="DS112" t="e">
        <f>AND(#REF!,"AAAAAFr91Xo=")</f>
        <v>#REF!</v>
      </c>
      <c r="DT112" t="e">
        <f>AND(#REF!,"AAAAAFr91Xs=")</f>
        <v>#REF!</v>
      </c>
      <c r="DU112" t="e">
        <f>AND(#REF!,"AAAAAFr91Xw=")</f>
        <v>#REF!</v>
      </c>
      <c r="DV112" t="e">
        <f>AND(#REF!,"AAAAAFr91X0=")</f>
        <v>#REF!</v>
      </c>
      <c r="DW112" t="e">
        <f>AND(#REF!,"AAAAAFr91X4=")</f>
        <v>#REF!</v>
      </c>
      <c r="DX112" t="e">
        <f>AND(#REF!,"AAAAAFr91X8=")</f>
        <v>#REF!</v>
      </c>
      <c r="DY112" t="e">
        <f>AND(#REF!,"AAAAAFr91YA=")</f>
        <v>#REF!</v>
      </c>
      <c r="DZ112" t="e">
        <f>AND(#REF!,"AAAAAFr91YE=")</f>
        <v>#REF!</v>
      </c>
      <c r="EA112" t="e">
        <f>AND(#REF!,"AAAAAFr91YI=")</f>
        <v>#REF!</v>
      </c>
      <c r="EB112" t="e">
        <f>AND(#REF!,"AAAAAFr91YM=")</f>
        <v>#REF!</v>
      </c>
      <c r="EC112" t="e">
        <f>AND(#REF!,"AAAAAFr91YQ=")</f>
        <v>#REF!</v>
      </c>
      <c r="ED112" t="e">
        <f>AND(#REF!,"AAAAAFr91YU=")</f>
        <v>#REF!</v>
      </c>
      <c r="EE112" t="e">
        <f>AND(#REF!,"AAAAAFr91YY=")</f>
        <v>#REF!</v>
      </c>
      <c r="EF112" t="e">
        <f>AND(#REF!,"AAAAAFr91Yc=")</f>
        <v>#REF!</v>
      </c>
      <c r="EG112" t="e">
        <f>AND(#REF!,"AAAAAFr91Yg=")</f>
        <v>#REF!</v>
      </c>
      <c r="EH112" t="e">
        <f>AND(#REF!,"AAAAAFr91Yk=")</f>
        <v>#REF!</v>
      </c>
      <c r="EI112" t="e">
        <f>AND(#REF!,"AAAAAFr91Yo=")</f>
        <v>#REF!</v>
      </c>
      <c r="EJ112" t="e">
        <f>AND(#REF!,"AAAAAFr91Ys=")</f>
        <v>#REF!</v>
      </c>
      <c r="EK112" t="e">
        <f>AND(#REF!,"AAAAAFr91Yw=")</f>
        <v>#REF!</v>
      </c>
      <c r="EL112" t="e">
        <f>AND(#REF!,"AAAAAFr91Y0=")</f>
        <v>#REF!</v>
      </c>
      <c r="EM112" t="e">
        <f>AND(#REF!,"AAAAAFr91Y4=")</f>
        <v>#REF!</v>
      </c>
      <c r="EN112" t="e">
        <f>AND(#REF!,"AAAAAFr91Y8=")</f>
        <v>#REF!</v>
      </c>
      <c r="EO112" t="e">
        <f>AND(#REF!,"AAAAAFr91ZA=")</f>
        <v>#REF!</v>
      </c>
      <c r="EP112" t="e">
        <f>AND(#REF!,"AAAAAFr91ZE=")</f>
        <v>#REF!</v>
      </c>
      <c r="EQ112" t="e">
        <f>AND(#REF!,"AAAAAFr91ZI=")</f>
        <v>#REF!</v>
      </c>
      <c r="ER112" t="e">
        <f>AND(#REF!,"AAAAAFr91ZM=")</f>
        <v>#REF!</v>
      </c>
      <c r="ES112" t="e">
        <f>AND(#REF!,"AAAAAFr91ZQ=")</f>
        <v>#REF!</v>
      </c>
      <c r="ET112" t="e">
        <f>AND(#REF!,"AAAAAFr91ZU=")</f>
        <v>#REF!</v>
      </c>
      <c r="EU112" t="e">
        <f>AND(#REF!,"AAAAAFr91ZY=")</f>
        <v>#REF!</v>
      </c>
      <c r="EV112" t="e">
        <f>AND(#REF!,"AAAAAFr91Zc=")</f>
        <v>#REF!</v>
      </c>
      <c r="EW112" t="e">
        <f>AND(#REF!,"AAAAAFr91Zg=")</f>
        <v>#REF!</v>
      </c>
      <c r="EX112" t="e">
        <f>AND(#REF!,"AAAAAFr91Zk=")</f>
        <v>#REF!</v>
      </c>
      <c r="EY112" t="e">
        <f>AND(#REF!,"AAAAAFr91Zo=")</f>
        <v>#REF!</v>
      </c>
      <c r="EZ112" t="e">
        <f>AND(#REF!,"AAAAAFr91Zs=")</f>
        <v>#REF!</v>
      </c>
      <c r="FA112" t="e">
        <f>AND(#REF!,"AAAAAFr91Zw=")</f>
        <v>#REF!</v>
      </c>
      <c r="FB112" t="e">
        <f>AND(#REF!,"AAAAAFr91Z0=")</f>
        <v>#REF!</v>
      </c>
      <c r="FC112" t="e">
        <f>AND(#REF!,"AAAAAFr91Z4=")</f>
        <v>#REF!</v>
      </c>
      <c r="FD112" t="e">
        <f>AND(#REF!,"AAAAAFr91Z8=")</f>
        <v>#REF!</v>
      </c>
      <c r="FE112" t="e">
        <f>AND(#REF!,"AAAAAFr91aA=")</f>
        <v>#REF!</v>
      </c>
      <c r="FF112" t="e">
        <f>AND(#REF!,"AAAAAFr91aE=")</f>
        <v>#REF!</v>
      </c>
      <c r="FG112" t="e">
        <f>AND(#REF!,"AAAAAFr91aI=")</f>
        <v>#REF!</v>
      </c>
      <c r="FH112" t="e">
        <f>AND(#REF!,"AAAAAFr91aM=")</f>
        <v>#REF!</v>
      </c>
      <c r="FI112" t="e">
        <f>AND(#REF!,"AAAAAFr91aQ=")</f>
        <v>#REF!</v>
      </c>
      <c r="FJ112" t="e">
        <f>AND(#REF!,"AAAAAFr91aU=")</f>
        <v>#REF!</v>
      </c>
      <c r="FK112" t="e">
        <f>AND(#REF!,"AAAAAFr91aY=")</f>
        <v>#REF!</v>
      </c>
      <c r="FL112" t="e">
        <f>AND(#REF!,"AAAAAFr91ac=")</f>
        <v>#REF!</v>
      </c>
      <c r="FM112" t="e">
        <f>AND(#REF!,"AAAAAFr91ag=")</f>
        <v>#REF!</v>
      </c>
      <c r="FN112" t="e">
        <f>AND(#REF!,"AAAAAFr91ak=")</f>
        <v>#REF!</v>
      </c>
      <c r="FO112" t="e">
        <f>AND(#REF!,"AAAAAFr91ao=")</f>
        <v>#REF!</v>
      </c>
      <c r="FP112" t="e">
        <f>AND(#REF!,"AAAAAFr91as=")</f>
        <v>#REF!</v>
      </c>
      <c r="FQ112" t="e">
        <f>AND(#REF!,"AAAAAFr91aw=")</f>
        <v>#REF!</v>
      </c>
      <c r="FR112" t="e">
        <f>AND(#REF!,"AAAAAFr91a0=")</f>
        <v>#REF!</v>
      </c>
      <c r="FS112" t="e">
        <f>AND(#REF!,"AAAAAFr91a4=")</f>
        <v>#REF!</v>
      </c>
      <c r="FT112" t="e">
        <f>AND(#REF!,"AAAAAFr91a8=")</f>
        <v>#REF!</v>
      </c>
      <c r="FU112" t="e">
        <f>AND(#REF!,"AAAAAFr91bA=")</f>
        <v>#REF!</v>
      </c>
      <c r="FV112" t="e">
        <f>AND(#REF!,"AAAAAFr91bE=")</f>
        <v>#REF!</v>
      </c>
      <c r="FW112" t="e">
        <f>AND(#REF!,"AAAAAFr91bI=")</f>
        <v>#REF!</v>
      </c>
      <c r="FX112" t="e">
        <f>AND(#REF!,"AAAAAFr91bM=")</f>
        <v>#REF!</v>
      </c>
      <c r="FY112" t="e">
        <f>AND(#REF!,"AAAAAFr91bQ=")</f>
        <v>#REF!</v>
      </c>
      <c r="FZ112" t="e">
        <f>AND(#REF!,"AAAAAFr91bU=")</f>
        <v>#REF!</v>
      </c>
      <c r="GA112" t="e">
        <f>AND(#REF!,"AAAAAFr91bY=")</f>
        <v>#REF!</v>
      </c>
      <c r="GB112" t="e">
        <f>AND(#REF!,"AAAAAFr91bc=")</f>
        <v>#REF!</v>
      </c>
      <c r="GC112" t="e">
        <f>AND(#REF!,"AAAAAFr91bg=")</f>
        <v>#REF!</v>
      </c>
      <c r="GD112" t="e">
        <f>AND(#REF!,"AAAAAFr91bk=")</f>
        <v>#REF!</v>
      </c>
      <c r="GE112" t="e">
        <f>AND(#REF!,"AAAAAFr91bo=")</f>
        <v>#REF!</v>
      </c>
      <c r="GF112" t="e">
        <f>AND(#REF!,"AAAAAFr91bs=")</f>
        <v>#REF!</v>
      </c>
      <c r="GG112" t="e">
        <f>AND(#REF!,"AAAAAFr91bw=")</f>
        <v>#REF!</v>
      </c>
      <c r="GH112" t="e">
        <f>AND(#REF!,"AAAAAFr91b0=")</f>
        <v>#REF!</v>
      </c>
      <c r="GI112" t="e">
        <f>AND(#REF!,"AAAAAFr91b4=")</f>
        <v>#REF!</v>
      </c>
      <c r="GJ112" t="e">
        <f>AND(#REF!,"AAAAAFr91b8=")</f>
        <v>#REF!</v>
      </c>
      <c r="GK112" t="e">
        <f>AND(#REF!,"AAAAAFr91cA=")</f>
        <v>#REF!</v>
      </c>
      <c r="GL112" t="e">
        <f>AND(#REF!,"AAAAAFr91cE=")</f>
        <v>#REF!</v>
      </c>
      <c r="GM112" t="e">
        <f>AND(#REF!,"AAAAAFr91cI=")</f>
        <v>#REF!</v>
      </c>
      <c r="GN112" t="e">
        <f>AND(#REF!,"AAAAAFr91cM=")</f>
        <v>#REF!</v>
      </c>
      <c r="GO112" t="e">
        <f>AND(#REF!,"AAAAAFr91cQ=")</f>
        <v>#REF!</v>
      </c>
      <c r="GP112" t="e">
        <f>AND(#REF!,"AAAAAFr91cU=")</f>
        <v>#REF!</v>
      </c>
      <c r="GQ112" t="e">
        <f>AND(#REF!,"AAAAAFr91cY=")</f>
        <v>#REF!</v>
      </c>
      <c r="GR112" t="e">
        <f>AND(#REF!,"AAAAAFr91cc=")</f>
        <v>#REF!</v>
      </c>
      <c r="GS112" t="e">
        <f>AND(#REF!,"AAAAAFr91cg=")</f>
        <v>#REF!</v>
      </c>
      <c r="GT112" t="e">
        <f>AND(#REF!,"AAAAAFr91ck=")</f>
        <v>#REF!</v>
      </c>
      <c r="GU112" t="e">
        <f>AND(#REF!,"AAAAAFr91co=")</f>
        <v>#REF!</v>
      </c>
      <c r="GV112" t="e">
        <f>AND(#REF!,"AAAAAFr91cs=")</f>
        <v>#REF!</v>
      </c>
      <c r="GW112" t="e">
        <f>AND(#REF!,"AAAAAFr91cw=")</f>
        <v>#REF!</v>
      </c>
      <c r="GX112" t="e">
        <f>AND(#REF!,"AAAAAFr91c0=")</f>
        <v>#REF!</v>
      </c>
      <c r="GY112" t="e">
        <f>AND(#REF!,"AAAAAFr91c4=")</f>
        <v>#REF!</v>
      </c>
      <c r="GZ112" t="e">
        <f>AND(#REF!,"AAAAAFr91c8=")</f>
        <v>#REF!</v>
      </c>
      <c r="HA112" t="e">
        <f>AND(#REF!,"AAAAAFr91dA=")</f>
        <v>#REF!</v>
      </c>
      <c r="HB112" t="e">
        <f>AND(#REF!,"AAAAAFr91dE=")</f>
        <v>#REF!</v>
      </c>
      <c r="HC112" t="e">
        <f>AND(#REF!,"AAAAAFr91dI=")</f>
        <v>#REF!</v>
      </c>
      <c r="HD112" t="e">
        <f>AND(#REF!,"AAAAAFr91dM=")</f>
        <v>#REF!</v>
      </c>
      <c r="HE112" t="e">
        <f>AND(#REF!,"AAAAAFr91dQ=")</f>
        <v>#REF!</v>
      </c>
      <c r="HF112" t="e">
        <f>AND(#REF!,"AAAAAFr91dU=")</f>
        <v>#REF!</v>
      </c>
      <c r="HG112" t="e">
        <f>AND(#REF!,"AAAAAFr91dY=")</f>
        <v>#REF!</v>
      </c>
      <c r="HH112" t="e">
        <f>AND(#REF!,"AAAAAFr91dc=")</f>
        <v>#REF!</v>
      </c>
      <c r="HI112" t="e">
        <f>AND(#REF!,"AAAAAFr91dg=")</f>
        <v>#REF!</v>
      </c>
      <c r="HJ112" t="e">
        <f>AND(#REF!,"AAAAAFr91dk=")</f>
        <v>#REF!</v>
      </c>
      <c r="HK112" t="e">
        <f>AND(#REF!,"AAAAAFr91do=")</f>
        <v>#REF!</v>
      </c>
      <c r="HL112" t="e">
        <f>AND(#REF!,"AAAAAFr91ds=")</f>
        <v>#REF!</v>
      </c>
      <c r="HM112" t="e">
        <f>AND(#REF!,"AAAAAFr91dw=")</f>
        <v>#REF!</v>
      </c>
      <c r="HN112" t="e">
        <f>AND(#REF!,"AAAAAFr91d0=")</f>
        <v>#REF!</v>
      </c>
      <c r="HO112" t="e">
        <f>AND(#REF!,"AAAAAFr91d4=")</f>
        <v>#REF!</v>
      </c>
      <c r="HP112" t="e">
        <f>AND(#REF!,"AAAAAFr91d8=")</f>
        <v>#REF!</v>
      </c>
      <c r="HQ112" t="e">
        <f>AND(#REF!,"AAAAAFr91eA=")</f>
        <v>#REF!</v>
      </c>
      <c r="HR112" t="e">
        <f>AND(#REF!,"AAAAAFr91eE=")</f>
        <v>#REF!</v>
      </c>
      <c r="HS112" t="e">
        <f>AND(#REF!,"AAAAAFr91eI=")</f>
        <v>#REF!</v>
      </c>
      <c r="HT112" t="e">
        <f>AND(#REF!,"AAAAAFr91eM=")</f>
        <v>#REF!</v>
      </c>
      <c r="HU112" t="e">
        <f>AND(#REF!,"AAAAAFr91eQ=")</f>
        <v>#REF!</v>
      </c>
      <c r="HV112" t="e">
        <f>AND(#REF!,"AAAAAFr91eU=")</f>
        <v>#REF!</v>
      </c>
      <c r="HW112" t="e">
        <f>AND(#REF!,"AAAAAFr91eY=")</f>
        <v>#REF!</v>
      </c>
      <c r="HX112" t="e">
        <f>AND(#REF!,"AAAAAFr91ec=")</f>
        <v>#REF!</v>
      </c>
      <c r="HY112" t="e">
        <f>AND(#REF!,"AAAAAFr91eg=")</f>
        <v>#REF!</v>
      </c>
      <c r="HZ112" t="e">
        <f>AND(#REF!,"AAAAAFr91ek=")</f>
        <v>#REF!</v>
      </c>
      <c r="IA112" t="e">
        <f>AND(#REF!,"AAAAAFr91eo=")</f>
        <v>#REF!</v>
      </c>
      <c r="IB112" t="e">
        <f>AND(#REF!,"AAAAAFr91es=")</f>
        <v>#REF!</v>
      </c>
      <c r="IC112" t="e">
        <f>AND(#REF!,"AAAAAFr91ew=")</f>
        <v>#REF!</v>
      </c>
      <c r="ID112" t="e">
        <f>AND(#REF!,"AAAAAFr91e0=")</f>
        <v>#REF!</v>
      </c>
      <c r="IE112" t="e">
        <f>AND(#REF!,"AAAAAFr91e4=")</f>
        <v>#REF!</v>
      </c>
      <c r="IF112" t="e">
        <f>AND(#REF!,"AAAAAFr91e8=")</f>
        <v>#REF!</v>
      </c>
      <c r="IG112" t="e">
        <f>AND(#REF!,"AAAAAFr91fA=")</f>
        <v>#REF!</v>
      </c>
      <c r="IH112" t="e">
        <f>AND(#REF!,"AAAAAFr91fE=")</f>
        <v>#REF!</v>
      </c>
      <c r="II112" t="e">
        <f>AND(#REF!,"AAAAAFr91fI=")</f>
        <v>#REF!</v>
      </c>
      <c r="IJ112" t="e">
        <f>AND(#REF!,"AAAAAFr91fM=")</f>
        <v>#REF!</v>
      </c>
      <c r="IK112" t="e">
        <f>AND(#REF!,"AAAAAFr91fQ=")</f>
        <v>#REF!</v>
      </c>
      <c r="IL112" t="e">
        <f>AND(#REF!,"AAAAAFr91fU=")</f>
        <v>#REF!</v>
      </c>
      <c r="IM112" t="e">
        <f>AND(#REF!,"AAAAAFr91fY=")</f>
        <v>#REF!</v>
      </c>
      <c r="IN112" t="e">
        <f>AND(#REF!,"AAAAAFr91fc=")</f>
        <v>#REF!</v>
      </c>
      <c r="IO112" t="e">
        <f>AND(#REF!,"AAAAAFr91fg=")</f>
        <v>#REF!</v>
      </c>
      <c r="IP112" t="e">
        <f>AND(#REF!,"AAAAAFr91fk=")</f>
        <v>#REF!</v>
      </c>
      <c r="IQ112" t="e">
        <f>AND(#REF!,"AAAAAFr91fo=")</f>
        <v>#REF!</v>
      </c>
      <c r="IR112" t="e">
        <f>AND(#REF!,"AAAAAFr91fs=")</f>
        <v>#REF!</v>
      </c>
      <c r="IS112" t="e">
        <f>AND(#REF!,"AAAAAFr91fw=")</f>
        <v>#REF!</v>
      </c>
      <c r="IT112" t="e">
        <f>AND(#REF!,"AAAAAFr91f0=")</f>
        <v>#REF!</v>
      </c>
      <c r="IU112" t="e">
        <f>AND(#REF!,"AAAAAFr91f4=")</f>
        <v>#REF!</v>
      </c>
      <c r="IV112" t="e">
        <f>AND(#REF!,"AAAAAFr91f8=")</f>
        <v>#REF!</v>
      </c>
    </row>
    <row r="113" spans="1:256" x14ac:dyDescent="0.25">
      <c r="A113" t="e">
        <f>AND(#REF!,"AAAAAD/+/QA=")</f>
        <v>#REF!</v>
      </c>
      <c r="B113" t="e">
        <f>AND(#REF!,"AAAAAD/+/QE=")</f>
        <v>#REF!</v>
      </c>
      <c r="C113" t="e">
        <f>AND(#REF!,"AAAAAD/+/QI=")</f>
        <v>#REF!</v>
      </c>
      <c r="D113" t="e">
        <f>AND(#REF!,"AAAAAD/+/QM=")</f>
        <v>#REF!</v>
      </c>
      <c r="E113" t="e">
        <f>AND(#REF!,"AAAAAD/+/QQ=")</f>
        <v>#REF!</v>
      </c>
      <c r="F113" t="e">
        <f>AND(#REF!,"AAAAAD/+/QU=")</f>
        <v>#REF!</v>
      </c>
      <c r="G113" t="e">
        <f>AND(#REF!,"AAAAAD/+/QY=")</f>
        <v>#REF!</v>
      </c>
      <c r="H113" t="e">
        <f>AND(#REF!,"AAAAAD/+/Qc=")</f>
        <v>#REF!</v>
      </c>
      <c r="I113" t="e">
        <f>AND(#REF!,"AAAAAD/+/Qg=")</f>
        <v>#REF!</v>
      </c>
      <c r="J113" t="e">
        <f>AND(#REF!,"AAAAAD/+/Qk=")</f>
        <v>#REF!</v>
      </c>
      <c r="K113" t="e">
        <f>AND(#REF!,"AAAAAD/+/Qo=")</f>
        <v>#REF!</v>
      </c>
      <c r="L113" t="e">
        <f>AND(#REF!,"AAAAAD/+/Qs=")</f>
        <v>#REF!</v>
      </c>
      <c r="M113" t="e">
        <f>AND(#REF!,"AAAAAD/+/Qw=")</f>
        <v>#REF!</v>
      </c>
      <c r="N113" t="e">
        <f>AND(#REF!,"AAAAAD/+/Q0=")</f>
        <v>#REF!</v>
      </c>
      <c r="O113" t="e">
        <f>AND(#REF!,"AAAAAD/+/Q4=")</f>
        <v>#REF!</v>
      </c>
      <c r="P113" t="e">
        <f>AND(#REF!,"AAAAAD/+/Q8=")</f>
        <v>#REF!</v>
      </c>
      <c r="Q113" t="e">
        <f>AND(#REF!,"AAAAAD/+/RA=")</f>
        <v>#REF!</v>
      </c>
      <c r="R113" t="e">
        <f>AND(#REF!,"AAAAAD/+/RE=")</f>
        <v>#REF!</v>
      </c>
      <c r="S113" t="e">
        <f>AND(#REF!,"AAAAAD/+/RI=")</f>
        <v>#REF!</v>
      </c>
      <c r="T113" t="e">
        <f>AND(#REF!,"AAAAAD/+/RM=")</f>
        <v>#REF!</v>
      </c>
      <c r="U113" t="e">
        <f>AND(#REF!,"AAAAAD/+/RQ=")</f>
        <v>#REF!</v>
      </c>
      <c r="V113" t="e">
        <f>IF(#REF!,"AAAAAD/+/RU=",0)</f>
        <v>#REF!</v>
      </c>
      <c r="W113" t="e">
        <f>AND(#REF!,"AAAAAD/+/RY=")</f>
        <v>#REF!</v>
      </c>
      <c r="X113" t="e">
        <f>AND(#REF!,"AAAAAD/+/Rc=")</f>
        <v>#REF!</v>
      </c>
      <c r="Y113" t="e">
        <f>AND(#REF!,"AAAAAD/+/Rg=")</f>
        <v>#REF!</v>
      </c>
      <c r="Z113" t="e">
        <f>AND(#REF!,"AAAAAD/+/Rk=")</f>
        <v>#REF!</v>
      </c>
      <c r="AA113" t="e">
        <f>AND(#REF!,"AAAAAD/+/Ro=")</f>
        <v>#REF!</v>
      </c>
      <c r="AB113" t="e">
        <f>AND(#REF!,"AAAAAD/+/Rs=")</f>
        <v>#REF!</v>
      </c>
      <c r="AC113" t="e">
        <f>AND(#REF!,"AAAAAD/+/Rw=")</f>
        <v>#REF!</v>
      </c>
      <c r="AD113" t="e">
        <f>AND(#REF!,"AAAAAD/+/R0=")</f>
        <v>#REF!</v>
      </c>
      <c r="AE113" t="e">
        <f>AND(#REF!,"AAAAAD/+/R4=")</f>
        <v>#REF!</v>
      </c>
      <c r="AF113" t="e">
        <f>AND(#REF!,"AAAAAD/+/R8=")</f>
        <v>#REF!</v>
      </c>
      <c r="AG113" t="e">
        <f>AND(#REF!,"AAAAAD/+/SA=")</f>
        <v>#REF!</v>
      </c>
      <c r="AH113" t="e">
        <f>AND(#REF!,"AAAAAD/+/SE=")</f>
        <v>#REF!</v>
      </c>
      <c r="AI113" t="e">
        <f>AND(#REF!,"AAAAAD/+/SI=")</f>
        <v>#REF!</v>
      </c>
      <c r="AJ113" t="e">
        <f>AND(#REF!,"AAAAAD/+/SM=")</f>
        <v>#REF!</v>
      </c>
      <c r="AK113" t="e">
        <f>AND(#REF!,"AAAAAD/+/SQ=")</f>
        <v>#REF!</v>
      </c>
      <c r="AL113" t="e">
        <f>AND(#REF!,"AAAAAD/+/SU=")</f>
        <v>#REF!</v>
      </c>
      <c r="AM113" t="e">
        <f>AND(#REF!,"AAAAAD/+/SY=")</f>
        <v>#REF!</v>
      </c>
      <c r="AN113" t="e">
        <f>AND(#REF!,"AAAAAD/+/Sc=")</f>
        <v>#REF!</v>
      </c>
      <c r="AO113" t="e">
        <f>AND(#REF!,"AAAAAD/+/Sg=")</f>
        <v>#REF!</v>
      </c>
      <c r="AP113" t="e">
        <f>AND(#REF!,"AAAAAD/+/Sk=")</f>
        <v>#REF!</v>
      </c>
      <c r="AQ113" t="e">
        <f>AND(#REF!,"AAAAAD/+/So=")</f>
        <v>#REF!</v>
      </c>
      <c r="AR113" t="e">
        <f>AND(#REF!,"AAAAAD/+/Ss=")</f>
        <v>#REF!</v>
      </c>
      <c r="AS113" t="e">
        <f>AND(#REF!,"AAAAAD/+/Sw=")</f>
        <v>#REF!</v>
      </c>
      <c r="AT113" t="e">
        <f>AND(#REF!,"AAAAAD/+/S0=")</f>
        <v>#REF!</v>
      </c>
      <c r="AU113" t="e">
        <f>AND(#REF!,"AAAAAD/+/S4=")</f>
        <v>#REF!</v>
      </c>
      <c r="AV113" t="e">
        <f>AND(#REF!,"AAAAAD/+/S8=")</f>
        <v>#REF!</v>
      </c>
      <c r="AW113" t="e">
        <f>AND(#REF!,"AAAAAD/+/TA=")</f>
        <v>#REF!</v>
      </c>
      <c r="AX113" t="e">
        <f>AND(#REF!,"AAAAAD/+/TE=")</f>
        <v>#REF!</v>
      </c>
      <c r="AY113" t="e">
        <f>AND(#REF!,"AAAAAD/+/TI=")</f>
        <v>#REF!</v>
      </c>
      <c r="AZ113" t="e">
        <f>AND(#REF!,"AAAAAD/+/TM=")</f>
        <v>#REF!</v>
      </c>
      <c r="BA113" t="e">
        <f>AND(#REF!,"AAAAAD/+/TQ=")</f>
        <v>#REF!</v>
      </c>
      <c r="BB113" t="e">
        <f>AND(#REF!,"AAAAAD/+/TU=")</f>
        <v>#REF!</v>
      </c>
      <c r="BC113" t="e">
        <f>AND(#REF!,"AAAAAD/+/TY=")</f>
        <v>#REF!</v>
      </c>
      <c r="BD113" t="e">
        <f>AND(#REF!,"AAAAAD/+/Tc=")</f>
        <v>#REF!</v>
      </c>
      <c r="BE113" t="e">
        <f>AND(#REF!,"AAAAAD/+/Tg=")</f>
        <v>#REF!</v>
      </c>
      <c r="BF113" t="e">
        <f>AND(#REF!,"AAAAAD/+/Tk=")</f>
        <v>#REF!</v>
      </c>
      <c r="BG113" t="e">
        <f>AND(#REF!,"AAAAAD/+/To=")</f>
        <v>#REF!</v>
      </c>
      <c r="BH113" t="e">
        <f>AND(#REF!,"AAAAAD/+/Ts=")</f>
        <v>#REF!</v>
      </c>
      <c r="BI113" t="e">
        <f>AND(#REF!,"AAAAAD/+/Tw=")</f>
        <v>#REF!</v>
      </c>
      <c r="BJ113" t="e">
        <f>AND(#REF!,"AAAAAD/+/T0=")</f>
        <v>#REF!</v>
      </c>
      <c r="BK113" t="e">
        <f>AND(#REF!,"AAAAAD/+/T4=")</f>
        <v>#REF!</v>
      </c>
      <c r="BL113" t="e">
        <f>AND(#REF!,"AAAAAD/+/T8=")</f>
        <v>#REF!</v>
      </c>
      <c r="BM113" t="e">
        <f>AND(#REF!,"AAAAAD/+/UA=")</f>
        <v>#REF!</v>
      </c>
      <c r="BN113" t="e">
        <f>AND(#REF!,"AAAAAD/+/UE=")</f>
        <v>#REF!</v>
      </c>
      <c r="BO113" t="e">
        <f>AND(#REF!,"AAAAAD/+/UI=")</f>
        <v>#REF!</v>
      </c>
      <c r="BP113" t="e">
        <f>AND(#REF!,"AAAAAD/+/UM=")</f>
        <v>#REF!</v>
      </c>
      <c r="BQ113" t="e">
        <f>AND(#REF!,"AAAAAD/+/UQ=")</f>
        <v>#REF!</v>
      </c>
      <c r="BR113" t="e">
        <f>AND(#REF!,"AAAAAD/+/UU=")</f>
        <v>#REF!</v>
      </c>
      <c r="BS113" t="e">
        <f>AND(#REF!,"AAAAAD/+/UY=")</f>
        <v>#REF!</v>
      </c>
      <c r="BT113" t="e">
        <f>AND(#REF!,"AAAAAD/+/Uc=")</f>
        <v>#REF!</v>
      </c>
      <c r="BU113" t="e">
        <f>AND(#REF!,"AAAAAD/+/Ug=")</f>
        <v>#REF!</v>
      </c>
      <c r="BV113" t="e">
        <f>AND(#REF!,"AAAAAD/+/Uk=")</f>
        <v>#REF!</v>
      </c>
      <c r="BW113" t="e">
        <f>AND(#REF!,"AAAAAD/+/Uo=")</f>
        <v>#REF!</v>
      </c>
      <c r="BX113" t="e">
        <f>AND(#REF!,"AAAAAD/+/Us=")</f>
        <v>#REF!</v>
      </c>
      <c r="BY113" t="e">
        <f>AND(#REF!,"AAAAAD/+/Uw=")</f>
        <v>#REF!</v>
      </c>
      <c r="BZ113" t="e">
        <f>AND(#REF!,"AAAAAD/+/U0=")</f>
        <v>#REF!</v>
      </c>
      <c r="CA113" t="e">
        <f>AND(#REF!,"AAAAAD/+/U4=")</f>
        <v>#REF!</v>
      </c>
      <c r="CB113" t="e">
        <f>AND(#REF!,"AAAAAD/+/U8=")</f>
        <v>#REF!</v>
      </c>
      <c r="CC113" t="e">
        <f>AND(#REF!,"AAAAAD/+/VA=")</f>
        <v>#REF!</v>
      </c>
      <c r="CD113" t="e">
        <f>AND(#REF!,"AAAAAD/+/VE=")</f>
        <v>#REF!</v>
      </c>
      <c r="CE113" t="e">
        <f>AND(#REF!,"AAAAAD/+/VI=")</f>
        <v>#REF!</v>
      </c>
      <c r="CF113" t="e">
        <f>AND(#REF!,"AAAAAD/+/VM=")</f>
        <v>#REF!</v>
      </c>
      <c r="CG113" t="e">
        <f>AND(#REF!,"AAAAAD/+/VQ=")</f>
        <v>#REF!</v>
      </c>
      <c r="CH113" t="e">
        <f>AND(#REF!,"AAAAAD/+/VU=")</f>
        <v>#REF!</v>
      </c>
      <c r="CI113" t="e">
        <f>AND(#REF!,"AAAAAD/+/VY=")</f>
        <v>#REF!</v>
      </c>
      <c r="CJ113" t="e">
        <f>AND(#REF!,"AAAAAD/+/Vc=")</f>
        <v>#REF!</v>
      </c>
      <c r="CK113" t="e">
        <f>AND(#REF!,"AAAAAD/+/Vg=")</f>
        <v>#REF!</v>
      </c>
      <c r="CL113" t="e">
        <f>AND(#REF!,"AAAAAD/+/Vk=")</f>
        <v>#REF!</v>
      </c>
      <c r="CM113" t="e">
        <f>AND(#REF!,"AAAAAD/+/Vo=")</f>
        <v>#REF!</v>
      </c>
      <c r="CN113" t="e">
        <f>AND(#REF!,"AAAAAD/+/Vs=")</f>
        <v>#REF!</v>
      </c>
      <c r="CO113" t="e">
        <f>AND(#REF!,"AAAAAD/+/Vw=")</f>
        <v>#REF!</v>
      </c>
      <c r="CP113" t="e">
        <f>AND(#REF!,"AAAAAD/+/V0=")</f>
        <v>#REF!</v>
      </c>
      <c r="CQ113" t="e">
        <f>AND(#REF!,"AAAAAD/+/V4=")</f>
        <v>#REF!</v>
      </c>
      <c r="CR113" t="e">
        <f>AND(#REF!,"AAAAAD/+/V8=")</f>
        <v>#REF!</v>
      </c>
      <c r="CS113" t="e">
        <f>AND(#REF!,"AAAAAD/+/WA=")</f>
        <v>#REF!</v>
      </c>
      <c r="CT113" t="e">
        <f>AND(#REF!,"AAAAAD/+/WE=")</f>
        <v>#REF!</v>
      </c>
      <c r="CU113" t="e">
        <f>AND(#REF!,"AAAAAD/+/WI=")</f>
        <v>#REF!</v>
      </c>
      <c r="CV113" t="e">
        <f>AND(#REF!,"AAAAAD/+/WM=")</f>
        <v>#REF!</v>
      </c>
      <c r="CW113" t="e">
        <f>AND(#REF!,"AAAAAD/+/WQ=")</f>
        <v>#REF!</v>
      </c>
      <c r="CX113" t="e">
        <f>AND(#REF!,"AAAAAD/+/WU=")</f>
        <v>#REF!</v>
      </c>
      <c r="CY113" t="e">
        <f>AND(#REF!,"AAAAAD/+/WY=")</f>
        <v>#REF!</v>
      </c>
      <c r="CZ113" t="e">
        <f>AND(#REF!,"AAAAAD/+/Wc=")</f>
        <v>#REF!</v>
      </c>
      <c r="DA113" t="e">
        <f>AND(#REF!,"AAAAAD/+/Wg=")</f>
        <v>#REF!</v>
      </c>
      <c r="DB113" t="e">
        <f>AND(#REF!,"AAAAAD/+/Wk=")</f>
        <v>#REF!</v>
      </c>
      <c r="DC113" t="e">
        <f>AND(#REF!,"AAAAAD/+/Wo=")</f>
        <v>#REF!</v>
      </c>
      <c r="DD113" t="e">
        <f>AND(#REF!,"AAAAAD/+/Ws=")</f>
        <v>#REF!</v>
      </c>
      <c r="DE113" t="e">
        <f>AND(#REF!,"AAAAAD/+/Ww=")</f>
        <v>#REF!</v>
      </c>
      <c r="DF113" t="e">
        <f>AND(#REF!,"AAAAAD/+/W0=")</f>
        <v>#REF!</v>
      </c>
      <c r="DG113" t="e">
        <f>AND(#REF!,"AAAAAD/+/W4=")</f>
        <v>#REF!</v>
      </c>
      <c r="DH113" t="e">
        <f>AND(#REF!,"AAAAAD/+/W8=")</f>
        <v>#REF!</v>
      </c>
      <c r="DI113" t="e">
        <f>AND(#REF!,"AAAAAD/+/XA=")</f>
        <v>#REF!</v>
      </c>
      <c r="DJ113" t="e">
        <f>AND(#REF!,"AAAAAD/+/XE=")</f>
        <v>#REF!</v>
      </c>
      <c r="DK113" t="e">
        <f>AND(#REF!,"AAAAAD/+/XI=")</f>
        <v>#REF!</v>
      </c>
      <c r="DL113" t="e">
        <f>AND(#REF!,"AAAAAD/+/XM=")</f>
        <v>#REF!</v>
      </c>
      <c r="DM113" t="e">
        <f>AND(#REF!,"AAAAAD/+/XQ=")</f>
        <v>#REF!</v>
      </c>
      <c r="DN113" t="e">
        <f>AND(#REF!,"AAAAAD/+/XU=")</f>
        <v>#REF!</v>
      </c>
      <c r="DO113" t="e">
        <f>AND(#REF!,"AAAAAD/+/XY=")</f>
        <v>#REF!</v>
      </c>
      <c r="DP113" t="e">
        <f>AND(#REF!,"AAAAAD/+/Xc=")</f>
        <v>#REF!</v>
      </c>
      <c r="DQ113" t="e">
        <f>AND(#REF!,"AAAAAD/+/Xg=")</f>
        <v>#REF!</v>
      </c>
      <c r="DR113" t="e">
        <f>AND(#REF!,"AAAAAD/+/Xk=")</f>
        <v>#REF!</v>
      </c>
      <c r="DS113" t="e">
        <f>AND(#REF!,"AAAAAD/+/Xo=")</f>
        <v>#REF!</v>
      </c>
      <c r="DT113" t="e">
        <f>AND(#REF!,"AAAAAD/+/Xs=")</f>
        <v>#REF!</v>
      </c>
      <c r="DU113" t="e">
        <f>AND(#REF!,"AAAAAD/+/Xw=")</f>
        <v>#REF!</v>
      </c>
      <c r="DV113" t="e">
        <f>AND(#REF!,"AAAAAD/+/X0=")</f>
        <v>#REF!</v>
      </c>
      <c r="DW113" t="e">
        <f>AND(#REF!,"AAAAAD/+/X4=")</f>
        <v>#REF!</v>
      </c>
      <c r="DX113" t="e">
        <f>AND(#REF!,"AAAAAD/+/X8=")</f>
        <v>#REF!</v>
      </c>
      <c r="DY113" t="e">
        <f>AND(#REF!,"AAAAAD/+/YA=")</f>
        <v>#REF!</v>
      </c>
      <c r="DZ113" t="e">
        <f>AND(#REF!,"AAAAAD/+/YE=")</f>
        <v>#REF!</v>
      </c>
      <c r="EA113" t="e">
        <f>AND(#REF!,"AAAAAD/+/YI=")</f>
        <v>#REF!</v>
      </c>
      <c r="EB113" t="e">
        <f>AND(#REF!,"AAAAAD/+/YM=")</f>
        <v>#REF!</v>
      </c>
      <c r="EC113" t="e">
        <f>AND(#REF!,"AAAAAD/+/YQ=")</f>
        <v>#REF!</v>
      </c>
      <c r="ED113" t="e">
        <f>AND(#REF!,"AAAAAD/+/YU=")</f>
        <v>#REF!</v>
      </c>
      <c r="EE113" t="e">
        <f>AND(#REF!,"AAAAAD/+/YY=")</f>
        <v>#REF!</v>
      </c>
      <c r="EF113" t="e">
        <f>AND(#REF!,"AAAAAD/+/Yc=")</f>
        <v>#REF!</v>
      </c>
      <c r="EG113" t="e">
        <f>AND(#REF!,"AAAAAD/+/Yg=")</f>
        <v>#REF!</v>
      </c>
      <c r="EH113" t="e">
        <f>AND(#REF!,"AAAAAD/+/Yk=")</f>
        <v>#REF!</v>
      </c>
      <c r="EI113" t="e">
        <f>AND(#REF!,"AAAAAD/+/Yo=")</f>
        <v>#REF!</v>
      </c>
      <c r="EJ113" t="e">
        <f>AND(#REF!,"AAAAAD/+/Ys=")</f>
        <v>#REF!</v>
      </c>
      <c r="EK113" t="e">
        <f>AND(#REF!,"AAAAAD/+/Yw=")</f>
        <v>#REF!</v>
      </c>
      <c r="EL113" t="e">
        <f>AND(#REF!,"AAAAAD/+/Y0=")</f>
        <v>#REF!</v>
      </c>
      <c r="EM113" t="e">
        <f>AND(#REF!,"AAAAAD/+/Y4=")</f>
        <v>#REF!</v>
      </c>
      <c r="EN113" t="e">
        <f>AND(#REF!,"AAAAAD/+/Y8=")</f>
        <v>#REF!</v>
      </c>
      <c r="EO113" t="e">
        <f>AND(#REF!,"AAAAAD/+/ZA=")</f>
        <v>#REF!</v>
      </c>
      <c r="EP113" t="e">
        <f>AND(#REF!,"AAAAAD/+/ZE=")</f>
        <v>#REF!</v>
      </c>
      <c r="EQ113" t="e">
        <f>AND(#REF!,"AAAAAD/+/ZI=")</f>
        <v>#REF!</v>
      </c>
      <c r="ER113" t="e">
        <f>AND(#REF!,"AAAAAD/+/ZM=")</f>
        <v>#REF!</v>
      </c>
      <c r="ES113" t="e">
        <f>AND(#REF!,"AAAAAD/+/ZQ=")</f>
        <v>#REF!</v>
      </c>
      <c r="ET113" t="e">
        <f>AND(#REF!,"AAAAAD/+/ZU=")</f>
        <v>#REF!</v>
      </c>
      <c r="EU113" t="e">
        <f>AND(#REF!,"AAAAAD/+/ZY=")</f>
        <v>#REF!</v>
      </c>
      <c r="EV113" t="e">
        <f>AND(#REF!,"AAAAAD/+/Zc=")</f>
        <v>#REF!</v>
      </c>
      <c r="EW113" t="e">
        <f>AND(#REF!,"AAAAAD/+/Zg=")</f>
        <v>#REF!</v>
      </c>
      <c r="EX113" t="e">
        <f>AND(#REF!,"AAAAAD/+/Zk=")</f>
        <v>#REF!</v>
      </c>
      <c r="EY113" t="e">
        <f>AND(#REF!,"AAAAAD/+/Zo=")</f>
        <v>#REF!</v>
      </c>
      <c r="EZ113" t="e">
        <f>AND(#REF!,"AAAAAD/+/Zs=")</f>
        <v>#REF!</v>
      </c>
      <c r="FA113" t="e">
        <f>AND(#REF!,"AAAAAD/+/Zw=")</f>
        <v>#REF!</v>
      </c>
      <c r="FB113" t="e">
        <f>AND(#REF!,"AAAAAD/+/Z0=")</f>
        <v>#REF!</v>
      </c>
      <c r="FC113" t="e">
        <f>AND(#REF!,"AAAAAD/+/Z4=")</f>
        <v>#REF!</v>
      </c>
      <c r="FD113" t="e">
        <f>AND(#REF!,"AAAAAD/+/Z8=")</f>
        <v>#REF!</v>
      </c>
      <c r="FE113" t="e">
        <f>AND(#REF!,"AAAAAD/+/aA=")</f>
        <v>#REF!</v>
      </c>
      <c r="FF113" t="e">
        <f>AND(#REF!,"AAAAAD/+/aE=")</f>
        <v>#REF!</v>
      </c>
      <c r="FG113" t="e">
        <f>AND(#REF!,"AAAAAD/+/aI=")</f>
        <v>#REF!</v>
      </c>
      <c r="FH113" t="e">
        <f>AND(#REF!,"AAAAAD/+/aM=")</f>
        <v>#REF!</v>
      </c>
      <c r="FI113" t="e">
        <f>AND(#REF!,"AAAAAD/+/aQ=")</f>
        <v>#REF!</v>
      </c>
      <c r="FJ113" t="e">
        <f>AND(#REF!,"AAAAAD/+/aU=")</f>
        <v>#REF!</v>
      </c>
      <c r="FK113" t="e">
        <f>AND(#REF!,"AAAAAD/+/aY=")</f>
        <v>#REF!</v>
      </c>
      <c r="FL113" t="e">
        <f>AND(#REF!,"AAAAAD/+/ac=")</f>
        <v>#REF!</v>
      </c>
      <c r="FM113" t="e">
        <f>AND(#REF!,"AAAAAD/+/ag=")</f>
        <v>#REF!</v>
      </c>
      <c r="FN113" t="e">
        <f>AND(#REF!,"AAAAAD/+/ak=")</f>
        <v>#REF!</v>
      </c>
      <c r="FO113" t="e">
        <f>AND(#REF!,"AAAAAD/+/ao=")</f>
        <v>#REF!</v>
      </c>
      <c r="FP113" t="e">
        <f>AND(#REF!,"AAAAAD/+/as=")</f>
        <v>#REF!</v>
      </c>
      <c r="FQ113" t="e">
        <f>AND(#REF!,"AAAAAD/+/aw=")</f>
        <v>#REF!</v>
      </c>
      <c r="FR113" t="e">
        <f>AND(#REF!,"AAAAAD/+/a0=")</f>
        <v>#REF!</v>
      </c>
      <c r="FS113" t="e">
        <f>AND(#REF!,"AAAAAD/+/a4=")</f>
        <v>#REF!</v>
      </c>
      <c r="FT113" t="e">
        <f>AND(#REF!,"AAAAAD/+/a8=")</f>
        <v>#REF!</v>
      </c>
      <c r="FU113" t="e">
        <f>AND(#REF!,"AAAAAD/+/bA=")</f>
        <v>#REF!</v>
      </c>
      <c r="FV113" t="e">
        <f>AND(#REF!,"AAAAAD/+/bE=")</f>
        <v>#REF!</v>
      </c>
      <c r="FW113" t="e">
        <f>AND(#REF!,"AAAAAD/+/bI=")</f>
        <v>#REF!</v>
      </c>
      <c r="FX113" t="e">
        <f>AND(#REF!,"AAAAAD/+/bM=")</f>
        <v>#REF!</v>
      </c>
      <c r="FY113" t="e">
        <f>AND(#REF!,"AAAAAD/+/bQ=")</f>
        <v>#REF!</v>
      </c>
      <c r="FZ113" t="e">
        <f>AND(#REF!,"AAAAAD/+/bU=")</f>
        <v>#REF!</v>
      </c>
      <c r="GA113" t="e">
        <f>AND(#REF!,"AAAAAD/+/bY=")</f>
        <v>#REF!</v>
      </c>
      <c r="GB113" t="e">
        <f>AND(#REF!,"AAAAAD/+/bc=")</f>
        <v>#REF!</v>
      </c>
      <c r="GC113" t="e">
        <f>AND(#REF!,"AAAAAD/+/bg=")</f>
        <v>#REF!</v>
      </c>
      <c r="GD113" t="e">
        <f>AND(#REF!,"AAAAAD/+/bk=")</f>
        <v>#REF!</v>
      </c>
      <c r="GE113" t="e">
        <f>AND(#REF!,"AAAAAD/+/bo=")</f>
        <v>#REF!</v>
      </c>
      <c r="GF113" t="e">
        <f>AND(#REF!,"AAAAAD/+/bs=")</f>
        <v>#REF!</v>
      </c>
      <c r="GG113" t="e">
        <f>AND(#REF!,"AAAAAD/+/bw=")</f>
        <v>#REF!</v>
      </c>
      <c r="GH113" t="e">
        <f>AND(#REF!,"AAAAAD/+/b0=")</f>
        <v>#REF!</v>
      </c>
      <c r="GI113" t="e">
        <f>AND(#REF!,"AAAAAD/+/b4=")</f>
        <v>#REF!</v>
      </c>
      <c r="GJ113" t="e">
        <f>AND(#REF!,"AAAAAD/+/b8=")</f>
        <v>#REF!</v>
      </c>
      <c r="GK113" t="e">
        <f>AND(#REF!,"AAAAAD/+/cA=")</f>
        <v>#REF!</v>
      </c>
      <c r="GL113" t="e">
        <f>AND(#REF!,"AAAAAD/+/cE=")</f>
        <v>#REF!</v>
      </c>
      <c r="GM113" t="e">
        <f>AND(#REF!,"AAAAAD/+/cI=")</f>
        <v>#REF!</v>
      </c>
      <c r="GN113" t="e">
        <f>AND(#REF!,"AAAAAD/+/cM=")</f>
        <v>#REF!</v>
      </c>
      <c r="GO113" t="e">
        <f>AND(#REF!,"AAAAAD/+/cQ=")</f>
        <v>#REF!</v>
      </c>
      <c r="GP113" t="e">
        <f>AND(#REF!,"AAAAAD/+/cU=")</f>
        <v>#REF!</v>
      </c>
      <c r="GQ113" t="e">
        <f>AND(#REF!,"AAAAAD/+/cY=")</f>
        <v>#REF!</v>
      </c>
      <c r="GR113" t="e">
        <f>AND(#REF!,"AAAAAD/+/cc=")</f>
        <v>#REF!</v>
      </c>
      <c r="GS113" t="e">
        <f>AND(#REF!,"AAAAAD/+/cg=")</f>
        <v>#REF!</v>
      </c>
      <c r="GT113" t="e">
        <f>AND(#REF!,"AAAAAD/+/ck=")</f>
        <v>#REF!</v>
      </c>
      <c r="GU113" t="e">
        <f>AND(#REF!,"AAAAAD/+/co=")</f>
        <v>#REF!</v>
      </c>
      <c r="GV113" t="e">
        <f>AND(#REF!,"AAAAAD/+/cs=")</f>
        <v>#REF!</v>
      </c>
      <c r="GW113" t="e">
        <f>AND(#REF!,"AAAAAD/+/cw=")</f>
        <v>#REF!</v>
      </c>
      <c r="GX113" t="e">
        <f>AND(#REF!,"AAAAAD/+/c0=")</f>
        <v>#REF!</v>
      </c>
      <c r="GY113" t="e">
        <f>AND(#REF!,"AAAAAD/+/c4=")</f>
        <v>#REF!</v>
      </c>
      <c r="GZ113" t="e">
        <f>AND(#REF!,"AAAAAD/+/c8=")</f>
        <v>#REF!</v>
      </c>
      <c r="HA113" t="e">
        <f>AND(#REF!,"AAAAAD/+/dA=")</f>
        <v>#REF!</v>
      </c>
      <c r="HB113" t="e">
        <f>AND(#REF!,"AAAAAD/+/dE=")</f>
        <v>#REF!</v>
      </c>
      <c r="HC113" t="e">
        <f>IF(#REF!,"AAAAAD/+/dI=",0)</f>
        <v>#REF!</v>
      </c>
      <c r="HD113" t="e">
        <f>AND(#REF!,"AAAAAD/+/dM=")</f>
        <v>#REF!</v>
      </c>
      <c r="HE113" t="e">
        <f>AND(#REF!,"AAAAAD/+/dQ=")</f>
        <v>#REF!</v>
      </c>
      <c r="HF113" t="e">
        <f>AND(#REF!,"AAAAAD/+/dU=")</f>
        <v>#REF!</v>
      </c>
      <c r="HG113" t="e">
        <f>AND(#REF!,"AAAAAD/+/dY=")</f>
        <v>#REF!</v>
      </c>
      <c r="HH113" t="e">
        <f>AND(#REF!,"AAAAAD/+/dc=")</f>
        <v>#REF!</v>
      </c>
      <c r="HI113" t="e">
        <f>AND(#REF!,"AAAAAD/+/dg=")</f>
        <v>#REF!</v>
      </c>
      <c r="HJ113" t="e">
        <f>AND(#REF!,"AAAAAD/+/dk=")</f>
        <v>#REF!</v>
      </c>
      <c r="HK113" t="e">
        <f>AND(#REF!,"AAAAAD/+/do=")</f>
        <v>#REF!</v>
      </c>
      <c r="HL113" t="e">
        <f>AND(#REF!,"AAAAAD/+/ds=")</f>
        <v>#REF!</v>
      </c>
      <c r="HM113" t="e">
        <f>AND(#REF!,"AAAAAD/+/dw=")</f>
        <v>#REF!</v>
      </c>
      <c r="HN113" t="e">
        <f>AND(#REF!,"AAAAAD/+/d0=")</f>
        <v>#REF!</v>
      </c>
      <c r="HO113" t="e">
        <f>AND(#REF!,"AAAAAD/+/d4=")</f>
        <v>#REF!</v>
      </c>
      <c r="HP113" t="e">
        <f>AND(#REF!,"AAAAAD/+/d8=")</f>
        <v>#REF!</v>
      </c>
      <c r="HQ113" t="e">
        <f>AND(#REF!,"AAAAAD/+/eA=")</f>
        <v>#REF!</v>
      </c>
      <c r="HR113" t="e">
        <f>AND(#REF!,"AAAAAD/+/eE=")</f>
        <v>#REF!</v>
      </c>
      <c r="HS113" t="e">
        <f>AND(#REF!,"AAAAAD/+/eI=")</f>
        <v>#REF!</v>
      </c>
      <c r="HT113" t="e">
        <f>AND(#REF!,"AAAAAD/+/eM=")</f>
        <v>#REF!</v>
      </c>
      <c r="HU113" t="e">
        <f>AND(#REF!,"AAAAAD/+/eQ=")</f>
        <v>#REF!</v>
      </c>
      <c r="HV113" t="e">
        <f>AND(#REF!,"AAAAAD/+/eU=")</f>
        <v>#REF!</v>
      </c>
      <c r="HW113" t="e">
        <f>AND(#REF!,"AAAAAD/+/eY=")</f>
        <v>#REF!</v>
      </c>
      <c r="HX113" t="e">
        <f>AND(#REF!,"AAAAAD/+/ec=")</f>
        <v>#REF!</v>
      </c>
      <c r="HY113" t="e">
        <f>AND(#REF!,"AAAAAD/+/eg=")</f>
        <v>#REF!</v>
      </c>
      <c r="HZ113" t="e">
        <f>AND(#REF!,"AAAAAD/+/ek=")</f>
        <v>#REF!</v>
      </c>
      <c r="IA113" t="e">
        <f>AND(#REF!,"AAAAAD/+/eo=")</f>
        <v>#REF!</v>
      </c>
      <c r="IB113" t="e">
        <f>AND(#REF!,"AAAAAD/+/es=")</f>
        <v>#REF!</v>
      </c>
      <c r="IC113" t="e">
        <f>AND(#REF!,"AAAAAD/+/ew=")</f>
        <v>#REF!</v>
      </c>
      <c r="ID113" t="e">
        <f>AND(#REF!,"AAAAAD/+/e0=")</f>
        <v>#REF!</v>
      </c>
      <c r="IE113" t="e">
        <f>AND(#REF!,"AAAAAD/+/e4=")</f>
        <v>#REF!</v>
      </c>
      <c r="IF113" t="e">
        <f>AND(#REF!,"AAAAAD/+/e8=")</f>
        <v>#REF!</v>
      </c>
      <c r="IG113" t="e">
        <f>AND(#REF!,"AAAAAD/+/fA=")</f>
        <v>#REF!</v>
      </c>
      <c r="IH113" t="e">
        <f>AND(#REF!,"AAAAAD/+/fE=")</f>
        <v>#REF!</v>
      </c>
      <c r="II113" t="e">
        <f>AND(#REF!,"AAAAAD/+/fI=")</f>
        <v>#REF!</v>
      </c>
      <c r="IJ113" t="e">
        <f>AND(#REF!,"AAAAAD/+/fM=")</f>
        <v>#REF!</v>
      </c>
      <c r="IK113" t="e">
        <f>AND(#REF!,"AAAAAD/+/fQ=")</f>
        <v>#REF!</v>
      </c>
      <c r="IL113" t="e">
        <f>AND(#REF!,"AAAAAD/+/fU=")</f>
        <v>#REF!</v>
      </c>
      <c r="IM113" t="e">
        <f>AND(#REF!,"AAAAAD/+/fY=")</f>
        <v>#REF!</v>
      </c>
      <c r="IN113" t="e">
        <f>AND(#REF!,"AAAAAD/+/fc=")</f>
        <v>#REF!</v>
      </c>
      <c r="IO113" t="e">
        <f>AND(#REF!,"AAAAAD/+/fg=")</f>
        <v>#REF!</v>
      </c>
      <c r="IP113" t="e">
        <f>AND(#REF!,"AAAAAD/+/fk=")</f>
        <v>#REF!</v>
      </c>
      <c r="IQ113" t="e">
        <f>AND(#REF!,"AAAAAD/+/fo=")</f>
        <v>#REF!</v>
      </c>
      <c r="IR113" t="e">
        <f>AND(#REF!,"AAAAAD/+/fs=")</f>
        <v>#REF!</v>
      </c>
      <c r="IS113" t="e">
        <f>AND(#REF!,"AAAAAD/+/fw=")</f>
        <v>#REF!</v>
      </c>
      <c r="IT113" t="e">
        <f>AND(#REF!,"AAAAAD/+/f0=")</f>
        <v>#REF!</v>
      </c>
      <c r="IU113" t="e">
        <f>AND(#REF!,"AAAAAD/+/f4=")</f>
        <v>#REF!</v>
      </c>
      <c r="IV113" t="e">
        <f>AND(#REF!,"AAAAAD/+/f8=")</f>
        <v>#REF!</v>
      </c>
    </row>
    <row r="114" spans="1:256" x14ac:dyDescent="0.25">
      <c r="A114" t="e">
        <f>AND(#REF!,"AAAAAGo3bQA=")</f>
        <v>#REF!</v>
      </c>
      <c r="B114" t="e">
        <f>AND(#REF!,"AAAAAGo3bQE=")</f>
        <v>#REF!</v>
      </c>
      <c r="C114" t="e">
        <f>AND(#REF!,"AAAAAGo3bQI=")</f>
        <v>#REF!</v>
      </c>
      <c r="D114" t="e">
        <f>AND(#REF!,"AAAAAGo3bQM=")</f>
        <v>#REF!</v>
      </c>
      <c r="E114" t="e">
        <f>AND(#REF!,"AAAAAGo3bQQ=")</f>
        <v>#REF!</v>
      </c>
      <c r="F114" t="e">
        <f>AND(#REF!,"AAAAAGo3bQU=")</f>
        <v>#REF!</v>
      </c>
      <c r="G114" t="e">
        <f>AND(#REF!,"AAAAAGo3bQY=")</f>
        <v>#REF!</v>
      </c>
      <c r="H114" t="e">
        <f>AND(#REF!,"AAAAAGo3bQc=")</f>
        <v>#REF!</v>
      </c>
      <c r="I114" t="e">
        <f>AND(#REF!,"AAAAAGo3bQg=")</f>
        <v>#REF!</v>
      </c>
      <c r="J114" t="e">
        <f>AND(#REF!,"AAAAAGo3bQk=")</f>
        <v>#REF!</v>
      </c>
      <c r="K114" t="e">
        <f>AND(#REF!,"AAAAAGo3bQo=")</f>
        <v>#REF!</v>
      </c>
      <c r="L114" t="e">
        <f>AND(#REF!,"AAAAAGo3bQs=")</f>
        <v>#REF!</v>
      </c>
      <c r="M114" t="e">
        <f>AND(#REF!,"AAAAAGo3bQw=")</f>
        <v>#REF!</v>
      </c>
      <c r="N114" t="e">
        <f>AND(#REF!,"AAAAAGo3bQ0=")</f>
        <v>#REF!</v>
      </c>
      <c r="O114" t="e">
        <f>AND(#REF!,"AAAAAGo3bQ4=")</f>
        <v>#REF!</v>
      </c>
      <c r="P114" t="e">
        <f>AND(#REF!,"AAAAAGo3bQ8=")</f>
        <v>#REF!</v>
      </c>
      <c r="Q114" t="e">
        <f>AND(#REF!,"AAAAAGo3bRA=")</f>
        <v>#REF!</v>
      </c>
      <c r="R114" t="e">
        <f>AND(#REF!,"AAAAAGo3bRE=")</f>
        <v>#REF!</v>
      </c>
      <c r="S114" t="e">
        <f>AND(#REF!,"AAAAAGo3bRI=")</f>
        <v>#REF!</v>
      </c>
      <c r="T114" t="e">
        <f>AND(#REF!,"AAAAAGo3bRM=")</f>
        <v>#REF!</v>
      </c>
      <c r="U114" t="e">
        <f>AND(#REF!,"AAAAAGo3bRQ=")</f>
        <v>#REF!</v>
      </c>
      <c r="V114" t="e">
        <f>AND(#REF!,"AAAAAGo3bRU=")</f>
        <v>#REF!</v>
      </c>
      <c r="W114" t="e">
        <f>AND(#REF!,"AAAAAGo3bRY=")</f>
        <v>#REF!</v>
      </c>
      <c r="X114" t="e">
        <f>AND(#REF!,"AAAAAGo3bRc=")</f>
        <v>#REF!</v>
      </c>
      <c r="Y114" t="e">
        <f>AND(#REF!,"AAAAAGo3bRg=")</f>
        <v>#REF!</v>
      </c>
      <c r="Z114" t="e">
        <f>AND(#REF!,"AAAAAGo3bRk=")</f>
        <v>#REF!</v>
      </c>
      <c r="AA114" t="e">
        <f>AND(#REF!,"AAAAAGo3bRo=")</f>
        <v>#REF!</v>
      </c>
      <c r="AB114" t="e">
        <f>AND(#REF!,"AAAAAGo3bRs=")</f>
        <v>#REF!</v>
      </c>
      <c r="AC114" t="e">
        <f>AND(#REF!,"AAAAAGo3bRw=")</f>
        <v>#REF!</v>
      </c>
      <c r="AD114" t="e">
        <f>AND(#REF!,"AAAAAGo3bR0=")</f>
        <v>#REF!</v>
      </c>
      <c r="AE114" t="e">
        <f>AND(#REF!,"AAAAAGo3bR4=")</f>
        <v>#REF!</v>
      </c>
      <c r="AF114" t="e">
        <f>AND(#REF!,"AAAAAGo3bR8=")</f>
        <v>#REF!</v>
      </c>
      <c r="AG114" t="e">
        <f>AND(#REF!,"AAAAAGo3bSA=")</f>
        <v>#REF!</v>
      </c>
      <c r="AH114" t="e">
        <f>AND(#REF!,"AAAAAGo3bSE=")</f>
        <v>#REF!</v>
      </c>
      <c r="AI114" t="e">
        <f>AND(#REF!,"AAAAAGo3bSI=")</f>
        <v>#REF!</v>
      </c>
      <c r="AJ114" t="e">
        <f>AND(#REF!,"AAAAAGo3bSM=")</f>
        <v>#REF!</v>
      </c>
      <c r="AK114" t="e">
        <f>AND(#REF!,"AAAAAGo3bSQ=")</f>
        <v>#REF!</v>
      </c>
      <c r="AL114" t="e">
        <f>AND(#REF!,"AAAAAGo3bSU=")</f>
        <v>#REF!</v>
      </c>
      <c r="AM114" t="e">
        <f>AND(#REF!,"AAAAAGo3bSY=")</f>
        <v>#REF!</v>
      </c>
      <c r="AN114" t="e">
        <f>AND(#REF!,"AAAAAGo3bSc=")</f>
        <v>#REF!</v>
      </c>
      <c r="AO114" t="e">
        <f>AND(#REF!,"AAAAAGo3bSg=")</f>
        <v>#REF!</v>
      </c>
      <c r="AP114" t="e">
        <f>AND(#REF!,"AAAAAGo3bSk=")</f>
        <v>#REF!</v>
      </c>
      <c r="AQ114" t="e">
        <f>AND(#REF!,"AAAAAGo3bSo=")</f>
        <v>#REF!</v>
      </c>
      <c r="AR114" t="e">
        <f>AND(#REF!,"AAAAAGo3bSs=")</f>
        <v>#REF!</v>
      </c>
      <c r="AS114" t="e">
        <f>AND(#REF!,"AAAAAGo3bSw=")</f>
        <v>#REF!</v>
      </c>
      <c r="AT114" t="e">
        <f>AND(#REF!,"AAAAAGo3bS0=")</f>
        <v>#REF!</v>
      </c>
      <c r="AU114" t="e">
        <f>AND(#REF!,"AAAAAGo3bS4=")</f>
        <v>#REF!</v>
      </c>
      <c r="AV114" t="e">
        <f>AND(#REF!,"AAAAAGo3bS8=")</f>
        <v>#REF!</v>
      </c>
      <c r="AW114" t="e">
        <f>AND(#REF!,"AAAAAGo3bTA=")</f>
        <v>#REF!</v>
      </c>
      <c r="AX114" t="e">
        <f>AND(#REF!,"AAAAAGo3bTE=")</f>
        <v>#REF!</v>
      </c>
      <c r="AY114" t="e">
        <f>AND(#REF!,"AAAAAGo3bTI=")</f>
        <v>#REF!</v>
      </c>
      <c r="AZ114" t="e">
        <f>AND(#REF!,"AAAAAGo3bTM=")</f>
        <v>#REF!</v>
      </c>
      <c r="BA114" t="e">
        <f>AND(#REF!,"AAAAAGo3bTQ=")</f>
        <v>#REF!</v>
      </c>
      <c r="BB114" t="e">
        <f>AND(#REF!,"AAAAAGo3bTU=")</f>
        <v>#REF!</v>
      </c>
      <c r="BC114" t="e">
        <f>AND(#REF!,"AAAAAGo3bTY=")</f>
        <v>#REF!</v>
      </c>
      <c r="BD114" t="e">
        <f>AND(#REF!,"AAAAAGo3bTc=")</f>
        <v>#REF!</v>
      </c>
      <c r="BE114" t="e">
        <f>AND(#REF!,"AAAAAGo3bTg=")</f>
        <v>#REF!</v>
      </c>
      <c r="BF114" t="e">
        <f>AND(#REF!,"AAAAAGo3bTk=")</f>
        <v>#REF!</v>
      </c>
      <c r="BG114" t="e">
        <f>AND(#REF!,"AAAAAGo3bTo=")</f>
        <v>#REF!</v>
      </c>
      <c r="BH114" t="e">
        <f>AND(#REF!,"AAAAAGo3bTs=")</f>
        <v>#REF!</v>
      </c>
      <c r="BI114" t="e">
        <f>AND(#REF!,"AAAAAGo3bTw=")</f>
        <v>#REF!</v>
      </c>
      <c r="BJ114" t="e">
        <f>AND(#REF!,"AAAAAGo3bT0=")</f>
        <v>#REF!</v>
      </c>
      <c r="BK114" t="e">
        <f>AND(#REF!,"AAAAAGo3bT4=")</f>
        <v>#REF!</v>
      </c>
      <c r="BL114" t="e">
        <f>AND(#REF!,"AAAAAGo3bT8=")</f>
        <v>#REF!</v>
      </c>
      <c r="BM114" t="e">
        <f>AND(#REF!,"AAAAAGo3bUA=")</f>
        <v>#REF!</v>
      </c>
      <c r="BN114" t="e">
        <f>AND(#REF!,"AAAAAGo3bUE=")</f>
        <v>#REF!</v>
      </c>
      <c r="BO114" t="e">
        <f>AND(#REF!,"AAAAAGo3bUI=")</f>
        <v>#REF!</v>
      </c>
      <c r="BP114" t="e">
        <f>AND(#REF!,"AAAAAGo3bUM=")</f>
        <v>#REF!</v>
      </c>
      <c r="BQ114" t="e">
        <f>AND(#REF!,"AAAAAGo3bUQ=")</f>
        <v>#REF!</v>
      </c>
      <c r="BR114" t="e">
        <f>AND(#REF!,"AAAAAGo3bUU=")</f>
        <v>#REF!</v>
      </c>
      <c r="BS114" t="e">
        <f>AND(#REF!,"AAAAAGo3bUY=")</f>
        <v>#REF!</v>
      </c>
      <c r="BT114" t="e">
        <f>AND(#REF!,"AAAAAGo3bUc=")</f>
        <v>#REF!</v>
      </c>
      <c r="BU114" t="e">
        <f>AND(#REF!,"AAAAAGo3bUg=")</f>
        <v>#REF!</v>
      </c>
      <c r="BV114" t="e">
        <f>AND(#REF!,"AAAAAGo3bUk=")</f>
        <v>#REF!</v>
      </c>
      <c r="BW114" t="e">
        <f>AND(#REF!,"AAAAAGo3bUo=")</f>
        <v>#REF!</v>
      </c>
      <c r="BX114" t="e">
        <f>AND(#REF!,"AAAAAGo3bUs=")</f>
        <v>#REF!</v>
      </c>
      <c r="BY114" t="e">
        <f>AND(#REF!,"AAAAAGo3bUw=")</f>
        <v>#REF!</v>
      </c>
      <c r="BZ114" t="e">
        <f>AND(#REF!,"AAAAAGo3bU0=")</f>
        <v>#REF!</v>
      </c>
      <c r="CA114" t="e">
        <f>AND(#REF!,"AAAAAGo3bU4=")</f>
        <v>#REF!</v>
      </c>
      <c r="CB114" t="e">
        <f>AND(#REF!,"AAAAAGo3bU8=")</f>
        <v>#REF!</v>
      </c>
      <c r="CC114" t="e">
        <f>AND(#REF!,"AAAAAGo3bVA=")</f>
        <v>#REF!</v>
      </c>
      <c r="CD114" t="e">
        <f>AND(#REF!,"AAAAAGo3bVE=")</f>
        <v>#REF!</v>
      </c>
      <c r="CE114" t="e">
        <f>AND(#REF!,"AAAAAGo3bVI=")</f>
        <v>#REF!</v>
      </c>
      <c r="CF114" t="e">
        <f>AND(#REF!,"AAAAAGo3bVM=")</f>
        <v>#REF!</v>
      </c>
      <c r="CG114" t="e">
        <f>AND(#REF!,"AAAAAGo3bVQ=")</f>
        <v>#REF!</v>
      </c>
      <c r="CH114" t="e">
        <f>AND(#REF!,"AAAAAGo3bVU=")</f>
        <v>#REF!</v>
      </c>
      <c r="CI114" t="e">
        <f>AND(#REF!,"AAAAAGo3bVY=")</f>
        <v>#REF!</v>
      </c>
      <c r="CJ114" t="e">
        <f>AND(#REF!,"AAAAAGo3bVc=")</f>
        <v>#REF!</v>
      </c>
      <c r="CK114" t="e">
        <f>AND(#REF!,"AAAAAGo3bVg=")</f>
        <v>#REF!</v>
      </c>
      <c r="CL114" t="e">
        <f>AND(#REF!,"AAAAAGo3bVk=")</f>
        <v>#REF!</v>
      </c>
      <c r="CM114" t="e">
        <f>AND(#REF!,"AAAAAGo3bVo=")</f>
        <v>#REF!</v>
      </c>
      <c r="CN114" t="e">
        <f>AND(#REF!,"AAAAAGo3bVs=")</f>
        <v>#REF!</v>
      </c>
      <c r="CO114" t="e">
        <f>AND(#REF!,"AAAAAGo3bVw=")</f>
        <v>#REF!</v>
      </c>
      <c r="CP114" t="e">
        <f>AND(#REF!,"AAAAAGo3bV0=")</f>
        <v>#REF!</v>
      </c>
      <c r="CQ114" t="e">
        <f>AND(#REF!,"AAAAAGo3bV4=")</f>
        <v>#REF!</v>
      </c>
      <c r="CR114" t="e">
        <f>AND(#REF!,"AAAAAGo3bV8=")</f>
        <v>#REF!</v>
      </c>
      <c r="CS114" t="e">
        <f>AND(#REF!,"AAAAAGo3bWA=")</f>
        <v>#REF!</v>
      </c>
      <c r="CT114" t="e">
        <f>AND(#REF!,"AAAAAGo3bWE=")</f>
        <v>#REF!</v>
      </c>
      <c r="CU114" t="e">
        <f>AND(#REF!,"AAAAAGo3bWI=")</f>
        <v>#REF!</v>
      </c>
      <c r="CV114" t="e">
        <f>AND(#REF!,"AAAAAGo3bWM=")</f>
        <v>#REF!</v>
      </c>
      <c r="CW114" t="e">
        <f>AND(#REF!,"AAAAAGo3bWQ=")</f>
        <v>#REF!</v>
      </c>
      <c r="CX114" t="e">
        <f>AND(#REF!,"AAAAAGo3bWU=")</f>
        <v>#REF!</v>
      </c>
      <c r="CY114" t="e">
        <f>AND(#REF!,"AAAAAGo3bWY=")</f>
        <v>#REF!</v>
      </c>
      <c r="CZ114" t="e">
        <f>AND(#REF!,"AAAAAGo3bWc=")</f>
        <v>#REF!</v>
      </c>
      <c r="DA114" t="e">
        <f>AND(#REF!,"AAAAAGo3bWg=")</f>
        <v>#REF!</v>
      </c>
      <c r="DB114" t="e">
        <f>AND(#REF!,"AAAAAGo3bWk=")</f>
        <v>#REF!</v>
      </c>
      <c r="DC114" t="e">
        <f>AND(#REF!,"AAAAAGo3bWo=")</f>
        <v>#REF!</v>
      </c>
      <c r="DD114" t="e">
        <f>AND(#REF!,"AAAAAGo3bWs=")</f>
        <v>#REF!</v>
      </c>
      <c r="DE114" t="e">
        <f>AND(#REF!,"AAAAAGo3bWw=")</f>
        <v>#REF!</v>
      </c>
      <c r="DF114" t="e">
        <f>AND(#REF!,"AAAAAGo3bW0=")</f>
        <v>#REF!</v>
      </c>
      <c r="DG114" t="e">
        <f>AND(#REF!,"AAAAAGo3bW4=")</f>
        <v>#REF!</v>
      </c>
      <c r="DH114" t="e">
        <f>AND(#REF!,"AAAAAGo3bW8=")</f>
        <v>#REF!</v>
      </c>
      <c r="DI114" t="e">
        <f>AND(#REF!,"AAAAAGo3bXA=")</f>
        <v>#REF!</v>
      </c>
      <c r="DJ114" t="e">
        <f>AND(#REF!,"AAAAAGo3bXE=")</f>
        <v>#REF!</v>
      </c>
      <c r="DK114" t="e">
        <f>AND(#REF!,"AAAAAGo3bXI=")</f>
        <v>#REF!</v>
      </c>
      <c r="DL114" t="e">
        <f>AND(#REF!,"AAAAAGo3bXM=")</f>
        <v>#REF!</v>
      </c>
      <c r="DM114" t="e">
        <f>AND(#REF!,"AAAAAGo3bXQ=")</f>
        <v>#REF!</v>
      </c>
      <c r="DN114" t="e">
        <f>AND(#REF!,"AAAAAGo3bXU=")</f>
        <v>#REF!</v>
      </c>
      <c r="DO114" t="e">
        <f>AND(#REF!,"AAAAAGo3bXY=")</f>
        <v>#REF!</v>
      </c>
      <c r="DP114" t="e">
        <f>AND(#REF!,"AAAAAGo3bXc=")</f>
        <v>#REF!</v>
      </c>
      <c r="DQ114" t="e">
        <f>AND(#REF!,"AAAAAGo3bXg=")</f>
        <v>#REF!</v>
      </c>
      <c r="DR114" t="e">
        <f>AND(#REF!,"AAAAAGo3bXk=")</f>
        <v>#REF!</v>
      </c>
      <c r="DS114" t="e">
        <f>AND(#REF!,"AAAAAGo3bXo=")</f>
        <v>#REF!</v>
      </c>
      <c r="DT114" t="e">
        <f>AND(#REF!,"AAAAAGo3bXs=")</f>
        <v>#REF!</v>
      </c>
      <c r="DU114" t="e">
        <f>AND(#REF!,"AAAAAGo3bXw=")</f>
        <v>#REF!</v>
      </c>
      <c r="DV114" t="e">
        <f>AND(#REF!,"AAAAAGo3bX0=")</f>
        <v>#REF!</v>
      </c>
      <c r="DW114" t="e">
        <f>AND(#REF!,"AAAAAGo3bX4=")</f>
        <v>#REF!</v>
      </c>
      <c r="DX114" t="e">
        <f>AND(#REF!,"AAAAAGo3bX8=")</f>
        <v>#REF!</v>
      </c>
      <c r="DY114" t="e">
        <f>AND(#REF!,"AAAAAGo3bYA=")</f>
        <v>#REF!</v>
      </c>
      <c r="DZ114" t="e">
        <f>AND(#REF!,"AAAAAGo3bYE=")</f>
        <v>#REF!</v>
      </c>
      <c r="EA114" t="e">
        <f>AND(#REF!,"AAAAAGo3bYI=")</f>
        <v>#REF!</v>
      </c>
      <c r="EB114" t="e">
        <f>AND(#REF!,"AAAAAGo3bYM=")</f>
        <v>#REF!</v>
      </c>
      <c r="EC114" t="e">
        <f>AND(#REF!,"AAAAAGo3bYQ=")</f>
        <v>#REF!</v>
      </c>
      <c r="ED114" t="e">
        <f>AND(#REF!,"AAAAAGo3bYU=")</f>
        <v>#REF!</v>
      </c>
      <c r="EE114" t="e">
        <f>AND(#REF!,"AAAAAGo3bYY=")</f>
        <v>#REF!</v>
      </c>
      <c r="EF114" t="e">
        <f>AND(#REF!,"AAAAAGo3bYc=")</f>
        <v>#REF!</v>
      </c>
      <c r="EG114" t="e">
        <f>AND(#REF!,"AAAAAGo3bYg=")</f>
        <v>#REF!</v>
      </c>
      <c r="EH114" t="e">
        <f>AND(#REF!,"AAAAAGo3bYk=")</f>
        <v>#REF!</v>
      </c>
      <c r="EI114" t="e">
        <f>AND(#REF!,"AAAAAGo3bYo=")</f>
        <v>#REF!</v>
      </c>
      <c r="EJ114" t="e">
        <f>AND(#REF!,"AAAAAGo3bYs=")</f>
        <v>#REF!</v>
      </c>
      <c r="EK114" t="e">
        <f>AND(#REF!,"AAAAAGo3bYw=")</f>
        <v>#REF!</v>
      </c>
      <c r="EL114" t="e">
        <f>AND(#REF!,"AAAAAGo3bY0=")</f>
        <v>#REF!</v>
      </c>
      <c r="EM114" t="e">
        <f>AND(#REF!,"AAAAAGo3bY4=")</f>
        <v>#REF!</v>
      </c>
      <c r="EN114" t="e">
        <f>IF(#REF!,"AAAAAGo3bY8=",0)</f>
        <v>#REF!</v>
      </c>
      <c r="EO114" t="e">
        <f>AND(#REF!,"AAAAAGo3bZA=")</f>
        <v>#REF!</v>
      </c>
      <c r="EP114" t="e">
        <f>AND(#REF!,"AAAAAGo3bZE=")</f>
        <v>#REF!</v>
      </c>
      <c r="EQ114" t="e">
        <f>AND(#REF!,"AAAAAGo3bZI=")</f>
        <v>#REF!</v>
      </c>
      <c r="ER114" t="e">
        <f>AND(#REF!,"AAAAAGo3bZM=")</f>
        <v>#REF!</v>
      </c>
      <c r="ES114" t="e">
        <f>AND(#REF!,"AAAAAGo3bZQ=")</f>
        <v>#REF!</v>
      </c>
      <c r="ET114" t="e">
        <f>AND(#REF!,"AAAAAGo3bZU=")</f>
        <v>#REF!</v>
      </c>
      <c r="EU114" t="e">
        <f>AND(#REF!,"AAAAAGo3bZY=")</f>
        <v>#REF!</v>
      </c>
      <c r="EV114" t="e">
        <f>AND(#REF!,"AAAAAGo3bZc=")</f>
        <v>#REF!</v>
      </c>
      <c r="EW114" t="e">
        <f>AND(#REF!,"AAAAAGo3bZg=")</f>
        <v>#REF!</v>
      </c>
      <c r="EX114" t="e">
        <f>AND(#REF!,"AAAAAGo3bZk=")</f>
        <v>#REF!</v>
      </c>
      <c r="EY114" t="e">
        <f>AND(#REF!,"AAAAAGo3bZo=")</f>
        <v>#REF!</v>
      </c>
      <c r="EZ114" t="e">
        <f>AND(#REF!,"AAAAAGo3bZs=")</f>
        <v>#REF!</v>
      </c>
      <c r="FA114" t="e">
        <f>AND(#REF!,"AAAAAGo3bZw=")</f>
        <v>#REF!</v>
      </c>
      <c r="FB114" t="e">
        <f>AND(#REF!,"AAAAAGo3bZ0=")</f>
        <v>#REF!</v>
      </c>
      <c r="FC114" t="e">
        <f>AND(#REF!,"AAAAAGo3bZ4=")</f>
        <v>#REF!</v>
      </c>
      <c r="FD114" t="e">
        <f>AND(#REF!,"AAAAAGo3bZ8=")</f>
        <v>#REF!</v>
      </c>
      <c r="FE114" t="e">
        <f>AND(#REF!,"AAAAAGo3baA=")</f>
        <v>#REF!</v>
      </c>
      <c r="FF114" t="e">
        <f>AND(#REF!,"AAAAAGo3baE=")</f>
        <v>#REF!</v>
      </c>
      <c r="FG114" t="e">
        <f>AND(#REF!,"AAAAAGo3baI=")</f>
        <v>#REF!</v>
      </c>
      <c r="FH114" t="e">
        <f>AND(#REF!,"AAAAAGo3baM=")</f>
        <v>#REF!</v>
      </c>
      <c r="FI114" t="e">
        <f>AND(#REF!,"AAAAAGo3baQ=")</f>
        <v>#REF!</v>
      </c>
      <c r="FJ114" t="e">
        <f>AND(#REF!,"AAAAAGo3baU=")</f>
        <v>#REF!</v>
      </c>
      <c r="FK114" t="e">
        <f>AND(#REF!,"AAAAAGo3baY=")</f>
        <v>#REF!</v>
      </c>
      <c r="FL114" t="e">
        <f>AND(#REF!,"AAAAAGo3bac=")</f>
        <v>#REF!</v>
      </c>
      <c r="FM114" t="e">
        <f>AND(#REF!,"AAAAAGo3bag=")</f>
        <v>#REF!</v>
      </c>
      <c r="FN114" t="e">
        <f>AND(#REF!,"AAAAAGo3bak=")</f>
        <v>#REF!</v>
      </c>
      <c r="FO114" t="e">
        <f>AND(#REF!,"AAAAAGo3bao=")</f>
        <v>#REF!</v>
      </c>
      <c r="FP114" t="e">
        <f>AND(#REF!,"AAAAAGo3bas=")</f>
        <v>#REF!</v>
      </c>
      <c r="FQ114" t="e">
        <f>AND(#REF!,"AAAAAGo3baw=")</f>
        <v>#REF!</v>
      </c>
      <c r="FR114" t="e">
        <f>AND(#REF!,"AAAAAGo3ba0=")</f>
        <v>#REF!</v>
      </c>
      <c r="FS114" t="e">
        <f>AND(#REF!,"AAAAAGo3ba4=")</f>
        <v>#REF!</v>
      </c>
      <c r="FT114" t="e">
        <f>AND(#REF!,"AAAAAGo3ba8=")</f>
        <v>#REF!</v>
      </c>
      <c r="FU114" t="e">
        <f>AND(#REF!,"AAAAAGo3bbA=")</f>
        <v>#REF!</v>
      </c>
      <c r="FV114" t="e">
        <f>AND(#REF!,"AAAAAGo3bbE=")</f>
        <v>#REF!</v>
      </c>
      <c r="FW114" t="e">
        <f>AND(#REF!,"AAAAAGo3bbI=")</f>
        <v>#REF!</v>
      </c>
      <c r="FX114" t="e">
        <f>AND(#REF!,"AAAAAGo3bbM=")</f>
        <v>#REF!</v>
      </c>
      <c r="FY114" t="e">
        <f>AND(#REF!,"AAAAAGo3bbQ=")</f>
        <v>#REF!</v>
      </c>
      <c r="FZ114" t="e">
        <f>AND(#REF!,"AAAAAGo3bbU=")</f>
        <v>#REF!</v>
      </c>
      <c r="GA114" t="e">
        <f>AND(#REF!,"AAAAAGo3bbY=")</f>
        <v>#REF!</v>
      </c>
      <c r="GB114" t="e">
        <f>AND(#REF!,"AAAAAGo3bbc=")</f>
        <v>#REF!</v>
      </c>
      <c r="GC114" t="e">
        <f>AND(#REF!,"AAAAAGo3bbg=")</f>
        <v>#REF!</v>
      </c>
      <c r="GD114" t="e">
        <f>AND(#REF!,"AAAAAGo3bbk=")</f>
        <v>#REF!</v>
      </c>
      <c r="GE114" t="e">
        <f>AND(#REF!,"AAAAAGo3bbo=")</f>
        <v>#REF!</v>
      </c>
      <c r="GF114" t="e">
        <f>AND(#REF!,"AAAAAGo3bbs=")</f>
        <v>#REF!</v>
      </c>
      <c r="GG114" t="e">
        <f>AND(#REF!,"AAAAAGo3bbw=")</f>
        <v>#REF!</v>
      </c>
      <c r="GH114" t="e">
        <f>AND(#REF!,"AAAAAGo3bb0=")</f>
        <v>#REF!</v>
      </c>
      <c r="GI114" t="e">
        <f>AND(#REF!,"AAAAAGo3bb4=")</f>
        <v>#REF!</v>
      </c>
      <c r="GJ114" t="e">
        <f>AND(#REF!,"AAAAAGo3bb8=")</f>
        <v>#REF!</v>
      </c>
      <c r="GK114" t="e">
        <f>AND(#REF!,"AAAAAGo3bcA=")</f>
        <v>#REF!</v>
      </c>
      <c r="GL114" t="e">
        <f>AND(#REF!,"AAAAAGo3bcE=")</f>
        <v>#REF!</v>
      </c>
      <c r="GM114" t="e">
        <f>AND(#REF!,"AAAAAGo3bcI=")</f>
        <v>#REF!</v>
      </c>
      <c r="GN114" t="e">
        <f>AND(#REF!,"AAAAAGo3bcM=")</f>
        <v>#REF!</v>
      </c>
      <c r="GO114" t="e">
        <f>AND(#REF!,"AAAAAGo3bcQ=")</f>
        <v>#REF!</v>
      </c>
      <c r="GP114" t="e">
        <f>AND(#REF!,"AAAAAGo3bcU=")</f>
        <v>#REF!</v>
      </c>
      <c r="GQ114" t="e">
        <f>AND(#REF!,"AAAAAGo3bcY=")</f>
        <v>#REF!</v>
      </c>
      <c r="GR114" t="e">
        <f>AND(#REF!,"AAAAAGo3bcc=")</f>
        <v>#REF!</v>
      </c>
      <c r="GS114" t="e">
        <f>AND(#REF!,"AAAAAGo3bcg=")</f>
        <v>#REF!</v>
      </c>
      <c r="GT114" t="e">
        <f>AND(#REF!,"AAAAAGo3bck=")</f>
        <v>#REF!</v>
      </c>
      <c r="GU114" t="e">
        <f>AND(#REF!,"AAAAAGo3bco=")</f>
        <v>#REF!</v>
      </c>
      <c r="GV114" t="e">
        <f>AND(#REF!,"AAAAAGo3bcs=")</f>
        <v>#REF!</v>
      </c>
      <c r="GW114" t="e">
        <f>AND(#REF!,"AAAAAGo3bcw=")</f>
        <v>#REF!</v>
      </c>
      <c r="GX114" t="e">
        <f>AND(#REF!,"AAAAAGo3bc0=")</f>
        <v>#REF!</v>
      </c>
      <c r="GY114" t="e">
        <f>AND(#REF!,"AAAAAGo3bc4=")</f>
        <v>#REF!</v>
      </c>
      <c r="GZ114" t="e">
        <f>AND(#REF!,"AAAAAGo3bc8=")</f>
        <v>#REF!</v>
      </c>
      <c r="HA114" t="e">
        <f>AND(#REF!,"AAAAAGo3bdA=")</f>
        <v>#REF!</v>
      </c>
      <c r="HB114" t="e">
        <f>AND(#REF!,"AAAAAGo3bdE=")</f>
        <v>#REF!</v>
      </c>
      <c r="HC114" t="e">
        <f>AND(#REF!,"AAAAAGo3bdI=")</f>
        <v>#REF!</v>
      </c>
      <c r="HD114" t="e">
        <f>AND(#REF!,"AAAAAGo3bdM=")</f>
        <v>#REF!</v>
      </c>
      <c r="HE114" t="e">
        <f>AND(#REF!,"AAAAAGo3bdQ=")</f>
        <v>#REF!</v>
      </c>
      <c r="HF114" t="e">
        <f>AND(#REF!,"AAAAAGo3bdU=")</f>
        <v>#REF!</v>
      </c>
      <c r="HG114" t="e">
        <f>AND(#REF!,"AAAAAGo3bdY=")</f>
        <v>#REF!</v>
      </c>
      <c r="HH114" t="e">
        <f>AND(#REF!,"AAAAAGo3bdc=")</f>
        <v>#REF!</v>
      </c>
      <c r="HI114" t="e">
        <f>AND(#REF!,"AAAAAGo3bdg=")</f>
        <v>#REF!</v>
      </c>
      <c r="HJ114" t="e">
        <f>AND(#REF!,"AAAAAGo3bdk=")</f>
        <v>#REF!</v>
      </c>
      <c r="HK114" t="e">
        <f>AND(#REF!,"AAAAAGo3bdo=")</f>
        <v>#REF!</v>
      </c>
      <c r="HL114" t="e">
        <f>AND(#REF!,"AAAAAGo3bds=")</f>
        <v>#REF!</v>
      </c>
      <c r="HM114" t="e">
        <f>AND(#REF!,"AAAAAGo3bdw=")</f>
        <v>#REF!</v>
      </c>
      <c r="HN114" t="e">
        <f>AND(#REF!,"AAAAAGo3bd0=")</f>
        <v>#REF!</v>
      </c>
      <c r="HO114" t="e">
        <f>AND(#REF!,"AAAAAGo3bd4=")</f>
        <v>#REF!</v>
      </c>
      <c r="HP114" t="e">
        <f>AND(#REF!,"AAAAAGo3bd8=")</f>
        <v>#REF!</v>
      </c>
      <c r="HQ114" t="e">
        <f>AND(#REF!,"AAAAAGo3beA=")</f>
        <v>#REF!</v>
      </c>
      <c r="HR114" t="e">
        <f>AND(#REF!,"AAAAAGo3beE=")</f>
        <v>#REF!</v>
      </c>
      <c r="HS114" t="e">
        <f>AND(#REF!,"AAAAAGo3beI=")</f>
        <v>#REF!</v>
      </c>
      <c r="HT114" t="e">
        <f>AND(#REF!,"AAAAAGo3beM=")</f>
        <v>#REF!</v>
      </c>
      <c r="HU114" t="e">
        <f>AND(#REF!,"AAAAAGo3beQ=")</f>
        <v>#REF!</v>
      </c>
      <c r="HV114" t="e">
        <f>AND(#REF!,"AAAAAGo3beU=")</f>
        <v>#REF!</v>
      </c>
      <c r="HW114" t="e">
        <f>AND(#REF!,"AAAAAGo3beY=")</f>
        <v>#REF!</v>
      </c>
      <c r="HX114" t="e">
        <f>AND(#REF!,"AAAAAGo3bec=")</f>
        <v>#REF!</v>
      </c>
      <c r="HY114" t="e">
        <f>AND(#REF!,"AAAAAGo3beg=")</f>
        <v>#REF!</v>
      </c>
      <c r="HZ114" t="e">
        <f>AND(#REF!,"AAAAAGo3bek=")</f>
        <v>#REF!</v>
      </c>
      <c r="IA114" t="e">
        <f>AND(#REF!,"AAAAAGo3beo=")</f>
        <v>#REF!</v>
      </c>
      <c r="IB114" t="e">
        <f>AND(#REF!,"AAAAAGo3bes=")</f>
        <v>#REF!</v>
      </c>
      <c r="IC114" t="e">
        <f>AND(#REF!,"AAAAAGo3bew=")</f>
        <v>#REF!</v>
      </c>
      <c r="ID114" t="e">
        <f>AND(#REF!,"AAAAAGo3be0=")</f>
        <v>#REF!</v>
      </c>
      <c r="IE114" t="e">
        <f>AND(#REF!,"AAAAAGo3be4=")</f>
        <v>#REF!</v>
      </c>
      <c r="IF114" t="e">
        <f>AND(#REF!,"AAAAAGo3be8=")</f>
        <v>#REF!</v>
      </c>
      <c r="IG114" t="e">
        <f>AND(#REF!,"AAAAAGo3bfA=")</f>
        <v>#REF!</v>
      </c>
      <c r="IH114" t="e">
        <f>AND(#REF!,"AAAAAGo3bfE=")</f>
        <v>#REF!</v>
      </c>
      <c r="II114" t="e">
        <f>AND(#REF!,"AAAAAGo3bfI=")</f>
        <v>#REF!</v>
      </c>
      <c r="IJ114" t="e">
        <f>AND(#REF!,"AAAAAGo3bfM=")</f>
        <v>#REF!</v>
      </c>
      <c r="IK114" t="e">
        <f>AND(#REF!,"AAAAAGo3bfQ=")</f>
        <v>#REF!</v>
      </c>
      <c r="IL114" t="e">
        <f>AND(#REF!,"AAAAAGo3bfU=")</f>
        <v>#REF!</v>
      </c>
      <c r="IM114" t="e">
        <f>AND(#REF!,"AAAAAGo3bfY=")</f>
        <v>#REF!</v>
      </c>
      <c r="IN114" t="e">
        <f>AND(#REF!,"AAAAAGo3bfc=")</f>
        <v>#REF!</v>
      </c>
      <c r="IO114" t="e">
        <f>AND(#REF!,"AAAAAGo3bfg=")</f>
        <v>#REF!</v>
      </c>
      <c r="IP114" t="e">
        <f>AND(#REF!,"AAAAAGo3bfk=")</f>
        <v>#REF!</v>
      </c>
      <c r="IQ114" t="e">
        <f>AND(#REF!,"AAAAAGo3bfo=")</f>
        <v>#REF!</v>
      </c>
      <c r="IR114" t="e">
        <f>AND(#REF!,"AAAAAGo3bfs=")</f>
        <v>#REF!</v>
      </c>
      <c r="IS114" t="e">
        <f>AND(#REF!,"AAAAAGo3bfw=")</f>
        <v>#REF!</v>
      </c>
      <c r="IT114" t="e">
        <f>AND(#REF!,"AAAAAGo3bf0=")</f>
        <v>#REF!</v>
      </c>
      <c r="IU114" t="e">
        <f>AND(#REF!,"AAAAAGo3bf4=")</f>
        <v>#REF!</v>
      </c>
      <c r="IV114" t="e">
        <f>AND(#REF!,"AAAAAGo3bf8=")</f>
        <v>#REF!</v>
      </c>
    </row>
    <row r="115" spans="1:256" x14ac:dyDescent="0.25">
      <c r="A115" t="e">
        <f>AND(#REF!,"AAAAAH+r/wA=")</f>
        <v>#REF!</v>
      </c>
      <c r="B115" t="e">
        <f>AND(#REF!,"AAAAAH+r/wE=")</f>
        <v>#REF!</v>
      </c>
      <c r="C115" t="e">
        <f>AND(#REF!,"AAAAAH+r/wI=")</f>
        <v>#REF!</v>
      </c>
      <c r="D115" t="e">
        <f>AND(#REF!,"AAAAAH+r/wM=")</f>
        <v>#REF!</v>
      </c>
      <c r="E115" t="e">
        <f>AND(#REF!,"AAAAAH+r/wQ=")</f>
        <v>#REF!</v>
      </c>
      <c r="F115" t="e">
        <f>AND(#REF!,"AAAAAH+r/wU=")</f>
        <v>#REF!</v>
      </c>
      <c r="G115" t="e">
        <f>AND(#REF!,"AAAAAH+r/wY=")</f>
        <v>#REF!</v>
      </c>
      <c r="H115" t="e">
        <f>AND(#REF!,"AAAAAH+r/wc=")</f>
        <v>#REF!</v>
      </c>
      <c r="I115" t="e">
        <f>AND(#REF!,"AAAAAH+r/wg=")</f>
        <v>#REF!</v>
      </c>
      <c r="J115" t="e">
        <f>AND(#REF!,"AAAAAH+r/wk=")</f>
        <v>#REF!</v>
      </c>
      <c r="K115" t="e">
        <f>AND(#REF!,"AAAAAH+r/wo=")</f>
        <v>#REF!</v>
      </c>
      <c r="L115" t="e">
        <f>AND(#REF!,"AAAAAH+r/ws=")</f>
        <v>#REF!</v>
      </c>
      <c r="M115" t="e">
        <f>AND(#REF!,"AAAAAH+r/ww=")</f>
        <v>#REF!</v>
      </c>
      <c r="N115" t="e">
        <f>AND(#REF!,"AAAAAH+r/w0=")</f>
        <v>#REF!</v>
      </c>
      <c r="O115" t="e">
        <f>AND(#REF!,"AAAAAH+r/w4=")</f>
        <v>#REF!</v>
      </c>
      <c r="P115" t="e">
        <f>AND(#REF!,"AAAAAH+r/w8=")</f>
        <v>#REF!</v>
      </c>
      <c r="Q115" t="e">
        <f>AND(#REF!,"AAAAAH+r/xA=")</f>
        <v>#REF!</v>
      </c>
      <c r="R115" t="e">
        <f>AND(#REF!,"AAAAAH+r/xE=")</f>
        <v>#REF!</v>
      </c>
      <c r="S115" t="e">
        <f>AND(#REF!,"AAAAAH+r/xI=")</f>
        <v>#REF!</v>
      </c>
      <c r="T115" t="e">
        <f>AND(#REF!,"AAAAAH+r/xM=")</f>
        <v>#REF!</v>
      </c>
      <c r="U115" t="e">
        <f>AND(#REF!,"AAAAAH+r/xQ=")</f>
        <v>#REF!</v>
      </c>
      <c r="V115" t="e">
        <f>AND(#REF!,"AAAAAH+r/xU=")</f>
        <v>#REF!</v>
      </c>
      <c r="W115" t="e">
        <f>AND(#REF!,"AAAAAH+r/xY=")</f>
        <v>#REF!</v>
      </c>
      <c r="X115" t="e">
        <f>AND(#REF!,"AAAAAH+r/xc=")</f>
        <v>#REF!</v>
      </c>
      <c r="Y115" t="e">
        <f>AND(#REF!,"AAAAAH+r/xg=")</f>
        <v>#REF!</v>
      </c>
      <c r="Z115" t="e">
        <f>AND(#REF!,"AAAAAH+r/xk=")</f>
        <v>#REF!</v>
      </c>
      <c r="AA115" t="e">
        <f>AND(#REF!,"AAAAAH+r/xo=")</f>
        <v>#REF!</v>
      </c>
      <c r="AB115" t="e">
        <f>AND(#REF!,"AAAAAH+r/xs=")</f>
        <v>#REF!</v>
      </c>
      <c r="AC115" t="e">
        <f>AND(#REF!,"AAAAAH+r/xw=")</f>
        <v>#REF!</v>
      </c>
      <c r="AD115" t="e">
        <f>AND(#REF!,"AAAAAH+r/x0=")</f>
        <v>#REF!</v>
      </c>
      <c r="AE115" t="e">
        <f>AND(#REF!,"AAAAAH+r/x4=")</f>
        <v>#REF!</v>
      </c>
      <c r="AF115" t="e">
        <f>AND(#REF!,"AAAAAH+r/x8=")</f>
        <v>#REF!</v>
      </c>
      <c r="AG115" t="e">
        <f>AND(#REF!,"AAAAAH+r/yA=")</f>
        <v>#REF!</v>
      </c>
      <c r="AH115" t="e">
        <f>AND(#REF!,"AAAAAH+r/yE=")</f>
        <v>#REF!</v>
      </c>
      <c r="AI115" t="e">
        <f>AND(#REF!,"AAAAAH+r/yI=")</f>
        <v>#REF!</v>
      </c>
      <c r="AJ115" t="e">
        <f>AND(#REF!,"AAAAAH+r/yM=")</f>
        <v>#REF!</v>
      </c>
      <c r="AK115" t="e">
        <f>AND(#REF!,"AAAAAH+r/yQ=")</f>
        <v>#REF!</v>
      </c>
      <c r="AL115" t="e">
        <f>AND(#REF!,"AAAAAH+r/yU=")</f>
        <v>#REF!</v>
      </c>
      <c r="AM115" t="e">
        <f>AND(#REF!,"AAAAAH+r/yY=")</f>
        <v>#REF!</v>
      </c>
      <c r="AN115" t="e">
        <f>AND(#REF!,"AAAAAH+r/yc=")</f>
        <v>#REF!</v>
      </c>
      <c r="AO115" t="e">
        <f>AND(#REF!,"AAAAAH+r/yg=")</f>
        <v>#REF!</v>
      </c>
      <c r="AP115" t="e">
        <f>AND(#REF!,"AAAAAH+r/yk=")</f>
        <v>#REF!</v>
      </c>
      <c r="AQ115" t="e">
        <f>AND(#REF!,"AAAAAH+r/yo=")</f>
        <v>#REF!</v>
      </c>
      <c r="AR115" t="e">
        <f>AND(#REF!,"AAAAAH+r/ys=")</f>
        <v>#REF!</v>
      </c>
      <c r="AS115" t="e">
        <f>AND(#REF!,"AAAAAH+r/yw=")</f>
        <v>#REF!</v>
      </c>
      <c r="AT115" t="e">
        <f>AND(#REF!,"AAAAAH+r/y0=")</f>
        <v>#REF!</v>
      </c>
      <c r="AU115" t="e">
        <f>AND(#REF!,"AAAAAH+r/y4=")</f>
        <v>#REF!</v>
      </c>
      <c r="AV115" t="e">
        <f>AND(#REF!,"AAAAAH+r/y8=")</f>
        <v>#REF!</v>
      </c>
      <c r="AW115" t="e">
        <f>AND(#REF!,"AAAAAH+r/zA=")</f>
        <v>#REF!</v>
      </c>
      <c r="AX115" t="e">
        <f>AND(#REF!,"AAAAAH+r/zE=")</f>
        <v>#REF!</v>
      </c>
      <c r="AY115" t="e">
        <f>AND(#REF!,"AAAAAH+r/zI=")</f>
        <v>#REF!</v>
      </c>
      <c r="AZ115" t="e">
        <f>AND(#REF!,"AAAAAH+r/zM=")</f>
        <v>#REF!</v>
      </c>
      <c r="BA115" t="e">
        <f>AND(#REF!,"AAAAAH+r/zQ=")</f>
        <v>#REF!</v>
      </c>
      <c r="BB115" t="e">
        <f>AND(#REF!,"AAAAAH+r/zU=")</f>
        <v>#REF!</v>
      </c>
      <c r="BC115" t="e">
        <f>AND(#REF!,"AAAAAH+r/zY=")</f>
        <v>#REF!</v>
      </c>
      <c r="BD115" t="e">
        <f>AND(#REF!,"AAAAAH+r/zc=")</f>
        <v>#REF!</v>
      </c>
      <c r="BE115" t="e">
        <f>AND(#REF!,"AAAAAH+r/zg=")</f>
        <v>#REF!</v>
      </c>
      <c r="BF115" t="e">
        <f>AND(#REF!,"AAAAAH+r/zk=")</f>
        <v>#REF!</v>
      </c>
      <c r="BG115" t="e">
        <f>AND(#REF!,"AAAAAH+r/zo=")</f>
        <v>#REF!</v>
      </c>
      <c r="BH115" t="e">
        <f>AND(#REF!,"AAAAAH+r/zs=")</f>
        <v>#REF!</v>
      </c>
      <c r="BI115" t="e">
        <f>AND(#REF!,"AAAAAH+r/zw=")</f>
        <v>#REF!</v>
      </c>
      <c r="BJ115" t="e">
        <f>AND(#REF!,"AAAAAH+r/z0=")</f>
        <v>#REF!</v>
      </c>
      <c r="BK115" t="e">
        <f>AND(#REF!,"AAAAAH+r/z4=")</f>
        <v>#REF!</v>
      </c>
      <c r="BL115" t="e">
        <f>AND(#REF!,"AAAAAH+r/z8=")</f>
        <v>#REF!</v>
      </c>
      <c r="BM115" t="e">
        <f>AND(#REF!,"AAAAAH+r/0A=")</f>
        <v>#REF!</v>
      </c>
      <c r="BN115" t="e">
        <f>AND(#REF!,"AAAAAH+r/0E=")</f>
        <v>#REF!</v>
      </c>
      <c r="BO115" t="e">
        <f>AND(#REF!,"AAAAAH+r/0I=")</f>
        <v>#REF!</v>
      </c>
      <c r="BP115" t="e">
        <f>AND(#REF!,"AAAAAH+r/0M=")</f>
        <v>#REF!</v>
      </c>
      <c r="BQ115" t="e">
        <f>AND(#REF!,"AAAAAH+r/0Q=")</f>
        <v>#REF!</v>
      </c>
      <c r="BR115" t="e">
        <f>AND(#REF!,"AAAAAH+r/0U=")</f>
        <v>#REF!</v>
      </c>
      <c r="BS115" t="e">
        <f>AND(#REF!,"AAAAAH+r/0Y=")</f>
        <v>#REF!</v>
      </c>
      <c r="BT115" t="e">
        <f>AND(#REF!,"AAAAAH+r/0c=")</f>
        <v>#REF!</v>
      </c>
      <c r="BU115" t="e">
        <f>AND(#REF!,"AAAAAH+r/0g=")</f>
        <v>#REF!</v>
      </c>
      <c r="BV115" t="e">
        <f>AND(#REF!,"AAAAAH+r/0k=")</f>
        <v>#REF!</v>
      </c>
      <c r="BW115" t="e">
        <f>AND(#REF!,"AAAAAH+r/0o=")</f>
        <v>#REF!</v>
      </c>
      <c r="BX115" t="e">
        <f>AND(#REF!,"AAAAAH+r/0s=")</f>
        <v>#REF!</v>
      </c>
      <c r="BY115" t="e">
        <f>IF(#REF!,"AAAAAH+r/0w=",0)</f>
        <v>#REF!</v>
      </c>
      <c r="BZ115" t="e">
        <f>AND(#REF!,"AAAAAH+r/00=")</f>
        <v>#REF!</v>
      </c>
      <c r="CA115" t="e">
        <f>AND(#REF!,"AAAAAH+r/04=")</f>
        <v>#REF!</v>
      </c>
      <c r="CB115" t="e">
        <f>AND(#REF!,"AAAAAH+r/08=")</f>
        <v>#REF!</v>
      </c>
      <c r="CC115" t="e">
        <f>AND(#REF!,"AAAAAH+r/1A=")</f>
        <v>#REF!</v>
      </c>
      <c r="CD115" t="e">
        <f>AND(#REF!,"AAAAAH+r/1E=")</f>
        <v>#REF!</v>
      </c>
      <c r="CE115" t="e">
        <f>AND(#REF!,"AAAAAH+r/1I=")</f>
        <v>#REF!</v>
      </c>
      <c r="CF115" t="e">
        <f>AND(#REF!,"AAAAAH+r/1M=")</f>
        <v>#REF!</v>
      </c>
      <c r="CG115" t="e">
        <f>AND(#REF!,"AAAAAH+r/1Q=")</f>
        <v>#REF!</v>
      </c>
      <c r="CH115" t="e">
        <f>AND(#REF!,"AAAAAH+r/1U=")</f>
        <v>#REF!</v>
      </c>
      <c r="CI115" t="e">
        <f>AND(#REF!,"AAAAAH+r/1Y=")</f>
        <v>#REF!</v>
      </c>
      <c r="CJ115" t="e">
        <f>AND(#REF!,"AAAAAH+r/1c=")</f>
        <v>#REF!</v>
      </c>
      <c r="CK115" t="e">
        <f>AND(#REF!,"AAAAAH+r/1g=")</f>
        <v>#REF!</v>
      </c>
      <c r="CL115" t="e">
        <f>AND(#REF!,"AAAAAH+r/1k=")</f>
        <v>#REF!</v>
      </c>
      <c r="CM115" t="e">
        <f>AND(#REF!,"AAAAAH+r/1o=")</f>
        <v>#REF!</v>
      </c>
      <c r="CN115" t="e">
        <f>AND(#REF!,"AAAAAH+r/1s=")</f>
        <v>#REF!</v>
      </c>
      <c r="CO115" t="e">
        <f>AND(#REF!,"AAAAAH+r/1w=")</f>
        <v>#REF!</v>
      </c>
      <c r="CP115" t="e">
        <f>AND(#REF!,"AAAAAH+r/10=")</f>
        <v>#REF!</v>
      </c>
      <c r="CQ115" t="e">
        <f>AND(#REF!,"AAAAAH+r/14=")</f>
        <v>#REF!</v>
      </c>
      <c r="CR115" t="e">
        <f>AND(#REF!,"AAAAAH+r/18=")</f>
        <v>#REF!</v>
      </c>
      <c r="CS115" t="e">
        <f>AND(#REF!,"AAAAAH+r/2A=")</f>
        <v>#REF!</v>
      </c>
      <c r="CT115" t="e">
        <f>AND(#REF!,"AAAAAH+r/2E=")</f>
        <v>#REF!</v>
      </c>
      <c r="CU115" t="e">
        <f>AND(#REF!,"AAAAAH+r/2I=")</f>
        <v>#REF!</v>
      </c>
      <c r="CV115" t="e">
        <f>AND(#REF!,"AAAAAH+r/2M=")</f>
        <v>#REF!</v>
      </c>
      <c r="CW115" t="e">
        <f>AND(#REF!,"AAAAAH+r/2Q=")</f>
        <v>#REF!</v>
      </c>
      <c r="CX115" t="e">
        <f>AND(#REF!,"AAAAAH+r/2U=")</f>
        <v>#REF!</v>
      </c>
      <c r="CY115" t="e">
        <f>AND(#REF!,"AAAAAH+r/2Y=")</f>
        <v>#REF!</v>
      </c>
      <c r="CZ115" t="e">
        <f>AND(#REF!,"AAAAAH+r/2c=")</f>
        <v>#REF!</v>
      </c>
      <c r="DA115" t="e">
        <f>AND(#REF!,"AAAAAH+r/2g=")</f>
        <v>#REF!</v>
      </c>
      <c r="DB115" t="e">
        <f>AND(#REF!,"AAAAAH+r/2k=")</f>
        <v>#REF!</v>
      </c>
      <c r="DC115" t="e">
        <f>AND(#REF!,"AAAAAH+r/2o=")</f>
        <v>#REF!</v>
      </c>
      <c r="DD115" t="e">
        <f>AND(#REF!,"AAAAAH+r/2s=")</f>
        <v>#REF!</v>
      </c>
      <c r="DE115" t="e">
        <f>AND(#REF!,"AAAAAH+r/2w=")</f>
        <v>#REF!</v>
      </c>
      <c r="DF115" t="e">
        <f>AND(#REF!,"AAAAAH+r/20=")</f>
        <v>#REF!</v>
      </c>
      <c r="DG115" t="e">
        <f>AND(#REF!,"AAAAAH+r/24=")</f>
        <v>#REF!</v>
      </c>
      <c r="DH115" t="e">
        <f>AND(#REF!,"AAAAAH+r/28=")</f>
        <v>#REF!</v>
      </c>
      <c r="DI115" t="e">
        <f>AND(#REF!,"AAAAAH+r/3A=")</f>
        <v>#REF!</v>
      </c>
      <c r="DJ115" t="e">
        <f>AND(#REF!,"AAAAAH+r/3E=")</f>
        <v>#REF!</v>
      </c>
      <c r="DK115" t="e">
        <f>AND(#REF!,"AAAAAH+r/3I=")</f>
        <v>#REF!</v>
      </c>
      <c r="DL115" t="e">
        <f>AND(#REF!,"AAAAAH+r/3M=")</f>
        <v>#REF!</v>
      </c>
      <c r="DM115" t="e">
        <f>AND(#REF!,"AAAAAH+r/3Q=")</f>
        <v>#REF!</v>
      </c>
      <c r="DN115" t="e">
        <f>AND(#REF!,"AAAAAH+r/3U=")</f>
        <v>#REF!</v>
      </c>
      <c r="DO115" t="e">
        <f>AND(#REF!,"AAAAAH+r/3Y=")</f>
        <v>#REF!</v>
      </c>
      <c r="DP115" t="e">
        <f>AND(#REF!,"AAAAAH+r/3c=")</f>
        <v>#REF!</v>
      </c>
      <c r="DQ115" t="e">
        <f>AND(#REF!,"AAAAAH+r/3g=")</f>
        <v>#REF!</v>
      </c>
      <c r="DR115" t="e">
        <f>AND(#REF!,"AAAAAH+r/3k=")</f>
        <v>#REF!</v>
      </c>
      <c r="DS115" t="e">
        <f>AND(#REF!,"AAAAAH+r/3o=")</f>
        <v>#REF!</v>
      </c>
      <c r="DT115" t="e">
        <f>AND(#REF!,"AAAAAH+r/3s=")</f>
        <v>#REF!</v>
      </c>
      <c r="DU115" t="e">
        <f>AND(#REF!,"AAAAAH+r/3w=")</f>
        <v>#REF!</v>
      </c>
      <c r="DV115" t="e">
        <f>AND(#REF!,"AAAAAH+r/30=")</f>
        <v>#REF!</v>
      </c>
      <c r="DW115" t="e">
        <f>AND(#REF!,"AAAAAH+r/34=")</f>
        <v>#REF!</v>
      </c>
      <c r="DX115" t="e">
        <f>AND(#REF!,"AAAAAH+r/38=")</f>
        <v>#REF!</v>
      </c>
      <c r="DY115" t="e">
        <f>AND(#REF!,"AAAAAH+r/4A=")</f>
        <v>#REF!</v>
      </c>
      <c r="DZ115" t="e">
        <f>AND(#REF!,"AAAAAH+r/4E=")</f>
        <v>#REF!</v>
      </c>
      <c r="EA115" t="e">
        <f>AND(#REF!,"AAAAAH+r/4I=")</f>
        <v>#REF!</v>
      </c>
      <c r="EB115" t="e">
        <f>AND(#REF!,"AAAAAH+r/4M=")</f>
        <v>#REF!</v>
      </c>
      <c r="EC115" t="e">
        <f>AND(#REF!,"AAAAAH+r/4Q=")</f>
        <v>#REF!</v>
      </c>
      <c r="ED115" t="e">
        <f>AND(#REF!,"AAAAAH+r/4U=")</f>
        <v>#REF!</v>
      </c>
      <c r="EE115" t="e">
        <f>AND(#REF!,"AAAAAH+r/4Y=")</f>
        <v>#REF!</v>
      </c>
      <c r="EF115" t="e">
        <f>AND(#REF!,"AAAAAH+r/4c=")</f>
        <v>#REF!</v>
      </c>
      <c r="EG115" t="e">
        <f>AND(#REF!,"AAAAAH+r/4g=")</f>
        <v>#REF!</v>
      </c>
      <c r="EH115" t="e">
        <f>AND(#REF!,"AAAAAH+r/4k=")</f>
        <v>#REF!</v>
      </c>
      <c r="EI115" t="e">
        <f>AND(#REF!,"AAAAAH+r/4o=")</f>
        <v>#REF!</v>
      </c>
      <c r="EJ115" t="e">
        <f>AND(#REF!,"AAAAAH+r/4s=")</f>
        <v>#REF!</v>
      </c>
      <c r="EK115" t="e">
        <f>AND(#REF!,"AAAAAH+r/4w=")</f>
        <v>#REF!</v>
      </c>
      <c r="EL115" t="e">
        <f>AND(#REF!,"AAAAAH+r/40=")</f>
        <v>#REF!</v>
      </c>
      <c r="EM115" t="e">
        <f>AND(#REF!,"AAAAAH+r/44=")</f>
        <v>#REF!</v>
      </c>
      <c r="EN115" t="e">
        <f>AND(#REF!,"AAAAAH+r/48=")</f>
        <v>#REF!</v>
      </c>
      <c r="EO115" t="e">
        <f>AND(#REF!,"AAAAAH+r/5A=")</f>
        <v>#REF!</v>
      </c>
      <c r="EP115" t="e">
        <f>AND(#REF!,"AAAAAH+r/5E=")</f>
        <v>#REF!</v>
      </c>
      <c r="EQ115" t="e">
        <f>AND(#REF!,"AAAAAH+r/5I=")</f>
        <v>#REF!</v>
      </c>
      <c r="ER115" t="e">
        <f>AND(#REF!,"AAAAAH+r/5M=")</f>
        <v>#REF!</v>
      </c>
      <c r="ES115" t="e">
        <f>AND(#REF!,"AAAAAH+r/5Q=")</f>
        <v>#REF!</v>
      </c>
      <c r="ET115" t="e">
        <f>AND(#REF!,"AAAAAH+r/5U=")</f>
        <v>#REF!</v>
      </c>
      <c r="EU115" t="e">
        <f>AND(#REF!,"AAAAAH+r/5Y=")</f>
        <v>#REF!</v>
      </c>
      <c r="EV115" t="e">
        <f>AND(#REF!,"AAAAAH+r/5c=")</f>
        <v>#REF!</v>
      </c>
      <c r="EW115" t="e">
        <f>AND(#REF!,"AAAAAH+r/5g=")</f>
        <v>#REF!</v>
      </c>
      <c r="EX115" t="e">
        <f>AND(#REF!,"AAAAAH+r/5k=")</f>
        <v>#REF!</v>
      </c>
      <c r="EY115" t="e">
        <f>AND(#REF!,"AAAAAH+r/5o=")</f>
        <v>#REF!</v>
      </c>
      <c r="EZ115" t="e">
        <f>AND(#REF!,"AAAAAH+r/5s=")</f>
        <v>#REF!</v>
      </c>
      <c r="FA115" t="e">
        <f>AND(#REF!,"AAAAAH+r/5w=")</f>
        <v>#REF!</v>
      </c>
      <c r="FB115" t="e">
        <f>AND(#REF!,"AAAAAH+r/50=")</f>
        <v>#REF!</v>
      </c>
      <c r="FC115" t="e">
        <f>AND(#REF!,"AAAAAH+r/54=")</f>
        <v>#REF!</v>
      </c>
      <c r="FD115" t="e">
        <f>AND(#REF!,"AAAAAH+r/58=")</f>
        <v>#REF!</v>
      </c>
      <c r="FE115" t="e">
        <f>AND(#REF!,"AAAAAH+r/6A=")</f>
        <v>#REF!</v>
      </c>
      <c r="FF115" t="e">
        <f>AND(#REF!,"AAAAAH+r/6E=")</f>
        <v>#REF!</v>
      </c>
      <c r="FG115" t="e">
        <f>AND(#REF!,"AAAAAH+r/6I=")</f>
        <v>#REF!</v>
      </c>
      <c r="FH115" t="e">
        <f>AND(#REF!,"AAAAAH+r/6M=")</f>
        <v>#REF!</v>
      </c>
      <c r="FI115" t="e">
        <f>AND(#REF!,"AAAAAH+r/6Q=")</f>
        <v>#REF!</v>
      </c>
      <c r="FJ115" t="e">
        <f>AND(#REF!,"AAAAAH+r/6U=")</f>
        <v>#REF!</v>
      </c>
      <c r="FK115" t="e">
        <f>AND(#REF!,"AAAAAH+r/6Y=")</f>
        <v>#REF!</v>
      </c>
      <c r="FL115" t="e">
        <f>AND(#REF!,"AAAAAH+r/6c=")</f>
        <v>#REF!</v>
      </c>
      <c r="FM115" t="e">
        <f>AND(#REF!,"AAAAAH+r/6g=")</f>
        <v>#REF!</v>
      </c>
      <c r="FN115" t="e">
        <f>AND(#REF!,"AAAAAH+r/6k=")</f>
        <v>#REF!</v>
      </c>
      <c r="FO115" t="e">
        <f>AND(#REF!,"AAAAAH+r/6o=")</f>
        <v>#REF!</v>
      </c>
      <c r="FP115" t="e">
        <f>AND(#REF!,"AAAAAH+r/6s=")</f>
        <v>#REF!</v>
      </c>
      <c r="FQ115" t="e">
        <f>AND(#REF!,"AAAAAH+r/6w=")</f>
        <v>#REF!</v>
      </c>
      <c r="FR115" t="e">
        <f>AND(#REF!,"AAAAAH+r/60=")</f>
        <v>#REF!</v>
      </c>
      <c r="FS115" t="e">
        <f>AND(#REF!,"AAAAAH+r/64=")</f>
        <v>#REF!</v>
      </c>
      <c r="FT115" t="e">
        <f>AND(#REF!,"AAAAAH+r/68=")</f>
        <v>#REF!</v>
      </c>
      <c r="FU115" t="e">
        <f>AND(#REF!,"AAAAAH+r/7A=")</f>
        <v>#REF!</v>
      </c>
      <c r="FV115" t="e">
        <f>AND(#REF!,"AAAAAH+r/7E=")</f>
        <v>#REF!</v>
      </c>
      <c r="FW115" t="e">
        <f>AND(#REF!,"AAAAAH+r/7I=")</f>
        <v>#REF!</v>
      </c>
      <c r="FX115" t="e">
        <f>AND(#REF!,"AAAAAH+r/7M=")</f>
        <v>#REF!</v>
      </c>
      <c r="FY115" t="e">
        <f>AND(#REF!,"AAAAAH+r/7Q=")</f>
        <v>#REF!</v>
      </c>
      <c r="FZ115" t="e">
        <f>AND(#REF!,"AAAAAH+r/7U=")</f>
        <v>#REF!</v>
      </c>
      <c r="GA115" t="e">
        <f>AND(#REF!,"AAAAAH+r/7Y=")</f>
        <v>#REF!</v>
      </c>
      <c r="GB115" t="e">
        <f>AND(#REF!,"AAAAAH+r/7c=")</f>
        <v>#REF!</v>
      </c>
      <c r="GC115" t="e">
        <f>AND(#REF!,"AAAAAH+r/7g=")</f>
        <v>#REF!</v>
      </c>
      <c r="GD115" t="e">
        <f>AND(#REF!,"AAAAAH+r/7k=")</f>
        <v>#REF!</v>
      </c>
      <c r="GE115" t="e">
        <f>AND(#REF!,"AAAAAH+r/7o=")</f>
        <v>#REF!</v>
      </c>
      <c r="GF115" t="e">
        <f>AND(#REF!,"AAAAAH+r/7s=")</f>
        <v>#REF!</v>
      </c>
      <c r="GG115" t="e">
        <f>AND(#REF!,"AAAAAH+r/7w=")</f>
        <v>#REF!</v>
      </c>
      <c r="GH115" t="e">
        <f>AND(#REF!,"AAAAAH+r/70=")</f>
        <v>#REF!</v>
      </c>
      <c r="GI115" t="e">
        <f>AND(#REF!,"AAAAAH+r/74=")</f>
        <v>#REF!</v>
      </c>
      <c r="GJ115" t="e">
        <f>AND(#REF!,"AAAAAH+r/78=")</f>
        <v>#REF!</v>
      </c>
      <c r="GK115" t="e">
        <f>AND(#REF!,"AAAAAH+r/8A=")</f>
        <v>#REF!</v>
      </c>
      <c r="GL115" t="e">
        <f>AND(#REF!,"AAAAAH+r/8E=")</f>
        <v>#REF!</v>
      </c>
      <c r="GM115" t="e">
        <f>AND(#REF!,"AAAAAH+r/8I=")</f>
        <v>#REF!</v>
      </c>
      <c r="GN115" t="e">
        <f>AND(#REF!,"AAAAAH+r/8M=")</f>
        <v>#REF!</v>
      </c>
      <c r="GO115" t="e">
        <f>AND(#REF!,"AAAAAH+r/8Q=")</f>
        <v>#REF!</v>
      </c>
      <c r="GP115" t="e">
        <f>AND(#REF!,"AAAAAH+r/8U=")</f>
        <v>#REF!</v>
      </c>
      <c r="GQ115" t="e">
        <f>AND(#REF!,"AAAAAH+r/8Y=")</f>
        <v>#REF!</v>
      </c>
      <c r="GR115" t="e">
        <f>AND(#REF!,"AAAAAH+r/8c=")</f>
        <v>#REF!</v>
      </c>
      <c r="GS115" t="e">
        <f>AND(#REF!,"AAAAAH+r/8g=")</f>
        <v>#REF!</v>
      </c>
      <c r="GT115" t="e">
        <f>AND(#REF!,"AAAAAH+r/8k=")</f>
        <v>#REF!</v>
      </c>
      <c r="GU115" t="e">
        <f>AND(#REF!,"AAAAAH+r/8o=")</f>
        <v>#REF!</v>
      </c>
      <c r="GV115" t="e">
        <f>AND(#REF!,"AAAAAH+r/8s=")</f>
        <v>#REF!</v>
      </c>
      <c r="GW115" t="e">
        <f>AND(#REF!,"AAAAAH+r/8w=")</f>
        <v>#REF!</v>
      </c>
      <c r="GX115" t="e">
        <f>AND(#REF!,"AAAAAH+r/80=")</f>
        <v>#REF!</v>
      </c>
      <c r="GY115" t="e">
        <f>AND(#REF!,"AAAAAH+r/84=")</f>
        <v>#REF!</v>
      </c>
      <c r="GZ115" t="e">
        <f>AND(#REF!,"AAAAAH+r/88=")</f>
        <v>#REF!</v>
      </c>
      <c r="HA115" t="e">
        <f>AND(#REF!,"AAAAAH+r/9A=")</f>
        <v>#REF!</v>
      </c>
      <c r="HB115" t="e">
        <f>AND(#REF!,"AAAAAH+r/9E=")</f>
        <v>#REF!</v>
      </c>
      <c r="HC115" t="e">
        <f>AND(#REF!,"AAAAAH+r/9I=")</f>
        <v>#REF!</v>
      </c>
      <c r="HD115" t="e">
        <f>AND(#REF!,"AAAAAH+r/9M=")</f>
        <v>#REF!</v>
      </c>
      <c r="HE115" t="e">
        <f>AND(#REF!,"AAAAAH+r/9Q=")</f>
        <v>#REF!</v>
      </c>
      <c r="HF115" t="e">
        <f>AND(#REF!,"AAAAAH+r/9U=")</f>
        <v>#REF!</v>
      </c>
      <c r="HG115" t="e">
        <f>AND(#REF!,"AAAAAH+r/9Y=")</f>
        <v>#REF!</v>
      </c>
      <c r="HH115" t="e">
        <f>AND(#REF!,"AAAAAH+r/9c=")</f>
        <v>#REF!</v>
      </c>
      <c r="HI115" t="e">
        <f>AND(#REF!,"AAAAAH+r/9g=")</f>
        <v>#REF!</v>
      </c>
      <c r="HJ115" t="e">
        <f>AND(#REF!,"AAAAAH+r/9k=")</f>
        <v>#REF!</v>
      </c>
      <c r="HK115" t="e">
        <f>AND(#REF!,"AAAAAH+r/9o=")</f>
        <v>#REF!</v>
      </c>
      <c r="HL115" t="e">
        <f>AND(#REF!,"AAAAAH+r/9s=")</f>
        <v>#REF!</v>
      </c>
      <c r="HM115" t="e">
        <f>AND(#REF!,"AAAAAH+r/9w=")</f>
        <v>#REF!</v>
      </c>
      <c r="HN115" t="e">
        <f>AND(#REF!,"AAAAAH+r/90=")</f>
        <v>#REF!</v>
      </c>
      <c r="HO115" t="e">
        <f>AND(#REF!,"AAAAAH+r/94=")</f>
        <v>#REF!</v>
      </c>
      <c r="HP115" t="e">
        <f>AND(#REF!,"AAAAAH+r/98=")</f>
        <v>#REF!</v>
      </c>
      <c r="HQ115" t="e">
        <f>AND(#REF!,"AAAAAH+r/+A=")</f>
        <v>#REF!</v>
      </c>
      <c r="HR115" t="e">
        <f>AND(#REF!,"AAAAAH+r/+E=")</f>
        <v>#REF!</v>
      </c>
      <c r="HS115" t="e">
        <f>AND(#REF!,"AAAAAH+r/+I=")</f>
        <v>#REF!</v>
      </c>
      <c r="HT115" t="e">
        <f>AND(#REF!,"AAAAAH+r/+M=")</f>
        <v>#REF!</v>
      </c>
      <c r="HU115" t="e">
        <f>AND(#REF!,"AAAAAH+r/+Q=")</f>
        <v>#REF!</v>
      </c>
      <c r="HV115" t="e">
        <f>AND(#REF!,"AAAAAH+r/+U=")</f>
        <v>#REF!</v>
      </c>
      <c r="HW115" t="e">
        <f>AND(#REF!,"AAAAAH+r/+Y=")</f>
        <v>#REF!</v>
      </c>
      <c r="HX115" t="e">
        <f>AND(#REF!,"AAAAAH+r/+c=")</f>
        <v>#REF!</v>
      </c>
      <c r="HY115" t="e">
        <f>AND(#REF!,"AAAAAH+r/+g=")</f>
        <v>#REF!</v>
      </c>
      <c r="HZ115" t="e">
        <f>AND(#REF!,"AAAAAH+r/+k=")</f>
        <v>#REF!</v>
      </c>
      <c r="IA115" t="e">
        <f>AND(#REF!,"AAAAAH+r/+o=")</f>
        <v>#REF!</v>
      </c>
      <c r="IB115" t="e">
        <f>AND(#REF!,"AAAAAH+r/+s=")</f>
        <v>#REF!</v>
      </c>
      <c r="IC115" t="e">
        <f>AND(#REF!,"AAAAAH+r/+w=")</f>
        <v>#REF!</v>
      </c>
      <c r="ID115" t="e">
        <f>AND(#REF!,"AAAAAH+r/+0=")</f>
        <v>#REF!</v>
      </c>
      <c r="IE115" t="e">
        <f>AND(#REF!,"AAAAAH+r/+4=")</f>
        <v>#REF!</v>
      </c>
      <c r="IF115" t="e">
        <f>AND(#REF!,"AAAAAH+r/+8=")</f>
        <v>#REF!</v>
      </c>
      <c r="IG115" t="e">
        <f>AND(#REF!,"AAAAAH+r//A=")</f>
        <v>#REF!</v>
      </c>
      <c r="IH115" t="e">
        <f>AND(#REF!,"AAAAAH+r//E=")</f>
        <v>#REF!</v>
      </c>
      <c r="II115" t="e">
        <f>AND(#REF!,"AAAAAH+r//I=")</f>
        <v>#REF!</v>
      </c>
      <c r="IJ115" t="e">
        <f>AND(#REF!,"AAAAAH+r//M=")</f>
        <v>#REF!</v>
      </c>
      <c r="IK115" t="e">
        <f>AND(#REF!,"AAAAAH+r//Q=")</f>
        <v>#REF!</v>
      </c>
      <c r="IL115" t="e">
        <f>AND(#REF!,"AAAAAH+r//U=")</f>
        <v>#REF!</v>
      </c>
      <c r="IM115" t="e">
        <f>AND(#REF!,"AAAAAH+r//Y=")</f>
        <v>#REF!</v>
      </c>
      <c r="IN115" t="e">
        <f>AND(#REF!,"AAAAAH+r//c=")</f>
        <v>#REF!</v>
      </c>
      <c r="IO115" t="e">
        <f>AND(#REF!,"AAAAAH+r//g=")</f>
        <v>#REF!</v>
      </c>
      <c r="IP115" t="e">
        <f>AND(#REF!,"AAAAAH+r//k=")</f>
        <v>#REF!</v>
      </c>
      <c r="IQ115" t="e">
        <f>AND(#REF!,"AAAAAH+r//o=")</f>
        <v>#REF!</v>
      </c>
      <c r="IR115" t="e">
        <f>AND(#REF!,"AAAAAH+r//s=")</f>
        <v>#REF!</v>
      </c>
      <c r="IS115" t="e">
        <f>AND(#REF!,"AAAAAH+r//w=")</f>
        <v>#REF!</v>
      </c>
      <c r="IT115" t="e">
        <f>AND(#REF!,"AAAAAH+r//0=")</f>
        <v>#REF!</v>
      </c>
      <c r="IU115" t="e">
        <f>AND(#REF!,"AAAAAH+r//4=")</f>
        <v>#REF!</v>
      </c>
      <c r="IV115" t="e">
        <f>AND(#REF!,"AAAAAH+r//8=")</f>
        <v>#REF!</v>
      </c>
    </row>
    <row r="116" spans="1:256" x14ac:dyDescent="0.25">
      <c r="A116" t="e">
        <f>AND(#REF!,"AAAAADrt/wA=")</f>
        <v>#REF!</v>
      </c>
      <c r="B116" t="e">
        <f>AND(#REF!,"AAAAADrt/wE=")</f>
        <v>#REF!</v>
      </c>
      <c r="C116" t="e">
        <f>AND(#REF!,"AAAAADrt/wI=")</f>
        <v>#REF!</v>
      </c>
      <c r="D116" t="e">
        <f>AND(#REF!,"AAAAADrt/wM=")</f>
        <v>#REF!</v>
      </c>
      <c r="E116" t="e">
        <f>AND(#REF!,"AAAAADrt/wQ=")</f>
        <v>#REF!</v>
      </c>
      <c r="F116" t="e">
        <f>AND(#REF!,"AAAAADrt/wU=")</f>
        <v>#REF!</v>
      </c>
      <c r="G116" t="e">
        <f>AND(#REF!,"AAAAADrt/wY=")</f>
        <v>#REF!</v>
      </c>
      <c r="H116" t="e">
        <f>AND(#REF!,"AAAAADrt/wc=")</f>
        <v>#REF!</v>
      </c>
      <c r="I116" t="e">
        <f>AND(#REF!,"AAAAADrt/wg=")</f>
        <v>#REF!</v>
      </c>
      <c r="J116" t="e">
        <f>IF(#REF!,"AAAAADrt/wk=",0)</f>
        <v>#REF!</v>
      </c>
      <c r="K116" t="e">
        <f>AND(#REF!,"AAAAADrt/wo=")</f>
        <v>#REF!</v>
      </c>
      <c r="L116" t="e">
        <f>AND(#REF!,"AAAAADrt/ws=")</f>
        <v>#REF!</v>
      </c>
      <c r="M116" t="e">
        <f>AND(#REF!,"AAAAADrt/ww=")</f>
        <v>#REF!</v>
      </c>
      <c r="N116" t="e">
        <f>AND(#REF!,"AAAAADrt/w0=")</f>
        <v>#REF!</v>
      </c>
      <c r="O116" t="e">
        <f>AND(#REF!,"AAAAADrt/w4=")</f>
        <v>#REF!</v>
      </c>
      <c r="P116" t="e">
        <f>AND(#REF!,"AAAAADrt/w8=")</f>
        <v>#REF!</v>
      </c>
      <c r="Q116" t="e">
        <f>AND(#REF!,"AAAAADrt/xA=")</f>
        <v>#REF!</v>
      </c>
      <c r="R116" t="e">
        <f>AND(#REF!,"AAAAADrt/xE=")</f>
        <v>#REF!</v>
      </c>
      <c r="S116" t="e">
        <f>AND(#REF!,"AAAAADrt/xI=")</f>
        <v>#REF!</v>
      </c>
      <c r="T116" t="e">
        <f>AND(#REF!,"AAAAADrt/xM=")</f>
        <v>#REF!</v>
      </c>
      <c r="U116" t="e">
        <f>AND(#REF!,"AAAAADrt/xQ=")</f>
        <v>#REF!</v>
      </c>
      <c r="V116" t="e">
        <f>AND(#REF!,"AAAAADrt/xU=")</f>
        <v>#REF!</v>
      </c>
      <c r="W116" t="e">
        <f>AND(#REF!,"AAAAADrt/xY=")</f>
        <v>#REF!</v>
      </c>
      <c r="X116" t="e">
        <f>AND(#REF!,"AAAAADrt/xc=")</f>
        <v>#REF!</v>
      </c>
      <c r="Y116" t="e">
        <f>AND(#REF!,"AAAAADrt/xg=")</f>
        <v>#REF!</v>
      </c>
      <c r="Z116" t="e">
        <f>AND(#REF!,"AAAAADrt/xk=")</f>
        <v>#REF!</v>
      </c>
      <c r="AA116" t="e">
        <f>AND(#REF!,"AAAAADrt/xo=")</f>
        <v>#REF!</v>
      </c>
      <c r="AB116" t="e">
        <f>AND(#REF!,"AAAAADrt/xs=")</f>
        <v>#REF!</v>
      </c>
      <c r="AC116" t="e">
        <f>AND(#REF!,"AAAAADrt/xw=")</f>
        <v>#REF!</v>
      </c>
      <c r="AD116" t="e">
        <f>AND(#REF!,"AAAAADrt/x0=")</f>
        <v>#REF!</v>
      </c>
      <c r="AE116" t="e">
        <f>AND(#REF!,"AAAAADrt/x4=")</f>
        <v>#REF!</v>
      </c>
      <c r="AF116" t="e">
        <f>AND(#REF!,"AAAAADrt/x8=")</f>
        <v>#REF!</v>
      </c>
      <c r="AG116" t="e">
        <f>AND(#REF!,"AAAAADrt/yA=")</f>
        <v>#REF!</v>
      </c>
      <c r="AH116" t="e">
        <f>AND(#REF!,"AAAAADrt/yE=")</f>
        <v>#REF!</v>
      </c>
      <c r="AI116" t="e">
        <f>AND(#REF!,"AAAAADrt/yI=")</f>
        <v>#REF!</v>
      </c>
      <c r="AJ116" t="e">
        <f>AND(#REF!,"AAAAADrt/yM=")</f>
        <v>#REF!</v>
      </c>
      <c r="AK116" t="e">
        <f>AND(#REF!,"AAAAADrt/yQ=")</f>
        <v>#REF!</v>
      </c>
      <c r="AL116" t="e">
        <f>AND(#REF!,"AAAAADrt/yU=")</f>
        <v>#REF!</v>
      </c>
      <c r="AM116" t="e">
        <f>AND(#REF!,"AAAAADrt/yY=")</f>
        <v>#REF!</v>
      </c>
      <c r="AN116" t="e">
        <f>AND(#REF!,"AAAAADrt/yc=")</f>
        <v>#REF!</v>
      </c>
      <c r="AO116" t="e">
        <f>AND(#REF!,"AAAAADrt/yg=")</f>
        <v>#REF!</v>
      </c>
      <c r="AP116" t="e">
        <f>AND(#REF!,"AAAAADrt/yk=")</f>
        <v>#REF!</v>
      </c>
      <c r="AQ116" t="e">
        <f>AND(#REF!,"AAAAADrt/yo=")</f>
        <v>#REF!</v>
      </c>
      <c r="AR116" t="e">
        <f>AND(#REF!,"AAAAADrt/ys=")</f>
        <v>#REF!</v>
      </c>
      <c r="AS116" t="e">
        <f>AND(#REF!,"AAAAADrt/yw=")</f>
        <v>#REF!</v>
      </c>
      <c r="AT116" t="e">
        <f>AND(#REF!,"AAAAADrt/y0=")</f>
        <v>#REF!</v>
      </c>
      <c r="AU116" t="e">
        <f>AND(#REF!,"AAAAADrt/y4=")</f>
        <v>#REF!</v>
      </c>
      <c r="AV116" t="e">
        <f>AND(#REF!,"AAAAADrt/y8=")</f>
        <v>#REF!</v>
      </c>
      <c r="AW116" t="e">
        <f>AND(#REF!,"AAAAADrt/zA=")</f>
        <v>#REF!</v>
      </c>
      <c r="AX116" t="e">
        <f>AND(#REF!,"AAAAADrt/zE=")</f>
        <v>#REF!</v>
      </c>
      <c r="AY116" t="e">
        <f>AND(#REF!,"AAAAADrt/zI=")</f>
        <v>#REF!</v>
      </c>
      <c r="AZ116" t="e">
        <f>AND(#REF!,"AAAAADrt/zM=")</f>
        <v>#REF!</v>
      </c>
      <c r="BA116" t="e">
        <f>AND(#REF!,"AAAAADrt/zQ=")</f>
        <v>#REF!</v>
      </c>
      <c r="BB116" t="e">
        <f>AND(#REF!,"AAAAADrt/zU=")</f>
        <v>#REF!</v>
      </c>
      <c r="BC116" t="e">
        <f>AND(#REF!,"AAAAADrt/zY=")</f>
        <v>#REF!</v>
      </c>
      <c r="BD116" t="e">
        <f>AND(#REF!,"AAAAADrt/zc=")</f>
        <v>#REF!</v>
      </c>
      <c r="BE116" t="e">
        <f>AND(#REF!,"AAAAADrt/zg=")</f>
        <v>#REF!</v>
      </c>
      <c r="BF116" t="e">
        <f>AND(#REF!,"AAAAADrt/zk=")</f>
        <v>#REF!</v>
      </c>
      <c r="BG116" t="e">
        <f>AND(#REF!,"AAAAADrt/zo=")</f>
        <v>#REF!</v>
      </c>
      <c r="BH116" t="e">
        <f>AND(#REF!,"AAAAADrt/zs=")</f>
        <v>#REF!</v>
      </c>
      <c r="BI116" t="e">
        <f>AND(#REF!,"AAAAADrt/zw=")</f>
        <v>#REF!</v>
      </c>
      <c r="BJ116" t="e">
        <f>AND(#REF!,"AAAAADrt/z0=")</f>
        <v>#REF!</v>
      </c>
      <c r="BK116" t="e">
        <f>AND(#REF!,"AAAAADrt/z4=")</f>
        <v>#REF!</v>
      </c>
      <c r="BL116" t="e">
        <f>AND(#REF!,"AAAAADrt/z8=")</f>
        <v>#REF!</v>
      </c>
      <c r="BM116" t="e">
        <f>AND(#REF!,"AAAAADrt/0A=")</f>
        <v>#REF!</v>
      </c>
      <c r="BN116" t="e">
        <f>AND(#REF!,"AAAAADrt/0E=")</f>
        <v>#REF!</v>
      </c>
      <c r="BO116" t="e">
        <f>AND(#REF!,"AAAAADrt/0I=")</f>
        <v>#REF!</v>
      </c>
      <c r="BP116" t="e">
        <f>AND(#REF!,"AAAAADrt/0M=")</f>
        <v>#REF!</v>
      </c>
      <c r="BQ116" t="e">
        <f>AND(#REF!,"AAAAADrt/0Q=")</f>
        <v>#REF!</v>
      </c>
      <c r="BR116" t="e">
        <f>AND(#REF!,"AAAAADrt/0U=")</f>
        <v>#REF!</v>
      </c>
      <c r="BS116" t="e">
        <f>AND(#REF!,"AAAAADrt/0Y=")</f>
        <v>#REF!</v>
      </c>
      <c r="BT116" t="e">
        <f>AND(#REF!,"AAAAADrt/0c=")</f>
        <v>#REF!</v>
      </c>
      <c r="BU116" t="e">
        <f>AND(#REF!,"AAAAADrt/0g=")</f>
        <v>#REF!</v>
      </c>
      <c r="BV116" t="e">
        <f>AND(#REF!,"AAAAADrt/0k=")</f>
        <v>#REF!</v>
      </c>
      <c r="BW116" t="e">
        <f>AND(#REF!,"AAAAADrt/0o=")</f>
        <v>#REF!</v>
      </c>
      <c r="BX116" t="e">
        <f>AND(#REF!,"AAAAADrt/0s=")</f>
        <v>#REF!</v>
      </c>
      <c r="BY116" t="e">
        <f>AND(#REF!,"AAAAADrt/0w=")</f>
        <v>#REF!</v>
      </c>
      <c r="BZ116" t="e">
        <f>AND(#REF!,"AAAAADrt/00=")</f>
        <v>#REF!</v>
      </c>
      <c r="CA116" t="e">
        <f>AND(#REF!,"AAAAADrt/04=")</f>
        <v>#REF!</v>
      </c>
      <c r="CB116" t="e">
        <f>AND(#REF!,"AAAAADrt/08=")</f>
        <v>#REF!</v>
      </c>
      <c r="CC116" t="e">
        <f>AND(#REF!,"AAAAADrt/1A=")</f>
        <v>#REF!</v>
      </c>
      <c r="CD116" t="e">
        <f>AND(#REF!,"AAAAADrt/1E=")</f>
        <v>#REF!</v>
      </c>
      <c r="CE116" t="e">
        <f>AND(#REF!,"AAAAADrt/1I=")</f>
        <v>#REF!</v>
      </c>
      <c r="CF116" t="e">
        <f>AND(#REF!,"AAAAADrt/1M=")</f>
        <v>#REF!</v>
      </c>
      <c r="CG116" t="e">
        <f>AND(#REF!,"AAAAADrt/1Q=")</f>
        <v>#REF!</v>
      </c>
      <c r="CH116" t="e">
        <f>AND(#REF!,"AAAAADrt/1U=")</f>
        <v>#REF!</v>
      </c>
      <c r="CI116" t="e">
        <f>AND(#REF!,"AAAAADrt/1Y=")</f>
        <v>#REF!</v>
      </c>
      <c r="CJ116" t="e">
        <f>AND(#REF!,"AAAAADrt/1c=")</f>
        <v>#REF!</v>
      </c>
      <c r="CK116" t="e">
        <f>AND(#REF!,"AAAAADrt/1g=")</f>
        <v>#REF!</v>
      </c>
      <c r="CL116" t="e">
        <f>AND(#REF!,"AAAAADrt/1k=")</f>
        <v>#REF!</v>
      </c>
      <c r="CM116" t="e">
        <f>AND(#REF!,"AAAAADrt/1o=")</f>
        <v>#REF!</v>
      </c>
      <c r="CN116" t="e">
        <f>AND(#REF!,"AAAAADrt/1s=")</f>
        <v>#REF!</v>
      </c>
      <c r="CO116" t="e">
        <f>AND(#REF!,"AAAAADrt/1w=")</f>
        <v>#REF!</v>
      </c>
      <c r="CP116" t="e">
        <f>AND(#REF!,"AAAAADrt/10=")</f>
        <v>#REF!</v>
      </c>
      <c r="CQ116" t="e">
        <f>AND(#REF!,"AAAAADrt/14=")</f>
        <v>#REF!</v>
      </c>
      <c r="CR116" t="e">
        <f>AND(#REF!,"AAAAADrt/18=")</f>
        <v>#REF!</v>
      </c>
      <c r="CS116" t="e">
        <f>AND(#REF!,"AAAAADrt/2A=")</f>
        <v>#REF!</v>
      </c>
      <c r="CT116" t="e">
        <f>AND(#REF!,"AAAAADrt/2E=")</f>
        <v>#REF!</v>
      </c>
      <c r="CU116" t="e">
        <f>AND(#REF!,"AAAAADrt/2I=")</f>
        <v>#REF!</v>
      </c>
      <c r="CV116" t="e">
        <f>AND(#REF!,"AAAAADrt/2M=")</f>
        <v>#REF!</v>
      </c>
      <c r="CW116" t="e">
        <f>AND(#REF!,"AAAAADrt/2Q=")</f>
        <v>#REF!</v>
      </c>
      <c r="CX116" t="e">
        <f>AND(#REF!,"AAAAADrt/2U=")</f>
        <v>#REF!</v>
      </c>
      <c r="CY116" t="e">
        <f>AND(#REF!,"AAAAADrt/2Y=")</f>
        <v>#REF!</v>
      </c>
      <c r="CZ116" t="e">
        <f>AND(#REF!,"AAAAADrt/2c=")</f>
        <v>#REF!</v>
      </c>
      <c r="DA116" t="e">
        <f>AND(#REF!,"AAAAADrt/2g=")</f>
        <v>#REF!</v>
      </c>
      <c r="DB116" t="e">
        <f>AND(#REF!,"AAAAADrt/2k=")</f>
        <v>#REF!</v>
      </c>
      <c r="DC116" t="e">
        <f>AND(#REF!,"AAAAADrt/2o=")</f>
        <v>#REF!</v>
      </c>
      <c r="DD116" t="e">
        <f>AND(#REF!,"AAAAADrt/2s=")</f>
        <v>#REF!</v>
      </c>
      <c r="DE116" t="e">
        <f>AND(#REF!,"AAAAADrt/2w=")</f>
        <v>#REF!</v>
      </c>
      <c r="DF116" t="e">
        <f>AND(#REF!,"AAAAADrt/20=")</f>
        <v>#REF!</v>
      </c>
      <c r="DG116" t="e">
        <f>AND(#REF!,"AAAAADrt/24=")</f>
        <v>#REF!</v>
      </c>
      <c r="DH116" t="e">
        <f>AND(#REF!,"AAAAADrt/28=")</f>
        <v>#REF!</v>
      </c>
      <c r="DI116" t="e">
        <f>AND(#REF!,"AAAAADrt/3A=")</f>
        <v>#REF!</v>
      </c>
      <c r="DJ116" t="e">
        <f>AND(#REF!,"AAAAADrt/3E=")</f>
        <v>#REF!</v>
      </c>
      <c r="DK116" t="e">
        <f>AND(#REF!,"AAAAADrt/3I=")</f>
        <v>#REF!</v>
      </c>
      <c r="DL116" t="e">
        <f>AND(#REF!,"AAAAADrt/3M=")</f>
        <v>#REF!</v>
      </c>
      <c r="DM116" t="e">
        <f>AND(#REF!,"AAAAADrt/3Q=")</f>
        <v>#REF!</v>
      </c>
      <c r="DN116" t="e">
        <f>AND(#REF!,"AAAAADrt/3U=")</f>
        <v>#REF!</v>
      </c>
      <c r="DO116" t="e">
        <f>AND(#REF!,"AAAAADrt/3Y=")</f>
        <v>#REF!</v>
      </c>
      <c r="DP116" t="e">
        <f>AND(#REF!,"AAAAADrt/3c=")</f>
        <v>#REF!</v>
      </c>
      <c r="DQ116" t="e">
        <f>AND(#REF!,"AAAAADrt/3g=")</f>
        <v>#REF!</v>
      </c>
      <c r="DR116" t="e">
        <f>AND(#REF!,"AAAAADrt/3k=")</f>
        <v>#REF!</v>
      </c>
      <c r="DS116" t="e">
        <f>AND(#REF!,"AAAAADrt/3o=")</f>
        <v>#REF!</v>
      </c>
      <c r="DT116" t="e">
        <f>AND(#REF!,"AAAAADrt/3s=")</f>
        <v>#REF!</v>
      </c>
      <c r="DU116" t="e">
        <f>AND(#REF!,"AAAAADrt/3w=")</f>
        <v>#REF!</v>
      </c>
      <c r="DV116" t="e">
        <f>AND(#REF!,"AAAAADrt/30=")</f>
        <v>#REF!</v>
      </c>
      <c r="DW116" t="e">
        <f>AND(#REF!,"AAAAADrt/34=")</f>
        <v>#REF!</v>
      </c>
      <c r="DX116" t="e">
        <f>AND(#REF!,"AAAAADrt/38=")</f>
        <v>#REF!</v>
      </c>
      <c r="DY116" t="e">
        <f>AND(#REF!,"AAAAADrt/4A=")</f>
        <v>#REF!</v>
      </c>
      <c r="DZ116" t="e">
        <f>AND(#REF!,"AAAAADrt/4E=")</f>
        <v>#REF!</v>
      </c>
      <c r="EA116" t="e">
        <f>AND(#REF!,"AAAAADrt/4I=")</f>
        <v>#REF!</v>
      </c>
      <c r="EB116" t="e">
        <f>AND(#REF!,"AAAAADrt/4M=")</f>
        <v>#REF!</v>
      </c>
      <c r="EC116" t="e">
        <f>AND(#REF!,"AAAAADrt/4Q=")</f>
        <v>#REF!</v>
      </c>
      <c r="ED116" t="e">
        <f>AND(#REF!,"AAAAADrt/4U=")</f>
        <v>#REF!</v>
      </c>
      <c r="EE116" t="e">
        <f>AND(#REF!,"AAAAADrt/4Y=")</f>
        <v>#REF!</v>
      </c>
      <c r="EF116" t="e">
        <f>AND(#REF!,"AAAAADrt/4c=")</f>
        <v>#REF!</v>
      </c>
      <c r="EG116" t="e">
        <f>AND(#REF!,"AAAAADrt/4g=")</f>
        <v>#REF!</v>
      </c>
      <c r="EH116" t="e">
        <f>AND(#REF!,"AAAAADrt/4k=")</f>
        <v>#REF!</v>
      </c>
      <c r="EI116" t="e">
        <f>AND(#REF!,"AAAAADrt/4o=")</f>
        <v>#REF!</v>
      </c>
      <c r="EJ116" t="e">
        <f>AND(#REF!,"AAAAADrt/4s=")</f>
        <v>#REF!</v>
      </c>
      <c r="EK116" t="e">
        <f>AND(#REF!,"AAAAADrt/4w=")</f>
        <v>#REF!</v>
      </c>
      <c r="EL116" t="e">
        <f>AND(#REF!,"AAAAADrt/40=")</f>
        <v>#REF!</v>
      </c>
      <c r="EM116" t="e">
        <f>AND(#REF!,"AAAAADrt/44=")</f>
        <v>#REF!</v>
      </c>
      <c r="EN116" t="e">
        <f>AND(#REF!,"AAAAADrt/48=")</f>
        <v>#REF!</v>
      </c>
      <c r="EO116" t="e">
        <f>AND(#REF!,"AAAAADrt/5A=")</f>
        <v>#REF!</v>
      </c>
      <c r="EP116" t="e">
        <f>AND(#REF!,"AAAAADrt/5E=")</f>
        <v>#REF!</v>
      </c>
      <c r="EQ116" t="e">
        <f>AND(#REF!,"AAAAADrt/5I=")</f>
        <v>#REF!</v>
      </c>
      <c r="ER116" t="e">
        <f>AND(#REF!,"AAAAADrt/5M=")</f>
        <v>#REF!</v>
      </c>
      <c r="ES116" t="e">
        <f>AND(#REF!,"AAAAADrt/5Q=")</f>
        <v>#REF!</v>
      </c>
      <c r="ET116" t="e">
        <f>AND(#REF!,"AAAAADrt/5U=")</f>
        <v>#REF!</v>
      </c>
      <c r="EU116" t="e">
        <f>AND(#REF!,"AAAAADrt/5Y=")</f>
        <v>#REF!</v>
      </c>
      <c r="EV116" t="e">
        <f>AND(#REF!,"AAAAADrt/5c=")</f>
        <v>#REF!</v>
      </c>
      <c r="EW116" t="e">
        <f>AND(#REF!,"AAAAADrt/5g=")</f>
        <v>#REF!</v>
      </c>
      <c r="EX116" t="e">
        <f>AND(#REF!,"AAAAADrt/5k=")</f>
        <v>#REF!</v>
      </c>
      <c r="EY116" t="e">
        <f>AND(#REF!,"AAAAADrt/5o=")</f>
        <v>#REF!</v>
      </c>
      <c r="EZ116" t="e">
        <f>AND(#REF!,"AAAAADrt/5s=")</f>
        <v>#REF!</v>
      </c>
      <c r="FA116" t="e">
        <f>AND(#REF!,"AAAAADrt/5w=")</f>
        <v>#REF!</v>
      </c>
      <c r="FB116" t="e">
        <f>AND(#REF!,"AAAAADrt/50=")</f>
        <v>#REF!</v>
      </c>
      <c r="FC116" t="e">
        <f>AND(#REF!,"AAAAADrt/54=")</f>
        <v>#REF!</v>
      </c>
      <c r="FD116" t="e">
        <f>AND(#REF!,"AAAAADrt/58=")</f>
        <v>#REF!</v>
      </c>
      <c r="FE116" t="e">
        <f>AND(#REF!,"AAAAADrt/6A=")</f>
        <v>#REF!</v>
      </c>
      <c r="FF116" t="e">
        <f>AND(#REF!,"AAAAADrt/6E=")</f>
        <v>#REF!</v>
      </c>
      <c r="FG116" t="e">
        <f>AND(#REF!,"AAAAADrt/6I=")</f>
        <v>#REF!</v>
      </c>
      <c r="FH116" t="e">
        <f>AND(#REF!,"AAAAADrt/6M=")</f>
        <v>#REF!</v>
      </c>
      <c r="FI116" t="e">
        <f>AND(#REF!,"AAAAADrt/6Q=")</f>
        <v>#REF!</v>
      </c>
      <c r="FJ116" t="e">
        <f>AND(#REF!,"AAAAADrt/6U=")</f>
        <v>#REF!</v>
      </c>
      <c r="FK116" t="e">
        <f>AND(#REF!,"AAAAADrt/6Y=")</f>
        <v>#REF!</v>
      </c>
      <c r="FL116" t="e">
        <f>AND(#REF!,"AAAAADrt/6c=")</f>
        <v>#REF!</v>
      </c>
      <c r="FM116" t="e">
        <f>AND(#REF!,"AAAAADrt/6g=")</f>
        <v>#REF!</v>
      </c>
      <c r="FN116" t="e">
        <f>AND(#REF!,"AAAAADrt/6k=")</f>
        <v>#REF!</v>
      </c>
      <c r="FO116" t="e">
        <f>AND(#REF!,"AAAAADrt/6o=")</f>
        <v>#REF!</v>
      </c>
      <c r="FP116" t="e">
        <f>AND(#REF!,"AAAAADrt/6s=")</f>
        <v>#REF!</v>
      </c>
      <c r="FQ116" t="e">
        <f>AND(#REF!,"AAAAADrt/6w=")</f>
        <v>#REF!</v>
      </c>
      <c r="FR116" t="e">
        <f>AND(#REF!,"AAAAADrt/60=")</f>
        <v>#REF!</v>
      </c>
      <c r="FS116" t="e">
        <f>AND(#REF!,"AAAAADrt/64=")</f>
        <v>#REF!</v>
      </c>
      <c r="FT116" t="e">
        <f>AND(#REF!,"AAAAADrt/68=")</f>
        <v>#REF!</v>
      </c>
      <c r="FU116" t="e">
        <f>AND(#REF!,"AAAAADrt/7A=")</f>
        <v>#REF!</v>
      </c>
      <c r="FV116" t="e">
        <f>AND(#REF!,"AAAAADrt/7E=")</f>
        <v>#REF!</v>
      </c>
      <c r="FW116" t="e">
        <f>AND(#REF!,"AAAAADrt/7I=")</f>
        <v>#REF!</v>
      </c>
      <c r="FX116" t="e">
        <f>AND(#REF!,"AAAAADrt/7M=")</f>
        <v>#REF!</v>
      </c>
      <c r="FY116" t="e">
        <f>AND(#REF!,"AAAAADrt/7Q=")</f>
        <v>#REF!</v>
      </c>
      <c r="FZ116" t="e">
        <f>AND(#REF!,"AAAAADrt/7U=")</f>
        <v>#REF!</v>
      </c>
      <c r="GA116" t="e">
        <f>AND(#REF!,"AAAAADrt/7Y=")</f>
        <v>#REF!</v>
      </c>
      <c r="GB116" t="e">
        <f>AND(#REF!,"AAAAADrt/7c=")</f>
        <v>#REF!</v>
      </c>
      <c r="GC116" t="e">
        <f>AND(#REF!,"AAAAADrt/7g=")</f>
        <v>#REF!</v>
      </c>
      <c r="GD116" t="e">
        <f>AND(#REF!,"AAAAADrt/7k=")</f>
        <v>#REF!</v>
      </c>
      <c r="GE116" t="e">
        <f>AND(#REF!,"AAAAADrt/7o=")</f>
        <v>#REF!</v>
      </c>
      <c r="GF116" t="e">
        <f>AND(#REF!,"AAAAADrt/7s=")</f>
        <v>#REF!</v>
      </c>
      <c r="GG116" t="e">
        <f>AND(#REF!,"AAAAADrt/7w=")</f>
        <v>#REF!</v>
      </c>
      <c r="GH116" t="e">
        <f>AND(#REF!,"AAAAADrt/70=")</f>
        <v>#REF!</v>
      </c>
      <c r="GI116" t="e">
        <f>AND(#REF!,"AAAAADrt/74=")</f>
        <v>#REF!</v>
      </c>
      <c r="GJ116" t="e">
        <f>AND(#REF!,"AAAAADrt/78=")</f>
        <v>#REF!</v>
      </c>
      <c r="GK116" t="e">
        <f>AND(#REF!,"AAAAADrt/8A=")</f>
        <v>#REF!</v>
      </c>
      <c r="GL116" t="e">
        <f>AND(#REF!,"AAAAADrt/8E=")</f>
        <v>#REF!</v>
      </c>
      <c r="GM116" t="e">
        <f>AND(#REF!,"AAAAADrt/8I=")</f>
        <v>#REF!</v>
      </c>
      <c r="GN116" t="e">
        <f>AND(#REF!,"AAAAADrt/8M=")</f>
        <v>#REF!</v>
      </c>
      <c r="GO116" t="e">
        <f>AND(#REF!,"AAAAADrt/8Q=")</f>
        <v>#REF!</v>
      </c>
      <c r="GP116" t="e">
        <f>AND(#REF!,"AAAAADrt/8U=")</f>
        <v>#REF!</v>
      </c>
      <c r="GQ116" t="e">
        <f>IF(#REF!,"AAAAADrt/8Y=",0)</f>
        <v>#REF!</v>
      </c>
      <c r="GR116" t="e">
        <f>AND(#REF!,"AAAAADrt/8c=")</f>
        <v>#REF!</v>
      </c>
      <c r="GS116" t="e">
        <f>AND(#REF!,"AAAAADrt/8g=")</f>
        <v>#REF!</v>
      </c>
      <c r="GT116" t="e">
        <f>AND(#REF!,"AAAAADrt/8k=")</f>
        <v>#REF!</v>
      </c>
      <c r="GU116" t="e">
        <f>AND(#REF!,"AAAAADrt/8o=")</f>
        <v>#REF!</v>
      </c>
      <c r="GV116" t="e">
        <f>AND(#REF!,"AAAAADrt/8s=")</f>
        <v>#REF!</v>
      </c>
      <c r="GW116" t="e">
        <f>AND(#REF!,"AAAAADrt/8w=")</f>
        <v>#REF!</v>
      </c>
      <c r="GX116" t="e">
        <f>AND(#REF!,"AAAAADrt/80=")</f>
        <v>#REF!</v>
      </c>
      <c r="GY116" t="e">
        <f>AND(#REF!,"AAAAADrt/84=")</f>
        <v>#REF!</v>
      </c>
      <c r="GZ116" t="e">
        <f>AND(#REF!,"AAAAADrt/88=")</f>
        <v>#REF!</v>
      </c>
      <c r="HA116" t="e">
        <f>AND(#REF!,"AAAAADrt/9A=")</f>
        <v>#REF!</v>
      </c>
      <c r="HB116" t="e">
        <f>AND(#REF!,"AAAAADrt/9E=")</f>
        <v>#REF!</v>
      </c>
      <c r="HC116" t="e">
        <f>AND(#REF!,"AAAAADrt/9I=")</f>
        <v>#REF!</v>
      </c>
      <c r="HD116" t="e">
        <f>AND(#REF!,"AAAAADrt/9M=")</f>
        <v>#REF!</v>
      </c>
      <c r="HE116" t="e">
        <f>AND(#REF!,"AAAAADrt/9Q=")</f>
        <v>#REF!</v>
      </c>
      <c r="HF116" t="e">
        <f>AND(#REF!,"AAAAADrt/9U=")</f>
        <v>#REF!</v>
      </c>
      <c r="HG116" t="e">
        <f>AND(#REF!,"AAAAADrt/9Y=")</f>
        <v>#REF!</v>
      </c>
      <c r="HH116" t="e">
        <f>AND(#REF!,"AAAAADrt/9c=")</f>
        <v>#REF!</v>
      </c>
      <c r="HI116" t="e">
        <f>AND(#REF!,"AAAAADrt/9g=")</f>
        <v>#REF!</v>
      </c>
      <c r="HJ116" t="e">
        <f>AND(#REF!,"AAAAADrt/9k=")</f>
        <v>#REF!</v>
      </c>
      <c r="HK116" t="e">
        <f>AND(#REF!,"AAAAADrt/9o=")</f>
        <v>#REF!</v>
      </c>
      <c r="HL116" t="e">
        <f>AND(#REF!,"AAAAADrt/9s=")</f>
        <v>#REF!</v>
      </c>
      <c r="HM116" t="e">
        <f>AND(#REF!,"AAAAADrt/9w=")</f>
        <v>#REF!</v>
      </c>
      <c r="HN116" t="e">
        <f>AND(#REF!,"AAAAADrt/90=")</f>
        <v>#REF!</v>
      </c>
      <c r="HO116" t="e">
        <f>AND(#REF!,"AAAAADrt/94=")</f>
        <v>#REF!</v>
      </c>
      <c r="HP116" t="e">
        <f>AND(#REF!,"AAAAADrt/98=")</f>
        <v>#REF!</v>
      </c>
      <c r="HQ116" t="e">
        <f>AND(#REF!,"AAAAADrt/+A=")</f>
        <v>#REF!</v>
      </c>
      <c r="HR116" t="e">
        <f>AND(#REF!,"AAAAADrt/+E=")</f>
        <v>#REF!</v>
      </c>
      <c r="HS116" t="e">
        <f>AND(#REF!,"AAAAADrt/+I=")</f>
        <v>#REF!</v>
      </c>
      <c r="HT116" t="e">
        <f>AND(#REF!,"AAAAADrt/+M=")</f>
        <v>#REF!</v>
      </c>
      <c r="HU116" t="e">
        <f>AND(#REF!,"AAAAADrt/+Q=")</f>
        <v>#REF!</v>
      </c>
      <c r="HV116" t="e">
        <f>AND(#REF!,"AAAAADrt/+U=")</f>
        <v>#REF!</v>
      </c>
      <c r="HW116" t="e">
        <f>AND(#REF!,"AAAAADrt/+Y=")</f>
        <v>#REF!</v>
      </c>
      <c r="HX116" t="e">
        <f>AND(#REF!,"AAAAADrt/+c=")</f>
        <v>#REF!</v>
      </c>
      <c r="HY116" t="e">
        <f>AND(#REF!,"AAAAADrt/+g=")</f>
        <v>#REF!</v>
      </c>
      <c r="HZ116" t="e">
        <f>AND(#REF!,"AAAAADrt/+k=")</f>
        <v>#REF!</v>
      </c>
      <c r="IA116" t="e">
        <f>AND(#REF!,"AAAAADrt/+o=")</f>
        <v>#REF!</v>
      </c>
      <c r="IB116" t="e">
        <f>AND(#REF!,"AAAAADrt/+s=")</f>
        <v>#REF!</v>
      </c>
      <c r="IC116" t="e">
        <f>AND(#REF!,"AAAAADrt/+w=")</f>
        <v>#REF!</v>
      </c>
      <c r="ID116" t="e">
        <f>AND(#REF!,"AAAAADrt/+0=")</f>
        <v>#REF!</v>
      </c>
      <c r="IE116" t="e">
        <f>AND(#REF!,"AAAAADrt/+4=")</f>
        <v>#REF!</v>
      </c>
      <c r="IF116" t="e">
        <f>AND(#REF!,"AAAAADrt/+8=")</f>
        <v>#REF!</v>
      </c>
      <c r="IG116" t="e">
        <f>AND(#REF!,"AAAAADrt//A=")</f>
        <v>#REF!</v>
      </c>
      <c r="IH116" t="e">
        <f>AND(#REF!,"AAAAADrt//E=")</f>
        <v>#REF!</v>
      </c>
      <c r="II116" t="e">
        <f>AND(#REF!,"AAAAADrt//I=")</f>
        <v>#REF!</v>
      </c>
      <c r="IJ116" t="e">
        <f>AND(#REF!,"AAAAADrt//M=")</f>
        <v>#REF!</v>
      </c>
      <c r="IK116" t="e">
        <f>AND(#REF!,"AAAAADrt//Q=")</f>
        <v>#REF!</v>
      </c>
      <c r="IL116" t="e">
        <f>AND(#REF!,"AAAAADrt//U=")</f>
        <v>#REF!</v>
      </c>
      <c r="IM116" t="e">
        <f>AND(#REF!,"AAAAADrt//Y=")</f>
        <v>#REF!</v>
      </c>
      <c r="IN116" t="e">
        <f>AND(#REF!,"AAAAADrt//c=")</f>
        <v>#REF!</v>
      </c>
      <c r="IO116" t="e">
        <f>AND(#REF!,"AAAAADrt//g=")</f>
        <v>#REF!</v>
      </c>
      <c r="IP116" t="e">
        <f>AND(#REF!,"AAAAADrt//k=")</f>
        <v>#REF!</v>
      </c>
      <c r="IQ116" t="e">
        <f>AND(#REF!,"AAAAADrt//o=")</f>
        <v>#REF!</v>
      </c>
      <c r="IR116" t="e">
        <f>AND(#REF!,"AAAAADrt//s=")</f>
        <v>#REF!</v>
      </c>
      <c r="IS116" t="e">
        <f>AND(#REF!,"AAAAADrt//w=")</f>
        <v>#REF!</v>
      </c>
      <c r="IT116" t="e">
        <f>AND(#REF!,"AAAAADrt//0=")</f>
        <v>#REF!</v>
      </c>
      <c r="IU116" t="e">
        <f>AND(#REF!,"AAAAADrt//4=")</f>
        <v>#REF!</v>
      </c>
      <c r="IV116" t="e">
        <f>AND(#REF!,"AAAAADrt//8=")</f>
        <v>#REF!</v>
      </c>
    </row>
    <row r="117" spans="1:256" x14ac:dyDescent="0.25">
      <c r="A117" t="e">
        <f>AND(#REF!,"AAAAAHzX7wA=")</f>
        <v>#REF!</v>
      </c>
      <c r="B117" t="e">
        <f>AND(#REF!,"AAAAAHzX7wE=")</f>
        <v>#REF!</v>
      </c>
      <c r="C117" t="e">
        <f>AND(#REF!,"AAAAAHzX7wI=")</f>
        <v>#REF!</v>
      </c>
      <c r="D117" t="e">
        <f>AND(#REF!,"AAAAAHzX7wM=")</f>
        <v>#REF!</v>
      </c>
      <c r="E117" t="e">
        <f>AND(#REF!,"AAAAAHzX7wQ=")</f>
        <v>#REF!</v>
      </c>
      <c r="F117" t="e">
        <f>AND(#REF!,"AAAAAHzX7wU=")</f>
        <v>#REF!</v>
      </c>
      <c r="G117" t="e">
        <f>AND(#REF!,"AAAAAHzX7wY=")</f>
        <v>#REF!</v>
      </c>
      <c r="H117" t="e">
        <f>AND(#REF!,"AAAAAHzX7wc=")</f>
        <v>#REF!</v>
      </c>
      <c r="I117" t="e">
        <f>AND(#REF!,"AAAAAHzX7wg=")</f>
        <v>#REF!</v>
      </c>
      <c r="J117" t="e">
        <f>AND(#REF!,"AAAAAHzX7wk=")</f>
        <v>#REF!</v>
      </c>
      <c r="K117" t="e">
        <f>AND(#REF!,"AAAAAHzX7wo=")</f>
        <v>#REF!</v>
      </c>
      <c r="L117" t="e">
        <f>AND(#REF!,"AAAAAHzX7ws=")</f>
        <v>#REF!</v>
      </c>
      <c r="M117" t="e">
        <f>AND(#REF!,"AAAAAHzX7ww=")</f>
        <v>#REF!</v>
      </c>
      <c r="N117" t="e">
        <f>AND(#REF!,"AAAAAHzX7w0=")</f>
        <v>#REF!</v>
      </c>
      <c r="O117" t="e">
        <f>AND(#REF!,"AAAAAHzX7w4=")</f>
        <v>#REF!</v>
      </c>
      <c r="P117" t="e">
        <f>AND(#REF!,"AAAAAHzX7w8=")</f>
        <v>#REF!</v>
      </c>
      <c r="Q117" t="e">
        <f>AND(#REF!,"AAAAAHzX7xA=")</f>
        <v>#REF!</v>
      </c>
      <c r="R117" t="e">
        <f>AND(#REF!,"AAAAAHzX7xE=")</f>
        <v>#REF!</v>
      </c>
      <c r="S117" t="e">
        <f>AND(#REF!,"AAAAAHzX7xI=")</f>
        <v>#REF!</v>
      </c>
      <c r="T117" t="e">
        <f>AND(#REF!,"AAAAAHzX7xM=")</f>
        <v>#REF!</v>
      </c>
      <c r="U117" t="e">
        <f>AND(#REF!,"AAAAAHzX7xQ=")</f>
        <v>#REF!</v>
      </c>
      <c r="V117" t="e">
        <f>AND(#REF!,"AAAAAHzX7xU=")</f>
        <v>#REF!</v>
      </c>
      <c r="W117" t="e">
        <f>AND(#REF!,"AAAAAHzX7xY=")</f>
        <v>#REF!</v>
      </c>
      <c r="X117" t="e">
        <f>AND(#REF!,"AAAAAHzX7xc=")</f>
        <v>#REF!</v>
      </c>
      <c r="Y117" t="e">
        <f>AND(#REF!,"AAAAAHzX7xg=")</f>
        <v>#REF!</v>
      </c>
      <c r="Z117" t="e">
        <f>AND(#REF!,"AAAAAHzX7xk=")</f>
        <v>#REF!</v>
      </c>
      <c r="AA117" t="e">
        <f>AND(#REF!,"AAAAAHzX7xo=")</f>
        <v>#REF!</v>
      </c>
      <c r="AB117" t="e">
        <f>AND(#REF!,"AAAAAHzX7xs=")</f>
        <v>#REF!</v>
      </c>
      <c r="AC117" t="e">
        <f>AND(#REF!,"AAAAAHzX7xw=")</f>
        <v>#REF!</v>
      </c>
      <c r="AD117" t="e">
        <f>AND(#REF!,"AAAAAHzX7x0=")</f>
        <v>#REF!</v>
      </c>
      <c r="AE117" t="e">
        <f>AND(#REF!,"AAAAAHzX7x4=")</f>
        <v>#REF!</v>
      </c>
      <c r="AF117" t="e">
        <f>AND(#REF!,"AAAAAHzX7x8=")</f>
        <v>#REF!</v>
      </c>
      <c r="AG117" t="e">
        <f>AND(#REF!,"AAAAAHzX7yA=")</f>
        <v>#REF!</v>
      </c>
      <c r="AH117" t="e">
        <f>AND(#REF!,"AAAAAHzX7yE=")</f>
        <v>#REF!</v>
      </c>
      <c r="AI117" t="e">
        <f>AND(#REF!,"AAAAAHzX7yI=")</f>
        <v>#REF!</v>
      </c>
      <c r="AJ117" t="e">
        <f>AND(#REF!,"AAAAAHzX7yM=")</f>
        <v>#REF!</v>
      </c>
      <c r="AK117" t="e">
        <f>AND(#REF!,"AAAAAHzX7yQ=")</f>
        <v>#REF!</v>
      </c>
      <c r="AL117" t="e">
        <f>AND(#REF!,"AAAAAHzX7yU=")</f>
        <v>#REF!</v>
      </c>
      <c r="AM117" t="e">
        <f>AND(#REF!,"AAAAAHzX7yY=")</f>
        <v>#REF!</v>
      </c>
      <c r="AN117" t="e">
        <f>AND(#REF!,"AAAAAHzX7yc=")</f>
        <v>#REF!</v>
      </c>
      <c r="AO117" t="e">
        <f>AND(#REF!,"AAAAAHzX7yg=")</f>
        <v>#REF!</v>
      </c>
      <c r="AP117" t="e">
        <f>AND(#REF!,"AAAAAHzX7yk=")</f>
        <v>#REF!</v>
      </c>
      <c r="AQ117" t="e">
        <f>AND(#REF!,"AAAAAHzX7yo=")</f>
        <v>#REF!</v>
      </c>
      <c r="AR117" t="e">
        <f>AND(#REF!,"AAAAAHzX7ys=")</f>
        <v>#REF!</v>
      </c>
      <c r="AS117" t="e">
        <f>AND(#REF!,"AAAAAHzX7yw=")</f>
        <v>#REF!</v>
      </c>
      <c r="AT117" t="e">
        <f>AND(#REF!,"AAAAAHzX7y0=")</f>
        <v>#REF!</v>
      </c>
      <c r="AU117" t="e">
        <f>AND(#REF!,"AAAAAHzX7y4=")</f>
        <v>#REF!</v>
      </c>
      <c r="AV117" t="e">
        <f>AND(#REF!,"AAAAAHzX7y8=")</f>
        <v>#REF!</v>
      </c>
      <c r="AW117" t="e">
        <f>AND(#REF!,"AAAAAHzX7zA=")</f>
        <v>#REF!</v>
      </c>
      <c r="AX117" t="e">
        <f>AND(#REF!,"AAAAAHzX7zE=")</f>
        <v>#REF!</v>
      </c>
      <c r="AY117" t="e">
        <f>AND(#REF!,"AAAAAHzX7zI=")</f>
        <v>#REF!</v>
      </c>
      <c r="AZ117" t="e">
        <f>AND(#REF!,"AAAAAHzX7zM=")</f>
        <v>#REF!</v>
      </c>
      <c r="BA117" t="e">
        <f>AND(#REF!,"AAAAAHzX7zQ=")</f>
        <v>#REF!</v>
      </c>
      <c r="BB117" t="e">
        <f>AND(#REF!,"AAAAAHzX7zU=")</f>
        <v>#REF!</v>
      </c>
      <c r="BC117" t="e">
        <f>AND(#REF!,"AAAAAHzX7zY=")</f>
        <v>#REF!</v>
      </c>
      <c r="BD117" t="e">
        <f>AND(#REF!,"AAAAAHzX7zc=")</f>
        <v>#REF!</v>
      </c>
      <c r="BE117" t="e">
        <f>AND(#REF!,"AAAAAHzX7zg=")</f>
        <v>#REF!</v>
      </c>
      <c r="BF117" t="e">
        <f>AND(#REF!,"AAAAAHzX7zk=")</f>
        <v>#REF!</v>
      </c>
      <c r="BG117" t="e">
        <f>AND(#REF!,"AAAAAHzX7zo=")</f>
        <v>#REF!</v>
      </c>
      <c r="BH117" t="e">
        <f>AND(#REF!,"AAAAAHzX7zs=")</f>
        <v>#REF!</v>
      </c>
      <c r="BI117" t="e">
        <f>AND(#REF!,"AAAAAHzX7zw=")</f>
        <v>#REF!</v>
      </c>
      <c r="BJ117" t="e">
        <f>AND(#REF!,"AAAAAHzX7z0=")</f>
        <v>#REF!</v>
      </c>
      <c r="BK117" t="e">
        <f>AND(#REF!,"AAAAAHzX7z4=")</f>
        <v>#REF!</v>
      </c>
      <c r="BL117" t="e">
        <f>AND(#REF!,"AAAAAHzX7z8=")</f>
        <v>#REF!</v>
      </c>
      <c r="BM117" t="e">
        <f>AND(#REF!,"AAAAAHzX70A=")</f>
        <v>#REF!</v>
      </c>
      <c r="BN117" t="e">
        <f>AND(#REF!,"AAAAAHzX70E=")</f>
        <v>#REF!</v>
      </c>
      <c r="BO117" t="e">
        <f>AND(#REF!,"AAAAAHzX70I=")</f>
        <v>#REF!</v>
      </c>
      <c r="BP117" t="e">
        <f>AND(#REF!,"AAAAAHzX70M=")</f>
        <v>#REF!</v>
      </c>
      <c r="BQ117" t="e">
        <f>AND(#REF!,"AAAAAHzX70Q=")</f>
        <v>#REF!</v>
      </c>
      <c r="BR117" t="e">
        <f>AND(#REF!,"AAAAAHzX70U=")</f>
        <v>#REF!</v>
      </c>
      <c r="BS117" t="e">
        <f>AND(#REF!,"AAAAAHzX70Y=")</f>
        <v>#REF!</v>
      </c>
      <c r="BT117" t="e">
        <f>AND(#REF!,"AAAAAHzX70c=")</f>
        <v>#REF!</v>
      </c>
      <c r="BU117" t="e">
        <f>AND(#REF!,"AAAAAHzX70g=")</f>
        <v>#REF!</v>
      </c>
      <c r="BV117" t="e">
        <f>AND(#REF!,"AAAAAHzX70k=")</f>
        <v>#REF!</v>
      </c>
      <c r="BW117" t="e">
        <f>AND(#REF!,"AAAAAHzX70o=")</f>
        <v>#REF!</v>
      </c>
      <c r="BX117" t="e">
        <f>AND(#REF!,"AAAAAHzX70s=")</f>
        <v>#REF!</v>
      </c>
      <c r="BY117" t="e">
        <f>AND(#REF!,"AAAAAHzX70w=")</f>
        <v>#REF!</v>
      </c>
      <c r="BZ117" t="e">
        <f>AND(#REF!,"AAAAAHzX700=")</f>
        <v>#REF!</v>
      </c>
      <c r="CA117" t="e">
        <f>AND(#REF!,"AAAAAHzX704=")</f>
        <v>#REF!</v>
      </c>
      <c r="CB117" t="e">
        <f>AND(#REF!,"AAAAAHzX708=")</f>
        <v>#REF!</v>
      </c>
      <c r="CC117" t="e">
        <f>AND(#REF!,"AAAAAHzX71A=")</f>
        <v>#REF!</v>
      </c>
      <c r="CD117" t="e">
        <f>AND(#REF!,"AAAAAHzX71E=")</f>
        <v>#REF!</v>
      </c>
      <c r="CE117" t="e">
        <f>AND(#REF!,"AAAAAHzX71I=")</f>
        <v>#REF!</v>
      </c>
      <c r="CF117" t="e">
        <f>AND(#REF!,"AAAAAHzX71M=")</f>
        <v>#REF!</v>
      </c>
      <c r="CG117" t="e">
        <f>AND(#REF!,"AAAAAHzX71Q=")</f>
        <v>#REF!</v>
      </c>
      <c r="CH117" t="e">
        <f>AND(#REF!,"AAAAAHzX71U=")</f>
        <v>#REF!</v>
      </c>
      <c r="CI117" t="e">
        <f>AND(#REF!,"AAAAAHzX71Y=")</f>
        <v>#REF!</v>
      </c>
      <c r="CJ117" t="e">
        <f>AND(#REF!,"AAAAAHzX71c=")</f>
        <v>#REF!</v>
      </c>
      <c r="CK117" t="e">
        <f>AND(#REF!,"AAAAAHzX71g=")</f>
        <v>#REF!</v>
      </c>
      <c r="CL117" t="e">
        <f>AND(#REF!,"AAAAAHzX71k=")</f>
        <v>#REF!</v>
      </c>
      <c r="CM117" t="e">
        <f>AND(#REF!,"AAAAAHzX71o=")</f>
        <v>#REF!</v>
      </c>
      <c r="CN117" t="e">
        <f>AND(#REF!,"AAAAAHzX71s=")</f>
        <v>#REF!</v>
      </c>
      <c r="CO117" t="e">
        <f>AND(#REF!,"AAAAAHzX71w=")</f>
        <v>#REF!</v>
      </c>
      <c r="CP117" t="e">
        <f>AND(#REF!,"AAAAAHzX710=")</f>
        <v>#REF!</v>
      </c>
      <c r="CQ117" t="e">
        <f>AND(#REF!,"AAAAAHzX714=")</f>
        <v>#REF!</v>
      </c>
      <c r="CR117" t="e">
        <f>AND(#REF!,"AAAAAHzX718=")</f>
        <v>#REF!</v>
      </c>
      <c r="CS117" t="e">
        <f>AND(#REF!,"AAAAAHzX72A=")</f>
        <v>#REF!</v>
      </c>
      <c r="CT117" t="e">
        <f>AND(#REF!,"AAAAAHzX72E=")</f>
        <v>#REF!</v>
      </c>
      <c r="CU117" t="e">
        <f>AND(#REF!,"AAAAAHzX72I=")</f>
        <v>#REF!</v>
      </c>
      <c r="CV117" t="e">
        <f>AND(#REF!,"AAAAAHzX72M=")</f>
        <v>#REF!</v>
      </c>
      <c r="CW117" t="e">
        <f>AND(#REF!,"AAAAAHzX72Q=")</f>
        <v>#REF!</v>
      </c>
      <c r="CX117" t="e">
        <f>AND(#REF!,"AAAAAHzX72U=")</f>
        <v>#REF!</v>
      </c>
      <c r="CY117" t="e">
        <f>AND(#REF!,"AAAAAHzX72Y=")</f>
        <v>#REF!</v>
      </c>
      <c r="CZ117" t="e">
        <f>AND(#REF!,"AAAAAHzX72c=")</f>
        <v>#REF!</v>
      </c>
      <c r="DA117" t="e">
        <f>AND(#REF!,"AAAAAHzX72g=")</f>
        <v>#REF!</v>
      </c>
      <c r="DB117" t="e">
        <f>AND(#REF!,"AAAAAHzX72k=")</f>
        <v>#REF!</v>
      </c>
      <c r="DC117" t="e">
        <f>AND(#REF!,"AAAAAHzX72o=")</f>
        <v>#REF!</v>
      </c>
      <c r="DD117" t="e">
        <f>AND(#REF!,"AAAAAHzX72s=")</f>
        <v>#REF!</v>
      </c>
      <c r="DE117" t="e">
        <f>AND(#REF!,"AAAAAHzX72w=")</f>
        <v>#REF!</v>
      </c>
      <c r="DF117" t="e">
        <f>AND(#REF!,"AAAAAHzX720=")</f>
        <v>#REF!</v>
      </c>
      <c r="DG117" t="e">
        <f>AND(#REF!,"AAAAAHzX724=")</f>
        <v>#REF!</v>
      </c>
      <c r="DH117" t="e">
        <f>AND(#REF!,"AAAAAHzX728=")</f>
        <v>#REF!</v>
      </c>
      <c r="DI117" t="e">
        <f>AND(#REF!,"AAAAAHzX73A=")</f>
        <v>#REF!</v>
      </c>
      <c r="DJ117" t="e">
        <f>AND(#REF!,"AAAAAHzX73E=")</f>
        <v>#REF!</v>
      </c>
      <c r="DK117" t="e">
        <f>AND(#REF!,"AAAAAHzX73I=")</f>
        <v>#REF!</v>
      </c>
      <c r="DL117" t="e">
        <f>AND(#REF!,"AAAAAHzX73M=")</f>
        <v>#REF!</v>
      </c>
      <c r="DM117" t="e">
        <f>AND(#REF!,"AAAAAHzX73Q=")</f>
        <v>#REF!</v>
      </c>
      <c r="DN117" t="e">
        <f>AND(#REF!,"AAAAAHzX73U=")</f>
        <v>#REF!</v>
      </c>
      <c r="DO117" t="e">
        <f>AND(#REF!,"AAAAAHzX73Y=")</f>
        <v>#REF!</v>
      </c>
      <c r="DP117" t="e">
        <f>AND(#REF!,"AAAAAHzX73c=")</f>
        <v>#REF!</v>
      </c>
      <c r="DQ117" t="e">
        <f>AND(#REF!,"AAAAAHzX73g=")</f>
        <v>#REF!</v>
      </c>
      <c r="DR117" t="e">
        <f>AND(#REF!,"AAAAAHzX73k=")</f>
        <v>#REF!</v>
      </c>
      <c r="DS117" t="e">
        <f>AND(#REF!,"AAAAAHzX73o=")</f>
        <v>#REF!</v>
      </c>
      <c r="DT117" t="e">
        <f>AND(#REF!,"AAAAAHzX73s=")</f>
        <v>#REF!</v>
      </c>
      <c r="DU117" t="e">
        <f>AND(#REF!,"AAAAAHzX73w=")</f>
        <v>#REF!</v>
      </c>
      <c r="DV117" t="e">
        <f>AND(#REF!,"AAAAAHzX730=")</f>
        <v>#REF!</v>
      </c>
      <c r="DW117" t="e">
        <f>AND(#REF!,"AAAAAHzX734=")</f>
        <v>#REF!</v>
      </c>
      <c r="DX117" t="e">
        <f>AND(#REF!,"AAAAAHzX738=")</f>
        <v>#REF!</v>
      </c>
      <c r="DY117" t="e">
        <f>AND(#REF!,"AAAAAHzX74A=")</f>
        <v>#REF!</v>
      </c>
      <c r="DZ117" t="e">
        <f>AND(#REF!,"AAAAAHzX74E=")</f>
        <v>#REF!</v>
      </c>
      <c r="EA117" t="e">
        <f>AND(#REF!,"AAAAAHzX74I=")</f>
        <v>#REF!</v>
      </c>
      <c r="EB117" t="e">
        <f>IF(#REF!,"AAAAAHzX74M=",0)</f>
        <v>#REF!</v>
      </c>
      <c r="EC117" t="e">
        <f>AND(#REF!,"AAAAAHzX74Q=")</f>
        <v>#REF!</v>
      </c>
      <c r="ED117" t="e">
        <f>AND(#REF!,"AAAAAHzX74U=")</f>
        <v>#REF!</v>
      </c>
      <c r="EE117" t="e">
        <f>AND(#REF!,"AAAAAHzX74Y=")</f>
        <v>#REF!</v>
      </c>
      <c r="EF117" t="e">
        <f>AND(#REF!,"AAAAAHzX74c=")</f>
        <v>#REF!</v>
      </c>
      <c r="EG117" t="e">
        <f>AND(#REF!,"AAAAAHzX74g=")</f>
        <v>#REF!</v>
      </c>
      <c r="EH117" t="e">
        <f>AND(#REF!,"AAAAAHzX74k=")</f>
        <v>#REF!</v>
      </c>
      <c r="EI117" t="e">
        <f>AND(#REF!,"AAAAAHzX74o=")</f>
        <v>#REF!</v>
      </c>
      <c r="EJ117" t="e">
        <f>AND(#REF!,"AAAAAHzX74s=")</f>
        <v>#REF!</v>
      </c>
      <c r="EK117" t="e">
        <f>AND(#REF!,"AAAAAHzX74w=")</f>
        <v>#REF!</v>
      </c>
      <c r="EL117" t="e">
        <f>AND(#REF!,"AAAAAHzX740=")</f>
        <v>#REF!</v>
      </c>
      <c r="EM117" t="e">
        <f>AND(#REF!,"AAAAAHzX744=")</f>
        <v>#REF!</v>
      </c>
      <c r="EN117" t="e">
        <f>AND(#REF!,"AAAAAHzX748=")</f>
        <v>#REF!</v>
      </c>
      <c r="EO117" t="e">
        <f>AND(#REF!,"AAAAAHzX75A=")</f>
        <v>#REF!</v>
      </c>
      <c r="EP117" t="e">
        <f>AND(#REF!,"AAAAAHzX75E=")</f>
        <v>#REF!</v>
      </c>
      <c r="EQ117" t="e">
        <f>AND(#REF!,"AAAAAHzX75I=")</f>
        <v>#REF!</v>
      </c>
      <c r="ER117" t="e">
        <f>AND(#REF!,"AAAAAHzX75M=")</f>
        <v>#REF!</v>
      </c>
      <c r="ES117" t="e">
        <f>AND(#REF!,"AAAAAHzX75Q=")</f>
        <v>#REF!</v>
      </c>
      <c r="ET117" t="e">
        <f>AND(#REF!,"AAAAAHzX75U=")</f>
        <v>#REF!</v>
      </c>
      <c r="EU117" t="e">
        <f>AND(#REF!,"AAAAAHzX75Y=")</f>
        <v>#REF!</v>
      </c>
      <c r="EV117" t="e">
        <f>AND(#REF!,"AAAAAHzX75c=")</f>
        <v>#REF!</v>
      </c>
      <c r="EW117" t="e">
        <f>AND(#REF!,"AAAAAHzX75g=")</f>
        <v>#REF!</v>
      </c>
      <c r="EX117" t="e">
        <f>AND(#REF!,"AAAAAHzX75k=")</f>
        <v>#REF!</v>
      </c>
      <c r="EY117" t="e">
        <f>AND(#REF!,"AAAAAHzX75o=")</f>
        <v>#REF!</v>
      </c>
      <c r="EZ117" t="e">
        <f>AND(#REF!,"AAAAAHzX75s=")</f>
        <v>#REF!</v>
      </c>
      <c r="FA117" t="e">
        <f>AND(#REF!,"AAAAAHzX75w=")</f>
        <v>#REF!</v>
      </c>
      <c r="FB117" t="e">
        <f>AND(#REF!,"AAAAAHzX750=")</f>
        <v>#REF!</v>
      </c>
      <c r="FC117" t="e">
        <f>AND(#REF!,"AAAAAHzX754=")</f>
        <v>#REF!</v>
      </c>
      <c r="FD117" t="e">
        <f>AND(#REF!,"AAAAAHzX758=")</f>
        <v>#REF!</v>
      </c>
      <c r="FE117" t="e">
        <f>AND(#REF!,"AAAAAHzX76A=")</f>
        <v>#REF!</v>
      </c>
      <c r="FF117" t="e">
        <f>AND(#REF!,"AAAAAHzX76E=")</f>
        <v>#REF!</v>
      </c>
      <c r="FG117" t="e">
        <f>AND(#REF!,"AAAAAHzX76I=")</f>
        <v>#REF!</v>
      </c>
      <c r="FH117" t="e">
        <f>AND(#REF!,"AAAAAHzX76M=")</f>
        <v>#REF!</v>
      </c>
      <c r="FI117" t="e">
        <f>AND(#REF!,"AAAAAHzX76Q=")</f>
        <v>#REF!</v>
      </c>
      <c r="FJ117" t="e">
        <f>AND(#REF!,"AAAAAHzX76U=")</f>
        <v>#REF!</v>
      </c>
      <c r="FK117" t="e">
        <f>AND(#REF!,"AAAAAHzX76Y=")</f>
        <v>#REF!</v>
      </c>
      <c r="FL117" t="e">
        <f>AND(#REF!,"AAAAAHzX76c=")</f>
        <v>#REF!</v>
      </c>
      <c r="FM117" t="e">
        <f>AND(#REF!,"AAAAAHzX76g=")</f>
        <v>#REF!</v>
      </c>
      <c r="FN117" t="e">
        <f>AND(#REF!,"AAAAAHzX76k=")</f>
        <v>#REF!</v>
      </c>
      <c r="FO117" t="e">
        <f>AND(#REF!,"AAAAAHzX76o=")</f>
        <v>#REF!</v>
      </c>
      <c r="FP117" t="e">
        <f>AND(#REF!,"AAAAAHzX76s=")</f>
        <v>#REF!</v>
      </c>
      <c r="FQ117" t="e">
        <f>AND(#REF!,"AAAAAHzX76w=")</f>
        <v>#REF!</v>
      </c>
      <c r="FR117" t="e">
        <f>AND(#REF!,"AAAAAHzX760=")</f>
        <v>#REF!</v>
      </c>
      <c r="FS117" t="e">
        <f>AND(#REF!,"AAAAAHzX764=")</f>
        <v>#REF!</v>
      </c>
      <c r="FT117" t="e">
        <f>AND(#REF!,"AAAAAHzX768=")</f>
        <v>#REF!</v>
      </c>
      <c r="FU117" t="e">
        <f>AND(#REF!,"AAAAAHzX77A=")</f>
        <v>#REF!</v>
      </c>
      <c r="FV117" t="e">
        <f>AND(#REF!,"AAAAAHzX77E=")</f>
        <v>#REF!</v>
      </c>
      <c r="FW117" t="e">
        <f>AND(#REF!,"AAAAAHzX77I=")</f>
        <v>#REF!</v>
      </c>
      <c r="FX117" t="e">
        <f>AND(#REF!,"AAAAAHzX77M=")</f>
        <v>#REF!</v>
      </c>
      <c r="FY117" t="e">
        <f>AND(#REF!,"AAAAAHzX77Q=")</f>
        <v>#REF!</v>
      </c>
      <c r="FZ117" t="e">
        <f>AND(#REF!,"AAAAAHzX77U=")</f>
        <v>#REF!</v>
      </c>
      <c r="GA117" t="e">
        <f>AND(#REF!,"AAAAAHzX77Y=")</f>
        <v>#REF!</v>
      </c>
      <c r="GB117" t="e">
        <f>AND(#REF!,"AAAAAHzX77c=")</f>
        <v>#REF!</v>
      </c>
      <c r="GC117" t="e">
        <f>AND(#REF!,"AAAAAHzX77g=")</f>
        <v>#REF!</v>
      </c>
      <c r="GD117" t="e">
        <f>AND(#REF!,"AAAAAHzX77k=")</f>
        <v>#REF!</v>
      </c>
      <c r="GE117" t="e">
        <f>AND(#REF!,"AAAAAHzX77o=")</f>
        <v>#REF!</v>
      </c>
      <c r="GF117" t="e">
        <f>AND(#REF!,"AAAAAHzX77s=")</f>
        <v>#REF!</v>
      </c>
      <c r="GG117" t="e">
        <f>AND(#REF!,"AAAAAHzX77w=")</f>
        <v>#REF!</v>
      </c>
      <c r="GH117" t="e">
        <f>AND(#REF!,"AAAAAHzX770=")</f>
        <v>#REF!</v>
      </c>
      <c r="GI117" t="e">
        <f>AND(#REF!,"AAAAAHzX774=")</f>
        <v>#REF!</v>
      </c>
      <c r="GJ117" t="e">
        <f>AND(#REF!,"AAAAAHzX778=")</f>
        <v>#REF!</v>
      </c>
      <c r="GK117" t="e">
        <f>AND(#REF!,"AAAAAHzX78A=")</f>
        <v>#REF!</v>
      </c>
      <c r="GL117" t="e">
        <f>AND(#REF!,"AAAAAHzX78E=")</f>
        <v>#REF!</v>
      </c>
      <c r="GM117" t="e">
        <f>AND(#REF!,"AAAAAHzX78I=")</f>
        <v>#REF!</v>
      </c>
      <c r="GN117" t="e">
        <f>AND(#REF!,"AAAAAHzX78M=")</f>
        <v>#REF!</v>
      </c>
      <c r="GO117" t="e">
        <f>AND(#REF!,"AAAAAHzX78Q=")</f>
        <v>#REF!</v>
      </c>
      <c r="GP117" t="e">
        <f>AND(#REF!,"AAAAAHzX78U=")</f>
        <v>#REF!</v>
      </c>
      <c r="GQ117" t="e">
        <f>AND(#REF!,"AAAAAHzX78Y=")</f>
        <v>#REF!</v>
      </c>
      <c r="GR117" t="e">
        <f>AND(#REF!,"AAAAAHzX78c=")</f>
        <v>#REF!</v>
      </c>
      <c r="GS117" t="e">
        <f>AND(#REF!,"AAAAAHzX78g=")</f>
        <v>#REF!</v>
      </c>
      <c r="GT117" t="e">
        <f>AND(#REF!,"AAAAAHzX78k=")</f>
        <v>#REF!</v>
      </c>
      <c r="GU117" t="e">
        <f>AND(#REF!,"AAAAAHzX78o=")</f>
        <v>#REF!</v>
      </c>
      <c r="GV117" t="e">
        <f>AND(#REF!,"AAAAAHzX78s=")</f>
        <v>#REF!</v>
      </c>
      <c r="GW117" t="e">
        <f>AND(#REF!,"AAAAAHzX78w=")</f>
        <v>#REF!</v>
      </c>
      <c r="GX117" t="e">
        <f>AND(#REF!,"AAAAAHzX780=")</f>
        <v>#REF!</v>
      </c>
      <c r="GY117" t="e">
        <f>AND(#REF!,"AAAAAHzX784=")</f>
        <v>#REF!</v>
      </c>
      <c r="GZ117" t="e">
        <f>AND(#REF!,"AAAAAHzX788=")</f>
        <v>#REF!</v>
      </c>
      <c r="HA117" t="e">
        <f>AND(#REF!,"AAAAAHzX79A=")</f>
        <v>#REF!</v>
      </c>
      <c r="HB117" t="e">
        <f>AND(#REF!,"AAAAAHzX79E=")</f>
        <v>#REF!</v>
      </c>
      <c r="HC117" t="e">
        <f>AND(#REF!,"AAAAAHzX79I=")</f>
        <v>#REF!</v>
      </c>
      <c r="HD117" t="e">
        <f>AND(#REF!,"AAAAAHzX79M=")</f>
        <v>#REF!</v>
      </c>
      <c r="HE117" t="e">
        <f>AND(#REF!,"AAAAAHzX79Q=")</f>
        <v>#REF!</v>
      </c>
      <c r="HF117" t="e">
        <f>AND(#REF!,"AAAAAHzX79U=")</f>
        <v>#REF!</v>
      </c>
      <c r="HG117" t="e">
        <f>AND(#REF!,"AAAAAHzX79Y=")</f>
        <v>#REF!</v>
      </c>
      <c r="HH117" t="e">
        <f>AND(#REF!,"AAAAAHzX79c=")</f>
        <v>#REF!</v>
      </c>
      <c r="HI117" t="e">
        <f>AND(#REF!,"AAAAAHzX79g=")</f>
        <v>#REF!</v>
      </c>
      <c r="HJ117" t="e">
        <f>AND(#REF!,"AAAAAHzX79k=")</f>
        <v>#REF!</v>
      </c>
      <c r="HK117" t="e">
        <f>AND(#REF!,"AAAAAHzX79o=")</f>
        <v>#REF!</v>
      </c>
      <c r="HL117" t="e">
        <f>AND(#REF!,"AAAAAHzX79s=")</f>
        <v>#REF!</v>
      </c>
      <c r="HM117" t="e">
        <f>AND(#REF!,"AAAAAHzX79w=")</f>
        <v>#REF!</v>
      </c>
      <c r="HN117" t="e">
        <f>AND(#REF!,"AAAAAHzX790=")</f>
        <v>#REF!</v>
      </c>
      <c r="HO117" t="e">
        <f>AND(#REF!,"AAAAAHzX794=")</f>
        <v>#REF!</v>
      </c>
      <c r="HP117" t="e">
        <f>AND(#REF!,"AAAAAHzX798=")</f>
        <v>#REF!</v>
      </c>
      <c r="HQ117" t="e">
        <f>AND(#REF!,"AAAAAHzX7+A=")</f>
        <v>#REF!</v>
      </c>
      <c r="HR117" t="e">
        <f>AND(#REF!,"AAAAAHzX7+E=")</f>
        <v>#REF!</v>
      </c>
      <c r="HS117" t="e">
        <f>AND(#REF!,"AAAAAHzX7+I=")</f>
        <v>#REF!</v>
      </c>
      <c r="HT117" t="e">
        <f>AND(#REF!,"AAAAAHzX7+M=")</f>
        <v>#REF!</v>
      </c>
      <c r="HU117" t="e">
        <f>AND(#REF!,"AAAAAHzX7+Q=")</f>
        <v>#REF!</v>
      </c>
      <c r="HV117" t="e">
        <f>AND(#REF!,"AAAAAHzX7+U=")</f>
        <v>#REF!</v>
      </c>
      <c r="HW117" t="e">
        <f>AND(#REF!,"AAAAAHzX7+Y=")</f>
        <v>#REF!</v>
      </c>
      <c r="HX117" t="e">
        <f>AND(#REF!,"AAAAAHzX7+c=")</f>
        <v>#REF!</v>
      </c>
      <c r="HY117" t="e">
        <f>AND(#REF!,"AAAAAHzX7+g=")</f>
        <v>#REF!</v>
      </c>
      <c r="HZ117" t="e">
        <f>AND(#REF!,"AAAAAHzX7+k=")</f>
        <v>#REF!</v>
      </c>
      <c r="IA117" t="e">
        <f>AND(#REF!,"AAAAAHzX7+o=")</f>
        <v>#REF!</v>
      </c>
      <c r="IB117" t="e">
        <f>AND(#REF!,"AAAAAHzX7+s=")</f>
        <v>#REF!</v>
      </c>
      <c r="IC117" t="e">
        <f>AND(#REF!,"AAAAAHzX7+w=")</f>
        <v>#REF!</v>
      </c>
      <c r="ID117" t="e">
        <f>AND(#REF!,"AAAAAHzX7+0=")</f>
        <v>#REF!</v>
      </c>
      <c r="IE117" t="e">
        <f>AND(#REF!,"AAAAAHzX7+4=")</f>
        <v>#REF!</v>
      </c>
      <c r="IF117" t="e">
        <f>AND(#REF!,"AAAAAHzX7+8=")</f>
        <v>#REF!</v>
      </c>
      <c r="IG117" t="e">
        <f>AND(#REF!,"AAAAAHzX7/A=")</f>
        <v>#REF!</v>
      </c>
      <c r="IH117" t="e">
        <f>AND(#REF!,"AAAAAHzX7/E=")</f>
        <v>#REF!</v>
      </c>
      <c r="II117" t="e">
        <f>AND(#REF!,"AAAAAHzX7/I=")</f>
        <v>#REF!</v>
      </c>
      <c r="IJ117" t="e">
        <f>AND(#REF!,"AAAAAHzX7/M=")</f>
        <v>#REF!</v>
      </c>
      <c r="IK117" t="e">
        <f>AND(#REF!,"AAAAAHzX7/Q=")</f>
        <v>#REF!</v>
      </c>
      <c r="IL117" t="e">
        <f>AND(#REF!,"AAAAAHzX7/U=")</f>
        <v>#REF!</v>
      </c>
      <c r="IM117" t="e">
        <f>AND(#REF!,"AAAAAHzX7/Y=")</f>
        <v>#REF!</v>
      </c>
      <c r="IN117" t="e">
        <f>AND(#REF!,"AAAAAHzX7/c=")</f>
        <v>#REF!</v>
      </c>
      <c r="IO117" t="e">
        <f>AND(#REF!,"AAAAAHzX7/g=")</f>
        <v>#REF!</v>
      </c>
      <c r="IP117" t="e">
        <f>AND(#REF!,"AAAAAHzX7/k=")</f>
        <v>#REF!</v>
      </c>
      <c r="IQ117" t="e">
        <f>AND(#REF!,"AAAAAHzX7/o=")</f>
        <v>#REF!</v>
      </c>
      <c r="IR117" t="e">
        <f>AND(#REF!,"AAAAAHzX7/s=")</f>
        <v>#REF!</v>
      </c>
      <c r="IS117" t="e">
        <f>AND(#REF!,"AAAAAHzX7/w=")</f>
        <v>#REF!</v>
      </c>
      <c r="IT117" t="e">
        <f>AND(#REF!,"AAAAAHzX7/0=")</f>
        <v>#REF!</v>
      </c>
      <c r="IU117" t="e">
        <f>AND(#REF!,"AAAAAHzX7/4=")</f>
        <v>#REF!</v>
      </c>
      <c r="IV117" t="e">
        <f>AND(#REF!,"AAAAAHzX7/8=")</f>
        <v>#REF!</v>
      </c>
    </row>
    <row r="118" spans="1:256" x14ac:dyDescent="0.25">
      <c r="A118" t="e">
        <f>AND(#REF!,"AAAAAH7/3wA=")</f>
        <v>#REF!</v>
      </c>
      <c r="B118" t="e">
        <f>AND(#REF!,"AAAAAH7/3wE=")</f>
        <v>#REF!</v>
      </c>
      <c r="C118" t="e">
        <f>AND(#REF!,"AAAAAH7/3wI=")</f>
        <v>#REF!</v>
      </c>
      <c r="D118" t="e">
        <f>AND(#REF!,"AAAAAH7/3wM=")</f>
        <v>#REF!</v>
      </c>
      <c r="E118" t="e">
        <f>AND(#REF!,"AAAAAH7/3wQ=")</f>
        <v>#REF!</v>
      </c>
      <c r="F118" t="e">
        <f>AND(#REF!,"AAAAAH7/3wU=")</f>
        <v>#REF!</v>
      </c>
      <c r="G118" t="e">
        <f>AND(#REF!,"AAAAAH7/3wY=")</f>
        <v>#REF!</v>
      </c>
      <c r="H118" t="e">
        <f>AND(#REF!,"AAAAAH7/3wc=")</f>
        <v>#REF!</v>
      </c>
      <c r="I118" t="e">
        <f>AND(#REF!,"AAAAAH7/3wg=")</f>
        <v>#REF!</v>
      </c>
      <c r="J118" t="e">
        <f>AND(#REF!,"AAAAAH7/3wk=")</f>
        <v>#REF!</v>
      </c>
      <c r="K118" t="e">
        <f>AND(#REF!,"AAAAAH7/3wo=")</f>
        <v>#REF!</v>
      </c>
      <c r="L118" t="e">
        <f>AND(#REF!,"AAAAAH7/3ws=")</f>
        <v>#REF!</v>
      </c>
      <c r="M118" t="e">
        <f>AND(#REF!,"AAAAAH7/3ww=")</f>
        <v>#REF!</v>
      </c>
      <c r="N118" t="e">
        <f>AND(#REF!,"AAAAAH7/3w0=")</f>
        <v>#REF!</v>
      </c>
      <c r="O118" t="e">
        <f>AND(#REF!,"AAAAAH7/3w4=")</f>
        <v>#REF!</v>
      </c>
      <c r="P118" t="e">
        <f>AND(#REF!,"AAAAAH7/3w8=")</f>
        <v>#REF!</v>
      </c>
      <c r="Q118" t="e">
        <f>AND(#REF!,"AAAAAH7/3xA=")</f>
        <v>#REF!</v>
      </c>
      <c r="R118" t="e">
        <f>AND(#REF!,"AAAAAH7/3xE=")</f>
        <v>#REF!</v>
      </c>
      <c r="S118" t="e">
        <f>AND(#REF!,"AAAAAH7/3xI=")</f>
        <v>#REF!</v>
      </c>
      <c r="T118" t="e">
        <f>AND(#REF!,"AAAAAH7/3xM=")</f>
        <v>#REF!</v>
      </c>
      <c r="U118" t="e">
        <f>AND(#REF!,"AAAAAH7/3xQ=")</f>
        <v>#REF!</v>
      </c>
      <c r="V118" t="e">
        <f>AND(#REF!,"AAAAAH7/3xU=")</f>
        <v>#REF!</v>
      </c>
      <c r="W118" t="e">
        <f>AND(#REF!,"AAAAAH7/3xY=")</f>
        <v>#REF!</v>
      </c>
      <c r="X118" t="e">
        <f>AND(#REF!,"AAAAAH7/3xc=")</f>
        <v>#REF!</v>
      </c>
      <c r="Y118" t="e">
        <f>AND(#REF!,"AAAAAH7/3xg=")</f>
        <v>#REF!</v>
      </c>
      <c r="Z118" t="e">
        <f>AND(#REF!,"AAAAAH7/3xk=")</f>
        <v>#REF!</v>
      </c>
      <c r="AA118" t="e">
        <f>AND(#REF!,"AAAAAH7/3xo=")</f>
        <v>#REF!</v>
      </c>
      <c r="AB118" t="e">
        <f>AND(#REF!,"AAAAAH7/3xs=")</f>
        <v>#REF!</v>
      </c>
      <c r="AC118" t="e">
        <f>AND(#REF!,"AAAAAH7/3xw=")</f>
        <v>#REF!</v>
      </c>
      <c r="AD118" t="e">
        <f>AND(#REF!,"AAAAAH7/3x0=")</f>
        <v>#REF!</v>
      </c>
      <c r="AE118" t="e">
        <f>AND(#REF!,"AAAAAH7/3x4=")</f>
        <v>#REF!</v>
      </c>
      <c r="AF118" t="e">
        <f>AND(#REF!,"AAAAAH7/3x8=")</f>
        <v>#REF!</v>
      </c>
      <c r="AG118" t="e">
        <f>AND(#REF!,"AAAAAH7/3yA=")</f>
        <v>#REF!</v>
      </c>
      <c r="AH118" t="e">
        <f>AND(#REF!,"AAAAAH7/3yE=")</f>
        <v>#REF!</v>
      </c>
      <c r="AI118" t="e">
        <f>AND(#REF!,"AAAAAH7/3yI=")</f>
        <v>#REF!</v>
      </c>
      <c r="AJ118" t="e">
        <f>AND(#REF!,"AAAAAH7/3yM=")</f>
        <v>#REF!</v>
      </c>
      <c r="AK118" t="e">
        <f>AND(#REF!,"AAAAAH7/3yQ=")</f>
        <v>#REF!</v>
      </c>
      <c r="AL118" t="e">
        <f>AND(#REF!,"AAAAAH7/3yU=")</f>
        <v>#REF!</v>
      </c>
      <c r="AM118" t="e">
        <f>AND(#REF!,"AAAAAH7/3yY=")</f>
        <v>#REF!</v>
      </c>
      <c r="AN118" t="e">
        <f>AND(#REF!,"AAAAAH7/3yc=")</f>
        <v>#REF!</v>
      </c>
      <c r="AO118" t="e">
        <f>AND(#REF!,"AAAAAH7/3yg=")</f>
        <v>#REF!</v>
      </c>
      <c r="AP118" t="e">
        <f>AND(#REF!,"AAAAAH7/3yk=")</f>
        <v>#REF!</v>
      </c>
      <c r="AQ118" t="e">
        <f>AND(#REF!,"AAAAAH7/3yo=")</f>
        <v>#REF!</v>
      </c>
      <c r="AR118" t="e">
        <f>AND(#REF!,"AAAAAH7/3ys=")</f>
        <v>#REF!</v>
      </c>
      <c r="AS118" t="e">
        <f>AND(#REF!,"AAAAAH7/3yw=")</f>
        <v>#REF!</v>
      </c>
      <c r="AT118" t="e">
        <f>AND(#REF!,"AAAAAH7/3y0=")</f>
        <v>#REF!</v>
      </c>
      <c r="AU118" t="e">
        <f>AND(#REF!,"AAAAAH7/3y4=")</f>
        <v>#REF!</v>
      </c>
      <c r="AV118" t="e">
        <f>AND(#REF!,"AAAAAH7/3y8=")</f>
        <v>#REF!</v>
      </c>
      <c r="AW118" t="e">
        <f>AND(#REF!,"AAAAAH7/3zA=")</f>
        <v>#REF!</v>
      </c>
      <c r="AX118" t="e">
        <f>AND(#REF!,"AAAAAH7/3zE=")</f>
        <v>#REF!</v>
      </c>
      <c r="AY118" t="e">
        <f>AND(#REF!,"AAAAAH7/3zI=")</f>
        <v>#REF!</v>
      </c>
      <c r="AZ118" t="e">
        <f>AND(#REF!,"AAAAAH7/3zM=")</f>
        <v>#REF!</v>
      </c>
      <c r="BA118" t="e">
        <f>AND(#REF!,"AAAAAH7/3zQ=")</f>
        <v>#REF!</v>
      </c>
      <c r="BB118" t="e">
        <f>AND(#REF!,"AAAAAH7/3zU=")</f>
        <v>#REF!</v>
      </c>
      <c r="BC118" t="e">
        <f>AND(#REF!,"AAAAAH7/3zY=")</f>
        <v>#REF!</v>
      </c>
      <c r="BD118" t="e">
        <f>AND(#REF!,"AAAAAH7/3zc=")</f>
        <v>#REF!</v>
      </c>
      <c r="BE118" t="e">
        <f>AND(#REF!,"AAAAAH7/3zg=")</f>
        <v>#REF!</v>
      </c>
      <c r="BF118" t="e">
        <f>AND(#REF!,"AAAAAH7/3zk=")</f>
        <v>#REF!</v>
      </c>
      <c r="BG118" t="e">
        <f>AND(#REF!,"AAAAAH7/3zo=")</f>
        <v>#REF!</v>
      </c>
      <c r="BH118" t="e">
        <f>AND(#REF!,"AAAAAH7/3zs=")</f>
        <v>#REF!</v>
      </c>
      <c r="BI118" t="e">
        <f>AND(#REF!,"AAAAAH7/3zw=")</f>
        <v>#REF!</v>
      </c>
      <c r="BJ118" t="e">
        <f>AND(#REF!,"AAAAAH7/3z0=")</f>
        <v>#REF!</v>
      </c>
      <c r="BK118" t="e">
        <f>AND(#REF!,"AAAAAH7/3z4=")</f>
        <v>#REF!</v>
      </c>
      <c r="BL118" t="e">
        <f>AND(#REF!,"AAAAAH7/3z8=")</f>
        <v>#REF!</v>
      </c>
      <c r="BM118" t="e">
        <f>IF(#REF!,"AAAAAH7/30A=",0)</f>
        <v>#REF!</v>
      </c>
      <c r="BN118" t="e">
        <f>AND(#REF!,"AAAAAH7/30E=")</f>
        <v>#REF!</v>
      </c>
      <c r="BO118" t="e">
        <f>AND(#REF!,"AAAAAH7/30I=")</f>
        <v>#REF!</v>
      </c>
      <c r="BP118" t="e">
        <f>AND(#REF!,"AAAAAH7/30M=")</f>
        <v>#REF!</v>
      </c>
      <c r="BQ118" t="e">
        <f>AND(#REF!,"AAAAAH7/30Q=")</f>
        <v>#REF!</v>
      </c>
      <c r="BR118" t="e">
        <f>AND(#REF!,"AAAAAH7/30U=")</f>
        <v>#REF!</v>
      </c>
      <c r="BS118" t="e">
        <f>AND(#REF!,"AAAAAH7/30Y=")</f>
        <v>#REF!</v>
      </c>
      <c r="BT118" t="e">
        <f>AND(#REF!,"AAAAAH7/30c=")</f>
        <v>#REF!</v>
      </c>
      <c r="BU118" t="e">
        <f>AND(#REF!,"AAAAAH7/30g=")</f>
        <v>#REF!</v>
      </c>
      <c r="BV118" t="e">
        <f>AND(#REF!,"AAAAAH7/30k=")</f>
        <v>#REF!</v>
      </c>
      <c r="BW118" t="e">
        <f>AND(#REF!,"AAAAAH7/30o=")</f>
        <v>#REF!</v>
      </c>
      <c r="BX118" t="e">
        <f>AND(#REF!,"AAAAAH7/30s=")</f>
        <v>#REF!</v>
      </c>
      <c r="BY118" t="e">
        <f>AND(#REF!,"AAAAAH7/30w=")</f>
        <v>#REF!</v>
      </c>
      <c r="BZ118" t="e">
        <f>AND(#REF!,"AAAAAH7/300=")</f>
        <v>#REF!</v>
      </c>
      <c r="CA118" t="e">
        <f>AND(#REF!,"AAAAAH7/304=")</f>
        <v>#REF!</v>
      </c>
      <c r="CB118" t="e">
        <f>AND(#REF!,"AAAAAH7/308=")</f>
        <v>#REF!</v>
      </c>
      <c r="CC118" t="e">
        <f>AND(#REF!,"AAAAAH7/31A=")</f>
        <v>#REF!</v>
      </c>
      <c r="CD118" t="e">
        <f>AND(#REF!,"AAAAAH7/31E=")</f>
        <v>#REF!</v>
      </c>
      <c r="CE118" t="e">
        <f>AND(#REF!,"AAAAAH7/31I=")</f>
        <v>#REF!</v>
      </c>
      <c r="CF118" t="e">
        <f>AND(#REF!,"AAAAAH7/31M=")</f>
        <v>#REF!</v>
      </c>
      <c r="CG118" t="e">
        <f>AND(#REF!,"AAAAAH7/31Q=")</f>
        <v>#REF!</v>
      </c>
      <c r="CH118" t="e">
        <f>AND(#REF!,"AAAAAH7/31U=")</f>
        <v>#REF!</v>
      </c>
      <c r="CI118" t="e">
        <f>AND(#REF!,"AAAAAH7/31Y=")</f>
        <v>#REF!</v>
      </c>
      <c r="CJ118" t="e">
        <f>AND(#REF!,"AAAAAH7/31c=")</f>
        <v>#REF!</v>
      </c>
      <c r="CK118" t="e">
        <f>AND(#REF!,"AAAAAH7/31g=")</f>
        <v>#REF!</v>
      </c>
      <c r="CL118" t="e">
        <f>AND(#REF!,"AAAAAH7/31k=")</f>
        <v>#REF!</v>
      </c>
      <c r="CM118" t="e">
        <f>AND(#REF!,"AAAAAH7/31o=")</f>
        <v>#REF!</v>
      </c>
      <c r="CN118" t="e">
        <f>AND(#REF!,"AAAAAH7/31s=")</f>
        <v>#REF!</v>
      </c>
      <c r="CO118" t="e">
        <f>AND(#REF!,"AAAAAH7/31w=")</f>
        <v>#REF!</v>
      </c>
      <c r="CP118" t="e">
        <f>AND(#REF!,"AAAAAH7/310=")</f>
        <v>#REF!</v>
      </c>
      <c r="CQ118" t="e">
        <f>AND(#REF!,"AAAAAH7/314=")</f>
        <v>#REF!</v>
      </c>
      <c r="CR118" t="e">
        <f>AND(#REF!,"AAAAAH7/318=")</f>
        <v>#REF!</v>
      </c>
      <c r="CS118" t="e">
        <f>AND(#REF!,"AAAAAH7/32A=")</f>
        <v>#REF!</v>
      </c>
      <c r="CT118" t="e">
        <f>AND(#REF!,"AAAAAH7/32E=")</f>
        <v>#REF!</v>
      </c>
      <c r="CU118" t="e">
        <f>AND(#REF!,"AAAAAH7/32I=")</f>
        <v>#REF!</v>
      </c>
      <c r="CV118" t="e">
        <f>AND(#REF!,"AAAAAH7/32M=")</f>
        <v>#REF!</v>
      </c>
      <c r="CW118" t="e">
        <f>AND(#REF!,"AAAAAH7/32Q=")</f>
        <v>#REF!</v>
      </c>
      <c r="CX118" t="e">
        <f>AND(#REF!,"AAAAAH7/32U=")</f>
        <v>#REF!</v>
      </c>
      <c r="CY118" t="e">
        <f>AND(#REF!,"AAAAAH7/32Y=")</f>
        <v>#REF!</v>
      </c>
      <c r="CZ118" t="e">
        <f>AND(#REF!,"AAAAAH7/32c=")</f>
        <v>#REF!</v>
      </c>
      <c r="DA118" t="e">
        <f>AND(#REF!,"AAAAAH7/32g=")</f>
        <v>#REF!</v>
      </c>
      <c r="DB118" t="e">
        <f>AND(#REF!,"AAAAAH7/32k=")</f>
        <v>#REF!</v>
      </c>
      <c r="DC118" t="e">
        <f>AND(#REF!,"AAAAAH7/32o=")</f>
        <v>#REF!</v>
      </c>
      <c r="DD118" t="e">
        <f>AND(#REF!,"AAAAAH7/32s=")</f>
        <v>#REF!</v>
      </c>
      <c r="DE118" t="e">
        <f>AND(#REF!,"AAAAAH7/32w=")</f>
        <v>#REF!</v>
      </c>
      <c r="DF118" t="e">
        <f>AND(#REF!,"AAAAAH7/320=")</f>
        <v>#REF!</v>
      </c>
      <c r="DG118" t="e">
        <f>AND(#REF!,"AAAAAH7/324=")</f>
        <v>#REF!</v>
      </c>
      <c r="DH118" t="e">
        <f>AND(#REF!,"AAAAAH7/328=")</f>
        <v>#REF!</v>
      </c>
      <c r="DI118" t="e">
        <f>AND(#REF!,"AAAAAH7/33A=")</f>
        <v>#REF!</v>
      </c>
      <c r="DJ118" t="e">
        <f>AND(#REF!,"AAAAAH7/33E=")</f>
        <v>#REF!</v>
      </c>
      <c r="DK118" t="e">
        <f>AND(#REF!,"AAAAAH7/33I=")</f>
        <v>#REF!</v>
      </c>
      <c r="DL118" t="e">
        <f>AND(#REF!,"AAAAAH7/33M=")</f>
        <v>#REF!</v>
      </c>
      <c r="DM118" t="e">
        <f>AND(#REF!,"AAAAAH7/33Q=")</f>
        <v>#REF!</v>
      </c>
      <c r="DN118" t="e">
        <f>AND(#REF!,"AAAAAH7/33U=")</f>
        <v>#REF!</v>
      </c>
      <c r="DO118" t="e">
        <f>AND(#REF!,"AAAAAH7/33Y=")</f>
        <v>#REF!</v>
      </c>
      <c r="DP118" t="e">
        <f>AND(#REF!,"AAAAAH7/33c=")</f>
        <v>#REF!</v>
      </c>
      <c r="DQ118" t="e">
        <f>AND(#REF!,"AAAAAH7/33g=")</f>
        <v>#REF!</v>
      </c>
      <c r="DR118" t="e">
        <f>AND(#REF!,"AAAAAH7/33k=")</f>
        <v>#REF!</v>
      </c>
      <c r="DS118" t="e">
        <f>AND(#REF!,"AAAAAH7/33o=")</f>
        <v>#REF!</v>
      </c>
      <c r="DT118" t="e">
        <f>AND(#REF!,"AAAAAH7/33s=")</f>
        <v>#REF!</v>
      </c>
      <c r="DU118" t="e">
        <f>AND(#REF!,"AAAAAH7/33w=")</f>
        <v>#REF!</v>
      </c>
      <c r="DV118" t="e">
        <f>AND(#REF!,"AAAAAH7/330=")</f>
        <v>#REF!</v>
      </c>
      <c r="DW118" t="e">
        <f>AND(#REF!,"AAAAAH7/334=")</f>
        <v>#REF!</v>
      </c>
      <c r="DX118" t="e">
        <f>AND(#REF!,"AAAAAH7/338=")</f>
        <v>#REF!</v>
      </c>
      <c r="DY118" t="e">
        <f>AND(#REF!,"AAAAAH7/34A=")</f>
        <v>#REF!</v>
      </c>
      <c r="DZ118" t="e">
        <f>AND(#REF!,"AAAAAH7/34E=")</f>
        <v>#REF!</v>
      </c>
      <c r="EA118" t="e">
        <f>AND(#REF!,"AAAAAH7/34I=")</f>
        <v>#REF!</v>
      </c>
      <c r="EB118" t="e">
        <f>AND(#REF!,"AAAAAH7/34M=")</f>
        <v>#REF!</v>
      </c>
      <c r="EC118" t="e">
        <f>AND(#REF!,"AAAAAH7/34Q=")</f>
        <v>#REF!</v>
      </c>
      <c r="ED118" t="e">
        <f>AND(#REF!,"AAAAAH7/34U=")</f>
        <v>#REF!</v>
      </c>
      <c r="EE118" t="e">
        <f>AND(#REF!,"AAAAAH7/34Y=")</f>
        <v>#REF!</v>
      </c>
      <c r="EF118" t="e">
        <f>AND(#REF!,"AAAAAH7/34c=")</f>
        <v>#REF!</v>
      </c>
      <c r="EG118" t="e">
        <f>AND(#REF!,"AAAAAH7/34g=")</f>
        <v>#REF!</v>
      </c>
      <c r="EH118" t="e">
        <f>AND(#REF!,"AAAAAH7/34k=")</f>
        <v>#REF!</v>
      </c>
      <c r="EI118" t="e">
        <f>AND(#REF!,"AAAAAH7/34o=")</f>
        <v>#REF!</v>
      </c>
      <c r="EJ118" t="e">
        <f>AND(#REF!,"AAAAAH7/34s=")</f>
        <v>#REF!</v>
      </c>
      <c r="EK118" t="e">
        <f>AND(#REF!,"AAAAAH7/34w=")</f>
        <v>#REF!</v>
      </c>
      <c r="EL118" t="e">
        <f>AND(#REF!,"AAAAAH7/340=")</f>
        <v>#REF!</v>
      </c>
      <c r="EM118" t="e">
        <f>AND(#REF!,"AAAAAH7/344=")</f>
        <v>#REF!</v>
      </c>
      <c r="EN118" t="e">
        <f>AND(#REF!,"AAAAAH7/348=")</f>
        <v>#REF!</v>
      </c>
      <c r="EO118" t="e">
        <f>AND(#REF!,"AAAAAH7/35A=")</f>
        <v>#REF!</v>
      </c>
      <c r="EP118" t="e">
        <f>AND(#REF!,"AAAAAH7/35E=")</f>
        <v>#REF!</v>
      </c>
      <c r="EQ118" t="e">
        <f>AND(#REF!,"AAAAAH7/35I=")</f>
        <v>#REF!</v>
      </c>
      <c r="ER118" t="e">
        <f>AND(#REF!,"AAAAAH7/35M=")</f>
        <v>#REF!</v>
      </c>
      <c r="ES118" t="e">
        <f>AND(#REF!,"AAAAAH7/35Q=")</f>
        <v>#REF!</v>
      </c>
      <c r="ET118" t="e">
        <f>AND(#REF!,"AAAAAH7/35U=")</f>
        <v>#REF!</v>
      </c>
      <c r="EU118" t="e">
        <f>AND(#REF!,"AAAAAH7/35Y=")</f>
        <v>#REF!</v>
      </c>
      <c r="EV118" t="e">
        <f>AND(#REF!,"AAAAAH7/35c=")</f>
        <v>#REF!</v>
      </c>
      <c r="EW118" t="e">
        <f>AND(#REF!,"AAAAAH7/35g=")</f>
        <v>#REF!</v>
      </c>
      <c r="EX118" t="e">
        <f>AND(#REF!,"AAAAAH7/35k=")</f>
        <v>#REF!</v>
      </c>
      <c r="EY118" t="e">
        <f>AND(#REF!,"AAAAAH7/35o=")</f>
        <v>#REF!</v>
      </c>
      <c r="EZ118" t="e">
        <f>AND(#REF!,"AAAAAH7/35s=")</f>
        <v>#REF!</v>
      </c>
      <c r="FA118" t="e">
        <f>AND(#REF!,"AAAAAH7/35w=")</f>
        <v>#REF!</v>
      </c>
      <c r="FB118" t="e">
        <f>AND(#REF!,"AAAAAH7/350=")</f>
        <v>#REF!</v>
      </c>
      <c r="FC118" t="e">
        <f>AND(#REF!,"AAAAAH7/354=")</f>
        <v>#REF!</v>
      </c>
      <c r="FD118" t="e">
        <f>AND(#REF!,"AAAAAH7/358=")</f>
        <v>#REF!</v>
      </c>
      <c r="FE118" t="e">
        <f>AND(#REF!,"AAAAAH7/36A=")</f>
        <v>#REF!</v>
      </c>
      <c r="FF118" t="e">
        <f>AND(#REF!,"AAAAAH7/36E=")</f>
        <v>#REF!</v>
      </c>
      <c r="FG118" t="e">
        <f>AND(#REF!,"AAAAAH7/36I=")</f>
        <v>#REF!</v>
      </c>
      <c r="FH118" t="e">
        <f>AND(#REF!,"AAAAAH7/36M=")</f>
        <v>#REF!</v>
      </c>
      <c r="FI118" t="e">
        <f>AND(#REF!,"AAAAAH7/36Q=")</f>
        <v>#REF!</v>
      </c>
      <c r="FJ118" t="e">
        <f>AND(#REF!,"AAAAAH7/36U=")</f>
        <v>#REF!</v>
      </c>
      <c r="FK118" t="e">
        <f>AND(#REF!,"AAAAAH7/36Y=")</f>
        <v>#REF!</v>
      </c>
      <c r="FL118" t="e">
        <f>AND(#REF!,"AAAAAH7/36c=")</f>
        <v>#REF!</v>
      </c>
      <c r="FM118" t="e">
        <f>AND(#REF!,"AAAAAH7/36g=")</f>
        <v>#REF!</v>
      </c>
      <c r="FN118" t="e">
        <f>AND(#REF!,"AAAAAH7/36k=")</f>
        <v>#REF!</v>
      </c>
      <c r="FO118" t="e">
        <f>AND(#REF!,"AAAAAH7/36o=")</f>
        <v>#REF!</v>
      </c>
      <c r="FP118" t="e">
        <f>AND(#REF!,"AAAAAH7/36s=")</f>
        <v>#REF!</v>
      </c>
      <c r="FQ118" t="e">
        <f>AND(#REF!,"AAAAAH7/36w=")</f>
        <v>#REF!</v>
      </c>
      <c r="FR118" t="e">
        <f>AND(#REF!,"AAAAAH7/360=")</f>
        <v>#REF!</v>
      </c>
      <c r="FS118" t="e">
        <f>AND(#REF!,"AAAAAH7/364=")</f>
        <v>#REF!</v>
      </c>
      <c r="FT118" t="e">
        <f>AND(#REF!,"AAAAAH7/368=")</f>
        <v>#REF!</v>
      </c>
      <c r="FU118" t="e">
        <f>AND(#REF!,"AAAAAH7/37A=")</f>
        <v>#REF!</v>
      </c>
      <c r="FV118" t="e">
        <f>AND(#REF!,"AAAAAH7/37E=")</f>
        <v>#REF!</v>
      </c>
      <c r="FW118" t="e">
        <f>AND(#REF!,"AAAAAH7/37I=")</f>
        <v>#REF!</v>
      </c>
      <c r="FX118" t="e">
        <f>AND(#REF!,"AAAAAH7/37M=")</f>
        <v>#REF!</v>
      </c>
      <c r="FY118" t="e">
        <f>AND(#REF!,"AAAAAH7/37Q=")</f>
        <v>#REF!</v>
      </c>
      <c r="FZ118" t="e">
        <f>AND(#REF!,"AAAAAH7/37U=")</f>
        <v>#REF!</v>
      </c>
      <c r="GA118" t="e">
        <f>AND(#REF!,"AAAAAH7/37Y=")</f>
        <v>#REF!</v>
      </c>
      <c r="GB118" t="e">
        <f>AND(#REF!,"AAAAAH7/37c=")</f>
        <v>#REF!</v>
      </c>
      <c r="GC118" t="e">
        <f>AND(#REF!,"AAAAAH7/37g=")</f>
        <v>#REF!</v>
      </c>
      <c r="GD118" t="e">
        <f>AND(#REF!,"AAAAAH7/37k=")</f>
        <v>#REF!</v>
      </c>
      <c r="GE118" t="e">
        <f>AND(#REF!,"AAAAAH7/37o=")</f>
        <v>#REF!</v>
      </c>
      <c r="GF118" t="e">
        <f>AND(#REF!,"AAAAAH7/37s=")</f>
        <v>#REF!</v>
      </c>
      <c r="GG118" t="e">
        <f>AND(#REF!,"AAAAAH7/37w=")</f>
        <v>#REF!</v>
      </c>
      <c r="GH118" t="e">
        <f>AND(#REF!,"AAAAAH7/370=")</f>
        <v>#REF!</v>
      </c>
      <c r="GI118" t="e">
        <f>AND(#REF!,"AAAAAH7/374=")</f>
        <v>#REF!</v>
      </c>
      <c r="GJ118" t="e">
        <f>AND(#REF!,"AAAAAH7/378=")</f>
        <v>#REF!</v>
      </c>
      <c r="GK118" t="e">
        <f>AND(#REF!,"AAAAAH7/38A=")</f>
        <v>#REF!</v>
      </c>
      <c r="GL118" t="e">
        <f>AND(#REF!,"AAAAAH7/38E=")</f>
        <v>#REF!</v>
      </c>
      <c r="GM118" t="e">
        <f>AND(#REF!,"AAAAAH7/38I=")</f>
        <v>#REF!</v>
      </c>
      <c r="GN118" t="e">
        <f>AND(#REF!,"AAAAAH7/38M=")</f>
        <v>#REF!</v>
      </c>
      <c r="GO118" t="e">
        <f>AND(#REF!,"AAAAAH7/38Q=")</f>
        <v>#REF!</v>
      </c>
      <c r="GP118" t="e">
        <f>AND(#REF!,"AAAAAH7/38U=")</f>
        <v>#REF!</v>
      </c>
      <c r="GQ118" t="e">
        <f>AND(#REF!,"AAAAAH7/38Y=")</f>
        <v>#REF!</v>
      </c>
      <c r="GR118" t="e">
        <f>AND(#REF!,"AAAAAH7/38c=")</f>
        <v>#REF!</v>
      </c>
      <c r="GS118" t="e">
        <f>AND(#REF!,"AAAAAH7/38g=")</f>
        <v>#REF!</v>
      </c>
      <c r="GT118" t="e">
        <f>AND(#REF!,"AAAAAH7/38k=")</f>
        <v>#REF!</v>
      </c>
      <c r="GU118" t="e">
        <f>AND(#REF!,"AAAAAH7/38o=")</f>
        <v>#REF!</v>
      </c>
      <c r="GV118" t="e">
        <f>AND(#REF!,"AAAAAH7/38s=")</f>
        <v>#REF!</v>
      </c>
      <c r="GW118" t="e">
        <f>AND(#REF!,"AAAAAH7/38w=")</f>
        <v>#REF!</v>
      </c>
      <c r="GX118" t="e">
        <f>AND(#REF!,"AAAAAH7/380=")</f>
        <v>#REF!</v>
      </c>
      <c r="GY118" t="e">
        <f>AND(#REF!,"AAAAAH7/384=")</f>
        <v>#REF!</v>
      </c>
      <c r="GZ118" t="e">
        <f>AND(#REF!,"AAAAAH7/388=")</f>
        <v>#REF!</v>
      </c>
      <c r="HA118" t="e">
        <f>AND(#REF!,"AAAAAH7/39A=")</f>
        <v>#REF!</v>
      </c>
      <c r="HB118" t="e">
        <f>AND(#REF!,"AAAAAH7/39E=")</f>
        <v>#REF!</v>
      </c>
      <c r="HC118" t="e">
        <f>AND(#REF!,"AAAAAH7/39I=")</f>
        <v>#REF!</v>
      </c>
      <c r="HD118" t="e">
        <f>AND(#REF!,"AAAAAH7/39M=")</f>
        <v>#REF!</v>
      </c>
      <c r="HE118" t="e">
        <f>AND(#REF!,"AAAAAH7/39Q=")</f>
        <v>#REF!</v>
      </c>
      <c r="HF118" t="e">
        <f>AND(#REF!,"AAAAAH7/39U=")</f>
        <v>#REF!</v>
      </c>
      <c r="HG118" t="e">
        <f>AND(#REF!,"AAAAAH7/39Y=")</f>
        <v>#REF!</v>
      </c>
      <c r="HH118" t="e">
        <f>AND(#REF!,"AAAAAH7/39c=")</f>
        <v>#REF!</v>
      </c>
      <c r="HI118" t="e">
        <f>AND(#REF!,"AAAAAH7/39g=")</f>
        <v>#REF!</v>
      </c>
      <c r="HJ118" t="e">
        <f>AND(#REF!,"AAAAAH7/39k=")</f>
        <v>#REF!</v>
      </c>
      <c r="HK118" t="e">
        <f>AND(#REF!,"AAAAAH7/39o=")</f>
        <v>#REF!</v>
      </c>
      <c r="HL118" t="e">
        <f>AND(#REF!,"AAAAAH7/39s=")</f>
        <v>#REF!</v>
      </c>
      <c r="HM118" t="e">
        <f>AND(#REF!,"AAAAAH7/39w=")</f>
        <v>#REF!</v>
      </c>
      <c r="HN118" t="e">
        <f>AND(#REF!,"AAAAAH7/390=")</f>
        <v>#REF!</v>
      </c>
      <c r="HO118" t="e">
        <f>AND(#REF!,"AAAAAH7/394=")</f>
        <v>#REF!</v>
      </c>
      <c r="HP118" t="e">
        <f>AND(#REF!,"AAAAAH7/398=")</f>
        <v>#REF!</v>
      </c>
      <c r="HQ118" t="e">
        <f>AND(#REF!,"AAAAAH7/3+A=")</f>
        <v>#REF!</v>
      </c>
      <c r="HR118" t="e">
        <f>AND(#REF!,"AAAAAH7/3+E=")</f>
        <v>#REF!</v>
      </c>
      <c r="HS118" t="e">
        <f>AND(#REF!,"AAAAAH7/3+I=")</f>
        <v>#REF!</v>
      </c>
      <c r="HT118" t="e">
        <f>AND(#REF!,"AAAAAH7/3+M=")</f>
        <v>#REF!</v>
      </c>
      <c r="HU118" t="e">
        <f>AND(#REF!,"AAAAAH7/3+Q=")</f>
        <v>#REF!</v>
      </c>
      <c r="HV118" t="e">
        <f>AND(#REF!,"AAAAAH7/3+U=")</f>
        <v>#REF!</v>
      </c>
      <c r="HW118" t="e">
        <f>AND(#REF!,"AAAAAH7/3+Y=")</f>
        <v>#REF!</v>
      </c>
      <c r="HX118" t="e">
        <f>AND(#REF!,"AAAAAH7/3+c=")</f>
        <v>#REF!</v>
      </c>
      <c r="HY118" t="e">
        <f>AND(#REF!,"AAAAAH7/3+g=")</f>
        <v>#REF!</v>
      </c>
      <c r="HZ118" t="e">
        <f>AND(#REF!,"AAAAAH7/3+k=")</f>
        <v>#REF!</v>
      </c>
      <c r="IA118" t="e">
        <f>AND(#REF!,"AAAAAH7/3+o=")</f>
        <v>#REF!</v>
      </c>
      <c r="IB118" t="e">
        <f>AND(#REF!,"AAAAAH7/3+s=")</f>
        <v>#REF!</v>
      </c>
      <c r="IC118" t="e">
        <f>AND(#REF!,"AAAAAH7/3+w=")</f>
        <v>#REF!</v>
      </c>
      <c r="ID118" t="e">
        <f>AND(#REF!,"AAAAAH7/3+0=")</f>
        <v>#REF!</v>
      </c>
      <c r="IE118" t="e">
        <f>AND(#REF!,"AAAAAH7/3+4=")</f>
        <v>#REF!</v>
      </c>
      <c r="IF118" t="e">
        <f>AND(#REF!,"AAAAAH7/3+8=")</f>
        <v>#REF!</v>
      </c>
      <c r="IG118" t="e">
        <f>AND(#REF!,"AAAAAH7/3/A=")</f>
        <v>#REF!</v>
      </c>
      <c r="IH118" t="e">
        <f>AND(#REF!,"AAAAAH7/3/E=")</f>
        <v>#REF!</v>
      </c>
      <c r="II118" t="e">
        <f>AND(#REF!,"AAAAAH7/3/I=")</f>
        <v>#REF!</v>
      </c>
      <c r="IJ118" t="e">
        <f>AND(#REF!,"AAAAAH7/3/M=")</f>
        <v>#REF!</v>
      </c>
      <c r="IK118" t="e">
        <f>AND(#REF!,"AAAAAH7/3/Q=")</f>
        <v>#REF!</v>
      </c>
      <c r="IL118" t="e">
        <f>AND(#REF!,"AAAAAH7/3/U=")</f>
        <v>#REF!</v>
      </c>
      <c r="IM118" t="e">
        <f>AND(#REF!,"AAAAAH7/3/Y=")</f>
        <v>#REF!</v>
      </c>
      <c r="IN118" t="e">
        <f>AND(#REF!,"AAAAAH7/3/c=")</f>
        <v>#REF!</v>
      </c>
      <c r="IO118" t="e">
        <f>AND(#REF!,"AAAAAH7/3/g=")</f>
        <v>#REF!</v>
      </c>
      <c r="IP118" t="e">
        <f>AND(#REF!,"AAAAAH7/3/k=")</f>
        <v>#REF!</v>
      </c>
      <c r="IQ118" t="e">
        <f>AND(#REF!,"AAAAAH7/3/o=")</f>
        <v>#REF!</v>
      </c>
      <c r="IR118" t="e">
        <f>AND(#REF!,"AAAAAH7/3/s=")</f>
        <v>#REF!</v>
      </c>
      <c r="IS118" t="e">
        <f>AND(#REF!,"AAAAAH7/3/w=")</f>
        <v>#REF!</v>
      </c>
      <c r="IT118" t="e">
        <f>IF(#REF!,"AAAAAH7/3/0=",0)</f>
        <v>#REF!</v>
      </c>
      <c r="IU118" t="e">
        <f>AND(#REF!,"AAAAAH7/3/4=")</f>
        <v>#REF!</v>
      </c>
      <c r="IV118" t="e">
        <f>AND(#REF!,"AAAAAH7/3/8=")</f>
        <v>#REF!</v>
      </c>
    </row>
    <row r="119" spans="1:256" x14ac:dyDescent="0.25">
      <c r="A119" t="e">
        <f>AND(#REF!,"AAAAAHmPuwA=")</f>
        <v>#REF!</v>
      </c>
      <c r="B119" t="e">
        <f>AND(#REF!,"AAAAAHmPuwE=")</f>
        <v>#REF!</v>
      </c>
      <c r="C119" t="e">
        <f>AND(#REF!,"AAAAAHmPuwI=")</f>
        <v>#REF!</v>
      </c>
      <c r="D119" t="e">
        <f>AND(#REF!,"AAAAAHmPuwM=")</f>
        <v>#REF!</v>
      </c>
      <c r="E119" t="e">
        <f>AND(#REF!,"AAAAAHmPuwQ=")</f>
        <v>#REF!</v>
      </c>
      <c r="F119" t="e">
        <f>AND(#REF!,"AAAAAHmPuwU=")</f>
        <v>#REF!</v>
      </c>
      <c r="G119" t="e">
        <f>AND(#REF!,"AAAAAHmPuwY=")</f>
        <v>#REF!</v>
      </c>
      <c r="H119" t="e">
        <f>AND(#REF!,"AAAAAHmPuwc=")</f>
        <v>#REF!</v>
      </c>
      <c r="I119" t="e">
        <f>AND(#REF!,"AAAAAHmPuwg=")</f>
        <v>#REF!</v>
      </c>
      <c r="J119" t="e">
        <f>AND(#REF!,"AAAAAHmPuwk=")</f>
        <v>#REF!</v>
      </c>
      <c r="K119" t="e">
        <f>AND(#REF!,"AAAAAHmPuwo=")</f>
        <v>#REF!</v>
      </c>
      <c r="L119" t="e">
        <f>AND(#REF!,"AAAAAHmPuws=")</f>
        <v>#REF!</v>
      </c>
      <c r="M119" t="e">
        <f>AND(#REF!,"AAAAAHmPuww=")</f>
        <v>#REF!</v>
      </c>
      <c r="N119" t="e">
        <f>AND(#REF!,"AAAAAHmPuw0=")</f>
        <v>#REF!</v>
      </c>
      <c r="O119" t="e">
        <f>AND(#REF!,"AAAAAHmPuw4=")</f>
        <v>#REF!</v>
      </c>
      <c r="P119" t="e">
        <f>AND(#REF!,"AAAAAHmPuw8=")</f>
        <v>#REF!</v>
      </c>
      <c r="Q119" t="e">
        <f>AND(#REF!,"AAAAAHmPuxA=")</f>
        <v>#REF!</v>
      </c>
      <c r="R119" t="e">
        <f>AND(#REF!,"AAAAAHmPuxE=")</f>
        <v>#REF!</v>
      </c>
      <c r="S119" t="e">
        <f>AND(#REF!,"AAAAAHmPuxI=")</f>
        <v>#REF!</v>
      </c>
      <c r="T119" t="e">
        <f>AND(#REF!,"AAAAAHmPuxM=")</f>
        <v>#REF!</v>
      </c>
      <c r="U119" t="e">
        <f>AND(#REF!,"AAAAAHmPuxQ=")</f>
        <v>#REF!</v>
      </c>
      <c r="V119" t="e">
        <f>AND(#REF!,"AAAAAHmPuxU=")</f>
        <v>#REF!</v>
      </c>
      <c r="W119" t="e">
        <f>AND(#REF!,"AAAAAHmPuxY=")</f>
        <v>#REF!</v>
      </c>
      <c r="X119" t="e">
        <f>AND(#REF!,"AAAAAHmPuxc=")</f>
        <v>#REF!</v>
      </c>
      <c r="Y119" t="e">
        <f>AND(#REF!,"AAAAAHmPuxg=")</f>
        <v>#REF!</v>
      </c>
      <c r="Z119" t="e">
        <f>AND(#REF!,"AAAAAHmPuxk=")</f>
        <v>#REF!</v>
      </c>
      <c r="AA119" t="e">
        <f>AND(#REF!,"AAAAAHmPuxo=")</f>
        <v>#REF!</v>
      </c>
      <c r="AB119" t="e">
        <f>AND(#REF!,"AAAAAHmPuxs=")</f>
        <v>#REF!</v>
      </c>
      <c r="AC119" t="e">
        <f>AND(#REF!,"AAAAAHmPuxw=")</f>
        <v>#REF!</v>
      </c>
      <c r="AD119" t="e">
        <f>AND(#REF!,"AAAAAHmPux0=")</f>
        <v>#REF!</v>
      </c>
      <c r="AE119" t="e">
        <f>AND(#REF!,"AAAAAHmPux4=")</f>
        <v>#REF!</v>
      </c>
      <c r="AF119" t="e">
        <f>AND(#REF!,"AAAAAHmPux8=")</f>
        <v>#REF!</v>
      </c>
      <c r="AG119" t="e">
        <f>AND(#REF!,"AAAAAHmPuyA=")</f>
        <v>#REF!</v>
      </c>
      <c r="AH119" t="e">
        <f>AND(#REF!,"AAAAAHmPuyE=")</f>
        <v>#REF!</v>
      </c>
      <c r="AI119" t="e">
        <f>AND(#REF!,"AAAAAHmPuyI=")</f>
        <v>#REF!</v>
      </c>
      <c r="AJ119" t="e">
        <f>AND(#REF!,"AAAAAHmPuyM=")</f>
        <v>#REF!</v>
      </c>
      <c r="AK119" t="e">
        <f>AND(#REF!,"AAAAAHmPuyQ=")</f>
        <v>#REF!</v>
      </c>
      <c r="AL119" t="e">
        <f>AND(#REF!,"AAAAAHmPuyU=")</f>
        <v>#REF!</v>
      </c>
      <c r="AM119" t="e">
        <f>AND(#REF!,"AAAAAHmPuyY=")</f>
        <v>#REF!</v>
      </c>
      <c r="AN119" t="e">
        <f>AND(#REF!,"AAAAAHmPuyc=")</f>
        <v>#REF!</v>
      </c>
      <c r="AO119" t="e">
        <f>AND(#REF!,"AAAAAHmPuyg=")</f>
        <v>#REF!</v>
      </c>
      <c r="AP119" t="e">
        <f>AND(#REF!,"AAAAAHmPuyk=")</f>
        <v>#REF!</v>
      </c>
      <c r="AQ119" t="e">
        <f>AND(#REF!,"AAAAAHmPuyo=")</f>
        <v>#REF!</v>
      </c>
      <c r="AR119" t="e">
        <f>AND(#REF!,"AAAAAHmPuys=")</f>
        <v>#REF!</v>
      </c>
      <c r="AS119" t="e">
        <f>AND(#REF!,"AAAAAHmPuyw=")</f>
        <v>#REF!</v>
      </c>
      <c r="AT119" t="e">
        <f>AND(#REF!,"AAAAAHmPuy0=")</f>
        <v>#REF!</v>
      </c>
      <c r="AU119" t="e">
        <f>AND(#REF!,"AAAAAHmPuy4=")</f>
        <v>#REF!</v>
      </c>
      <c r="AV119" t="e">
        <f>AND(#REF!,"AAAAAHmPuy8=")</f>
        <v>#REF!</v>
      </c>
      <c r="AW119" t="e">
        <f>AND(#REF!,"AAAAAHmPuzA=")</f>
        <v>#REF!</v>
      </c>
      <c r="AX119" t="e">
        <f>AND(#REF!,"AAAAAHmPuzE=")</f>
        <v>#REF!</v>
      </c>
      <c r="AY119" t="e">
        <f>AND(#REF!,"AAAAAHmPuzI=")</f>
        <v>#REF!</v>
      </c>
      <c r="AZ119" t="e">
        <f>AND(#REF!,"AAAAAHmPuzM=")</f>
        <v>#REF!</v>
      </c>
      <c r="BA119" t="e">
        <f>AND(#REF!,"AAAAAHmPuzQ=")</f>
        <v>#REF!</v>
      </c>
      <c r="BB119" t="e">
        <f>AND(#REF!,"AAAAAHmPuzU=")</f>
        <v>#REF!</v>
      </c>
      <c r="BC119" t="e">
        <f>AND(#REF!,"AAAAAHmPuzY=")</f>
        <v>#REF!</v>
      </c>
      <c r="BD119" t="e">
        <f>AND(#REF!,"AAAAAHmPuzc=")</f>
        <v>#REF!</v>
      </c>
      <c r="BE119" t="e">
        <f>AND(#REF!,"AAAAAHmPuzg=")</f>
        <v>#REF!</v>
      </c>
      <c r="BF119" t="e">
        <f>AND(#REF!,"AAAAAHmPuzk=")</f>
        <v>#REF!</v>
      </c>
      <c r="BG119" t="e">
        <f>AND(#REF!,"AAAAAHmPuzo=")</f>
        <v>#REF!</v>
      </c>
      <c r="BH119" t="e">
        <f>AND(#REF!,"AAAAAHmPuzs=")</f>
        <v>#REF!</v>
      </c>
      <c r="BI119" t="e">
        <f>AND(#REF!,"AAAAAHmPuzw=")</f>
        <v>#REF!</v>
      </c>
      <c r="BJ119" t="e">
        <f>AND(#REF!,"AAAAAHmPuz0=")</f>
        <v>#REF!</v>
      </c>
      <c r="BK119" t="e">
        <f>AND(#REF!,"AAAAAHmPuz4=")</f>
        <v>#REF!</v>
      </c>
      <c r="BL119" t="e">
        <f>AND(#REF!,"AAAAAHmPuz8=")</f>
        <v>#REF!</v>
      </c>
      <c r="BM119" t="e">
        <f>AND(#REF!,"AAAAAHmPu0A=")</f>
        <v>#REF!</v>
      </c>
      <c r="BN119" t="e">
        <f>AND(#REF!,"AAAAAHmPu0E=")</f>
        <v>#REF!</v>
      </c>
      <c r="BO119" t="e">
        <f>AND(#REF!,"AAAAAHmPu0I=")</f>
        <v>#REF!</v>
      </c>
      <c r="BP119" t="e">
        <f>AND(#REF!,"AAAAAHmPu0M=")</f>
        <v>#REF!</v>
      </c>
      <c r="BQ119" t="e">
        <f>AND(#REF!,"AAAAAHmPu0Q=")</f>
        <v>#REF!</v>
      </c>
      <c r="BR119" t="e">
        <f>AND(#REF!,"AAAAAHmPu0U=")</f>
        <v>#REF!</v>
      </c>
      <c r="BS119" t="e">
        <f>AND(#REF!,"AAAAAHmPu0Y=")</f>
        <v>#REF!</v>
      </c>
      <c r="BT119" t="e">
        <f>AND(#REF!,"AAAAAHmPu0c=")</f>
        <v>#REF!</v>
      </c>
      <c r="BU119" t="e">
        <f>AND(#REF!,"AAAAAHmPu0g=")</f>
        <v>#REF!</v>
      </c>
      <c r="BV119" t="e">
        <f>AND(#REF!,"AAAAAHmPu0k=")</f>
        <v>#REF!</v>
      </c>
      <c r="BW119" t="e">
        <f>AND(#REF!,"AAAAAHmPu0o=")</f>
        <v>#REF!</v>
      </c>
      <c r="BX119" t="e">
        <f>AND(#REF!,"AAAAAHmPu0s=")</f>
        <v>#REF!</v>
      </c>
      <c r="BY119" t="e">
        <f>AND(#REF!,"AAAAAHmPu0w=")</f>
        <v>#REF!</v>
      </c>
      <c r="BZ119" t="e">
        <f>AND(#REF!,"AAAAAHmPu00=")</f>
        <v>#REF!</v>
      </c>
      <c r="CA119" t="e">
        <f>AND(#REF!,"AAAAAHmPu04=")</f>
        <v>#REF!</v>
      </c>
      <c r="CB119" t="e">
        <f>AND(#REF!,"AAAAAHmPu08=")</f>
        <v>#REF!</v>
      </c>
      <c r="CC119" t="e">
        <f>AND(#REF!,"AAAAAHmPu1A=")</f>
        <v>#REF!</v>
      </c>
      <c r="CD119" t="e">
        <f>AND(#REF!,"AAAAAHmPu1E=")</f>
        <v>#REF!</v>
      </c>
      <c r="CE119" t="e">
        <f>AND(#REF!,"AAAAAHmPu1I=")</f>
        <v>#REF!</v>
      </c>
      <c r="CF119" t="e">
        <f>AND(#REF!,"AAAAAHmPu1M=")</f>
        <v>#REF!</v>
      </c>
      <c r="CG119" t="e">
        <f>AND(#REF!,"AAAAAHmPu1Q=")</f>
        <v>#REF!</v>
      </c>
      <c r="CH119" t="e">
        <f>AND(#REF!,"AAAAAHmPu1U=")</f>
        <v>#REF!</v>
      </c>
      <c r="CI119" t="e">
        <f>AND(#REF!,"AAAAAHmPu1Y=")</f>
        <v>#REF!</v>
      </c>
      <c r="CJ119" t="e">
        <f>AND(#REF!,"AAAAAHmPu1c=")</f>
        <v>#REF!</v>
      </c>
      <c r="CK119" t="e">
        <f>AND(#REF!,"AAAAAHmPu1g=")</f>
        <v>#REF!</v>
      </c>
      <c r="CL119" t="e">
        <f>AND(#REF!,"AAAAAHmPu1k=")</f>
        <v>#REF!</v>
      </c>
      <c r="CM119" t="e">
        <f>AND(#REF!,"AAAAAHmPu1o=")</f>
        <v>#REF!</v>
      </c>
      <c r="CN119" t="e">
        <f>AND(#REF!,"AAAAAHmPu1s=")</f>
        <v>#REF!</v>
      </c>
      <c r="CO119" t="e">
        <f>AND(#REF!,"AAAAAHmPu1w=")</f>
        <v>#REF!</v>
      </c>
      <c r="CP119" t="e">
        <f>AND(#REF!,"AAAAAHmPu10=")</f>
        <v>#REF!</v>
      </c>
      <c r="CQ119" t="e">
        <f>AND(#REF!,"AAAAAHmPu14=")</f>
        <v>#REF!</v>
      </c>
      <c r="CR119" t="e">
        <f>AND(#REF!,"AAAAAHmPu18=")</f>
        <v>#REF!</v>
      </c>
      <c r="CS119" t="e">
        <f>AND(#REF!,"AAAAAHmPu2A=")</f>
        <v>#REF!</v>
      </c>
      <c r="CT119" t="e">
        <f>AND(#REF!,"AAAAAHmPu2E=")</f>
        <v>#REF!</v>
      </c>
      <c r="CU119" t="e">
        <f>AND(#REF!,"AAAAAHmPu2I=")</f>
        <v>#REF!</v>
      </c>
      <c r="CV119" t="e">
        <f>AND(#REF!,"AAAAAHmPu2M=")</f>
        <v>#REF!</v>
      </c>
      <c r="CW119" t="e">
        <f>AND(#REF!,"AAAAAHmPu2Q=")</f>
        <v>#REF!</v>
      </c>
      <c r="CX119" t="e">
        <f>AND(#REF!,"AAAAAHmPu2U=")</f>
        <v>#REF!</v>
      </c>
      <c r="CY119" t="e">
        <f>AND(#REF!,"AAAAAHmPu2Y=")</f>
        <v>#REF!</v>
      </c>
      <c r="CZ119" t="e">
        <f>AND(#REF!,"AAAAAHmPu2c=")</f>
        <v>#REF!</v>
      </c>
      <c r="DA119" t="e">
        <f>AND(#REF!,"AAAAAHmPu2g=")</f>
        <v>#REF!</v>
      </c>
      <c r="DB119" t="e">
        <f>AND(#REF!,"AAAAAHmPu2k=")</f>
        <v>#REF!</v>
      </c>
      <c r="DC119" t="e">
        <f>AND(#REF!,"AAAAAHmPu2o=")</f>
        <v>#REF!</v>
      </c>
      <c r="DD119" t="e">
        <f>AND(#REF!,"AAAAAHmPu2s=")</f>
        <v>#REF!</v>
      </c>
      <c r="DE119" t="e">
        <f>AND(#REF!,"AAAAAHmPu2w=")</f>
        <v>#REF!</v>
      </c>
      <c r="DF119" t="e">
        <f>AND(#REF!,"AAAAAHmPu20=")</f>
        <v>#REF!</v>
      </c>
      <c r="DG119" t="e">
        <f>AND(#REF!,"AAAAAHmPu24=")</f>
        <v>#REF!</v>
      </c>
      <c r="DH119" t="e">
        <f>AND(#REF!,"AAAAAHmPu28=")</f>
        <v>#REF!</v>
      </c>
      <c r="DI119" t="e">
        <f>AND(#REF!,"AAAAAHmPu3A=")</f>
        <v>#REF!</v>
      </c>
      <c r="DJ119" t="e">
        <f>AND(#REF!,"AAAAAHmPu3E=")</f>
        <v>#REF!</v>
      </c>
      <c r="DK119" t="e">
        <f>AND(#REF!,"AAAAAHmPu3I=")</f>
        <v>#REF!</v>
      </c>
      <c r="DL119" t="e">
        <f>AND(#REF!,"AAAAAHmPu3M=")</f>
        <v>#REF!</v>
      </c>
      <c r="DM119" t="e">
        <f>AND(#REF!,"AAAAAHmPu3Q=")</f>
        <v>#REF!</v>
      </c>
      <c r="DN119" t="e">
        <f>AND(#REF!,"AAAAAHmPu3U=")</f>
        <v>#REF!</v>
      </c>
      <c r="DO119" t="e">
        <f>AND(#REF!,"AAAAAHmPu3Y=")</f>
        <v>#REF!</v>
      </c>
      <c r="DP119" t="e">
        <f>AND(#REF!,"AAAAAHmPu3c=")</f>
        <v>#REF!</v>
      </c>
      <c r="DQ119" t="e">
        <f>AND(#REF!,"AAAAAHmPu3g=")</f>
        <v>#REF!</v>
      </c>
      <c r="DR119" t="e">
        <f>AND(#REF!,"AAAAAHmPu3k=")</f>
        <v>#REF!</v>
      </c>
      <c r="DS119" t="e">
        <f>AND(#REF!,"AAAAAHmPu3o=")</f>
        <v>#REF!</v>
      </c>
      <c r="DT119" t="e">
        <f>AND(#REF!,"AAAAAHmPu3s=")</f>
        <v>#REF!</v>
      </c>
      <c r="DU119" t="e">
        <f>AND(#REF!,"AAAAAHmPu3w=")</f>
        <v>#REF!</v>
      </c>
      <c r="DV119" t="e">
        <f>AND(#REF!,"AAAAAHmPu30=")</f>
        <v>#REF!</v>
      </c>
      <c r="DW119" t="e">
        <f>AND(#REF!,"AAAAAHmPu34=")</f>
        <v>#REF!</v>
      </c>
      <c r="DX119" t="e">
        <f>AND(#REF!,"AAAAAHmPu38=")</f>
        <v>#REF!</v>
      </c>
      <c r="DY119" t="e">
        <f>AND(#REF!,"AAAAAHmPu4A=")</f>
        <v>#REF!</v>
      </c>
      <c r="DZ119" t="e">
        <f>AND(#REF!,"AAAAAHmPu4E=")</f>
        <v>#REF!</v>
      </c>
      <c r="EA119" t="e">
        <f>AND(#REF!,"AAAAAHmPu4I=")</f>
        <v>#REF!</v>
      </c>
      <c r="EB119" t="e">
        <f>AND(#REF!,"AAAAAHmPu4M=")</f>
        <v>#REF!</v>
      </c>
      <c r="EC119" t="e">
        <f>AND(#REF!,"AAAAAHmPu4Q=")</f>
        <v>#REF!</v>
      </c>
      <c r="ED119" t="e">
        <f>AND(#REF!,"AAAAAHmPu4U=")</f>
        <v>#REF!</v>
      </c>
      <c r="EE119" t="e">
        <f>AND(#REF!,"AAAAAHmPu4Y=")</f>
        <v>#REF!</v>
      </c>
      <c r="EF119" t="e">
        <f>AND(#REF!,"AAAAAHmPu4c=")</f>
        <v>#REF!</v>
      </c>
      <c r="EG119" t="e">
        <f>AND(#REF!,"AAAAAHmPu4g=")</f>
        <v>#REF!</v>
      </c>
      <c r="EH119" t="e">
        <f>AND(#REF!,"AAAAAHmPu4k=")</f>
        <v>#REF!</v>
      </c>
      <c r="EI119" t="e">
        <f>AND(#REF!,"AAAAAHmPu4o=")</f>
        <v>#REF!</v>
      </c>
      <c r="EJ119" t="e">
        <f>AND(#REF!,"AAAAAHmPu4s=")</f>
        <v>#REF!</v>
      </c>
      <c r="EK119" t="e">
        <f>AND(#REF!,"AAAAAHmPu4w=")</f>
        <v>#REF!</v>
      </c>
      <c r="EL119" t="e">
        <f>AND(#REF!,"AAAAAHmPu40=")</f>
        <v>#REF!</v>
      </c>
      <c r="EM119" t="e">
        <f>AND(#REF!,"AAAAAHmPu44=")</f>
        <v>#REF!</v>
      </c>
      <c r="EN119" t="e">
        <f>AND(#REF!,"AAAAAHmPu48=")</f>
        <v>#REF!</v>
      </c>
      <c r="EO119" t="e">
        <f>AND(#REF!,"AAAAAHmPu5A=")</f>
        <v>#REF!</v>
      </c>
      <c r="EP119" t="e">
        <f>AND(#REF!,"AAAAAHmPu5E=")</f>
        <v>#REF!</v>
      </c>
      <c r="EQ119" t="e">
        <f>AND(#REF!,"AAAAAHmPu5I=")</f>
        <v>#REF!</v>
      </c>
      <c r="ER119" t="e">
        <f>AND(#REF!,"AAAAAHmPu5M=")</f>
        <v>#REF!</v>
      </c>
      <c r="ES119" t="e">
        <f>AND(#REF!,"AAAAAHmPu5Q=")</f>
        <v>#REF!</v>
      </c>
      <c r="ET119" t="e">
        <f>AND(#REF!,"AAAAAHmPu5U=")</f>
        <v>#REF!</v>
      </c>
      <c r="EU119" t="e">
        <f>AND(#REF!,"AAAAAHmPu5Y=")</f>
        <v>#REF!</v>
      </c>
      <c r="EV119" t="e">
        <f>AND(#REF!,"AAAAAHmPu5c=")</f>
        <v>#REF!</v>
      </c>
      <c r="EW119" t="e">
        <f>AND(#REF!,"AAAAAHmPu5g=")</f>
        <v>#REF!</v>
      </c>
      <c r="EX119" t="e">
        <f>AND(#REF!,"AAAAAHmPu5k=")</f>
        <v>#REF!</v>
      </c>
      <c r="EY119" t="e">
        <f>AND(#REF!,"AAAAAHmPu5o=")</f>
        <v>#REF!</v>
      </c>
      <c r="EZ119" t="e">
        <f>AND(#REF!,"AAAAAHmPu5s=")</f>
        <v>#REF!</v>
      </c>
      <c r="FA119" t="e">
        <f>AND(#REF!,"AAAAAHmPu5w=")</f>
        <v>#REF!</v>
      </c>
      <c r="FB119" t="e">
        <f>AND(#REF!,"AAAAAHmPu50=")</f>
        <v>#REF!</v>
      </c>
      <c r="FC119" t="e">
        <f>AND(#REF!,"AAAAAHmPu54=")</f>
        <v>#REF!</v>
      </c>
      <c r="FD119" t="e">
        <f>AND(#REF!,"AAAAAHmPu58=")</f>
        <v>#REF!</v>
      </c>
      <c r="FE119" t="e">
        <f>AND(#REF!,"AAAAAHmPu6A=")</f>
        <v>#REF!</v>
      </c>
      <c r="FF119" t="e">
        <f>AND(#REF!,"AAAAAHmPu6E=")</f>
        <v>#REF!</v>
      </c>
      <c r="FG119" t="e">
        <f>AND(#REF!,"AAAAAHmPu6I=")</f>
        <v>#REF!</v>
      </c>
      <c r="FH119" t="e">
        <f>AND(#REF!,"AAAAAHmPu6M=")</f>
        <v>#REF!</v>
      </c>
      <c r="FI119" t="e">
        <f>AND(#REF!,"AAAAAHmPu6Q=")</f>
        <v>#REF!</v>
      </c>
      <c r="FJ119" t="e">
        <f>AND(#REF!,"AAAAAHmPu6U=")</f>
        <v>#REF!</v>
      </c>
      <c r="FK119" t="e">
        <f>AND(#REF!,"AAAAAHmPu6Y=")</f>
        <v>#REF!</v>
      </c>
      <c r="FL119" t="e">
        <f>AND(#REF!,"AAAAAHmPu6c=")</f>
        <v>#REF!</v>
      </c>
      <c r="FM119" t="e">
        <f>AND(#REF!,"AAAAAHmPu6g=")</f>
        <v>#REF!</v>
      </c>
      <c r="FN119" t="e">
        <f>AND(#REF!,"AAAAAHmPu6k=")</f>
        <v>#REF!</v>
      </c>
      <c r="FO119" t="e">
        <f>AND(#REF!,"AAAAAHmPu6o=")</f>
        <v>#REF!</v>
      </c>
      <c r="FP119" t="e">
        <f>AND(#REF!,"AAAAAHmPu6s=")</f>
        <v>#REF!</v>
      </c>
      <c r="FQ119" t="e">
        <f>AND(#REF!,"AAAAAHmPu6w=")</f>
        <v>#REF!</v>
      </c>
      <c r="FR119" t="e">
        <f>AND(#REF!,"AAAAAHmPu60=")</f>
        <v>#REF!</v>
      </c>
      <c r="FS119" t="e">
        <f>AND(#REF!,"AAAAAHmPu64=")</f>
        <v>#REF!</v>
      </c>
      <c r="FT119" t="e">
        <f>AND(#REF!,"AAAAAHmPu68=")</f>
        <v>#REF!</v>
      </c>
      <c r="FU119" t="e">
        <f>AND(#REF!,"AAAAAHmPu7A=")</f>
        <v>#REF!</v>
      </c>
      <c r="FV119" t="e">
        <f>AND(#REF!,"AAAAAHmPu7E=")</f>
        <v>#REF!</v>
      </c>
      <c r="FW119" t="e">
        <f>AND(#REF!,"AAAAAHmPu7I=")</f>
        <v>#REF!</v>
      </c>
      <c r="FX119" t="e">
        <f>AND(#REF!,"AAAAAHmPu7M=")</f>
        <v>#REF!</v>
      </c>
      <c r="FY119" t="e">
        <f>AND(#REF!,"AAAAAHmPu7Q=")</f>
        <v>#REF!</v>
      </c>
      <c r="FZ119" t="e">
        <f>AND(#REF!,"AAAAAHmPu7U=")</f>
        <v>#REF!</v>
      </c>
      <c r="GA119" t="e">
        <f>AND(#REF!,"AAAAAHmPu7Y=")</f>
        <v>#REF!</v>
      </c>
      <c r="GB119" t="e">
        <f>AND(#REF!,"AAAAAHmPu7c=")</f>
        <v>#REF!</v>
      </c>
      <c r="GC119" t="e">
        <f>AND(#REF!,"AAAAAHmPu7g=")</f>
        <v>#REF!</v>
      </c>
      <c r="GD119" t="e">
        <f>AND(#REF!,"AAAAAHmPu7k=")</f>
        <v>#REF!</v>
      </c>
      <c r="GE119" t="e">
        <f>IF(#REF!,"AAAAAHmPu7o=",0)</f>
        <v>#REF!</v>
      </c>
      <c r="GF119" t="e">
        <f>AND(#REF!,"AAAAAHmPu7s=")</f>
        <v>#REF!</v>
      </c>
      <c r="GG119" t="e">
        <f>AND(#REF!,"AAAAAHmPu7w=")</f>
        <v>#REF!</v>
      </c>
      <c r="GH119" t="e">
        <f>AND(#REF!,"AAAAAHmPu70=")</f>
        <v>#REF!</v>
      </c>
      <c r="GI119" t="e">
        <f>AND(#REF!,"AAAAAHmPu74=")</f>
        <v>#REF!</v>
      </c>
      <c r="GJ119" t="e">
        <f>AND(#REF!,"AAAAAHmPu78=")</f>
        <v>#REF!</v>
      </c>
      <c r="GK119" t="e">
        <f>AND(#REF!,"AAAAAHmPu8A=")</f>
        <v>#REF!</v>
      </c>
      <c r="GL119" t="e">
        <f>AND(#REF!,"AAAAAHmPu8E=")</f>
        <v>#REF!</v>
      </c>
      <c r="GM119" t="e">
        <f>AND(#REF!,"AAAAAHmPu8I=")</f>
        <v>#REF!</v>
      </c>
      <c r="GN119" t="e">
        <f>AND(#REF!,"AAAAAHmPu8M=")</f>
        <v>#REF!</v>
      </c>
      <c r="GO119" t="e">
        <f>AND(#REF!,"AAAAAHmPu8Q=")</f>
        <v>#REF!</v>
      </c>
      <c r="GP119" t="e">
        <f>AND(#REF!,"AAAAAHmPu8U=")</f>
        <v>#REF!</v>
      </c>
      <c r="GQ119" t="e">
        <f>AND(#REF!,"AAAAAHmPu8Y=")</f>
        <v>#REF!</v>
      </c>
      <c r="GR119" t="e">
        <f>AND(#REF!,"AAAAAHmPu8c=")</f>
        <v>#REF!</v>
      </c>
      <c r="GS119" t="e">
        <f>AND(#REF!,"AAAAAHmPu8g=")</f>
        <v>#REF!</v>
      </c>
      <c r="GT119" t="e">
        <f>AND(#REF!,"AAAAAHmPu8k=")</f>
        <v>#REF!</v>
      </c>
      <c r="GU119" t="e">
        <f>AND(#REF!,"AAAAAHmPu8o=")</f>
        <v>#REF!</v>
      </c>
      <c r="GV119" t="e">
        <f>AND(#REF!,"AAAAAHmPu8s=")</f>
        <v>#REF!</v>
      </c>
      <c r="GW119" t="e">
        <f>AND(#REF!,"AAAAAHmPu8w=")</f>
        <v>#REF!</v>
      </c>
      <c r="GX119" t="e">
        <f>AND(#REF!,"AAAAAHmPu80=")</f>
        <v>#REF!</v>
      </c>
      <c r="GY119" t="e">
        <f>AND(#REF!,"AAAAAHmPu84=")</f>
        <v>#REF!</v>
      </c>
      <c r="GZ119" t="e">
        <f>AND(#REF!,"AAAAAHmPu88=")</f>
        <v>#REF!</v>
      </c>
      <c r="HA119" t="e">
        <f>AND(#REF!,"AAAAAHmPu9A=")</f>
        <v>#REF!</v>
      </c>
      <c r="HB119" t="e">
        <f>AND(#REF!,"AAAAAHmPu9E=")</f>
        <v>#REF!</v>
      </c>
      <c r="HC119" t="e">
        <f>AND(#REF!,"AAAAAHmPu9I=")</f>
        <v>#REF!</v>
      </c>
      <c r="HD119" t="e">
        <f>AND(#REF!,"AAAAAHmPu9M=")</f>
        <v>#REF!</v>
      </c>
      <c r="HE119" t="e">
        <f>AND(#REF!,"AAAAAHmPu9Q=")</f>
        <v>#REF!</v>
      </c>
      <c r="HF119" t="e">
        <f>AND(#REF!,"AAAAAHmPu9U=")</f>
        <v>#REF!</v>
      </c>
      <c r="HG119" t="e">
        <f>AND(#REF!,"AAAAAHmPu9Y=")</f>
        <v>#REF!</v>
      </c>
      <c r="HH119" t="e">
        <f>AND(#REF!,"AAAAAHmPu9c=")</f>
        <v>#REF!</v>
      </c>
      <c r="HI119" t="e">
        <f>AND(#REF!,"AAAAAHmPu9g=")</f>
        <v>#REF!</v>
      </c>
      <c r="HJ119" t="e">
        <f>AND(#REF!,"AAAAAHmPu9k=")</f>
        <v>#REF!</v>
      </c>
      <c r="HK119" t="e">
        <f>AND(#REF!,"AAAAAHmPu9o=")</f>
        <v>#REF!</v>
      </c>
      <c r="HL119" t="e">
        <f>AND(#REF!,"AAAAAHmPu9s=")</f>
        <v>#REF!</v>
      </c>
      <c r="HM119" t="e">
        <f>AND(#REF!,"AAAAAHmPu9w=")</f>
        <v>#REF!</v>
      </c>
      <c r="HN119" t="e">
        <f>AND(#REF!,"AAAAAHmPu90=")</f>
        <v>#REF!</v>
      </c>
      <c r="HO119" t="e">
        <f>AND(#REF!,"AAAAAHmPu94=")</f>
        <v>#REF!</v>
      </c>
      <c r="HP119" t="e">
        <f>AND(#REF!,"AAAAAHmPu98=")</f>
        <v>#REF!</v>
      </c>
      <c r="HQ119" t="e">
        <f>AND(#REF!,"AAAAAHmPu+A=")</f>
        <v>#REF!</v>
      </c>
      <c r="HR119" t="e">
        <f>AND(#REF!,"AAAAAHmPu+E=")</f>
        <v>#REF!</v>
      </c>
      <c r="HS119" t="e">
        <f>AND(#REF!,"AAAAAHmPu+I=")</f>
        <v>#REF!</v>
      </c>
      <c r="HT119" t="e">
        <f>AND(#REF!,"AAAAAHmPu+M=")</f>
        <v>#REF!</v>
      </c>
      <c r="HU119" t="e">
        <f>AND(#REF!,"AAAAAHmPu+Q=")</f>
        <v>#REF!</v>
      </c>
      <c r="HV119" t="e">
        <f>AND(#REF!,"AAAAAHmPu+U=")</f>
        <v>#REF!</v>
      </c>
      <c r="HW119" t="e">
        <f>AND(#REF!,"AAAAAHmPu+Y=")</f>
        <v>#REF!</v>
      </c>
      <c r="HX119" t="e">
        <f>AND(#REF!,"AAAAAHmPu+c=")</f>
        <v>#REF!</v>
      </c>
      <c r="HY119" t="e">
        <f>AND(#REF!,"AAAAAHmPu+g=")</f>
        <v>#REF!</v>
      </c>
      <c r="HZ119" t="e">
        <f>AND(#REF!,"AAAAAHmPu+k=")</f>
        <v>#REF!</v>
      </c>
      <c r="IA119" t="e">
        <f>AND(#REF!,"AAAAAHmPu+o=")</f>
        <v>#REF!</v>
      </c>
      <c r="IB119" t="e">
        <f>AND(#REF!,"AAAAAHmPu+s=")</f>
        <v>#REF!</v>
      </c>
      <c r="IC119" t="e">
        <f>AND(#REF!,"AAAAAHmPu+w=")</f>
        <v>#REF!</v>
      </c>
      <c r="ID119" t="e">
        <f>AND(#REF!,"AAAAAHmPu+0=")</f>
        <v>#REF!</v>
      </c>
      <c r="IE119" t="e">
        <f>AND(#REF!,"AAAAAHmPu+4=")</f>
        <v>#REF!</v>
      </c>
      <c r="IF119" t="e">
        <f>AND(#REF!,"AAAAAHmPu+8=")</f>
        <v>#REF!</v>
      </c>
      <c r="IG119" t="e">
        <f>AND(#REF!,"AAAAAHmPu/A=")</f>
        <v>#REF!</v>
      </c>
      <c r="IH119" t="e">
        <f>AND(#REF!,"AAAAAHmPu/E=")</f>
        <v>#REF!</v>
      </c>
      <c r="II119" t="e">
        <f>AND(#REF!,"AAAAAHmPu/I=")</f>
        <v>#REF!</v>
      </c>
      <c r="IJ119" t="e">
        <f>AND(#REF!,"AAAAAHmPu/M=")</f>
        <v>#REF!</v>
      </c>
      <c r="IK119" t="e">
        <f>AND(#REF!,"AAAAAHmPu/Q=")</f>
        <v>#REF!</v>
      </c>
      <c r="IL119" t="e">
        <f>AND(#REF!,"AAAAAHmPu/U=")</f>
        <v>#REF!</v>
      </c>
      <c r="IM119" t="e">
        <f>AND(#REF!,"AAAAAHmPu/Y=")</f>
        <v>#REF!</v>
      </c>
      <c r="IN119" t="e">
        <f>AND(#REF!,"AAAAAHmPu/c=")</f>
        <v>#REF!</v>
      </c>
      <c r="IO119" t="e">
        <f>AND(#REF!,"AAAAAHmPu/g=")</f>
        <v>#REF!</v>
      </c>
      <c r="IP119" t="e">
        <f>AND(#REF!,"AAAAAHmPu/k=")</f>
        <v>#REF!</v>
      </c>
      <c r="IQ119" t="e">
        <f>AND(#REF!,"AAAAAHmPu/o=")</f>
        <v>#REF!</v>
      </c>
      <c r="IR119" t="e">
        <f>AND(#REF!,"AAAAAHmPu/s=")</f>
        <v>#REF!</v>
      </c>
      <c r="IS119" t="e">
        <f>AND(#REF!,"AAAAAHmPu/w=")</f>
        <v>#REF!</v>
      </c>
      <c r="IT119" t="e">
        <f>AND(#REF!,"AAAAAHmPu/0=")</f>
        <v>#REF!</v>
      </c>
      <c r="IU119" t="e">
        <f>AND(#REF!,"AAAAAHmPu/4=")</f>
        <v>#REF!</v>
      </c>
      <c r="IV119" t="e">
        <f>AND(#REF!,"AAAAAHmPu/8=")</f>
        <v>#REF!</v>
      </c>
    </row>
    <row r="120" spans="1:256" x14ac:dyDescent="0.25">
      <c r="A120" t="e">
        <f>AND(#REF!,"AAAAAHL8+wA=")</f>
        <v>#REF!</v>
      </c>
      <c r="B120" t="e">
        <f>AND(#REF!,"AAAAAHL8+wE=")</f>
        <v>#REF!</v>
      </c>
      <c r="C120" t="e">
        <f>AND(#REF!,"AAAAAHL8+wI=")</f>
        <v>#REF!</v>
      </c>
      <c r="D120" t="e">
        <f>AND(#REF!,"AAAAAHL8+wM=")</f>
        <v>#REF!</v>
      </c>
      <c r="E120" t="e">
        <f>AND(#REF!,"AAAAAHL8+wQ=")</f>
        <v>#REF!</v>
      </c>
      <c r="F120" t="e">
        <f>AND(#REF!,"AAAAAHL8+wU=")</f>
        <v>#REF!</v>
      </c>
      <c r="G120" t="e">
        <f>AND(#REF!,"AAAAAHL8+wY=")</f>
        <v>#REF!</v>
      </c>
      <c r="H120" t="e">
        <f>AND(#REF!,"AAAAAHL8+wc=")</f>
        <v>#REF!</v>
      </c>
      <c r="I120" t="e">
        <f>AND(#REF!,"AAAAAHL8+wg=")</f>
        <v>#REF!</v>
      </c>
      <c r="J120" t="e">
        <f>AND(#REF!,"AAAAAHL8+wk=")</f>
        <v>#REF!</v>
      </c>
      <c r="K120" t="e">
        <f>AND(#REF!,"AAAAAHL8+wo=")</f>
        <v>#REF!</v>
      </c>
      <c r="L120" t="e">
        <f>AND(#REF!,"AAAAAHL8+ws=")</f>
        <v>#REF!</v>
      </c>
      <c r="M120" t="e">
        <f>AND(#REF!,"AAAAAHL8+ww=")</f>
        <v>#REF!</v>
      </c>
      <c r="N120" t="e">
        <f>AND(#REF!,"AAAAAHL8+w0=")</f>
        <v>#REF!</v>
      </c>
      <c r="O120" t="e">
        <f>AND(#REF!,"AAAAAHL8+w4=")</f>
        <v>#REF!</v>
      </c>
      <c r="P120" t="e">
        <f>AND(#REF!,"AAAAAHL8+w8=")</f>
        <v>#REF!</v>
      </c>
      <c r="Q120" t="e">
        <f>AND(#REF!,"AAAAAHL8+xA=")</f>
        <v>#REF!</v>
      </c>
      <c r="R120" t="e">
        <f>AND(#REF!,"AAAAAHL8+xE=")</f>
        <v>#REF!</v>
      </c>
      <c r="S120" t="e">
        <f>AND(#REF!,"AAAAAHL8+xI=")</f>
        <v>#REF!</v>
      </c>
      <c r="T120" t="e">
        <f>AND(#REF!,"AAAAAHL8+xM=")</f>
        <v>#REF!</v>
      </c>
      <c r="U120" t="e">
        <f>AND(#REF!,"AAAAAHL8+xQ=")</f>
        <v>#REF!</v>
      </c>
      <c r="V120" t="e">
        <f>AND(#REF!,"AAAAAHL8+xU=")</f>
        <v>#REF!</v>
      </c>
      <c r="W120" t="e">
        <f>AND(#REF!,"AAAAAHL8+xY=")</f>
        <v>#REF!</v>
      </c>
      <c r="X120" t="e">
        <f>AND(#REF!,"AAAAAHL8+xc=")</f>
        <v>#REF!</v>
      </c>
      <c r="Y120" t="e">
        <f>AND(#REF!,"AAAAAHL8+xg=")</f>
        <v>#REF!</v>
      </c>
      <c r="Z120" t="e">
        <f>AND(#REF!,"AAAAAHL8+xk=")</f>
        <v>#REF!</v>
      </c>
      <c r="AA120" t="e">
        <f>AND(#REF!,"AAAAAHL8+xo=")</f>
        <v>#REF!</v>
      </c>
      <c r="AB120" t="e">
        <f>AND(#REF!,"AAAAAHL8+xs=")</f>
        <v>#REF!</v>
      </c>
      <c r="AC120" t="e">
        <f>AND(#REF!,"AAAAAHL8+xw=")</f>
        <v>#REF!</v>
      </c>
      <c r="AD120" t="e">
        <f>AND(#REF!,"AAAAAHL8+x0=")</f>
        <v>#REF!</v>
      </c>
      <c r="AE120" t="e">
        <f>AND(#REF!,"AAAAAHL8+x4=")</f>
        <v>#REF!</v>
      </c>
      <c r="AF120" t="e">
        <f>AND(#REF!,"AAAAAHL8+x8=")</f>
        <v>#REF!</v>
      </c>
      <c r="AG120" t="e">
        <f>AND(#REF!,"AAAAAHL8+yA=")</f>
        <v>#REF!</v>
      </c>
      <c r="AH120" t="e">
        <f>AND(#REF!,"AAAAAHL8+yE=")</f>
        <v>#REF!</v>
      </c>
      <c r="AI120" t="e">
        <f>AND(#REF!,"AAAAAHL8+yI=")</f>
        <v>#REF!</v>
      </c>
      <c r="AJ120" t="e">
        <f>AND(#REF!,"AAAAAHL8+yM=")</f>
        <v>#REF!</v>
      </c>
      <c r="AK120" t="e">
        <f>AND(#REF!,"AAAAAHL8+yQ=")</f>
        <v>#REF!</v>
      </c>
      <c r="AL120" t="e">
        <f>AND(#REF!,"AAAAAHL8+yU=")</f>
        <v>#REF!</v>
      </c>
      <c r="AM120" t="e">
        <f>AND(#REF!,"AAAAAHL8+yY=")</f>
        <v>#REF!</v>
      </c>
      <c r="AN120" t="e">
        <f>AND(#REF!,"AAAAAHL8+yc=")</f>
        <v>#REF!</v>
      </c>
      <c r="AO120" t="e">
        <f>AND(#REF!,"AAAAAHL8+yg=")</f>
        <v>#REF!</v>
      </c>
      <c r="AP120" t="e">
        <f>AND(#REF!,"AAAAAHL8+yk=")</f>
        <v>#REF!</v>
      </c>
      <c r="AQ120" t="e">
        <f>AND(#REF!,"AAAAAHL8+yo=")</f>
        <v>#REF!</v>
      </c>
      <c r="AR120" t="e">
        <f>AND(#REF!,"AAAAAHL8+ys=")</f>
        <v>#REF!</v>
      </c>
      <c r="AS120" t="e">
        <f>AND(#REF!,"AAAAAHL8+yw=")</f>
        <v>#REF!</v>
      </c>
      <c r="AT120" t="e">
        <f>AND(#REF!,"AAAAAHL8+y0=")</f>
        <v>#REF!</v>
      </c>
      <c r="AU120" t="e">
        <f>AND(#REF!,"AAAAAHL8+y4=")</f>
        <v>#REF!</v>
      </c>
      <c r="AV120" t="e">
        <f>AND(#REF!,"AAAAAHL8+y8=")</f>
        <v>#REF!</v>
      </c>
      <c r="AW120" t="e">
        <f>AND(#REF!,"AAAAAHL8+zA=")</f>
        <v>#REF!</v>
      </c>
      <c r="AX120" t="e">
        <f>AND(#REF!,"AAAAAHL8+zE=")</f>
        <v>#REF!</v>
      </c>
      <c r="AY120" t="e">
        <f>AND(#REF!,"AAAAAHL8+zI=")</f>
        <v>#REF!</v>
      </c>
      <c r="AZ120" t="e">
        <f>AND(#REF!,"AAAAAHL8+zM=")</f>
        <v>#REF!</v>
      </c>
      <c r="BA120" t="e">
        <f>AND(#REF!,"AAAAAHL8+zQ=")</f>
        <v>#REF!</v>
      </c>
      <c r="BB120" t="e">
        <f>AND(#REF!,"AAAAAHL8+zU=")</f>
        <v>#REF!</v>
      </c>
      <c r="BC120" t="e">
        <f>AND(#REF!,"AAAAAHL8+zY=")</f>
        <v>#REF!</v>
      </c>
      <c r="BD120" t="e">
        <f>AND(#REF!,"AAAAAHL8+zc=")</f>
        <v>#REF!</v>
      </c>
      <c r="BE120" t="e">
        <f>AND(#REF!,"AAAAAHL8+zg=")</f>
        <v>#REF!</v>
      </c>
      <c r="BF120" t="e">
        <f>AND(#REF!,"AAAAAHL8+zk=")</f>
        <v>#REF!</v>
      </c>
      <c r="BG120" t="e">
        <f>AND(#REF!,"AAAAAHL8+zo=")</f>
        <v>#REF!</v>
      </c>
      <c r="BH120" t="e">
        <f>AND(#REF!,"AAAAAHL8+zs=")</f>
        <v>#REF!</v>
      </c>
      <c r="BI120" t="e">
        <f>AND(#REF!,"AAAAAHL8+zw=")</f>
        <v>#REF!</v>
      </c>
      <c r="BJ120" t="e">
        <f>AND(#REF!,"AAAAAHL8+z0=")</f>
        <v>#REF!</v>
      </c>
      <c r="BK120" t="e">
        <f>AND(#REF!,"AAAAAHL8+z4=")</f>
        <v>#REF!</v>
      </c>
      <c r="BL120" t="e">
        <f>AND(#REF!,"AAAAAHL8+z8=")</f>
        <v>#REF!</v>
      </c>
      <c r="BM120" t="e">
        <f>AND(#REF!,"AAAAAHL8+0A=")</f>
        <v>#REF!</v>
      </c>
      <c r="BN120" t="e">
        <f>AND(#REF!,"AAAAAHL8+0E=")</f>
        <v>#REF!</v>
      </c>
      <c r="BO120" t="e">
        <f>AND(#REF!,"AAAAAHL8+0I=")</f>
        <v>#REF!</v>
      </c>
      <c r="BP120" t="e">
        <f>AND(#REF!,"AAAAAHL8+0M=")</f>
        <v>#REF!</v>
      </c>
      <c r="BQ120" t="e">
        <f>AND(#REF!,"AAAAAHL8+0Q=")</f>
        <v>#REF!</v>
      </c>
      <c r="BR120" t="e">
        <f>AND(#REF!,"AAAAAHL8+0U=")</f>
        <v>#REF!</v>
      </c>
      <c r="BS120" t="e">
        <f>AND(#REF!,"AAAAAHL8+0Y=")</f>
        <v>#REF!</v>
      </c>
      <c r="BT120" t="e">
        <f>AND(#REF!,"AAAAAHL8+0c=")</f>
        <v>#REF!</v>
      </c>
      <c r="BU120" t="e">
        <f>AND(#REF!,"AAAAAHL8+0g=")</f>
        <v>#REF!</v>
      </c>
      <c r="BV120" t="e">
        <f>AND(#REF!,"AAAAAHL8+0k=")</f>
        <v>#REF!</v>
      </c>
      <c r="BW120" t="e">
        <f>AND(#REF!,"AAAAAHL8+0o=")</f>
        <v>#REF!</v>
      </c>
      <c r="BX120" t="e">
        <f>AND(#REF!,"AAAAAHL8+0s=")</f>
        <v>#REF!</v>
      </c>
      <c r="BY120" t="e">
        <f>AND(#REF!,"AAAAAHL8+0w=")</f>
        <v>#REF!</v>
      </c>
      <c r="BZ120" t="e">
        <f>AND(#REF!,"AAAAAHL8+00=")</f>
        <v>#REF!</v>
      </c>
      <c r="CA120" t="e">
        <f>AND(#REF!,"AAAAAHL8+04=")</f>
        <v>#REF!</v>
      </c>
      <c r="CB120" t="e">
        <f>AND(#REF!,"AAAAAHL8+08=")</f>
        <v>#REF!</v>
      </c>
      <c r="CC120" t="e">
        <f>AND(#REF!,"AAAAAHL8+1A=")</f>
        <v>#REF!</v>
      </c>
      <c r="CD120" t="e">
        <f>AND(#REF!,"AAAAAHL8+1E=")</f>
        <v>#REF!</v>
      </c>
      <c r="CE120" t="e">
        <f>AND(#REF!,"AAAAAHL8+1I=")</f>
        <v>#REF!</v>
      </c>
      <c r="CF120" t="e">
        <f>AND(#REF!,"AAAAAHL8+1M=")</f>
        <v>#REF!</v>
      </c>
      <c r="CG120" t="e">
        <f>AND(#REF!,"AAAAAHL8+1Q=")</f>
        <v>#REF!</v>
      </c>
      <c r="CH120" t="e">
        <f>AND(#REF!,"AAAAAHL8+1U=")</f>
        <v>#REF!</v>
      </c>
      <c r="CI120" t="e">
        <f>AND(#REF!,"AAAAAHL8+1Y=")</f>
        <v>#REF!</v>
      </c>
      <c r="CJ120" t="e">
        <f>AND(#REF!,"AAAAAHL8+1c=")</f>
        <v>#REF!</v>
      </c>
      <c r="CK120" t="e">
        <f>AND(#REF!,"AAAAAHL8+1g=")</f>
        <v>#REF!</v>
      </c>
      <c r="CL120" t="e">
        <f>AND(#REF!,"AAAAAHL8+1k=")</f>
        <v>#REF!</v>
      </c>
      <c r="CM120" t="e">
        <f>AND(#REF!,"AAAAAHL8+1o=")</f>
        <v>#REF!</v>
      </c>
      <c r="CN120" t="e">
        <f>AND(#REF!,"AAAAAHL8+1s=")</f>
        <v>#REF!</v>
      </c>
      <c r="CO120" t="e">
        <f>AND(#REF!,"AAAAAHL8+1w=")</f>
        <v>#REF!</v>
      </c>
      <c r="CP120" t="e">
        <f>AND(#REF!,"AAAAAHL8+10=")</f>
        <v>#REF!</v>
      </c>
      <c r="CQ120" t="e">
        <f>AND(#REF!,"AAAAAHL8+14=")</f>
        <v>#REF!</v>
      </c>
      <c r="CR120" t="e">
        <f>AND(#REF!,"AAAAAHL8+18=")</f>
        <v>#REF!</v>
      </c>
      <c r="CS120" t="e">
        <f>AND(#REF!,"AAAAAHL8+2A=")</f>
        <v>#REF!</v>
      </c>
      <c r="CT120" t="e">
        <f>AND(#REF!,"AAAAAHL8+2E=")</f>
        <v>#REF!</v>
      </c>
      <c r="CU120" t="e">
        <f>AND(#REF!,"AAAAAHL8+2I=")</f>
        <v>#REF!</v>
      </c>
      <c r="CV120" t="e">
        <f>AND(#REF!,"AAAAAHL8+2M=")</f>
        <v>#REF!</v>
      </c>
      <c r="CW120" t="e">
        <f>AND(#REF!,"AAAAAHL8+2Q=")</f>
        <v>#REF!</v>
      </c>
      <c r="CX120" t="e">
        <f>AND(#REF!,"AAAAAHL8+2U=")</f>
        <v>#REF!</v>
      </c>
      <c r="CY120" t="e">
        <f>AND(#REF!,"AAAAAHL8+2Y=")</f>
        <v>#REF!</v>
      </c>
      <c r="CZ120" t="e">
        <f>AND(#REF!,"AAAAAHL8+2c=")</f>
        <v>#REF!</v>
      </c>
      <c r="DA120" t="e">
        <f>AND(#REF!,"AAAAAHL8+2g=")</f>
        <v>#REF!</v>
      </c>
      <c r="DB120" t="e">
        <f>AND(#REF!,"AAAAAHL8+2k=")</f>
        <v>#REF!</v>
      </c>
      <c r="DC120" t="e">
        <f>AND(#REF!,"AAAAAHL8+2o=")</f>
        <v>#REF!</v>
      </c>
      <c r="DD120" t="e">
        <f>AND(#REF!,"AAAAAHL8+2s=")</f>
        <v>#REF!</v>
      </c>
      <c r="DE120" t="e">
        <f>AND(#REF!,"AAAAAHL8+2w=")</f>
        <v>#REF!</v>
      </c>
      <c r="DF120" t="e">
        <f>AND(#REF!,"AAAAAHL8+20=")</f>
        <v>#REF!</v>
      </c>
      <c r="DG120" t="e">
        <f>AND(#REF!,"AAAAAHL8+24=")</f>
        <v>#REF!</v>
      </c>
      <c r="DH120" t="e">
        <f>AND(#REF!,"AAAAAHL8+28=")</f>
        <v>#REF!</v>
      </c>
      <c r="DI120" t="e">
        <f>AND(#REF!,"AAAAAHL8+3A=")</f>
        <v>#REF!</v>
      </c>
      <c r="DJ120" t="e">
        <f>AND(#REF!,"AAAAAHL8+3E=")</f>
        <v>#REF!</v>
      </c>
      <c r="DK120" t="e">
        <f>AND(#REF!,"AAAAAHL8+3I=")</f>
        <v>#REF!</v>
      </c>
      <c r="DL120" t="e">
        <f>AND(#REF!,"AAAAAHL8+3M=")</f>
        <v>#REF!</v>
      </c>
      <c r="DM120" t="e">
        <f>AND(#REF!,"AAAAAHL8+3Q=")</f>
        <v>#REF!</v>
      </c>
      <c r="DN120" t="e">
        <f>AND(#REF!,"AAAAAHL8+3U=")</f>
        <v>#REF!</v>
      </c>
      <c r="DO120" t="e">
        <f>AND(#REF!,"AAAAAHL8+3Y=")</f>
        <v>#REF!</v>
      </c>
      <c r="DP120" t="e">
        <f>IF(#REF!,"AAAAAHL8+3c=",0)</f>
        <v>#REF!</v>
      </c>
      <c r="DQ120" t="e">
        <f>AND(#REF!,"AAAAAHL8+3g=")</f>
        <v>#REF!</v>
      </c>
      <c r="DR120" t="e">
        <f>AND(#REF!,"AAAAAHL8+3k=")</f>
        <v>#REF!</v>
      </c>
      <c r="DS120" t="e">
        <f>AND(#REF!,"AAAAAHL8+3o=")</f>
        <v>#REF!</v>
      </c>
      <c r="DT120" t="e">
        <f>AND(#REF!,"AAAAAHL8+3s=")</f>
        <v>#REF!</v>
      </c>
      <c r="DU120" t="e">
        <f>AND(#REF!,"AAAAAHL8+3w=")</f>
        <v>#REF!</v>
      </c>
      <c r="DV120" t="e">
        <f>AND(#REF!,"AAAAAHL8+30=")</f>
        <v>#REF!</v>
      </c>
      <c r="DW120" t="e">
        <f>AND(#REF!,"AAAAAHL8+34=")</f>
        <v>#REF!</v>
      </c>
      <c r="DX120" t="e">
        <f>AND(#REF!,"AAAAAHL8+38=")</f>
        <v>#REF!</v>
      </c>
      <c r="DY120" t="e">
        <f>AND(#REF!,"AAAAAHL8+4A=")</f>
        <v>#REF!</v>
      </c>
      <c r="DZ120" t="e">
        <f>AND(#REF!,"AAAAAHL8+4E=")</f>
        <v>#REF!</v>
      </c>
      <c r="EA120" t="e">
        <f>AND(#REF!,"AAAAAHL8+4I=")</f>
        <v>#REF!</v>
      </c>
      <c r="EB120" t="e">
        <f>AND(#REF!,"AAAAAHL8+4M=")</f>
        <v>#REF!</v>
      </c>
      <c r="EC120" t="e">
        <f>AND(#REF!,"AAAAAHL8+4Q=")</f>
        <v>#REF!</v>
      </c>
      <c r="ED120" t="e">
        <f>AND(#REF!,"AAAAAHL8+4U=")</f>
        <v>#REF!</v>
      </c>
      <c r="EE120" t="e">
        <f>AND(#REF!,"AAAAAHL8+4Y=")</f>
        <v>#REF!</v>
      </c>
      <c r="EF120" t="e">
        <f>AND(#REF!,"AAAAAHL8+4c=")</f>
        <v>#REF!</v>
      </c>
      <c r="EG120" t="e">
        <f>AND(#REF!,"AAAAAHL8+4g=")</f>
        <v>#REF!</v>
      </c>
      <c r="EH120" t="e">
        <f>AND(#REF!,"AAAAAHL8+4k=")</f>
        <v>#REF!</v>
      </c>
      <c r="EI120" t="e">
        <f>AND(#REF!,"AAAAAHL8+4o=")</f>
        <v>#REF!</v>
      </c>
      <c r="EJ120" t="e">
        <f>AND(#REF!,"AAAAAHL8+4s=")</f>
        <v>#REF!</v>
      </c>
      <c r="EK120" t="e">
        <f>AND(#REF!,"AAAAAHL8+4w=")</f>
        <v>#REF!</v>
      </c>
      <c r="EL120" t="e">
        <f>AND(#REF!,"AAAAAHL8+40=")</f>
        <v>#REF!</v>
      </c>
      <c r="EM120" t="e">
        <f>AND(#REF!,"AAAAAHL8+44=")</f>
        <v>#REF!</v>
      </c>
      <c r="EN120" t="e">
        <f>AND(#REF!,"AAAAAHL8+48=")</f>
        <v>#REF!</v>
      </c>
      <c r="EO120" t="e">
        <f>AND(#REF!,"AAAAAHL8+5A=")</f>
        <v>#REF!</v>
      </c>
      <c r="EP120" t="e">
        <f>AND(#REF!,"AAAAAHL8+5E=")</f>
        <v>#REF!</v>
      </c>
      <c r="EQ120" t="e">
        <f>AND(#REF!,"AAAAAHL8+5I=")</f>
        <v>#REF!</v>
      </c>
      <c r="ER120" t="e">
        <f>AND(#REF!,"AAAAAHL8+5M=")</f>
        <v>#REF!</v>
      </c>
      <c r="ES120" t="e">
        <f>AND(#REF!,"AAAAAHL8+5Q=")</f>
        <v>#REF!</v>
      </c>
      <c r="ET120" t="e">
        <f>AND(#REF!,"AAAAAHL8+5U=")</f>
        <v>#REF!</v>
      </c>
      <c r="EU120" t="e">
        <f>AND(#REF!,"AAAAAHL8+5Y=")</f>
        <v>#REF!</v>
      </c>
      <c r="EV120" t="e">
        <f>AND(#REF!,"AAAAAHL8+5c=")</f>
        <v>#REF!</v>
      </c>
      <c r="EW120" t="e">
        <f>AND(#REF!,"AAAAAHL8+5g=")</f>
        <v>#REF!</v>
      </c>
      <c r="EX120" t="e">
        <f>AND(#REF!,"AAAAAHL8+5k=")</f>
        <v>#REF!</v>
      </c>
      <c r="EY120" t="e">
        <f>AND(#REF!,"AAAAAHL8+5o=")</f>
        <v>#REF!</v>
      </c>
      <c r="EZ120" t="e">
        <f>AND(#REF!,"AAAAAHL8+5s=")</f>
        <v>#REF!</v>
      </c>
      <c r="FA120" t="e">
        <f>AND(#REF!,"AAAAAHL8+5w=")</f>
        <v>#REF!</v>
      </c>
      <c r="FB120" t="e">
        <f>AND(#REF!,"AAAAAHL8+50=")</f>
        <v>#REF!</v>
      </c>
      <c r="FC120" t="e">
        <f>AND(#REF!,"AAAAAHL8+54=")</f>
        <v>#REF!</v>
      </c>
      <c r="FD120" t="e">
        <f>AND(#REF!,"AAAAAHL8+58=")</f>
        <v>#REF!</v>
      </c>
      <c r="FE120" t="e">
        <f>AND(#REF!,"AAAAAHL8+6A=")</f>
        <v>#REF!</v>
      </c>
      <c r="FF120" t="e">
        <f>AND(#REF!,"AAAAAHL8+6E=")</f>
        <v>#REF!</v>
      </c>
      <c r="FG120" t="e">
        <f>AND(#REF!,"AAAAAHL8+6I=")</f>
        <v>#REF!</v>
      </c>
      <c r="FH120" t="e">
        <f>AND(#REF!,"AAAAAHL8+6M=")</f>
        <v>#REF!</v>
      </c>
      <c r="FI120" t="e">
        <f>AND(#REF!,"AAAAAHL8+6Q=")</f>
        <v>#REF!</v>
      </c>
      <c r="FJ120" t="e">
        <f>AND(#REF!,"AAAAAHL8+6U=")</f>
        <v>#REF!</v>
      </c>
      <c r="FK120" t="e">
        <f>AND(#REF!,"AAAAAHL8+6Y=")</f>
        <v>#REF!</v>
      </c>
      <c r="FL120" t="e">
        <f>AND(#REF!,"AAAAAHL8+6c=")</f>
        <v>#REF!</v>
      </c>
      <c r="FM120" t="e">
        <f>AND(#REF!,"AAAAAHL8+6g=")</f>
        <v>#REF!</v>
      </c>
      <c r="FN120" t="e">
        <f>AND(#REF!,"AAAAAHL8+6k=")</f>
        <v>#REF!</v>
      </c>
      <c r="FO120" t="e">
        <f>AND(#REF!,"AAAAAHL8+6o=")</f>
        <v>#REF!</v>
      </c>
      <c r="FP120" t="e">
        <f>AND(#REF!,"AAAAAHL8+6s=")</f>
        <v>#REF!</v>
      </c>
      <c r="FQ120" t="e">
        <f>AND(#REF!,"AAAAAHL8+6w=")</f>
        <v>#REF!</v>
      </c>
      <c r="FR120" t="e">
        <f>AND(#REF!,"AAAAAHL8+60=")</f>
        <v>#REF!</v>
      </c>
      <c r="FS120" t="e">
        <f>AND(#REF!,"AAAAAHL8+64=")</f>
        <v>#REF!</v>
      </c>
      <c r="FT120" t="e">
        <f>AND(#REF!,"AAAAAHL8+68=")</f>
        <v>#REF!</v>
      </c>
      <c r="FU120" t="e">
        <f>AND(#REF!,"AAAAAHL8+7A=")</f>
        <v>#REF!</v>
      </c>
      <c r="FV120" t="e">
        <f>AND(#REF!,"AAAAAHL8+7E=")</f>
        <v>#REF!</v>
      </c>
      <c r="FW120" t="e">
        <f>AND(#REF!,"AAAAAHL8+7I=")</f>
        <v>#REF!</v>
      </c>
      <c r="FX120" t="e">
        <f>AND(#REF!,"AAAAAHL8+7M=")</f>
        <v>#REF!</v>
      </c>
      <c r="FY120" t="e">
        <f>AND(#REF!,"AAAAAHL8+7Q=")</f>
        <v>#REF!</v>
      </c>
      <c r="FZ120" t="e">
        <f>AND(#REF!,"AAAAAHL8+7U=")</f>
        <v>#REF!</v>
      </c>
      <c r="GA120" t="e">
        <f>AND(#REF!,"AAAAAHL8+7Y=")</f>
        <v>#REF!</v>
      </c>
      <c r="GB120" t="e">
        <f>AND(#REF!,"AAAAAHL8+7c=")</f>
        <v>#REF!</v>
      </c>
      <c r="GC120" t="e">
        <f>AND(#REF!,"AAAAAHL8+7g=")</f>
        <v>#REF!</v>
      </c>
      <c r="GD120" t="e">
        <f>AND(#REF!,"AAAAAHL8+7k=")</f>
        <v>#REF!</v>
      </c>
      <c r="GE120" t="e">
        <f>AND(#REF!,"AAAAAHL8+7o=")</f>
        <v>#REF!</v>
      </c>
      <c r="GF120" t="e">
        <f>AND(#REF!,"AAAAAHL8+7s=")</f>
        <v>#REF!</v>
      </c>
      <c r="GG120" t="e">
        <f>AND(#REF!,"AAAAAHL8+7w=")</f>
        <v>#REF!</v>
      </c>
      <c r="GH120" t="e">
        <f>AND(#REF!,"AAAAAHL8+70=")</f>
        <v>#REF!</v>
      </c>
      <c r="GI120" t="e">
        <f>AND(#REF!,"AAAAAHL8+74=")</f>
        <v>#REF!</v>
      </c>
      <c r="GJ120" t="e">
        <f>AND(#REF!,"AAAAAHL8+78=")</f>
        <v>#REF!</v>
      </c>
      <c r="GK120" t="e">
        <f>AND(#REF!,"AAAAAHL8+8A=")</f>
        <v>#REF!</v>
      </c>
      <c r="GL120" t="e">
        <f>AND(#REF!,"AAAAAHL8+8E=")</f>
        <v>#REF!</v>
      </c>
      <c r="GM120" t="e">
        <f>AND(#REF!,"AAAAAHL8+8I=")</f>
        <v>#REF!</v>
      </c>
      <c r="GN120" t="e">
        <f>AND(#REF!,"AAAAAHL8+8M=")</f>
        <v>#REF!</v>
      </c>
      <c r="GO120" t="e">
        <f>AND(#REF!,"AAAAAHL8+8Q=")</f>
        <v>#REF!</v>
      </c>
      <c r="GP120" t="e">
        <f>AND(#REF!,"AAAAAHL8+8U=")</f>
        <v>#REF!</v>
      </c>
      <c r="GQ120" t="e">
        <f>AND(#REF!,"AAAAAHL8+8Y=")</f>
        <v>#REF!</v>
      </c>
      <c r="GR120" t="e">
        <f>AND(#REF!,"AAAAAHL8+8c=")</f>
        <v>#REF!</v>
      </c>
      <c r="GS120" t="e">
        <f>AND(#REF!,"AAAAAHL8+8g=")</f>
        <v>#REF!</v>
      </c>
      <c r="GT120" t="e">
        <f>AND(#REF!,"AAAAAHL8+8k=")</f>
        <v>#REF!</v>
      </c>
      <c r="GU120" t="e">
        <f>AND(#REF!,"AAAAAHL8+8o=")</f>
        <v>#REF!</v>
      </c>
      <c r="GV120" t="e">
        <f>AND(#REF!,"AAAAAHL8+8s=")</f>
        <v>#REF!</v>
      </c>
      <c r="GW120" t="e">
        <f>AND(#REF!,"AAAAAHL8+8w=")</f>
        <v>#REF!</v>
      </c>
      <c r="GX120" t="e">
        <f>AND(#REF!,"AAAAAHL8+80=")</f>
        <v>#REF!</v>
      </c>
      <c r="GY120" t="e">
        <f>AND(#REF!,"AAAAAHL8+84=")</f>
        <v>#REF!</v>
      </c>
      <c r="GZ120" t="e">
        <f>AND(#REF!,"AAAAAHL8+88=")</f>
        <v>#REF!</v>
      </c>
      <c r="HA120" t="e">
        <f>AND(#REF!,"AAAAAHL8+9A=")</f>
        <v>#REF!</v>
      </c>
      <c r="HB120" t="e">
        <f>AND(#REF!,"AAAAAHL8+9E=")</f>
        <v>#REF!</v>
      </c>
      <c r="HC120" t="e">
        <f>AND(#REF!,"AAAAAHL8+9I=")</f>
        <v>#REF!</v>
      </c>
      <c r="HD120" t="e">
        <f>AND(#REF!,"AAAAAHL8+9M=")</f>
        <v>#REF!</v>
      </c>
      <c r="HE120" t="e">
        <f>AND(#REF!,"AAAAAHL8+9Q=")</f>
        <v>#REF!</v>
      </c>
      <c r="HF120" t="e">
        <f>AND(#REF!,"AAAAAHL8+9U=")</f>
        <v>#REF!</v>
      </c>
      <c r="HG120" t="e">
        <f>AND(#REF!,"AAAAAHL8+9Y=")</f>
        <v>#REF!</v>
      </c>
      <c r="HH120" t="e">
        <f>AND(#REF!,"AAAAAHL8+9c=")</f>
        <v>#REF!</v>
      </c>
      <c r="HI120" t="e">
        <f>AND(#REF!,"AAAAAHL8+9g=")</f>
        <v>#REF!</v>
      </c>
      <c r="HJ120" t="e">
        <f>AND(#REF!,"AAAAAHL8+9k=")</f>
        <v>#REF!</v>
      </c>
      <c r="HK120" t="e">
        <f>AND(#REF!,"AAAAAHL8+9o=")</f>
        <v>#REF!</v>
      </c>
      <c r="HL120" t="e">
        <f>AND(#REF!,"AAAAAHL8+9s=")</f>
        <v>#REF!</v>
      </c>
      <c r="HM120" t="e">
        <f>AND(#REF!,"AAAAAHL8+9w=")</f>
        <v>#REF!</v>
      </c>
      <c r="HN120" t="e">
        <f>AND(#REF!,"AAAAAHL8+90=")</f>
        <v>#REF!</v>
      </c>
      <c r="HO120" t="e">
        <f>AND(#REF!,"AAAAAHL8+94=")</f>
        <v>#REF!</v>
      </c>
      <c r="HP120" t="e">
        <f>AND(#REF!,"AAAAAHL8+98=")</f>
        <v>#REF!</v>
      </c>
      <c r="HQ120" t="e">
        <f>AND(#REF!,"AAAAAHL8++A=")</f>
        <v>#REF!</v>
      </c>
      <c r="HR120" t="e">
        <f>AND(#REF!,"AAAAAHL8++E=")</f>
        <v>#REF!</v>
      </c>
      <c r="HS120" t="e">
        <f>AND(#REF!,"AAAAAHL8++I=")</f>
        <v>#REF!</v>
      </c>
      <c r="HT120" t="e">
        <f>AND(#REF!,"AAAAAHL8++M=")</f>
        <v>#REF!</v>
      </c>
      <c r="HU120" t="e">
        <f>AND(#REF!,"AAAAAHL8++Q=")</f>
        <v>#REF!</v>
      </c>
      <c r="HV120" t="e">
        <f>AND(#REF!,"AAAAAHL8++U=")</f>
        <v>#REF!</v>
      </c>
      <c r="HW120" t="e">
        <f>AND(#REF!,"AAAAAHL8++Y=")</f>
        <v>#REF!</v>
      </c>
      <c r="HX120" t="e">
        <f>AND(#REF!,"AAAAAHL8++c=")</f>
        <v>#REF!</v>
      </c>
      <c r="HY120" t="e">
        <f>AND(#REF!,"AAAAAHL8++g=")</f>
        <v>#REF!</v>
      </c>
      <c r="HZ120" t="e">
        <f>AND(#REF!,"AAAAAHL8++k=")</f>
        <v>#REF!</v>
      </c>
      <c r="IA120" t="e">
        <f>AND(#REF!,"AAAAAHL8++o=")</f>
        <v>#REF!</v>
      </c>
      <c r="IB120" t="e">
        <f>AND(#REF!,"AAAAAHL8++s=")</f>
        <v>#REF!</v>
      </c>
      <c r="IC120" t="e">
        <f>AND(#REF!,"AAAAAHL8++w=")</f>
        <v>#REF!</v>
      </c>
      <c r="ID120" t="e">
        <f>AND(#REF!,"AAAAAHL8++0=")</f>
        <v>#REF!</v>
      </c>
      <c r="IE120" t="e">
        <f>AND(#REF!,"AAAAAHL8++4=")</f>
        <v>#REF!</v>
      </c>
      <c r="IF120" t="e">
        <f>AND(#REF!,"AAAAAHL8++8=")</f>
        <v>#REF!</v>
      </c>
      <c r="IG120" t="e">
        <f>AND(#REF!,"AAAAAHL8+/A=")</f>
        <v>#REF!</v>
      </c>
      <c r="IH120" t="e">
        <f>AND(#REF!,"AAAAAHL8+/E=")</f>
        <v>#REF!</v>
      </c>
      <c r="II120" t="e">
        <f>AND(#REF!,"AAAAAHL8+/I=")</f>
        <v>#REF!</v>
      </c>
      <c r="IJ120" t="e">
        <f>AND(#REF!,"AAAAAHL8+/M=")</f>
        <v>#REF!</v>
      </c>
      <c r="IK120" t="e">
        <f>AND(#REF!,"AAAAAHL8+/Q=")</f>
        <v>#REF!</v>
      </c>
      <c r="IL120" t="e">
        <f>AND(#REF!,"AAAAAHL8+/U=")</f>
        <v>#REF!</v>
      </c>
      <c r="IM120" t="e">
        <f>AND(#REF!,"AAAAAHL8+/Y=")</f>
        <v>#REF!</v>
      </c>
      <c r="IN120" t="e">
        <f>AND(#REF!,"AAAAAHL8+/c=")</f>
        <v>#REF!</v>
      </c>
      <c r="IO120" t="e">
        <f>AND(#REF!,"AAAAAHL8+/g=")</f>
        <v>#REF!</v>
      </c>
      <c r="IP120" t="e">
        <f>AND(#REF!,"AAAAAHL8+/k=")</f>
        <v>#REF!</v>
      </c>
      <c r="IQ120" t="e">
        <f>AND(#REF!,"AAAAAHL8+/o=")</f>
        <v>#REF!</v>
      </c>
      <c r="IR120" t="e">
        <f>AND(#REF!,"AAAAAHL8+/s=")</f>
        <v>#REF!</v>
      </c>
      <c r="IS120" t="e">
        <f>AND(#REF!,"AAAAAHL8+/w=")</f>
        <v>#REF!</v>
      </c>
      <c r="IT120" t="e">
        <f>AND(#REF!,"AAAAAHL8+/0=")</f>
        <v>#REF!</v>
      </c>
      <c r="IU120" t="e">
        <f>AND(#REF!,"AAAAAHL8+/4=")</f>
        <v>#REF!</v>
      </c>
      <c r="IV120" t="e">
        <f>AND(#REF!,"AAAAAHL8+/8=")</f>
        <v>#REF!</v>
      </c>
    </row>
    <row r="121" spans="1:256" x14ac:dyDescent="0.25">
      <c r="A121" t="e">
        <f>AND(#REF!,"AAAAAHXf/wA=")</f>
        <v>#REF!</v>
      </c>
      <c r="B121" t="e">
        <f>AND(#REF!,"AAAAAHXf/wE=")</f>
        <v>#REF!</v>
      </c>
      <c r="C121" t="e">
        <f>AND(#REF!,"AAAAAHXf/wI=")</f>
        <v>#REF!</v>
      </c>
      <c r="D121" t="e">
        <f>AND(#REF!,"AAAAAHXf/wM=")</f>
        <v>#REF!</v>
      </c>
      <c r="E121" t="e">
        <f>AND(#REF!,"AAAAAHXf/wQ=")</f>
        <v>#REF!</v>
      </c>
      <c r="F121" t="e">
        <f>AND(#REF!,"AAAAAHXf/wU=")</f>
        <v>#REF!</v>
      </c>
      <c r="G121" t="e">
        <f>AND(#REF!,"AAAAAHXf/wY=")</f>
        <v>#REF!</v>
      </c>
      <c r="H121" t="e">
        <f>AND(#REF!,"AAAAAHXf/wc=")</f>
        <v>#REF!</v>
      </c>
      <c r="I121" t="e">
        <f>AND(#REF!,"AAAAAHXf/wg=")</f>
        <v>#REF!</v>
      </c>
      <c r="J121" t="e">
        <f>AND(#REF!,"AAAAAHXf/wk=")</f>
        <v>#REF!</v>
      </c>
      <c r="K121" t="e">
        <f>AND(#REF!,"AAAAAHXf/wo=")</f>
        <v>#REF!</v>
      </c>
      <c r="L121" t="e">
        <f>AND(#REF!,"AAAAAHXf/ws=")</f>
        <v>#REF!</v>
      </c>
      <c r="M121" t="e">
        <f>AND(#REF!,"AAAAAHXf/ww=")</f>
        <v>#REF!</v>
      </c>
      <c r="N121" t="e">
        <f>AND(#REF!,"AAAAAHXf/w0=")</f>
        <v>#REF!</v>
      </c>
      <c r="O121" t="e">
        <f>AND(#REF!,"AAAAAHXf/w4=")</f>
        <v>#REF!</v>
      </c>
      <c r="P121" t="e">
        <f>AND(#REF!,"AAAAAHXf/w8=")</f>
        <v>#REF!</v>
      </c>
      <c r="Q121" t="e">
        <f>AND(#REF!,"AAAAAHXf/xA=")</f>
        <v>#REF!</v>
      </c>
      <c r="R121" t="e">
        <f>AND(#REF!,"AAAAAHXf/xE=")</f>
        <v>#REF!</v>
      </c>
      <c r="S121" t="e">
        <f>AND(#REF!,"AAAAAHXf/xI=")</f>
        <v>#REF!</v>
      </c>
      <c r="T121" t="e">
        <f>AND(#REF!,"AAAAAHXf/xM=")</f>
        <v>#REF!</v>
      </c>
      <c r="U121" t="e">
        <f>AND(#REF!,"AAAAAHXf/xQ=")</f>
        <v>#REF!</v>
      </c>
      <c r="V121" t="e">
        <f>AND(#REF!,"AAAAAHXf/xU=")</f>
        <v>#REF!</v>
      </c>
      <c r="W121" t="e">
        <f>AND(#REF!,"AAAAAHXf/xY=")</f>
        <v>#REF!</v>
      </c>
      <c r="X121" t="e">
        <f>AND(#REF!,"AAAAAHXf/xc=")</f>
        <v>#REF!</v>
      </c>
      <c r="Y121" t="e">
        <f>AND(#REF!,"AAAAAHXf/xg=")</f>
        <v>#REF!</v>
      </c>
      <c r="Z121" t="e">
        <f>AND(#REF!,"AAAAAHXf/xk=")</f>
        <v>#REF!</v>
      </c>
      <c r="AA121" t="e">
        <f>AND(#REF!,"AAAAAHXf/xo=")</f>
        <v>#REF!</v>
      </c>
      <c r="AB121" t="e">
        <f>AND(#REF!,"AAAAAHXf/xs=")</f>
        <v>#REF!</v>
      </c>
      <c r="AC121" t="e">
        <f>AND(#REF!,"AAAAAHXf/xw=")</f>
        <v>#REF!</v>
      </c>
      <c r="AD121" t="e">
        <f>AND(#REF!,"AAAAAHXf/x0=")</f>
        <v>#REF!</v>
      </c>
      <c r="AE121" t="e">
        <f>AND(#REF!,"AAAAAHXf/x4=")</f>
        <v>#REF!</v>
      </c>
      <c r="AF121" t="e">
        <f>AND(#REF!,"AAAAAHXf/x8=")</f>
        <v>#REF!</v>
      </c>
      <c r="AG121" t="e">
        <f>AND(#REF!,"AAAAAHXf/yA=")</f>
        <v>#REF!</v>
      </c>
      <c r="AH121" t="e">
        <f>AND(#REF!,"AAAAAHXf/yE=")</f>
        <v>#REF!</v>
      </c>
      <c r="AI121" t="e">
        <f>AND(#REF!,"AAAAAHXf/yI=")</f>
        <v>#REF!</v>
      </c>
      <c r="AJ121" t="e">
        <f>AND(#REF!,"AAAAAHXf/yM=")</f>
        <v>#REF!</v>
      </c>
      <c r="AK121" t="e">
        <f>AND(#REF!,"AAAAAHXf/yQ=")</f>
        <v>#REF!</v>
      </c>
      <c r="AL121" t="e">
        <f>AND(#REF!,"AAAAAHXf/yU=")</f>
        <v>#REF!</v>
      </c>
      <c r="AM121" t="e">
        <f>AND(#REF!,"AAAAAHXf/yY=")</f>
        <v>#REF!</v>
      </c>
      <c r="AN121" t="e">
        <f>AND(#REF!,"AAAAAHXf/yc=")</f>
        <v>#REF!</v>
      </c>
      <c r="AO121" t="e">
        <f>AND(#REF!,"AAAAAHXf/yg=")</f>
        <v>#REF!</v>
      </c>
      <c r="AP121" t="e">
        <f>AND(#REF!,"AAAAAHXf/yk=")</f>
        <v>#REF!</v>
      </c>
      <c r="AQ121" t="e">
        <f>AND(#REF!,"AAAAAHXf/yo=")</f>
        <v>#REF!</v>
      </c>
      <c r="AR121" t="e">
        <f>AND(#REF!,"AAAAAHXf/ys=")</f>
        <v>#REF!</v>
      </c>
      <c r="AS121" t="e">
        <f>AND(#REF!,"AAAAAHXf/yw=")</f>
        <v>#REF!</v>
      </c>
      <c r="AT121" t="e">
        <f>AND(#REF!,"AAAAAHXf/y0=")</f>
        <v>#REF!</v>
      </c>
      <c r="AU121" t="e">
        <f>AND(#REF!,"AAAAAHXf/y4=")</f>
        <v>#REF!</v>
      </c>
      <c r="AV121" t="e">
        <f>AND(#REF!,"AAAAAHXf/y8=")</f>
        <v>#REF!</v>
      </c>
      <c r="AW121" t="e">
        <f>AND(#REF!,"AAAAAHXf/zA=")</f>
        <v>#REF!</v>
      </c>
      <c r="AX121" t="e">
        <f>AND(#REF!,"AAAAAHXf/zE=")</f>
        <v>#REF!</v>
      </c>
      <c r="AY121" t="e">
        <f>AND(#REF!,"AAAAAHXf/zI=")</f>
        <v>#REF!</v>
      </c>
      <c r="AZ121" t="e">
        <f>AND(#REF!,"AAAAAHXf/zM=")</f>
        <v>#REF!</v>
      </c>
      <c r="BA121" t="e">
        <f>IF(#REF!,"AAAAAHXf/zQ=",0)</f>
        <v>#REF!</v>
      </c>
      <c r="BB121" t="e">
        <f>AND(#REF!,"AAAAAHXf/zU=")</f>
        <v>#REF!</v>
      </c>
      <c r="BC121" t="e">
        <f>AND(#REF!,"AAAAAHXf/zY=")</f>
        <v>#REF!</v>
      </c>
      <c r="BD121" t="e">
        <f>AND(#REF!,"AAAAAHXf/zc=")</f>
        <v>#REF!</v>
      </c>
      <c r="BE121" t="e">
        <f>AND(#REF!,"AAAAAHXf/zg=")</f>
        <v>#REF!</v>
      </c>
      <c r="BF121" t="e">
        <f>AND(#REF!,"AAAAAHXf/zk=")</f>
        <v>#REF!</v>
      </c>
      <c r="BG121" t="e">
        <f>AND(#REF!,"AAAAAHXf/zo=")</f>
        <v>#REF!</v>
      </c>
      <c r="BH121" t="e">
        <f>AND(#REF!,"AAAAAHXf/zs=")</f>
        <v>#REF!</v>
      </c>
      <c r="BI121" t="e">
        <f>AND(#REF!,"AAAAAHXf/zw=")</f>
        <v>#REF!</v>
      </c>
      <c r="BJ121" t="e">
        <f>AND(#REF!,"AAAAAHXf/z0=")</f>
        <v>#REF!</v>
      </c>
      <c r="BK121" t="e">
        <f>AND(#REF!,"AAAAAHXf/z4=")</f>
        <v>#REF!</v>
      </c>
      <c r="BL121" t="e">
        <f>AND(#REF!,"AAAAAHXf/z8=")</f>
        <v>#REF!</v>
      </c>
      <c r="BM121" t="e">
        <f>AND(#REF!,"AAAAAHXf/0A=")</f>
        <v>#REF!</v>
      </c>
      <c r="BN121" t="e">
        <f>AND(#REF!,"AAAAAHXf/0E=")</f>
        <v>#REF!</v>
      </c>
      <c r="BO121" t="e">
        <f>AND(#REF!,"AAAAAHXf/0I=")</f>
        <v>#REF!</v>
      </c>
      <c r="BP121" t="e">
        <f>AND(#REF!,"AAAAAHXf/0M=")</f>
        <v>#REF!</v>
      </c>
      <c r="BQ121" t="e">
        <f>AND(#REF!,"AAAAAHXf/0Q=")</f>
        <v>#REF!</v>
      </c>
      <c r="BR121" t="e">
        <f>AND(#REF!,"AAAAAHXf/0U=")</f>
        <v>#REF!</v>
      </c>
      <c r="BS121" t="e">
        <f>AND(#REF!,"AAAAAHXf/0Y=")</f>
        <v>#REF!</v>
      </c>
      <c r="BT121" t="e">
        <f>AND(#REF!,"AAAAAHXf/0c=")</f>
        <v>#REF!</v>
      </c>
      <c r="BU121" t="e">
        <f>AND(#REF!,"AAAAAHXf/0g=")</f>
        <v>#REF!</v>
      </c>
      <c r="BV121" t="e">
        <f>AND(#REF!,"AAAAAHXf/0k=")</f>
        <v>#REF!</v>
      </c>
      <c r="BW121" t="e">
        <f>AND(#REF!,"AAAAAHXf/0o=")</f>
        <v>#REF!</v>
      </c>
      <c r="BX121" t="e">
        <f>AND(#REF!,"AAAAAHXf/0s=")</f>
        <v>#REF!</v>
      </c>
      <c r="BY121" t="e">
        <f>AND(#REF!,"AAAAAHXf/0w=")</f>
        <v>#REF!</v>
      </c>
      <c r="BZ121" t="e">
        <f>AND(#REF!,"AAAAAHXf/00=")</f>
        <v>#REF!</v>
      </c>
      <c r="CA121" t="e">
        <f>AND(#REF!,"AAAAAHXf/04=")</f>
        <v>#REF!</v>
      </c>
      <c r="CB121" t="e">
        <f>AND(#REF!,"AAAAAHXf/08=")</f>
        <v>#REF!</v>
      </c>
      <c r="CC121" t="e">
        <f>AND(#REF!,"AAAAAHXf/1A=")</f>
        <v>#REF!</v>
      </c>
      <c r="CD121" t="e">
        <f>AND(#REF!,"AAAAAHXf/1E=")</f>
        <v>#REF!</v>
      </c>
      <c r="CE121" t="e">
        <f>AND(#REF!,"AAAAAHXf/1I=")</f>
        <v>#REF!</v>
      </c>
      <c r="CF121" t="e">
        <f>AND(#REF!,"AAAAAHXf/1M=")</f>
        <v>#REF!</v>
      </c>
      <c r="CG121" t="e">
        <f>AND(#REF!,"AAAAAHXf/1Q=")</f>
        <v>#REF!</v>
      </c>
      <c r="CH121" t="e">
        <f>AND(#REF!,"AAAAAHXf/1U=")</f>
        <v>#REF!</v>
      </c>
      <c r="CI121" t="e">
        <f>AND(#REF!,"AAAAAHXf/1Y=")</f>
        <v>#REF!</v>
      </c>
      <c r="CJ121" t="e">
        <f>AND(#REF!,"AAAAAHXf/1c=")</f>
        <v>#REF!</v>
      </c>
      <c r="CK121" t="e">
        <f>AND(#REF!,"AAAAAHXf/1g=")</f>
        <v>#REF!</v>
      </c>
      <c r="CL121" t="e">
        <f>AND(#REF!,"AAAAAHXf/1k=")</f>
        <v>#REF!</v>
      </c>
      <c r="CM121" t="e">
        <f>AND(#REF!,"AAAAAHXf/1o=")</f>
        <v>#REF!</v>
      </c>
      <c r="CN121" t="e">
        <f>AND(#REF!,"AAAAAHXf/1s=")</f>
        <v>#REF!</v>
      </c>
      <c r="CO121" t="e">
        <f>AND(#REF!,"AAAAAHXf/1w=")</f>
        <v>#REF!</v>
      </c>
      <c r="CP121" t="e">
        <f>AND(#REF!,"AAAAAHXf/10=")</f>
        <v>#REF!</v>
      </c>
      <c r="CQ121" t="e">
        <f>AND(#REF!,"AAAAAHXf/14=")</f>
        <v>#REF!</v>
      </c>
      <c r="CR121" t="e">
        <f>AND(#REF!,"AAAAAHXf/18=")</f>
        <v>#REF!</v>
      </c>
      <c r="CS121" t="e">
        <f>AND(#REF!,"AAAAAHXf/2A=")</f>
        <v>#REF!</v>
      </c>
      <c r="CT121" t="e">
        <f>AND(#REF!,"AAAAAHXf/2E=")</f>
        <v>#REF!</v>
      </c>
      <c r="CU121" t="e">
        <f>AND(#REF!,"AAAAAHXf/2I=")</f>
        <v>#REF!</v>
      </c>
      <c r="CV121" t="e">
        <f>AND(#REF!,"AAAAAHXf/2M=")</f>
        <v>#REF!</v>
      </c>
      <c r="CW121" t="e">
        <f>AND(#REF!,"AAAAAHXf/2Q=")</f>
        <v>#REF!</v>
      </c>
      <c r="CX121" t="e">
        <f>AND(#REF!,"AAAAAHXf/2U=")</f>
        <v>#REF!</v>
      </c>
      <c r="CY121" t="e">
        <f>AND(#REF!,"AAAAAHXf/2Y=")</f>
        <v>#REF!</v>
      </c>
      <c r="CZ121" t="e">
        <f>AND(#REF!,"AAAAAHXf/2c=")</f>
        <v>#REF!</v>
      </c>
      <c r="DA121" t="e">
        <f>AND(#REF!,"AAAAAHXf/2g=")</f>
        <v>#REF!</v>
      </c>
      <c r="DB121" t="e">
        <f>AND(#REF!,"AAAAAHXf/2k=")</f>
        <v>#REF!</v>
      </c>
      <c r="DC121" t="e">
        <f>AND(#REF!,"AAAAAHXf/2o=")</f>
        <v>#REF!</v>
      </c>
      <c r="DD121" t="e">
        <f>AND(#REF!,"AAAAAHXf/2s=")</f>
        <v>#REF!</v>
      </c>
      <c r="DE121" t="e">
        <f>AND(#REF!,"AAAAAHXf/2w=")</f>
        <v>#REF!</v>
      </c>
      <c r="DF121" t="e">
        <f>AND(#REF!,"AAAAAHXf/20=")</f>
        <v>#REF!</v>
      </c>
      <c r="DG121" t="e">
        <f>AND(#REF!,"AAAAAHXf/24=")</f>
        <v>#REF!</v>
      </c>
      <c r="DH121" t="e">
        <f>AND(#REF!,"AAAAAHXf/28=")</f>
        <v>#REF!</v>
      </c>
      <c r="DI121" t="e">
        <f>AND(#REF!,"AAAAAHXf/3A=")</f>
        <v>#REF!</v>
      </c>
      <c r="DJ121" t="e">
        <f>AND(#REF!,"AAAAAHXf/3E=")</f>
        <v>#REF!</v>
      </c>
      <c r="DK121" t="e">
        <f>AND(#REF!,"AAAAAHXf/3I=")</f>
        <v>#REF!</v>
      </c>
      <c r="DL121" t="e">
        <f>AND(#REF!,"AAAAAHXf/3M=")</f>
        <v>#REF!</v>
      </c>
      <c r="DM121" t="e">
        <f>AND(#REF!,"AAAAAHXf/3Q=")</f>
        <v>#REF!</v>
      </c>
      <c r="DN121" t="e">
        <f>AND(#REF!,"AAAAAHXf/3U=")</f>
        <v>#REF!</v>
      </c>
      <c r="DO121" t="e">
        <f>AND(#REF!,"AAAAAHXf/3Y=")</f>
        <v>#REF!</v>
      </c>
      <c r="DP121" t="e">
        <f>AND(#REF!,"AAAAAHXf/3c=")</f>
        <v>#REF!</v>
      </c>
      <c r="DQ121" t="e">
        <f>AND(#REF!,"AAAAAHXf/3g=")</f>
        <v>#REF!</v>
      </c>
      <c r="DR121" t="e">
        <f>AND(#REF!,"AAAAAHXf/3k=")</f>
        <v>#REF!</v>
      </c>
      <c r="DS121" t="e">
        <f>AND(#REF!,"AAAAAHXf/3o=")</f>
        <v>#REF!</v>
      </c>
      <c r="DT121" t="e">
        <f>AND(#REF!,"AAAAAHXf/3s=")</f>
        <v>#REF!</v>
      </c>
      <c r="DU121" t="e">
        <f>AND(#REF!,"AAAAAHXf/3w=")</f>
        <v>#REF!</v>
      </c>
      <c r="DV121" t="e">
        <f>AND(#REF!,"AAAAAHXf/30=")</f>
        <v>#REF!</v>
      </c>
      <c r="DW121" t="e">
        <f>AND(#REF!,"AAAAAHXf/34=")</f>
        <v>#REF!</v>
      </c>
      <c r="DX121" t="e">
        <f>AND(#REF!,"AAAAAHXf/38=")</f>
        <v>#REF!</v>
      </c>
      <c r="DY121" t="e">
        <f>AND(#REF!,"AAAAAHXf/4A=")</f>
        <v>#REF!</v>
      </c>
      <c r="DZ121" t="e">
        <f>AND(#REF!,"AAAAAHXf/4E=")</f>
        <v>#REF!</v>
      </c>
      <c r="EA121" t="e">
        <f>AND(#REF!,"AAAAAHXf/4I=")</f>
        <v>#REF!</v>
      </c>
      <c r="EB121" t="e">
        <f>AND(#REF!,"AAAAAHXf/4M=")</f>
        <v>#REF!</v>
      </c>
      <c r="EC121" t="e">
        <f>AND(#REF!,"AAAAAHXf/4Q=")</f>
        <v>#REF!</v>
      </c>
      <c r="ED121" t="e">
        <f>AND(#REF!,"AAAAAHXf/4U=")</f>
        <v>#REF!</v>
      </c>
      <c r="EE121" t="e">
        <f>AND(#REF!,"AAAAAHXf/4Y=")</f>
        <v>#REF!</v>
      </c>
      <c r="EF121" t="e">
        <f>AND(#REF!,"AAAAAHXf/4c=")</f>
        <v>#REF!</v>
      </c>
      <c r="EG121" t="e">
        <f>AND(#REF!,"AAAAAHXf/4g=")</f>
        <v>#REF!</v>
      </c>
      <c r="EH121" t="e">
        <f>AND(#REF!,"AAAAAHXf/4k=")</f>
        <v>#REF!</v>
      </c>
      <c r="EI121" t="e">
        <f>AND(#REF!,"AAAAAHXf/4o=")</f>
        <v>#REF!</v>
      </c>
      <c r="EJ121" t="e">
        <f>AND(#REF!,"AAAAAHXf/4s=")</f>
        <v>#REF!</v>
      </c>
      <c r="EK121" t="e">
        <f>AND(#REF!,"AAAAAHXf/4w=")</f>
        <v>#REF!</v>
      </c>
      <c r="EL121" t="e">
        <f>AND(#REF!,"AAAAAHXf/40=")</f>
        <v>#REF!</v>
      </c>
      <c r="EM121" t="e">
        <f>AND(#REF!,"AAAAAHXf/44=")</f>
        <v>#REF!</v>
      </c>
      <c r="EN121" t="e">
        <f>AND(#REF!,"AAAAAHXf/48=")</f>
        <v>#REF!</v>
      </c>
      <c r="EO121" t="e">
        <f>AND(#REF!,"AAAAAHXf/5A=")</f>
        <v>#REF!</v>
      </c>
      <c r="EP121" t="e">
        <f>AND(#REF!,"AAAAAHXf/5E=")</f>
        <v>#REF!</v>
      </c>
      <c r="EQ121" t="e">
        <f>AND(#REF!,"AAAAAHXf/5I=")</f>
        <v>#REF!</v>
      </c>
      <c r="ER121" t="e">
        <f>AND(#REF!,"AAAAAHXf/5M=")</f>
        <v>#REF!</v>
      </c>
      <c r="ES121" t="e">
        <f>AND(#REF!,"AAAAAHXf/5Q=")</f>
        <v>#REF!</v>
      </c>
      <c r="ET121" t="e">
        <f>AND(#REF!,"AAAAAHXf/5U=")</f>
        <v>#REF!</v>
      </c>
      <c r="EU121" t="e">
        <f>AND(#REF!,"AAAAAHXf/5Y=")</f>
        <v>#REF!</v>
      </c>
      <c r="EV121" t="e">
        <f>AND(#REF!,"AAAAAHXf/5c=")</f>
        <v>#REF!</v>
      </c>
      <c r="EW121" t="e">
        <f>AND(#REF!,"AAAAAHXf/5g=")</f>
        <v>#REF!</v>
      </c>
      <c r="EX121" t="e">
        <f>AND(#REF!,"AAAAAHXf/5k=")</f>
        <v>#REF!</v>
      </c>
      <c r="EY121" t="e">
        <f>AND(#REF!,"AAAAAHXf/5o=")</f>
        <v>#REF!</v>
      </c>
      <c r="EZ121" t="e">
        <f>AND(#REF!,"AAAAAHXf/5s=")</f>
        <v>#REF!</v>
      </c>
      <c r="FA121" t="e">
        <f>AND(#REF!,"AAAAAHXf/5w=")</f>
        <v>#REF!</v>
      </c>
      <c r="FB121" t="e">
        <f>AND(#REF!,"AAAAAHXf/50=")</f>
        <v>#REF!</v>
      </c>
      <c r="FC121" t="e">
        <f>AND(#REF!,"AAAAAHXf/54=")</f>
        <v>#REF!</v>
      </c>
      <c r="FD121" t="e">
        <f>AND(#REF!,"AAAAAHXf/58=")</f>
        <v>#REF!</v>
      </c>
      <c r="FE121" t="e">
        <f>AND(#REF!,"AAAAAHXf/6A=")</f>
        <v>#REF!</v>
      </c>
      <c r="FF121" t="e">
        <f>AND(#REF!,"AAAAAHXf/6E=")</f>
        <v>#REF!</v>
      </c>
      <c r="FG121" t="e">
        <f>AND(#REF!,"AAAAAHXf/6I=")</f>
        <v>#REF!</v>
      </c>
      <c r="FH121" t="e">
        <f>AND(#REF!,"AAAAAHXf/6M=")</f>
        <v>#REF!</v>
      </c>
      <c r="FI121" t="e">
        <f>AND(#REF!,"AAAAAHXf/6Q=")</f>
        <v>#REF!</v>
      </c>
      <c r="FJ121" t="e">
        <f>AND(#REF!,"AAAAAHXf/6U=")</f>
        <v>#REF!</v>
      </c>
      <c r="FK121" t="e">
        <f>AND(#REF!,"AAAAAHXf/6Y=")</f>
        <v>#REF!</v>
      </c>
      <c r="FL121" t="e">
        <f>AND(#REF!,"AAAAAHXf/6c=")</f>
        <v>#REF!</v>
      </c>
      <c r="FM121" t="e">
        <f>AND(#REF!,"AAAAAHXf/6g=")</f>
        <v>#REF!</v>
      </c>
      <c r="FN121" t="e">
        <f>AND(#REF!,"AAAAAHXf/6k=")</f>
        <v>#REF!</v>
      </c>
      <c r="FO121" t="e">
        <f>AND(#REF!,"AAAAAHXf/6o=")</f>
        <v>#REF!</v>
      </c>
      <c r="FP121" t="e">
        <f>AND(#REF!,"AAAAAHXf/6s=")</f>
        <v>#REF!</v>
      </c>
      <c r="FQ121" t="e">
        <f>AND(#REF!,"AAAAAHXf/6w=")</f>
        <v>#REF!</v>
      </c>
      <c r="FR121" t="e">
        <f>AND(#REF!,"AAAAAHXf/60=")</f>
        <v>#REF!</v>
      </c>
      <c r="FS121" t="e">
        <f>AND(#REF!,"AAAAAHXf/64=")</f>
        <v>#REF!</v>
      </c>
      <c r="FT121" t="e">
        <f>AND(#REF!,"AAAAAHXf/68=")</f>
        <v>#REF!</v>
      </c>
      <c r="FU121" t="e">
        <f>AND(#REF!,"AAAAAHXf/7A=")</f>
        <v>#REF!</v>
      </c>
      <c r="FV121" t="e">
        <f>AND(#REF!,"AAAAAHXf/7E=")</f>
        <v>#REF!</v>
      </c>
      <c r="FW121" t="e">
        <f>AND(#REF!,"AAAAAHXf/7I=")</f>
        <v>#REF!</v>
      </c>
      <c r="FX121" t="e">
        <f>AND(#REF!,"AAAAAHXf/7M=")</f>
        <v>#REF!</v>
      </c>
      <c r="FY121" t="e">
        <f>AND(#REF!,"AAAAAHXf/7Q=")</f>
        <v>#REF!</v>
      </c>
      <c r="FZ121" t="e">
        <f>AND(#REF!,"AAAAAHXf/7U=")</f>
        <v>#REF!</v>
      </c>
      <c r="GA121" t="e">
        <f>AND(#REF!,"AAAAAHXf/7Y=")</f>
        <v>#REF!</v>
      </c>
      <c r="GB121" t="e">
        <f>AND(#REF!,"AAAAAHXf/7c=")</f>
        <v>#REF!</v>
      </c>
      <c r="GC121" t="e">
        <f>AND(#REF!,"AAAAAHXf/7g=")</f>
        <v>#REF!</v>
      </c>
      <c r="GD121" t="e">
        <f>AND(#REF!,"AAAAAHXf/7k=")</f>
        <v>#REF!</v>
      </c>
      <c r="GE121" t="e">
        <f>AND(#REF!,"AAAAAHXf/7o=")</f>
        <v>#REF!</v>
      </c>
      <c r="GF121" t="e">
        <f>AND(#REF!,"AAAAAHXf/7s=")</f>
        <v>#REF!</v>
      </c>
      <c r="GG121" t="e">
        <f>AND(#REF!,"AAAAAHXf/7w=")</f>
        <v>#REF!</v>
      </c>
      <c r="GH121" t="e">
        <f>AND(#REF!,"AAAAAHXf/70=")</f>
        <v>#REF!</v>
      </c>
      <c r="GI121" t="e">
        <f>AND(#REF!,"AAAAAHXf/74=")</f>
        <v>#REF!</v>
      </c>
      <c r="GJ121" t="e">
        <f>AND(#REF!,"AAAAAHXf/78=")</f>
        <v>#REF!</v>
      </c>
      <c r="GK121" t="e">
        <f>AND(#REF!,"AAAAAHXf/8A=")</f>
        <v>#REF!</v>
      </c>
      <c r="GL121" t="e">
        <f>AND(#REF!,"AAAAAHXf/8E=")</f>
        <v>#REF!</v>
      </c>
      <c r="GM121" t="e">
        <f>AND(#REF!,"AAAAAHXf/8I=")</f>
        <v>#REF!</v>
      </c>
      <c r="GN121" t="e">
        <f>AND(#REF!,"AAAAAHXf/8M=")</f>
        <v>#REF!</v>
      </c>
      <c r="GO121" t="e">
        <f>AND(#REF!,"AAAAAHXf/8Q=")</f>
        <v>#REF!</v>
      </c>
      <c r="GP121" t="e">
        <f>AND(#REF!,"AAAAAHXf/8U=")</f>
        <v>#REF!</v>
      </c>
      <c r="GQ121" t="e">
        <f>AND(#REF!,"AAAAAHXf/8Y=")</f>
        <v>#REF!</v>
      </c>
      <c r="GR121" t="e">
        <f>AND(#REF!,"AAAAAHXf/8c=")</f>
        <v>#REF!</v>
      </c>
      <c r="GS121" t="e">
        <f>AND(#REF!,"AAAAAHXf/8g=")</f>
        <v>#REF!</v>
      </c>
      <c r="GT121" t="e">
        <f>AND(#REF!,"AAAAAHXf/8k=")</f>
        <v>#REF!</v>
      </c>
      <c r="GU121" t="e">
        <f>AND(#REF!,"AAAAAHXf/8o=")</f>
        <v>#REF!</v>
      </c>
      <c r="GV121" t="e">
        <f>AND(#REF!,"AAAAAHXf/8s=")</f>
        <v>#REF!</v>
      </c>
      <c r="GW121" t="e">
        <f>AND(#REF!,"AAAAAHXf/8w=")</f>
        <v>#REF!</v>
      </c>
      <c r="GX121" t="e">
        <f>AND(#REF!,"AAAAAHXf/80=")</f>
        <v>#REF!</v>
      </c>
      <c r="GY121" t="e">
        <f>AND(#REF!,"AAAAAHXf/84=")</f>
        <v>#REF!</v>
      </c>
      <c r="GZ121" t="e">
        <f>AND(#REF!,"AAAAAHXf/88=")</f>
        <v>#REF!</v>
      </c>
      <c r="HA121" t="e">
        <f>AND(#REF!,"AAAAAHXf/9A=")</f>
        <v>#REF!</v>
      </c>
      <c r="HB121" t="e">
        <f>AND(#REF!,"AAAAAHXf/9E=")</f>
        <v>#REF!</v>
      </c>
      <c r="HC121" t="e">
        <f>AND(#REF!,"AAAAAHXf/9I=")</f>
        <v>#REF!</v>
      </c>
      <c r="HD121" t="e">
        <f>AND(#REF!,"AAAAAHXf/9M=")</f>
        <v>#REF!</v>
      </c>
      <c r="HE121" t="e">
        <f>AND(#REF!,"AAAAAHXf/9Q=")</f>
        <v>#REF!</v>
      </c>
      <c r="HF121" t="e">
        <f>AND(#REF!,"AAAAAHXf/9U=")</f>
        <v>#REF!</v>
      </c>
      <c r="HG121" t="e">
        <f>AND(#REF!,"AAAAAHXf/9Y=")</f>
        <v>#REF!</v>
      </c>
      <c r="HH121" t="e">
        <f>AND(#REF!,"AAAAAHXf/9c=")</f>
        <v>#REF!</v>
      </c>
      <c r="HI121" t="e">
        <f>AND(#REF!,"AAAAAHXf/9g=")</f>
        <v>#REF!</v>
      </c>
      <c r="HJ121" t="e">
        <f>AND(#REF!,"AAAAAHXf/9k=")</f>
        <v>#REF!</v>
      </c>
      <c r="HK121" t="e">
        <f>AND(#REF!,"AAAAAHXf/9o=")</f>
        <v>#REF!</v>
      </c>
      <c r="HL121" t="e">
        <f>AND(#REF!,"AAAAAHXf/9s=")</f>
        <v>#REF!</v>
      </c>
      <c r="HM121" t="e">
        <f>AND(#REF!,"AAAAAHXf/9w=")</f>
        <v>#REF!</v>
      </c>
      <c r="HN121" t="e">
        <f>AND(#REF!,"AAAAAHXf/90=")</f>
        <v>#REF!</v>
      </c>
      <c r="HO121" t="e">
        <f>AND(#REF!,"AAAAAHXf/94=")</f>
        <v>#REF!</v>
      </c>
      <c r="HP121" t="e">
        <f>AND(#REF!,"AAAAAHXf/98=")</f>
        <v>#REF!</v>
      </c>
      <c r="HQ121" t="e">
        <f>AND(#REF!,"AAAAAHXf/+A=")</f>
        <v>#REF!</v>
      </c>
      <c r="HR121" t="e">
        <f>AND(#REF!,"AAAAAHXf/+E=")</f>
        <v>#REF!</v>
      </c>
      <c r="HS121" t="e">
        <f>AND(#REF!,"AAAAAHXf/+I=")</f>
        <v>#REF!</v>
      </c>
      <c r="HT121" t="e">
        <f>AND(#REF!,"AAAAAHXf/+M=")</f>
        <v>#REF!</v>
      </c>
      <c r="HU121" t="e">
        <f>AND(#REF!,"AAAAAHXf/+Q=")</f>
        <v>#REF!</v>
      </c>
      <c r="HV121" t="e">
        <f>AND(#REF!,"AAAAAHXf/+U=")</f>
        <v>#REF!</v>
      </c>
      <c r="HW121" t="e">
        <f>AND(#REF!,"AAAAAHXf/+Y=")</f>
        <v>#REF!</v>
      </c>
      <c r="HX121" t="e">
        <f>AND(#REF!,"AAAAAHXf/+c=")</f>
        <v>#REF!</v>
      </c>
      <c r="HY121" t="e">
        <f>AND(#REF!,"AAAAAHXf/+g=")</f>
        <v>#REF!</v>
      </c>
      <c r="HZ121" t="e">
        <f>AND(#REF!,"AAAAAHXf/+k=")</f>
        <v>#REF!</v>
      </c>
      <c r="IA121" t="e">
        <f>AND(#REF!,"AAAAAHXf/+o=")</f>
        <v>#REF!</v>
      </c>
      <c r="IB121" t="e">
        <f>AND(#REF!,"AAAAAHXf/+s=")</f>
        <v>#REF!</v>
      </c>
      <c r="IC121" t="e">
        <f>AND(#REF!,"AAAAAHXf/+w=")</f>
        <v>#REF!</v>
      </c>
      <c r="ID121" t="e">
        <f>AND(#REF!,"AAAAAHXf/+0=")</f>
        <v>#REF!</v>
      </c>
      <c r="IE121" t="e">
        <f>AND(#REF!,"AAAAAHXf/+4=")</f>
        <v>#REF!</v>
      </c>
      <c r="IF121" t="e">
        <f>AND(#REF!,"AAAAAHXf/+8=")</f>
        <v>#REF!</v>
      </c>
      <c r="IG121" t="e">
        <f>AND(#REF!,"AAAAAHXf//A=")</f>
        <v>#REF!</v>
      </c>
      <c r="IH121" t="e">
        <f>IF(#REF!,"AAAAAHXf//E=",0)</f>
        <v>#REF!</v>
      </c>
      <c r="II121" t="e">
        <f>AND(#REF!,"AAAAAHXf//I=")</f>
        <v>#REF!</v>
      </c>
      <c r="IJ121" t="e">
        <f>AND(#REF!,"AAAAAHXf//M=")</f>
        <v>#REF!</v>
      </c>
      <c r="IK121" t="e">
        <f>AND(#REF!,"AAAAAHXf//Q=")</f>
        <v>#REF!</v>
      </c>
      <c r="IL121" t="e">
        <f>AND(#REF!,"AAAAAHXf//U=")</f>
        <v>#REF!</v>
      </c>
      <c r="IM121" t="e">
        <f>AND(#REF!,"AAAAAHXf//Y=")</f>
        <v>#REF!</v>
      </c>
      <c r="IN121" t="e">
        <f>AND(#REF!,"AAAAAHXf//c=")</f>
        <v>#REF!</v>
      </c>
      <c r="IO121" t="e">
        <f>AND(#REF!,"AAAAAHXf//g=")</f>
        <v>#REF!</v>
      </c>
      <c r="IP121" t="e">
        <f>AND(#REF!,"AAAAAHXf//k=")</f>
        <v>#REF!</v>
      </c>
      <c r="IQ121" t="e">
        <f>AND(#REF!,"AAAAAHXf//o=")</f>
        <v>#REF!</v>
      </c>
      <c r="IR121" t="e">
        <f>AND(#REF!,"AAAAAHXf//s=")</f>
        <v>#REF!</v>
      </c>
      <c r="IS121" t="e">
        <f>AND(#REF!,"AAAAAHXf//w=")</f>
        <v>#REF!</v>
      </c>
      <c r="IT121" t="e">
        <f>AND(#REF!,"AAAAAHXf//0=")</f>
        <v>#REF!</v>
      </c>
      <c r="IU121" t="e">
        <f>AND(#REF!,"AAAAAHXf//4=")</f>
        <v>#REF!</v>
      </c>
      <c r="IV121" t="e">
        <f>AND(#REF!,"AAAAAHXf//8=")</f>
        <v>#REF!</v>
      </c>
    </row>
    <row r="122" spans="1:256" x14ac:dyDescent="0.25">
      <c r="A122" t="e">
        <f>AND(#REF!,"AAAAAB//2wA=")</f>
        <v>#REF!</v>
      </c>
      <c r="B122" t="e">
        <f>AND(#REF!,"AAAAAB//2wE=")</f>
        <v>#REF!</v>
      </c>
      <c r="C122" t="e">
        <f>AND(#REF!,"AAAAAB//2wI=")</f>
        <v>#REF!</v>
      </c>
      <c r="D122" t="e">
        <f>AND(#REF!,"AAAAAB//2wM=")</f>
        <v>#REF!</v>
      </c>
      <c r="E122" t="e">
        <f>AND(#REF!,"AAAAAB//2wQ=")</f>
        <v>#REF!</v>
      </c>
      <c r="F122" t="e">
        <f>AND(#REF!,"AAAAAB//2wU=")</f>
        <v>#REF!</v>
      </c>
      <c r="G122" t="e">
        <f>AND(#REF!,"AAAAAB//2wY=")</f>
        <v>#REF!</v>
      </c>
      <c r="H122" t="e">
        <f>AND(#REF!,"AAAAAB//2wc=")</f>
        <v>#REF!</v>
      </c>
      <c r="I122" t="e">
        <f>AND(#REF!,"AAAAAB//2wg=")</f>
        <v>#REF!</v>
      </c>
      <c r="J122" t="e">
        <f>AND(#REF!,"AAAAAB//2wk=")</f>
        <v>#REF!</v>
      </c>
      <c r="K122" t="e">
        <f>AND(#REF!,"AAAAAB//2wo=")</f>
        <v>#REF!</v>
      </c>
      <c r="L122" t="e">
        <f>AND(#REF!,"AAAAAB//2ws=")</f>
        <v>#REF!</v>
      </c>
      <c r="M122" t="e">
        <f>AND(#REF!,"AAAAAB//2ww=")</f>
        <v>#REF!</v>
      </c>
      <c r="N122" t="e">
        <f>AND(#REF!,"AAAAAB//2w0=")</f>
        <v>#REF!</v>
      </c>
      <c r="O122" t="e">
        <f>AND(#REF!,"AAAAAB//2w4=")</f>
        <v>#REF!</v>
      </c>
      <c r="P122" t="e">
        <f>AND(#REF!,"AAAAAB//2w8=")</f>
        <v>#REF!</v>
      </c>
      <c r="Q122" t="e">
        <f>AND(#REF!,"AAAAAB//2xA=")</f>
        <v>#REF!</v>
      </c>
      <c r="R122" t="e">
        <f>AND(#REF!,"AAAAAB//2xE=")</f>
        <v>#REF!</v>
      </c>
      <c r="S122" t="e">
        <f>AND(#REF!,"AAAAAB//2xI=")</f>
        <v>#REF!</v>
      </c>
      <c r="T122" t="e">
        <f>AND(#REF!,"AAAAAB//2xM=")</f>
        <v>#REF!</v>
      </c>
      <c r="U122" t="e">
        <f>AND(#REF!,"AAAAAB//2xQ=")</f>
        <v>#REF!</v>
      </c>
      <c r="V122" t="e">
        <f>AND(#REF!,"AAAAAB//2xU=")</f>
        <v>#REF!</v>
      </c>
      <c r="W122" t="e">
        <f>AND(#REF!,"AAAAAB//2xY=")</f>
        <v>#REF!</v>
      </c>
      <c r="X122" t="e">
        <f>AND(#REF!,"AAAAAB//2xc=")</f>
        <v>#REF!</v>
      </c>
      <c r="Y122" t="e">
        <f>AND(#REF!,"AAAAAB//2xg=")</f>
        <v>#REF!</v>
      </c>
      <c r="Z122" t="e">
        <f>AND(#REF!,"AAAAAB//2xk=")</f>
        <v>#REF!</v>
      </c>
      <c r="AA122" t="e">
        <f>AND(#REF!,"AAAAAB//2xo=")</f>
        <v>#REF!</v>
      </c>
      <c r="AB122" t="e">
        <f>AND(#REF!,"AAAAAB//2xs=")</f>
        <v>#REF!</v>
      </c>
      <c r="AC122" t="e">
        <f>AND(#REF!,"AAAAAB//2xw=")</f>
        <v>#REF!</v>
      </c>
      <c r="AD122" t="e">
        <f>AND(#REF!,"AAAAAB//2x0=")</f>
        <v>#REF!</v>
      </c>
      <c r="AE122" t="e">
        <f>AND(#REF!,"AAAAAB//2x4=")</f>
        <v>#REF!</v>
      </c>
      <c r="AF122" t="e">
        <f>AND(#REF!,"AAAAAB//2x8=")</f>
        <v>#REF!</v>
      </c>
      <c r="AG122" t="e">
        <f>AND(#REF!,"AAAAAB//2yA=")</f>
        <v>#REF!</v>
      </c>
      <c r="AH122" t="e">
        <f>AND(#REF!,"AAAAAB//2yE=")</f>
        <v>#REF!</v>
      </c>
      <c r="AI122" t="e">
        <f>AND(#REF!,"AAAAAB//2yI=")</f>
        <v>#REF!</v>
      </c>
      <c r="AJ122" t="e">
        <f>AND(#REF!,"AAAAAB//2yM=")</f>
        <v>#REF!</v>
      </c>
      <c r="AK122" t="e">
        <f>AND(#REF!,"AAAAAB//2yQ=")</f>
        <v>#REF!</v>
      </c>
      <c r="AL122" t="e">
        <f>AND(#REF!,"AAAAAB//2yU=")</f>
        <v>#REF!</v>
      </c>
      <c r="AM122" t="e">
        <f>AND(#REF!,"AAAAAB//2yY=")</f>
        <v>#REF!</v>
      </c>
      <c r="AN122" t="e">
        <f>AND(#REF!,"AAAAAB//2yc=")</f>
        <v>#REF!</v>
      </c>
      <c r="AO122" t="e">
        <f>AND(#REF!,"AAAAAB//2yg=")</f>
        <v>#REF!</v>
      </c>
      <c r="AP122" t="e">
        <f>AND(#REF!,"AAAAAB//2yk=")</f>
        <v>#REF!</v>
      </c>
      <c r="AQ122" t="e">
        <f>AND(#REF!,"AAAAAB//2yo=")</f>
        <v>#REF!</v>
      </c>
      <c r="AR122" t="e">
        <f>AND(#REF!,"AAAAAB//2ys=")</f>
        <v>#REF!</v>
      </c>
      <c r="AS122" t="e">
        <f>AND(#REF!,"AAAAAB//2yw=")</f>
        <v>#REF!</v>
      </c>
      <c r="AT122" t="e">
        <f>AND(#REF!,"AAAAAB//2y0=")</f>
        <v>#REF!</v>
      </c>
      <c r="AU122" t="e">
        <f>AND(#REF!,"AAAAAB//2y4=")</f>
        <v>#REF!</v>
      </c>
      <c r="AV122" t="e">
        <f>AND(#REF!,"AAAAAB//2y8=")</f>
        <v>#REF!</v>
      </c>
      <c r="AW122" t="e">
        <f>AND(#REF!,"AAAAAB//2zA=")</f>
        <v>#REF!</v>
      </c>
      <c r="AX122" t="e">
        <f>AND(#REF!,"AAAAAB//2zE=")</f>
        <v>#REF!</v>
      </c>
      <c r="AY122" t="e">
        <f>AND(#REF!,"AAAAAB//2zI=")</f>
        <v>#REF!</v>
      </c>
      <c r="AZ122" t="e">
        <f>AND(#REF!,"AAAAAB//2zM=")</f>
        <v>#REF!</v>
      </c>
      <c r="BA122" t="e">
        <f>AND(#REF!,"AAAAAB//2zQ=")</f>
        <v>#REF!</v>
      </c>
      <c r="BB122" t="e">
        <f>AND(#REF!,"AAAAAB//2zU=")</f>
        <v>#REF!</v>
      </c>
      <c r="BC122" t="e">
        <f>AND(#REF!,"AAAAAB//2zY=")</f>
        <v>#REF!</v>
      </c>
      <c r="BD122" t="e">
        <f>AND(#REF!,"AAAAAB//2zc=")</f>
        <v>#REF!</v>
      </c>
      <c r="BE122" t="e">
        <f>AND(#REF!,"AAAAAB//2zg=")</f>
        <v>#REF!</v>
      </c>
      <c r="BF122" t="e">
        <f>AND(#REF!,"AAAAAB//2zk=")</f>
        <v>#REF!</v>
      </c>
      <c r="BG122" t="e">
        <f>AND(#REF!,"AAAAAB//2zo=")</f>
        <v>#REF!</v>
      </c>
      <c r="BH122" t="e">
        <f>AND(#REF!,"AAAAAB//2zs=")</f>
        <v>#REF!</v>
      </c>
      <c r="BI122" t="e">
        <f>AND(#REF!,"AAAAAB//2zw=")</f>
        <v>#REF!</v>
      </c>
      <c r="BJ122" t="e">
        <f>AND(#REF!,"AAAAAB//2z0=")</f>
        <v>#REF!</v>
      </c>
      <c r="BK122" t="e">
        <f>AND(#REF!,"AAAAAB//2z4=")</f>
        <v>#REF!</v>
      </c>
      <c r="BL122" t="e">
        <f>AND(#REF!,"AAAAAB//2z8=")</f>
        <v>#REF!</v>
      </c>
      <c r="BM122" t="e">
        <f>AND(#REF!,"AAAAAB//20A=")</f>
        <v>#REF!</v>
      </c>
      <c r="BN122" t="e">
        <f>AND(#REF!,"AAAAAB//20E=")</f>
        <v>#REF!</v>
      </c>
      <c r="BO122" t="e">
        <f>AND(#REF!,"AAAAAB//20I=")</f>
        <v>#REF!</v>
      </c>
      <c r="BP122" t="e">
        <f>AND(#REF!,"AAAAAB//20M=")</f>
        <v>#REF!</v>
      </c>
      <c r="BQ122" t="e">
        <f>AND(#REF!,"AAAAAB//20Q=")</f>
        <v>#REF!</v>
      </c>
      <c r="BR122" t="e">
        <f>AND(#REF!,"AAAAAB//20U=")</f>
        <v>#REF!</v>
      </c>
      <c r="BS122" t="e">
        <f>AND(#REF!,"AAAAAB//20Y=")</f>
        <v>#REF!</v>
      </c>
      <c r="BT122" t="e">
        <f>AND(#REF!,"AAAAAB//20c=")</f>
        <v>#REF!</v>
      </c>
      <c r="BU122" t="e">
        <f>AND(#REF!,"AAAAAB//20g=")</f>
        <v>#REF!</v>
      </c>
      <c r="BV122" t="e">
        <f>AND(#REF!,"AAAAAB//20k=")</f>
        <v>#REF!</v>
      </c>
      <c r="BW122" t="e">
        <f>AND(#REF!,"AAAAAB//20o=")</f>
        <v>#REF!</v>
      </c>
      <c r="BX122" t="e">
        <f>AND(#REF!,"AAAAAB//20s=")</f>
        <v>#REF!</v>
      </c>
      <c r="BY122" t="e">
        <f>AND(#REF!,"AAAAAB//20w=")</f>
        <v>#REF!</v>
      </c>
      <c r="BZ122" t="e">
        <f>AND(#REF!,"AAAAAB//200=")</f>
        <v>#REF!</v>
      </c>
      <c r="CA122" t="e">
        <f>AND(#REF!,"AAAAAB//204=")</f>
        <v>#REF!</v>
      </c>
      <c r="CB122" t="e">
        <f>AND(#REF!,"AAAAAB//208=")</f>
        <v>#REF!</v>
      </c>
      <c r="CC122" t="e">
        <f>AND(#REF!,"AAAAAB//21A=")</f>
        <v>#REF!</v>
      </c>
      <c r="CD122" t="e">
        <f>AND(#REF!,"AAAAAB//21E=")</f>
        <v>#REF!</v>
      </c>
      <c r="CE122" t="e">
        <f>AND(#REF!,"AAAAAB//21I=")</f>
        <v>#REF!</v>
      </c>
      <c r="CF122" t="e">
        <f>AND(#REF!,"AAAAAB//21M=")</f>
        <v>#REF!</v>
      </c>
      <c r="CG122" t="e">
        <f>AND(#REF!,"AAAAAB//21Q=")</f>
        <v>#REF!</v>
      </c>
      <c r="CH122" t="e">
        <f>AND(#REF!,"AAAAAB//21U=")</f>
        <v>#REF!</v>
      </c>
      <c r="CI122" t="e">
        <f>AND(#REF!,"AAAAAB//21Y=")</f>
        <v>#REF!</v>
      </c>
      <c r="CJ122" t="e">
        <f>AND(#REF!,"AAAAAB//21c=")</f>
        <v>#REF!</v>
      </c>
      <c r="CK122" t="e">
        <f>AND(#REF!,"AAAAAB//21g=")</f>
        <v>#REF!</v>
      </c>
      <c r="CL122" t="e">
        <f>AND(#REF!,"AAAAAB//21k=")</f>
        <v>#REF!</v>
      </c>
      <c r="CM122" t="e">
        <f>AND(#REF!,"AAAAAB//21o=")</f>
        <v>#REF!</v>
      </c>
      <c r="CN122" t="e">
        <f>AND(#REF!,"AAAAAB//21s=")</f>
        <v>#REF!</v>
      </c>
      <c r="CO122" t="e">
        <f>AND(#REF!,"AAAAAB//21w=")</f>
        <v>#REF!</v>
      </c>
      <c r="CP122" t="e">
        <f>AND(#REF!,"AAAAAB//210=")</f>
        <v>#REF!</v>
      </c>
      <c r="CQ122" t="e">
        <f>AND(#REF!,"AAAAAB//214=")</f>
        <v>#REF!</v>
      </c>
      <c r="CR122" t="e">
        <f>AND(#REF!,"AAAAAB//218=")</f>
        <v>#REF!</v>
      </c>
      <c r="CS122" t="e">
        <f>AND(#REF!,"AAAAAB//22A=")</f>
        <v>#REF!</v>
      </c>
      <c r="CT122" t="e">
        <f>AND(#REF!,"AAAAAB//22E=")</f>
        <v>#REF!</v>
      </c>
      <c r="CU122" t="e">
        <f>AND(#REF!,"AAAAAB//22I=")</f>
        <v>#REF!</v>
      </c>
      <c r="CV122" t="e">
        <f>AND(#REF!,"AAAAAB//22M=")</f>
        <v>#REF!</v>
      </c>
      <c r="CW122" t="e">
        <f>AND(#REF!,"AAAAAB//22Q=")</f>
        <v>#REF!</v>
      </c>
      <c r="CX122" t="e">
        <f>AND(#REF!,"AAAAAB//22U=")</f>
        <v>#REF!</v>
      </c>
      <c r="CY122" t="e">
        <f>AND(#REF!,"AAAAAB//22Y=")</f>
        <v>#REF!</v>
      </c>
      <c r="CZ122" t="e">
        <f>AND(#REF!,"AAAAAB//22c=")</f>
        <v>#REF!</v>
      </c>
      <c r="DA122" t="e">
        <f>AND(#REF!,"AAAAAB//22g=")</f>
        <v>#REF!</v>
      </c>
      <c r="DB122" t="e">
        <f>AND(#REF!,"AAAAAB//22k=")</f>
        <v>#REF!</v>
      </c>
      <c r="DC122" t="e">
        <f>AND(#REF!,"AAAAAB//22o=")</f>
        <v>#REF!</v>
      </c>
      <c r="DD122" t="e">
        <f>AND(#REF!,"AAAAAB//22s=")</f>
        <v>#REF!</v>
      </c>
      <c r="DE122" t="e">
        <f>AND(#REF!,"AAAAAB//22w=")</f>
        <v>#REF!</v>
      </c>
      <c r="DF122" t="e">
        <f>AND(#REF!,"AAAAAB//220=")</f>
        <v>#REF!</v>
      </c>
      <c r="DG122" t="e">
        <f>AND(#REF!,"AAAAAB//224=")</f>
        <v>#REF!</v>
      </c>
      <c r="DH122" t="e">
        <f>AND(#REF!,"AAAAAB//228=")</f>
        <v>#REF!</v>
      </c>
      <c r="DI122" t="e">
        <f>AND(#REF!,"AAAAAB//23A=")</f>
        <v>#REF!</v>
      </c>
      <c r="DJ122" t="e">
        <f>AND(#REF!,"AAAAAB//23E=")</f>
        <v>#REF!</v>
      </c>
      <c r="DK122" t="e">
        <f>AND(#REF!,"AAAAAB//23I=")</f>
        <v>#REF!</v>
      </c>
      <c r="DL122" t="e">
        <f>AND(#REF!,"AAAAAB//23M=")</f>
        <v>#REF!</v>
      </c>
      <c r="DM122" t="e">
        <f>AND(#REF!,"AAAAAB//23Q=")</f>
        <v>#REF!</v>
      </c>
      <c r="DN122" t="e">
        <f>AND(#REF!,"AAAAAB//23U=")</f>
        <v>#REF!</v>
      </c>
      <c r="DO122" t="e">
        <f>AND(#REF!,"AAAAAB//23Y=")</f>
        <v>#REF!</v>
      </c>
      <c r="DP122" t="e">
        <f>AND(#REF!,"AAAAAB//23c=")</f>
        <v>#REF!</v>
      </c>
      <c r="DQ122" t="e">
        <f>AND(#REF!,"AAAAAB//23g=")</f>
        <v>#REF!</v>
      </c>
      <c r="DR122" t="e">
        <f>AND(#REF!,"AAAAAB//23k=")</f>
        <v>#REF!</v>
      </c>
      <c r="DS122" t="e">
        <f>AND(#REF!,"AAAAAB//23o=")</f>
        <v>#REF!</v>
      </c>
      <c r="DT122" t="e">
        <f>AND(#REF!,"AAAAAB//23s=")</f>
        <v>#REF!</v>
      </c>
      <c r="DU122" t="e">
        <f>AND(#REF!,"AAAAAB//23w=")</f>
        <v>#REF!</v>
      </c>
      <c r="DV122" t="e">
        <f>AND(#REF!,"AAAAAB//230=")</f>
        <v>#REF!</v>
      </c>
      <c r="DW122" t="e">
        <f>AND(#REF!,"AAAAAB//234=")</f>
        <v>#REF!</v>
      </c>
      <c r="DX122" t="e">
        <f>AND(#REF!,"AAAAAB//238=")</f>
        <v>#REF!</v>
      </c>
      <c r="DY122" t="e">
        <f>AND(#REF!,"AAAAAB//24A=")</f>
        <v>#REF!</v>
      </c>
      <c r="DZ122" t="e">
        <f>AND(#REF!,"AAAAAB//24E=")</f>
        <v>#REF!</v>
      </c>
      <c r="EA122" t="e">
        <f>AND(#REF!,"AAAAAB//24I=")</f>
        <v>#REF!</v>
      </c>
      <c r="EB122" t="e">
        <f>AND(#REF!,"AAAAAB//24M=")</f>
        <v>#REF!</v>
      </c>
      <c r="EC122" t="e">
        <f>AND(#REF!,"AAAAAB//24Q=")</f>
        <v>#REF!</v>
      </c>
      <c r="ED122" t="e">
        <f>AND(#REF!,"AAAAAB//24U=")</f>
        <v>#REF!</v>
      </c>
      <c r="EE122" t="e">
        <f>AND(#REF!,"AAAAAB//24Y=")</f>
        <v>#REF!</v>
      </c>
      <c r="EF122" t="e">
        <f>AND(#REF!,"AAAAAB//24c=")</f>
        <v>#REF!</v>
      </c>
      <c r="EG122" t="e">
        <f>AND(#REF!,"AAAAAB//24g=")</f>
        <v>#REF!</v>
      </c>
      <c r="EH122" t="e">
        <f>AND(#REF!,"AAAAAB//24k=")</f>
        <v>#REF!</v>
      </c>
      <c r="EI122" t="e">
        <f>AND(#REF!,"AAAAAB//24o=")</f>
        <v>#REF!</v>
      </c>
      <c r="EJ122" t="e">
        <f>AND(#REF!,"AAAAAB//24s=")</f>
        <v>#REF!</v>
      </c>
      <c r="EK122" t="e">
        <f>AND(#REF!,"AAAAAB//24w=")</f>
        <v>#REF!</v>
      </c>
      <c r="EL122" t="e">
        <f>AND(#REF!,"AAAAAB//240=")</f>
        <v>#REF!</v>
      </c>
      <c r="EM122" t="e">
        <f>AND(#REF!,"AAAAAB//244=")</f>
        <v>#REF!</v>
      </c>
      <c r="EN122" t="e">
        <f>AND(#REF!,"AAAAAB//248=")</f>
        <v>#REF!</v>
      </c>
      <c r="EO122" t="e">
        <f>AND(#REF!,"AAAAAB//25A=")</f>
        <v>#REF!</v>
      </c>
      <c r="EP122" t="e">
        <f>AND(#REF!,"AAAAAB//25E=")</f>
        <v>#REF!</v>
      </c>
      <c r="EQ122" t="e">
        <f>AND(#REF!,"AAAAAB//25I=")</f>
        <v>#REF!</v>
      </c>
      <c r="ER122" t="e">
        <f>AND(#REF!,"AAAAAB//25M=")</f>
        <v>#REF!</v>
      </c>
      <c r="ES122" t="e">
        <f>AND(#REF!,"AAAAAB//25Q=")</f>
        <v>#REF!</v>
      </c>
      <c r="ET122" t="e">
        <f>AND(#REF!,"AAAAAB//25U=")</f>
        <v>#REF!</v>
      </c>
      <c r="EU122" t="e">
        <f>AND(#REF!,"AAAAAB//25Y=")</f>
        <v>#REF!</v>
      </c>
      <c r="EV122" t="e">
        <f>AND(#REF!,"AAAAAB//25c=")</f>
        <v>#REF!</v>
      </c>
      <c r="EW122" t="e">
        <f>AND(#REF!,"AAAAAB//25g=")</f>
        <v>#REF!</v>
      </c>
      <c r="EX122" t="e">
        <f>AND(#REF!,"AAAAAB//25k=")</f>
        <v>#REF!</v>
      </c>
      <c r="EY122" t="e">
        <f>AND(#REF!,"AAAAAB//25o=")</f>
        <v>#REF!</v>
      </c>
      <c r="EZ122" t="e">
        <f>AND(#REF!,"AAAAAB//25s=")</f>
        <v>#REF!</v>
      </c>
      <c r="FA122" t="e">
        <f>AND(#REF!,"AAAAAB//25w=")</f>
        <v>#REF!</v>
      </c>
      <c r="FB122" t="e">
        <f>AND(#REF!,"AAAAAB//250=")</f>
        <v>#REF!</v>
      </c>
      <c r="FC122" t="e">
        <f>AND(#REF!,"AAAAAB//254=")</f>
        <v>#REF!</v>
      </c>
      <c r="FD122" t="e">
        <f>AND(#REF!,"AAAAAB//258=")</f>
        <v>#REF!</v>
      </c>
      <c r="FE122" t="e">
        <f>AND(#REF!,"AAAAAB//26A=")</f>
        <v>#REF!</v>
      </c>
      <c r="FF122" t="e">
        <f>AND(#REF!,"AAAAAB//26E=")</f>
        <v>#REF!</v>
      </c>
      <c r="FG122" t="e">
        <f>AND(#REF!,"AAAAAB//26I=")</f>
        <v>#REF!</v>
      </c>
      <c r="FH122" t="e">
        <f>AND(#REF!,"AAAAAB//26M=")</f>
        <v>#REF!</v>
      </c>
      <c r="FI122" t="e">
        <f>AND(#REF!,"AAAAAB//26Q=")</f>
        <v>#REF!</v>
      </c>
      <c r="FJ122" t="e">
        <f>AND(#REF!,"AAAAAB//26U=")</f>
        <v>#REF!</v>
      </c>
      <c r="FK122" t="e">
        <f>AND(#REF!,"AAAAAB//26Y=")</f>
        <v>#REF!</v>
      </c>
      <c r="FL122" t="e">
        <f>AND(#REF!,"AAAAAB//26c=")</f>
        <v>#REF!</v>
      </c>
      <c r="FM122" t="e">
        <f>AND(#REF!,"AAAAAB//26g=")</f>
        <v>#REF!</v>
      </c>
      <c r="FN122" t="e">
        <f>AND(#REF!,"AAAAAB//26k=")</f>
        <v>#REF!</v>
      </c>
      <c r="FO122" t="e">
        <f>AND(#REF!,"AAAAAB//26o=")</f>
        <v>#REF!</v>
      </c>
      <c r="FP122" t="e">
        <f>AND(#REF!,"AAAAAB//26s=")</f>
        <v>#REF!</v>
      </c>
      <c r="FQ122" t="e">
        <f>AND(#REF!,"AAAAAB//26w=")</f>
        <v>#REF!</v>
      </c>
      <c r="FR122" t="e">
        <f>AND(#REF!,"AAAAAB//260=")</f>
        <v>#REF!</v>
      </c>
      <c r="FS122" t="e">
        <f>IF(#REF!,"AAAAAB//264=",0)</f>
        <v>#REF!</v>
      </c>
      <c r="FT122" t="e">
        <f>AND(#REF!,"AAAAAB//268=")</f>
        <v>#REF!</v>
      </c>
      <c r="FU122" t="e">
        <f>AND(#REF!,"AAAAAB//27A=")</f>
        <v>#REF!</v>
      </c>
      <c r="FV122" t="e">
        <f>AND(#REF!,"AAAAAB//27E=")</f>
        <v>#REF!</v>
      </c>
      <c r="FW122" t="e">
        <f>AND(#REF!,"AAAAAB//27I=")</f>
        <v>#REF!</v>
      </c>
      <c r="FX122" t="e">
        <f>AND(#REF!,"AAAAAB//27M=")</f>
        <v>#REF!</v>
      </c>
      <c r="FY122" t="e">
        <f>AND(#REF!,"AAAAAB//27Q=")</f>
        <v>#REF!</v>
      </c>
      <c r="FZ122" t="e">
        <f>AND(#REF!,"AAAAAB//27U=")</f>
        <v>#REF!</v>
      </c>
      <c r="GA122" t="e">
        <f>AND(#REF!,"AAAAAB//27Y=")</f>
        <v>#REF!</v>
      </c>
      <c r="GB122" t="e">
        <f>AND(#REF!,"AAAAAB//27c=")</f>
        <v>#REF!</v>
      </c>
      <c r="GC122" t="e">
        <f>AND(#REF!,"AAAAAB//27g=")</f>
        <v>#REF!</v>
      </c>
      <c r="GD122" t="e">
        <f>AND(#REF!,"AAAAAB//27k=")</f>
        <v>#REF!</v>
      </c>
      <c r="GE122" t="e">
        <f>AND(#REF!,"AAAAAB//27o=")</f>
        <v>#REF!</v>
      </c>
      <c r="GF122" t="e">
        <f>AND(#REF!,"AAAAAB//27s=")</f>
        <v>#REF!</v>
      </c>
      <c r="GG122" t="e">
        <f>AND(#REF!,"AAAAAB//27w=")</f>
        <v>#REF!</v>
      </c>
      <c r="GH122" t="e">
        <f>AND(#REF!,"AAAAAB//270=")</f>
        <v>#REF!</v>
      </c>
      <c r="GI122" t="e">
        <f>AND(#REF!,"AAAAAB//274=")</f>
        <v>#REF!</v>
      </c>
      <c r="GJ122" t="e">
        <f>AND(#REF!,"AAAAAB//278=")</f>
        <v>#REF!</v>
      </c>
      <c r="GK122" t="e">
        <f>AND(#REF!,"AAAAAB//28A=")</f>
        <v>#REF!</v>
      </c>
      <c r="GL122" t="e">
        <f>AND(#REF!,"AAAAAB//28E=")</f>
        <v>#REF!</v>
      </c>
      <c r="GM122" t="e">
        <f>AND(#REF!,"AAAAAB//28I=")</f>
        <v>#REF!</v>
      </c>
      <c r="GN122" t="e">
        <f>AND(#REF!,"AAAAAB//28M=")</f>
        <v>#REF!</v>
      </c>
      <c r="GO122" t="e">
        <f>AND(#REF!,"AAAAAB//28Q=")</f>
        <v>#REF!</v>
      </c>
      <c r="GP122" t="e">
        <f>AND(#REF!,"AAAAAB//28U=")</f>
        <v>#REF!</v>
      </c>
      <c r="GQ122" t="e">
        <f>AND(#REF!,"AAAAAB//28Y=")</f>
        <v>#REF!</v>
      </c>
      <c r="GR122" t="e">
        <f>AND(#REF!,"AAAAAB//28c=")</f>
        <v>#REF!</v>
      </c>
      <c r="GS122" t="e">
        <f>AND(#REF!,"AAAAAB//28g=")</f>
        <v>#REF!</v>
      </c>
      <c r="GT122" t="e">
        <f>AND(#REF!,"AAAAAB//28k=")</f>
        <v>#REF!</v>
      </c>
      <c r="GU122" t="e">
        <f>AND(#REF!,"AAAAAB//28o=")</f>
        <v>#REF!</v>
      </c>
      <c r="GV122" t="e">
        <f>AND(#REF!,"AAAAAB//28s=")</f>
        <v>#REF!</v>
      </c>
      <c r="GW122" t="e">
        <f>AND(#REF!,"AAAAAB//28w=")</f>
        <v>#REF!</v>
      </c>
      <c r="GX122" t="e">
        <f>AND(#REF!,"AAAAAB//280=")</f>
        <v>#REF!</v>
      </c>
      <c r="GY122" t="e">
        <f>AND(#REF!,"AAAAAB//284=")</f>
        <v>#REF!</v>
      </c>
      <c r="GZ122" t="e">
        <f>AND(#REF!,"AAAAAB//288=")</f>
        <v>#REF!</v>
      </c>
      <c r="HA122" t="e">
        <f>AND(#REF!,"AAAAAB//29A=")</f>
        <v>#REF!</v>
      </c>
      <c r="HB122" t="e">
        <f>AND(#REF!,"AAAAAB//29E=")</f>
        <v>#REF!</v>
      </c>
      <c r="HC122" t="e">
        <f>AND(#REF!,"AAAAAB//29I=")</f>
        <v>#REF!</v>
      </c>
      <c r="HD122" t="e">
        <f>AND(#REF!,"AAAAAB//29M=")</f>
        <v>#REF!</v>
      </c>
      <c r="HE122" t="e">
        <f>AND(#REF!,"AAAAAB//29Q=")</f>
        <v>#REF!</v>
      </c>
      <c r="HF122" t="e">
        <f>AND(#REF!,"AAAAAB//29U=")</f>
        <v>#REF!</v>
      </c>
      <c r="HG122" t="e">
        <f>AND(#REF!,"AAAAAB//29Y=")</f>
        <v>#REF!</v>
      </c>
      <c r="HH122" t="e">
        <f>AND(#REF!,"AAAAAB//29c=")</f>
        <v>#REF!</v>
      </c>
      <c r="HI122" t="e">
        <f>AND(#REF!,"AAAAAB//29g=")</f>
        <v>#REF!</v>
      </c>
      <c r="HJ122" t="e">
        <f>AND(#REF!,"AAAAAB//29k=")</f>
        <v>#REF!</v>
      </c>
      <c r="HK122" t="e">
        <f>AND(#REF!,"AAAAAB//29o=")</f>
        <v>#REF!</v>
      </c>
      <c r="HL122" t="e">
        <f>AND(#REF!,"AAAAAB//29s=")</f>
        <v>#REF!</v>
      </c>
      <c r="HM122" t="e">
        <f>AND(#REF!,"AAAAAB//29w=")</f>
        <v>#REF!</v>
      </c>
      <c r="HN122" t="e">
        <f>AND(#REF!,"AAAAAB//290=")</f>
        <v>#REF!</v>
      </c>
      <c r="HO122" t="e">
        <f>AND(#REF!,"AAAAAB//294=")</f>
        <v>#REF!</v>
      </c>
      <c r="HP122" t="e">
        <f>AND(#REF!,"AAAAAB//298=")</f>
        <v>#REF!</v>
      </c>
      <c r="HQ122" t="e">
        <f>AND(#REF!,"AAAAAB//2+A=")</f>
        <v>#REF!</v>
      </c>
      <c r="HR122" t="e">
        <f>AND(#REF!,"AAAAAB//2+E=")</f>
        <v>#REF!</v>
      </c>
      <c r="HS122" t="e">
        <f>AND(#REF!,"AAAAAB//2+I=")</f>
        <v>#REF!</v>
      </c>
      <c r="HT122" t="e">
        <f>AND(#REF!,"AAAAAB//2+M=")</f>
        <v>#REF!</v>
      </c>
      <c r="HU122" t="e">
        <f>AND(#REF!,"AAAAAB//2+Q=")</f>
        <v>#REF!</v>
      </c>
      <c r="HV122" t="e">
        <f>AND(#REF!,"AAAAAB//2+U=")</f>
        <v>#REF!</v>
      </c>
      <c r="HW122" t="e">
        <f>AND(#REF!,"AAAAAB//2+Y=")</f>
        <v>#REF!</v>
      </c>
      <c r="HX122" t="e">
        <f>AND(#REF!,"AAAAAB//2+c=")</f>
        <v>#REF!</v>
      </c>
      <c r="HY122" t="e">
        <f>AND(#REF!,"AAAAAB//2+g=")</f>
        <v>#REF!</v>
      </c>
      <c r="HZ122" t="e">
        <f>AND(#REF!,"AAAAAB//2+k=")</f>
        <v>#REF!</v>
      </c>
      <c r="IA122" t="e">
        <f>AND(#REF!,"AAAAAB//2+o=")</f>
        <v>#REF!</v>
      </c>
      <c r="IB122" t="e">
        <f>AND(#REF!,"AAAAAB//2+s=")</f>
        <v>#REF!</v>
      </c>
      <c r="IC122" t="e">
        <f>AND(#REF!,"AAAAAB//2+w=")</f>
        <v>#REF!</v>
      </c>
      <c r="ID122" t="e">
        <f>AND(#REF!,"AAAAAB//2+0=")</f>
        <v>#REF!</v>
      </c>
      <c r="IE122" t="e">
        <f>AND(#REF!,"AAAAAB//2+4=")</f>
        <v>#REF!</v>
      </c>
      <c r="IF122" t="e">
        <f>AND(#REF!,"AAAAAB//2+8=")</f>
        <v>#REF!</v>
      </c>
      <c r="IG122" t="e">
        <f>AND(#REF!,"AAAAAB//2/A=")</f>
        <v>#REF!</v>
      </c>
      <c r="IH122" t="e">
        <f>AND(#REF!,"AAAAAB//2/E=")</f>
        <v>#REF!</v>
      </c>
      <c r="II122" t="e">
        <f>AND(#REF!,"AAAAAB//2/I=")</f>
        <v>#REF!</v>
      </c>
      <c r="IJ122" t="e">
        <f>AND(#REF!,"AAAAAB//2/M=")</f>
        <v>#REF!</v>
      </c>
      <c r="IK122" t="e">
        <f>AND(#REF!,"AAAAAB//2/Q=")</f>
        <v>#REF!</v>
      </c>
      <c r="IL122" t="e">
        <f>AND(#REF!,"AAAAAB//2/U=")</f>
        <v>#REF!</v>
      </c>
      <c r="IM122" t="e">
        <f>AND(#REF!,"AAAAAB//2/Y=")</f>
        <v>#REF!</v>
      </c>
      <c r="IN122" t="e">
        <f>AND(#REF!,"AAAAAB//2/c=")</f>
        <v>#REF!</v>
      </c>
      <c r="IO122" t="e">
        <f>AND(#REF!,"AAAAAB//2/g=")</f>
        <v>#REF!</v>
      </c>
      <c r="IP122" t="e">
        <f>AND(#REF!,"AAAAAB//2/k=")</f>
        <v>#REF!</v>
      </c>
      <c r="IQ122" t="e">
        <f>AND(#REF!,"AAAAAB//2/o=")</f>
        <v>#REF!</v>
      </c>
      <c r="IR122" t="e">
        <f>AND(#REF!,"AAAAAB//2/s=")</f>
        <v>#REF!</v>
      </c>
      <c r="IS122" t="e">
        <f>AND(#REF!,"AAAAAB//2/w=")</f>
        <v>#REF!</v>
      </c>
      <c r="IT122" t="e">
        <f>AND(#REF!,"AAAAAB//2/0=")</f>
        <v>#REF!</v>
      </c>
      <c r="IU122" t="e">
        <f>AND(#REF!,"AAAAAB//2/4=")</f>
        <v>#REF!</v>
      </c>
      <c r="IV122" t="e">
        <f>AND(#REF!,"AAAAAB//2/8=")</f>
        <v>#REF!</v>
      </c>
    </row>
    <row r="123" spans="1:256" x14ac:dyDescent="0.25">
      <c r="A123" t="e">
        <f>AND(#REF!,"AAAAAD3v9wA=")</f>
        <v>#REF!</v>
      </c>
      <c r="B123" t="e">
        <f>AND(#REF!,"AAAAAD3v9wE=")</f>
        <v>#REF!</v>
      </c>
      <c r="C123" t="e">
        <f>AND(#REF!,"AAAAAD3v9wI=")</f>
        <v>#REF!</v>
      </c>
      <c r="D123" t="e">
        <f>AND(#REF!,"AAAAAD3v9wM=")</f>
        <v>#REF!</v>
      </c>
      <c r="E123" t="e">
        <f>AND(#REF!,"AAAAAD3v9wQ=")</f>
        <v>#REF!</v>
      </c>
      <c r="F123" t="e">
        <f>AND(#REF!,"AAAAAD3v9wU=")</f>
        <v>#REF!</v>
      </c>
      <c r="G123" t="e">
        <f>AND(#REF!,"AAAAAD3v9wY=")</f>
        <v>#REF!</v>
      </c>
      <c r="H123" t="e">
        <f>AND(#REF!,"AAAAAD3v9wc=")</f>
        <v>#REF!</v>
      </c>
      <c r="I123" t="e">
        <f>AND(#REF!,"AAAAAD3v9wg=")</f>
        <v>#REF!</v>
      </c>
      <c r="J123" t="e">
        <f>AND(#REF!,"AAAAAD3v9wk=")</f>
        <v>#REF!</v>
      </c>
      <c r="K123" t="e">
        <f>AND(#REF!,"AAAAAD3v9wo=")</f>
        <v>#REF!</v>
      </c>
      <c r="L123" t="e">
        <f>AND(#REF!,"AAAAAD3v9ws=")</f>
        <v>#REF!</v>
      </c>
      <c r="M123" t="e">
        <f>AND(#REF!,"AAAAAD3v9ww=")</f>
        <v>#REF!</v>
      </c>
      <c r="N123" t="e">
        <f>AND(#REF!,"AAAAAD3v9w0=")</f>
        <v>#REF!</v>
      </c>
      <c r="O123" t="e">
        <f>AND(#REF!,"AAAAAD3v9w4=")</f>
        <v>#REF!</v>
      </c>
      <c r="P123" t="e">
        <f>AND(#REF!,"AAAAAD3v9w8=")</f>
        <v>#REF!</v>
      </c>
      <c r="Q123" t="e">
        <f>AND(#REF!,"AAAAAD3v9xA=")</f>
        <v>#REF!</v>
      </c>
      <c r="R123" t="e">
        <f>AND(#REF!,"AAAAAD3v9xE=")</f>
        <v>#REF!</v>
      </c>
      <c r="S123" t="e">
        <f>AND(#REF!,"AAAAAD3v9xI=")</f>
        <v>#REF!</v>
      </c>
      <c r="T123" t="e">
        <f>AND(#REF!,"AAAAAD3v9xM=")</f>
        <v>#REF!</v>
      </c>
      <c r="U123" t="e">
        <f>AND(#REF!,"AAAAAD3v9xQ=")</f>
        <v>#REF!</v>
      </c>
      <c r="V123" t="e">
        <f>AND(#REF!,"AAAAAD3v9xU=")</f>
        <v>#REF!</v>
      </c>
      <c r="W123" t="e">
        <f>AND(#REF!,"AAAAAD3v9xY=")</f>
        <v>#REF!</v>
      </c>
      <c r="X123" t="e">
        <f>AND(#REF!,"AAAAAD3v9xc=")</f>
        <v>#REF!</v>
      </c>
      <c r="Y123" t="e">
        <f>AND(#REF!,"AAAAAD3v9xg=")</f>
        <v>#REF!</v>
      </c>
      <c r="Z123" t="e">
        <f>AND(#REF!,"AAAAAD3v9xk=")</f>
        <v>#REF!</v>
      </c>
      <c r="AA123" t="e">
        <f>AND(#REF!,"AAAAAD3v9xo=")</f>
        <v>#REF!</v>
      </c>
      <c r="AB123" t="e">
        <f>AND(#REF!,"AAAAAD3v9xs=")</f>
        <v>#REF!</v>
      </c>
      <c r="AC123" t="e">
        <f>AND(#REF!,"AAAAAD3v9xw=")</f>
        <v>#REF!</v>
      </c>
      <c r="AD123" t="e">
        <f>AND(#REF!,"AAAAAD3v9x0=")</f>
        <v>#REF!</v>
      </c>
      <c r="AE123" t="e">
        <f>AND(#REF!,"AAAAAD3v9x4=")</f>
        <v>#REF!</v>
      </c>
      <c r="AF123" t="e">
        <f>AND(#REF!,"AAAAAD3v9x8=")</f>
        <v>#REF!</v>
      </c>
      <c r="AG123" t="e">
        <f>AND(#REF!,"AAAAAD3v9yA=")</f>
        <v>#REF!</v>
      </c>
      <c r="AH123" t="e">
        <f>AND(#REF!,"AAAAAD3v9yE=")</f>
        <v>#REF!</v>
      </c>
      <c r="AI123" t="e">
        <f>AND(#REF!,"AAAAAD3v9yI=")</f>
        <v>#REF!</v>
      </c>
      <c r="AJ123" t="e">
        <f>AND(#REF!,"AAAAAD3v9yM=")</f>
        <v>#REF!</v>
      </c>
      <c r="AK123" t="e">
        <f>AND(#REF!,"AAAAAD3v9yQ=")</f>
        <v>#REF!</v>
      </c>
      <c r="AL123" t="e">
        <f>AND(#REF!,"AAAAAD3v9yU=")</f>
        <v>#REF!</v>
      </c>
      <c r="AM123" t="e">
        <f>AND(#REF!,"AAAAAD3v9yY=")</f>
        <v>#REF!</v>
      </c>
      <c r="AN123" t="e">
        <f>AND(#REF!,"AAAAAD3v9yc=")</f>
        <v>#REF!</v>
      </c>
      <c r="AO123" t="e">
        <f>AND(#REF!,"AAAAAD3v9yg=")</f>
        <v>#REF!</v>
      </c>
      <c r="AP123" t="e">
        <f>AND(#REF!,"AAAAAD3v9yk=")</f>
        <v>#REF!</v>
      </c>
      <c r="AQ123" t="e">
        <f>AND(#REF!,"AAAAAD3v9yo=")</f>
        <v>#REF!</v>
      </c>
      <c r="AR123" t="e">
        <f>AND(#REF!,"AAAAAD3v9ys=")</f>
        <v>#REF!</v>
      </c>
      <c r="AS123" t="e">
        <f>AND(#REF!,"AAAAAD3v9yw=")</f>
        <v>#REF!</v>
      </c>
      <c r="AT123" t="e">
        <f>AND(#REF!,"AAAAAD3v9y0=")</f>
        <v>#REF!</v>
      </c>
      <c r="AU123" t="e">
        <f>AND(#REF!,"AAAAAD3v9y4=")</f>
        <v>#REF!</v>
      </c>
      <c r="AV123" t="e">
        <f>AND(#REF!,"AAAAAD3v9y8=")</f>
        <v>#REF!</v>
      </c>
      <c r="AW123" t="e">
        <f>AND(#REF!,"AAAAAD3v9zA=")</f>
        <v>#REF!</v>
      </c>
      <c r="AX123" t="e">
        <f>AND(#REF!,"AAAAAD3v9zE=")</f>
        <v>#REF!</v>
      </c>
      <c r="AY123" t="e">
        <f>AND(#REF!,"AAAAAD3v9zI=")</f>
        <v>#REF!</v>
      </c>
      <c r="AZ123" t="e">
        <f>AND(#REF!,"AAAAAD3v9zM=")</f>
        <v>#REF!</v>
      </c>
      <c r="BA123" t="e">
        <f>AND(#REF!,"AAAAAD3v9zQ=")</f>
        <v>#REF!</v>
      </c>
      <c r="BB123" t="e">
        <f>AND(#REF!,"AAAAAD3v9zU=")</f>
        <v>#REF!</v>
      </c>
      <c r="BC123" t="e">
        <f>AND(#REF!,"AAAAAD3v9zY=")</f>
        <v>#REF!</v>
      </c>
      <c r="BD123" t="e">
        <f>AND(#REF!,"AAAAAD3v9zc=")</f>
        <v>#REF!</v>
      </c>
      <c r="BE123" t="e">
        <f>AND(#REF!,"AAAAAD3v9zg=")</f>
        <v>#REF!</v>
      </c>
      <c r="BF123" t="e">
        <f>AND(#REF!,"AAAAAD3v9zk=")</f>
        <v>#REF!</v>
      </c>
      <c r="BG123" t="e">
        <f>AND(#REF!,"AAAAAD3v9zo=")</f>
        <v>#REF!</v>
      </c>
      <c r="BH123" t="e">
        <f>AND(#REF!,"AAAAAD3v9zs=")</f>
        <v>#REF!</v>
      </c>
      <c r="BI123" t="e">
        <f>AND(#REF!,"AAAAAD3v9zw=")</f>
        <v>#REF!</v>
      </c>
      <c r="BJ123" t="e">
        <f>AND(#REF!,"AAAAAD3v9z0=")</f>
        <v>#REF!</v>
      </c>
      <c r="BK123" t="e">
        <f>AND(#REF!,"AAAAAD3v9z4=")</f>
        <v>#REF!</v>
      </c>
      <c r="BL123" t="e">
        <f>AND(#REF!,"AAAAAD3v9z8=")</f>
        <v>#REF!</v>
      </c>
      <c r="BM123" t="e">
        <f>AND(#REF!,"AAAAAD3v90A=")</f>
        <v>#REF!</v>
      </c>
      <c r="BN123" t="e">
        <f>AND(#REF!,"AAAAAD3v90E=")</f>
        <v>#REF!</v>
      </c>
      <c r="BO123" t="e">
        <f>AND(#REF!,"AAAAAD3v90I=")</f>
        <v>#REF!</v>
      </c>
      <c r="BP123" t="e">
        <f>AND(#REF!,"AAAAAD3v90M=")</f>
        <v>#REF!</v>
      </c>
      <c r="BQ123" t="e">
        <f>AND(#REF!,"AAAAAD3v90Q=")</f>
        <v>#REF!</v>
      </c>
      <c r="BR123" t="e">
        <f>AND(#REF!,"AAAAAD3v90U=")</f>
        <v>#REF!</v>
      </c>
      <c r="BS123" t="e">
        <f>AND(#REF!,"AAAAAD3v90Y=")</f>
        <v>#REF!</v>
      </c>
      <c r="BT123" t="e">
        <f>AND(#REF!,"AAAAAD3v90c=")</f>
        <v>#REF!</v>
      </c>
      <c r="BU123" t="e">
        <f>AND(#REF!,"AAAAAD3v90g=")</f>
        <v>#REF!</v>
      </c>
      <c r="BV123" t="e">
        <f>AND(#REF!,"AAAAAD3v90k=")</f>
        <v>#REF!</v>
      </c>
      <c r="BW123" t="e">
        <f>AND(#REF!,"AAAAAD3v90o=")</f>
        <v>#REF!</v>
      </c>
      <c r="BX123" t="e">
        <f>AND(#REF!,"AAAAAD3v90s=")</f>
        <v>#REF!</v>
      </c>
      <c r="BY123" t="e">
        <f>AND(#REF!,"AAAAAD3v90w=")</f>
        <v>#REF!</v>
      </c>
      <c r="BZ123" t="e">
        <f>AND(#REF!,"AAAAAD3v900=")</f>
        <v>#REF!</v>
      </c>
      <c r="CA123" t="e">
        <f>AND(#REF!,"AAAAAD3v904=")</f>
        <v>#REF!</v>
      </c>
      <c r="CB123" t="e">
        <f>AND(#REF!,"AAAAAD3v908=")</f>
        <v>#REF!</v>
      </c>
      <c r="CC123" t="e">
        <f>AND(#REF!,"AAAAAD3v91A=")</f>
        <v>#REF!</v>
      </c>
      <c r="CD123" t="e">
        <f>AND(#REF!,"AAAAAD3v91E=")</f>
        <v>#REF!</v>
      </c>
      <c r="CE123" t="e">
        <f>AND(#REF!,"AAAAAD3v91I=")</f>
        <v>#REF!</v>
      </c>
      <c r="CF123" t="e">
        <f>AND(#REF!,"AAAAAD3v91M=")</f>
        <v>#REF!</v>
      </c>
      <c r="CG123" t="e">
        <f>AND(#REF!,"AAAAAD3v91Q=")</f>
        <v>#REF!</v>
      </c>
      <c r="CH123" t="e">
        <f>AND(#REF!,"AAAAAD3v91U=")</f>
        <v>#REF!</v>
      </c>
      <c r="CI123" t="e">
        <f>AND(#REF!,"AAAAAD3v91Y=")</f>
        <v>#REF!</v>
      </c>
      <c r="CJ123" t="e">
        <f>AND(#REF!,"AAAAAD3v91c=")</f>
        <v>#REF!</v>
      </c>
      <c r="CK123" t="e">
        <f>AND(#REF!,"AAAAAD3v91g=")</f>
        <v>#REF!</v>
      </c>
      <c r="CL123" t="e">
        <f>AND(#REF!,"AAAAAD3v91k=")</f>
        <v>#REF!</v>
      </c>
      <c r="CM123" t="e">
        <f>AND(#REF!,"AAAAAD3v91o=")</f>
        <v>#REF!</v>
      </c>
      <c r="CN123" t="e">
        <f>AND(#REF!,"AAAAAD3v91s=")</f>
        <v>#REF!</v>
      </c>
      <c r="CO123" t="e">
        <f>AND(#REF!,"AAAAAD3v91w=")</f>
        <v>#REF!</v>
      </c>
      <c r="CP123" t="e">
        <f>AND(#REF!,"AAAAAD3v910=")</f>
        <v>#REF!</v>
      </c>
      <c r="CQ123" t="e">
        <f>AND(#REF!,"AAAAAD3v914=")</f>
        <v>#REF!</v>
      </c>
      <c r="CR123" t="e">
        <f>AND(#REF!,"AAAAAD3v918=")</f>
        <v>#REF!</v>
      </c>
      <c r="CS123" t="e">
        <f>AND(#REF!,"AAAAAD3v92A=")</f>
        <v>#REF!</v>
      </c>
      <c r="CT123" t="e">
        <f>AND(#REF!,"AAAAAD3v92E=")</f>
        <v>#REF!</v>
      </c>
      <c r="CU123" t="e">
        <f>AND(#REF!,"AAAAAD3v92I=")</f>
        <v>#REF!</v>
      </c>
      <c r="CV123" t="e">
        <f>AND(#REF!,"AAAAAD3v92M=")</f>
        <v>#REF!</v>
      </c>
      <c r="CW123" t="e">
        <f>AND(#REF!,"AAAAAD3v92Q=")</f>
        <v>#REF!</v>
      </c>
      <c r="CX123" t="e">
        <f>AND(#REF!,"AAAAAD3v92U=")</f>
        <v>#REF!</v>
      </c>
      <c r="CY123" t="e">
        <f>AND(#REF!,"AAAAAD3v92Y=")</f>
        <v>#REF!</v>
      </c>
      <c r="CZ123" t="e">
        <f>AND(#REF!,"AAAAAD3v92c=")</f>
        <v>#REF!</v>
      </c>
      <c r="DA123" t="e">
        <f>AND(#REF!,"AAAAAD3v92g=")</f>
        <v>#REF!</v>
      </c>
      <c r="DB123" t="e">
        <f>AND(#REF!,"AAAAAD3v92k=")</f>
        <v>#REF!</v>
      </c>
      <c r="DC123" t="e">
        <f>AND(#REF!,"AAAAAD3v92o=")</f>
        <v>#REF!</v>
      </c>
      <c r="DD123" t="e">
        <f>IF(#REF!,"AAAAAD3v92s=",0)</f>
        <v>#REF!</v>
      </c>
      <c r="DE123" t="e">
        <f>AND(#REF!,"AAAAAD3v92w=")</f>
        <v>#REF!</v>
      </c>
      <c r="DF123" t="e">
        <f>AND(#REF!,"AAAAAD3v920=")</f>
        <v>#REF!</v>
      </c>
      <c r="DG123" t="e">
        <f>AND(#REF!,"AAAAAD3v924=")</f>
        <v>#REF!</v>
      </c>
      <c r="DH123" t="e">
        <f>AND(#REF!,"AAAAAD3v928=")</f>
        <v>#REF!</v>
      </c>
      <c r="DI123" t="e">
        <f>AND(#REF!,"AAAAAD3v93A=")</f>
        <v>#REF!</v>
      </c>
      <c r="DJ123" t="e">
        <f>AND(#REF!,"AAAAAD3v93E=")</f>
        <v>#REF!</v>
      </c>
      <c r="DK123" t="e">
        <f>AND(#REF!,"AAAAAD3v93I=")</f>
        <v>#REF!</v>
      </c>
      <c r="DL123" t="e">
        <f>AND(#REF!,"AAAAAD3v93M=")</f>
        <v>#REF!</v>
      </c>
      <c r="DM123" t="e">
        <f>AND(#REF!,"AAAAAD3v93Q=")</f>
        <v>#REF!</v>
      </c>
      <c r="DN123" t="e">
        <f>AND(#REF!,"AAAAAD3v93U=")</f>
        <v>#REF!</v>
      </c>
      <c r="DO123" t="e">
        <f>AND(#REF!,"AAAAAD3v93Y=")</f>
        <v>#REF!</v>
      </c>
      <c r="DP123" t="e">
        <f>AND(#REF!,"AAAAAD3v93c=")</f>
        <v>#REF!</v>
      </c>
      <c r="DQ123" t="e">
        <f>AND(#REF!,"AAAAAD3v93g=")</f>
        <v>#REF!</v>
      </c>
      <c r="DR123" t="e">
        <f>AND(#REF!,"AAAAAD3v93k=")</f>
        <v>#REF!</v>
      </c>
      <c r="DS123" t="e">
        <f>AND(#REF!,"AAAAAD3v93o=")</f>
        <v>#REF!</v>
      </c>
      <c r="DT123" t="e">
        <f>AND(#REF!,"AAAAAD3v93s=")</f>
        <v>#REF!</v>
      </c>
      <c r="DU123" t="e">
        <f>AND(#REF!,"AAAAAD3v93w=")</f>
        <v>#REF!</v>
      </c>
      <c r="DV123" t="e">
        <f>AND(#REF!,"AAAAAD3v930=")</f>
        <v>#REF!</v>
      </c>
      <c r="DW123" t="e">
        <f>AND(#REF!,"AAAAAD3v934=")</f>
        <v>#REF!</v>
      </c>
      <c r="DX123" t="e">
        <f>AND(#REF!,"AAAAAD3v938=")</f>
        <v>#REF!</v>
      </c>
      <c r="DY123" t="e">
        <f>AND(#REF!,"AAAAAD3v94A=")</f>
        <v>#REF!</v>
      </c>
      <c r="DZ123" t="e">
        <f>AND(#REF!,"AAAAAD3v94E=")</f>
        <v>#REF!</v>
      </c>
      <c r="EA123" t="e">
        <f>AND(#REF!,"AAAAAD3v94I=")</f>
        <v>#REF!</v>
      </c>
      <c r="EB123" t="e">
        <f>AND(#REF!,"AAAAAD3v94M=")</f>
        <v>#REF!</v>
      </c>
      <c r="EC123" t="e">
        <f>AND(#REF!,"AAAAAD3v94Q=")</f>
        <v>#REF!</v>
      </c>
      <c r="ED123" t="e">
        <f>AND(#REF!,"AAAAAD3v94U=")</f>
        <v>#REF!</v>
      </c>
      <c r="EE123" t="e">
        <f>AND(#REF!,"AAAAAD3v94Y=")</f>
        <v>#REF!</v>
      </c>
      <c r="EF123" t="e">
        <f>AND(#REF!,"AAAAAD3v94c=")</f>
        <v>#REF!</v>
      </c>
      <c r="EG123" t="e">
        <f>AND(#REF!,"AAAAAD3v94g=")</f>
        <v>#REF!</v>
      </c>
      <c r="EH123" t="e">
        <f>AND(#REF!,"AAAAAD3v94k=")</f>
        <v>#REF!</v>
      </c>
      <c r="EI123" t="e">
        <f>AND(#REF!,"AAAAAD3v94o=")</f>
        <v>#REF!</v>
      </c>
      <c r="EJ123" t="e">
        <f>AND(#REF!,"AAAAAD3v94s=")</f>
        <v>#REF!</v>
      </c>
      <c r="EK123" t="e">
        <f>AND(#REF!,"AAAAAD3v94w=")</f>
        <v>#REF!</v>
      </c>
      <c r="EL123" t="e">
        <f>AND(#REF!,"AAAAAD3v940=")</f>
        <v>#REF!</v>
      </c>
      <c r="EM123" t="e">
        <f>AND(#REF!,"AAAAAD3v944=")</f>
        <v>#REF!</v>
      </c>
      <c r="EN123" t="e">
        <f>AND(#REF!,"AAAAAD3v948=")</f>
        <v>#REF!</v>
      </c>
      <c r="EO123" t="e">
        <f>AND(#REF!,"AAAAAD3v95A=")</f>
        <v>#REF!</v>
      </c>
      <c r="EP123" t="e">
        <f>AND(#REF!,"AAAAAD3v95E=")</f>
        <v>#REF!</v>
      </c>
      <c r="EQ123" t="e">
        <f>AND(#REF!,"AAAAAD3v95I=")</f>
        <v>#REF!</v>
      </c>
      <c r="ER123" t="e">
        <f>AND(#REF!,"AAAAAD3v95M=")</f>
        <v>#REF!</v>
      </c>
      <c r="ES123" t="e">
        <f>AND(#REF!,"AAAAAD3v95Q=")</f>
        <v>#REF!</v>
      </c>
      <c r="ET123" t="e">
        <f>AND(#REF!,"AAAAAD3v95U=")</f>
        <v>#REF!</v>
      </c>
      <c r="EU123" t="e">
        <f>AND(#REF!,"AAAAAD3v95Y=")</f>
        <v>#REF!</v>
      </c>
      <c r="EV123" t="e">
        <f>AND(#REF!,"AAAAAD3v95c=")</f>
        <v>#REF!</v>
      </c>
      <c r="EW123" t="e">
        <f>AND(#REF!,"AAAAAD3v95g=")</f>
        <v>#REF!</v>
      </c>
      <c r="EX123" t="e">
        <f>AND(#REF!,"AAAAAD3v95k=")</f>
        <v>#REF!</v>
      </c>
      <c r="EY123" t="e">
        <f>AND(#REF!,"AAAAAD3v95o=")</f>
        <v>#REF!</v>
      </c>
      <c r="EZ123" t="e">
        <f>AND(#REF!,"AAAAAD3v95s=")</f>
        <v>#REF!</v>
      </c>
      <c r="FA123" t="e">
        <f>AND(#REF!,"AAAAAD3v95w=")</f>
        <v>#REF!</v>
      </c>
      <c r="FB123" t="e">
        <f>AND(#REF!,"AAAAAD3v950=")</f>
        <v>#REF!</v>
      </c>
      <c r="FC123" t="e">
        <f>AND(#REF!,"AAAAAD3v954=")</f>
        <v>#REF!</v>
      </c>
      <c r="FD123" t="e">
        <f>AND(#REF!,"AAAAAD3v958=")</f>
        <v>#REF!</v>
      </c>
      <c r="FE123" t="e">
        <f>AND(#REF!,"AAAAAD3v96A=")</f>
        <v>#REF!</v>
      </c>
      <c r="FF123" t="e">
        <f>AND(#REF!,"AAAAAD3v96E=")</f>
        <v>#REF!</v>
      </c>
      <c r="FG123" t="e">
        <f>AND(#REF!,"AAAAAD3v96I=")</f>
        <v>#REF!</v>
      </c>
      <c r="FH123" t="e">
        <f>AND(#REF!,"AAAAAD3v96M=")</f>
        <v>#REF!</v>
      </c>
      <c r="FI123" t="e">
        <f>AND(#REF!,"AAAAAD3v96Q=")</f>
        <v>#REF!</v>
      </c>
      <c r="FJ123" t="e">
        <f>AND(#REF!,"AAAAAD3v96U=")</f>
        <v>#REF!</v>
      </c>
      <c r="FK123" t="e">
        <f>AND(#REF!,"AAAAAD3v96Y=")</f>
        <v>#REF!</v>
      </c>
      <c r="FL123" t="e">
        <f>AND(#REF!,"AAAAAD3v96c=")</f>
        <v>#REF!</v>
      </c>
      <c r="FM123" t="e">
        <f>AND(#REF!,"AAAAAD3v96g=")</f>
        <v>#REF!</v>
      </c>
      <c r="FN123" t="e">
        <f>AND(#REF!,"AAAAAD3v96k=")</f>
        <v>#REF!</v>
      </c>
      <c r="FO123" t="e">
        <f>AND(#REF!,"AAAAAD3v96o=")</f>
        <v>#REF!</v>
      </c>
      <c r="FP123" t="e">
        <f>AND(#REF!,"AAAAAD3v96s=")</f>
        <v>#REF!</v>
      </c>
      <c r="FQ123" t="e">
        <f>AND(#REF!,"AAAAAD3v96w=")</f>
        <v>#REF!</v>
      </c>
      <c r="FR123" t="e">
        <f>AND(#REF!,"AAAAAD3v960=")</f>
        <v>#REF!</v>
      </c>
      <c r="FS123" t="e">
        <f>AND(#REF!,"AAAAAD3v964=")</f>
        <v>#REF!</v>
      </c>
      <c r="FT123" t="e">
        <f>AND(#REF!,"AAAAAD3v968=")</f>
        <v>#REF!</v>
      </c>
      <c r="FU123" t="e">
        <f>AND(#REF!,"AAAAAD3v97A=")</f>
        <v>#REF!</v>
      </c>
      <c r="FV123" t="e">
        <f>AND(#REF!,"AAAAAD3v97E=")</f>
        <v>#REF!</v>
      </c>
      <c r="FW123" t="e">
        <f>AND(#REF!,"AAAAAD3v97I=")</f>
        <v>#REF!</v>
      </c>
      <c r="FX123" t="e">
        <f>AND(#REF!,"AAAAAD3v97M=")</f>
        <v>#REF!</v>
      </c>
      <c r="FY123" t="e">
        <f>AND(#REF!,"AAAAAD3v97Q=")</f>
        <v>#REF!</v>
      </c>
      <c r="FZ123" t="e">
        <f>AND(#REF!,"AAAAAD3v97U=")</f>
        <v>#REF!</v>
      </c>
      <c r="GA123" t="e">
        <f>AND(#REF!,"AAAAAD3v97Y=")</f>
        <v>#REF!</v>
      </c>
      <c r="GB123" t="e">
        <f>AND(#REF!,"AAAAAD3v97c=")</f>
        <v>#REF!</v>
      </c>
      <c r="GC123" t="e">
        <f>AND(#REF!,"AAAAAD3v97g=")</f>
        <v>#REF!</v>
      </c>
      <c r="GD123" t="e">
        <f>AND(#REF!,"AAAAAD3v97k=")</f>
        <v>#REF!</v>
      </c>
      <c r="GE123" t="e">
        <f>AND(#REF!,"AAAAAD3v97o=")</f>
        <v>#REF!</v>
      </c>
      <c r="GF123" t="e">
        <f>AND(#REF!,"AAAAAD3v97s=")</f>
        <v>#REF!</v>
      </c>
      <c r="GG123" t="e">
        <f>AND(#REF!,"AAAAAD3v97w=")</f>
        <v>#REF!</v>
      </c>
      <c r="GH123" t="e">
        <f>AND(#REF!,"AAAAAD3v970=")</f>
        <v>#REF!</v>
      </c>
      <c r="GI123" t="e">
        <f>AND(#REF!,"AAAAAD3v974=")</f>
        <v>#REF!</v>
      </c>
      <c r="GJ123" t="e">
        <f>AND(#REF!,"AAAAAD3v978=")</f>
        <v>#REF!</v>
      </c>
      <c r="GK123" t="e">
        <f>AND(#REF!,"AAAAAD3v98A=")</f>
        <v>#REF!</v>
      </c>
      <c r="GL123" t="e">
        <f>AND(#REF!,"AAAAAD3v98E=")</f>
        <v>#REF!</v>
      </c>
      <c r="GM123" t="e">
        <f>AND(#REF!,"AAAAAD3v98I=")</f>
        <v>#REF!</v>
      </c>
      <c r="GN123" t="e">
        <f>AND(#REF!,"AAAAAD3v98M=")</f>
        <v>#REF!</v>
      </c>
      <c r="GO123" t="e">
        <f>AND(#REF!,"AAAAAD3v98Q=")</f>
        <v>#REF!</v>
      </c>
      <c r="GP123" t="e">
        <f>AND(#REF!,"AAAAAD3v98U=")</f>
        <v>#REF!</v>
      </c>
      <c r="GQ123" t="e">
        <f>AND(#REF!,"AAAAAD3v98Y=")</f>
        <v>#REF!</v>
      </c>
      <c r="GR123" t="e">
        <f>AND(#REF!,"AAAAAD3v98c=")</f>
        <v>#REF!</v>
      </c>
      <c r="GS123" t="e">
        <f>AND(#REF!,"AAAAAD3v98g=")</f>
        <v>#REF!</v>
      </c>
      <c r="GT123" t="e">
        <f>AND(#REF!,"AAAAAD3v98k=")</f>
        <v>#REF!</v>
      </c>
      <c r="GU123" t="e">
        <f>AND(#REF!,"AAAAAD3v98o=")</f>
        <v>#REF!</v>
      </c>
      <c r="GV123" t="e">
        <f>AND(#REF!,"AAAAAD3v98s=")</f>
        <v>#REF!</v>
      </c>
      <c r="GW123" t="e">
        <f>AND(#REF!,"AAAAAD3v98w=")</f>
        <v>#REF!</v>
      </c>
      <c r="GX123" t="e">
        <f>AND(#REF!,"AAAAAD3v980=")</f>
        <v>#REF!</v>
      </c>
      <c r="GY123" t="e">
        <f>AND(#REF!,"AAAAAD3v984=")</f>
        <v>#REF!</v>
      </c>
      <c r="GZ123" t="e">
        <f>AND(#REF!,"AAAAAD3v988=")</f>
        <v>#REF!</v>
      </c>
      <c r="HA123" t="e">
        <f>AND(#REF!,"AAAAAD3v99A=")</f>
        <v>#REF!</v>
      </c>
      <c r="HB123" t="e">
        <f>AND(#REF!,"AAAAAD3v99E=")</f>
        <v>#REF!</v>
      </c>
      <c r="HC123" t="e">
        <f>AND(#REF!,"AAAAAD3v99I=")</f>
        <v>#REF!</v>
      </c>
      <c r="HD123" t="e">
        <f>AND(#REF!,"AAAAAD3v99M=")</f>
        <v>#REF!</v>
      </c>
      <c r="HE123" t="e">
        <f>AND(#REF!,"AAAAAD3v99Q=")</f>
        <v>#REF!</v>
      </c>
      <c r="HF123" t="e">
        <f>AND(#REF!,"AAAAAD3v99U=")</f>
        <v>#REF!</v>
      </c>
      <c r="HG123" t="e">
        <f>AND(#REF!,"AAAAAD3v99Y=")</f>
        <v>#REF!</v>
      </c>
      <c r="HH123" t="e">
        <f>AND(#REF!,"AAAAAD3v99c=")</f>
        <v>#REF!</v>
      </c>
      <c r="HI123" t="e">
        <f>AND(#REF!,"AAAAAD3v99g=")</f>
        <v>#REF!</v>
      </c>
      <c r="HJ123" t="e">
        <f>AND(#REF!,"AAAAAD3v99k=")</f>
        <v>#REF!</v>
      </c>
      <c r="HK123" t="e">
        <f>AND(#REF!,"AAAAAD3v99o=")</f>
        <v>#REF!</v>
      </c>
      <c r="HL123" t="e">
        <f>AND(#REF!,"AAAAAD3v99s=")</f>
        <v>#REF!</v>
      </c>
      <c r="HM123" t="e">
        <f>AND(#REF!,"AAAAAD3v99w=")</f>
        <v>#REF!</v>
      </c>
      <c r="HN123" t="e">
        <f>AND(#REF!,"AAAAAD3v990=")</f>
        <v>#REF!</v>
      </c>
      <c r="HO123" t="e">
        <f>AND(#REF!,"AAAAAD3v994=")</f>
        <v>#REF!</v>
      </c>
      <c r="HP123" t="e">
        <f>AND(#REF!,"AAAAAD3v998=")</f>
        <v>#REF!</v>
      </c>
      <c r="HQ123" t="e">
        <f>AND(#REF!,"AAAAAD3v9+A=")</f>
        <v>#REF!</v>
      </c>
      <c r="HR123" t="e">
        <f>AND(#REF!,"AAAAAD3v9+E=")</f>
        <v>#REF!</v>
      </c>
      <c r="HS123" t="e">
        <f>AND(#REF!,"AAAAAD3v9+I=")</f>
        <v>#REF!</v>
      </c>
      <c r="HT123" t="e">
        <f>AND(#REF!,"AAAAAD3v9+M=")</f>
        <v>#REF!</v>
      </c>
      <c r="HU123" t="e">
        <f>AND(#REF!,"AAAAAD3v9+Q=")</f>
        <v>#REF!</v>
      </c>
      <c r="HV123" t="e">
        <f>AND(#REF!,"AAAAAD3v9+U=")</f>
        <v>#REF!</v>
      </c>
      <c r="HW123" t="e">
        <f>AND(#REF!,"AAAAAD3v9+Y=")</f>
        <v>#REF!</v>
      </c>
      <c r="HX123" t="e">
        <f>AND(#REF!,"AAAAAD3v9+c=")</f>
        <v>#REF!</v>
      </c>
      <c r="HY123" t="e">
        <f>AND(#REF!,"AAAAAD3v9+g=")</f>
        <v>#REF!</v>
      </c>
      <c r="HZ123" t="e">
        <f>AND(#REF!,"AAAAAD3v9+k=")</f>
        <v>#REF!</v>
      </c>
      <c r="IA123" t="e">
        <f>AND(#REF!,"AAAAAD3v9+o=")</f>
        <v>#REF!</v>
      </c>
      <c r="IB123" t="e">
        <f>AND(#REF!,"AAAAAD3v9+s=")</f>
        <v>#REF!</v>
      </c>
      <c r="IC123" t="e">
        <f>AND(#REF!,"AAAAAD3v9+w=")</f>
        <v>#REF!</v>
      </c>
      <c r="ID123" t="e">
        <f>AND(#REF!,"AAAAAD3v9+0=")</f>
        <v>#REF!</v>
      </c>
      <c r="IE123" t="e">
        <f>AND(#REF!,"AAAAAD3v9+4=")</f>
        <v>#REF!</v>
      </c>
      <c r="IF123" t="e">
        <f>AND(#REF!,"AAAAAD3v9+8=")</f>
        <v>#REF!</v>
      </c>
      <c r="IG123" t="e">
        <f>AND(#REF!,"AAAAAD3v9/A=")</f>
        <v>#REF!</v>
      </c>
      <c r="IH123" t="e">
        <f>AND(#REF!,"AAAAAD3v9/E=")</f>
        <v>#REF!</v>
      </c>
      <c r="II123" t="e">
        <f>AND(#REF!,"AAAAAD3v9/I=")</f>
        <v>#REF!</v>
      </c>
      <c r="IJ123" t="e">
        <f>AND(#REF!,"AAAAAD3v9/M=")</f>
        <v>#REF!</v>
      </c>
      <c r="IK123" t="e">
        <f>AND(#REF!,"AAAAAD3v9/Q=")</f>
        <v>#REF!</v>
      </c>
      <c r="IL123" t="e">
        <f>AND(#REF!,"AAAAAD3v9/U=")</f>
        <v>#REF!</v>
      </c>
      <c r="IM123" t="e">
        <f>AND(#REF!,"AAAAAD3v9/Y=")</f>
        <v>#REF!</v>
      </c>
      <c r="IN123" t="e">
        <f>AND(#REF!,"AAAAAD3v9/c=")</f>
        <v>#REF!</v>
      </c>
      <c r="IO123" t="e">
        <f>AND(#REF!,"AAAAAD3v9/g=")</f>
        <v>#REF!</v>
      </c>
      <c r="IP123" t="e">
        <f>AND(#REF!,"AAAAAD3v9/k=")</f>
        <v>#REF!</v>
      </c>
      <c r="IQ123" t="e">
        <f>AND(#REF!,"AAAAAD3v9/o=")</f>
        <v>#REF!</v>
      </c>
      <c r="IR123" t="e">
        <f>AND(#REF!,"AAAAAD3v9/s=")</f>
        <v>#REF!</v>
      </c>
      <c r="IS123" t="e">
        <f>AND(#REF!,"AAAAAD3v9/w=")</f>
        <v>#REF!</v>
      </c>
      <c r="IT123" t="e">
        <f>AND(#REF!,"AAAAAD3v9/0=")</f>
        <v>#REF!</v>
      </c>
      <c r="IU123" t="e">
        <f>AND(#REF!,"AAAAAD3v9/4=")</f>
        <v>#REF!</v>
      </c>
      <c r="IV123" t="e">
        <f>AND(#REF!,"AAAAAD3v9/8=")</f>
        <v>#REF!</v>
      </c>
    </row>
    <row r="124" spans="1:256" x14ac:dyDescent="0.25">
      <c r="A124" t="e">
        <f>AND(#REF!,"AAAAAH0+nQA=")</f>
        <v>#REF!</v>
      </c>
      <c r="B124" t="e">
        <f>AND(#REF!,"AAAAAH0+nQE=")</f>
        <v>#REF!</v>
      </c>
      <c r="C124" t="e">
        <f>AND(#REF!,"AAAAAH0+nQI=")</f>
        <v>#REF!</v>
      </c>
      <c r="D124" t="e">
        <f>AND(#REF!,"AAAAAH0+nQM=")</f>
        <v>#REF!</v>
      </c>
      <c r="E124" t="e">
        <f>AND(#REF!,"AAAAAH0+nQQ=")</f>
        <v>#REF!</v>
      </c>
      <c r="F124" t="e">
        <f>AND(#REF!,"AAAAAH0+nQU=")</f>
        <v>#REF!</v>
      </c>
      <c r="G124" t="e">
        <f>AND(#REF!,"AAAAAH0+nQY=")</f>
        <v>#REF!</v>
      </c>
      <c r="H124" t="e">
        <f>AND(#REF!,"AAAAAH0+nQc=")</f>
        <v>#REF!</v>
      </c>
      <c r="I124" t="e">
        <f>AND(#REF!,"AAAAAH0+nQg=")</f>
        <v>#REF!</v>
      </c>
      <c r="J124" t="e">
        <f>AND(#REF!,"AAAAAH0+nQk=")</f>
        <v>#REF!</v>
      </c>
      <c r="K124" t="e">
        <f>AND(#REF!,"AAAAAH0+nQo=")</f>
        <v>#REF!</v>
      </c>
      <c r="L124" t="e">
        <f>AND(#REF!,"AAAAAH0+nQs=")</f>
        <v>#REF!</v>
      </c>
      <c r="M124" t="e">
        <f>AND(#REF!,"AAAAAH0+nQw=")</f>
        <v>#REF!</v>
      </c>
      <c r="N124" t="e">
        <f>AND(#REF!,"AAAAAH0+nQ0=")</f>
        <v>#REF!</v>
      </c>
      <c r="O124" t="e">
        <f>AND(#REF!,"AAAAAH0+nQ4=")</f>
        <v>#REF!</v>
      </c>
      <c r="P124" t="e">
        <f>AND(#REF!,"AAAAAH0+nQ8=")</f>
        <v>#REF!</v>
      </c>
      <c r="Q124" t="e">
        <f>AND(#REF!,"AAAAAH0+nRA=")</f>
        <v>#REF!</v>
      </c>
      <c r="R124" t="e">
        <f>AND(#REF!,"AAAAAH0+nRE=")</f>
        <v>#REF!</v>
      </c>
      <c r="S124" t="e">
        <f>AND(#REF!,"AAAAAH0+nRI=")</f>
        <v>#REF!</v>
      </c>
      <c r="T124" t="e">
        <f>AND(#REF!,"AAAAAH0+nRM=")</f>
        <v>#REF!</v>
      </c>
      <c r="U124" t="e">
        <f>AND(#REF!,"AAAAAH0+nRQ=")</f>
        <v>#REF!</v>
      </c>
      <c r="V124" t="e">
        <f>AND(#REF!,"AAAAAH0+nRU=")</f>
        <v>#REF!</v>
      </c>
      <c r="W124" t="e">
        <f>AND(#REF!,"AAAAAH0+nRY=")</f>
        <v>#REF!</v>
      </c>
      <c r="X124" t="e">
        <f>AND(#REF!,"AAAAAH0+nRc=")</f>
        <v>#REF!</v>
      </c>
      <c r="Y124" t="e">
        <f>AND(#REF!,"AAAAAH0+nRg=")</f>
        <v>#REF!</v>
      </c>
      <c r="Z124" t="e">
        <f>AND(#REF!,"AAAAAH0+nRk=")</f>
        <v>#REF!</v>
      </c>
      <c r="AA124" t="e">
        <f>AND(#REF!,"AAAAAH0+nRo=")</f>
        <v>#REF!</v>
      </c>
      <c r="AB124" t="e">
        <f>AND(#REF!,"AAAAAH0+nRs=")</f>
        <v>#REF!</v>
      </c>
      <c r="AC124" t="e">
        <f>AND(#REF!,"AAAAAH0+nRw=")</f>
        <v>#REF!</v>
      </c>
      <c r="AD124" t="e">
        <f>AND(#REF!,"AAAAAH0+nR0=")</f>
        <v>#REF!</v>
      </c>
      <c r="AE124" t="e">
        <f>AND(#REF!,"AAAAAH0+nR4=")</f>
        <v>#REF!</v>
      </c>
      <c r="AF124" t="e">
        <f>AND(#REF!,"AAAAAH0+nR8=")</f>
        <v>#REF!</v>
      </c>
      <c r="AG124" t="e">
        <f>AND(#REF!,"AAAAAH0+nSA=")</f>
        <v>#REF!</v>
      </c>
      <c r="AH124" t="e">
        <f>AND(#REF!,"AAAAAH0+nSE=")</f>
        <v>#REF!</v>
      </c>
      <c r="AI124" t="e">
        <f>AND(#REF!,"AAAAAH0+nSI=")</f>
        <v>#REF!</v>
      </c>
      <c r="AJ124" t="e">
        <f>AND(#REF!,"AAAAAH0+nSM=")</f>
        <v>#REF!</v>
      </c>
      <c r="AK124" t="e">
        <f>AND(#REF!,"AAAAAH0+nSQ=")</f>
        <v>#REF!</v>
      </c>
      <c r="AL124" t="e">
        <f>AND(#REF!,"AAAAAH0+nSU=")</f>
        <v>#REF!</v>
      </c>
      <c r="AM124" t="e">
        <f>AND(#REF!,"AAAAAH0+nSY=")</f>
        <v>#REF!</v>
      </c>
      <c r="AN124" t="e">
        <f>AND(#REF!,"AAAAAH0+nSc=")</f>
        <v>#REF!</v>
      </c>
      <c r="AO124" t="e">
        <f>IF(#REF!,"AAAAAH0+nSg=",0)</f>
        <v>#REF!</v>
      </c>
      <c r="AP124" t="e">
        <f>AND(#REF!,"AAAAAH0+nSk=")</f>
        <v>#REF!</v>
      </c>
      <c r="AQ124" t="e">
        <f>AND(#REF!,"AAAAAH0+nSo=")</f>
        <v>#REF!</v>
      </c>
      <c r="AR124" t="e">
        <f>AND(#REF!,"AAAAAH0+nSs=")</f>
        <v>#REF!</v>
      </c>
      <c r="AS124" t="e">
        <f>AND(#REF!,"AAAAAH0+nSw=")</f>
        <v>#REF!</v>
      </c>
      <c r="AT124" t="e">
        <f>AND(#REF!,"AAAAAH0+nS0=")</f>
        <v>#REF!</v>
      </c>
      <c r="AU124" t="e">
        <f>AND(#REF!,"AAAAAH0+nS4=")</f>
        <v>#REF!</v>
      </c>
      <c r="AV124" t="e">
        <f>AND(#REF!,"AAAAAH0+nS8=")</f>
        <v>#REF!</v>
      </c>
      <c r="AW124" t="e">
        <f>AND(#REF!,"AAAAAH0+nTA=")</f>
        <v>#REF!</v>
      </c>
      <c r="AX124" t="e">
        <f>AND(#REF!,"AAAAAH0+nTE=")</f>
        <v>#REF!</v>
      </c>
      <c r="AY124" t="e">
        <f>AND(#REF!,"AAAAAH0+nTI=")</f>
        <v>#REF!</v>
      </c>
      <c r="AZ124" t="e">
        <f>AND(#REF!,"AAAAAH0+nTM=")</f>
        <v>#REF!</v>
      </c>
      <c r="BA124" t="e">
        <f>AND(#REF!,"AAAAAH0+nTQ=")</f>
        <v>#REF!</v>
      </c>
      <c r="BB124" t="e">
        <f>AND(#REF!,"AAAAAH0+nTU=")</f>
        <v>#REF!</v>
      </c>
      <c r="BC124" t="e">
        <f>AND(#REF!,"AAAAAH0+nTY=")</f>
        <v>#REF!</v>
      </c>
      <c r="BD124" t="e">
        <f>AND(#REF!,"AAAAAH0+nTc=")</f>
        <v>#REF!</v>
      </c>
      <c r="BE124" t="e">
        <f>AND(#REF!,"AAAAAH0+nTg=")</f>
        <v>#REF!</v>
      </c>
      <c r="BF124" t="e">
        <f>AND(#REF!,"AAAAAH0+nTk=")</f>
        <v>#REF!</v>
      </c>
      <c r="BG124" t="e">
        <f>AND(#REF!,"AAAAAH0+nTo=")</f>
        <v>#REF!</v>
      </c>
      <c r="BH124" t="e">
        <f>AND(#REF!,"AAAAAH0+nTs=")</f>
        <v>#REF!</v>
      </c>
      <c r="BI124" t="e">
        <f>AND(#REF!,"AAAAAH0+nTw=")</f>
        <v>#REF!</v>
      </c>
      <c r="BJ124" t="e">
        <f>AND(#REF!,"AAAAAH0+nT0=")</f>
        <v>#REF!</v>
      </c>
      <c r="BK124" t="e">
        <f>AND(#REF!,"AAAAAH0+nT4=")</f>
        <v>#REF!</v>
      </c>
      <c r="BL124" t="e">
        <f>AND(#REF!,"AAAAAH0+nT8=")</f>
        <v>#REF!</v>
      </c>
      <c r="BM124" t="e">
        <f>AND(#REF!,"AAAAAH0+nUA=")</f>
        <v>#REF!</v>
      </c>
      <c r="BN124" t="e">
        <f>AND(#REF!,"AAAAAH0+nUE=")</f>
        <v>#REF!</v>
      </c>
      <c r="BO124" t="e">
        <f>AND(#REF!,"AAAAAH0+nUI=")</f>
        <v>#REF!</v>
      </c>
      <c r="BP124" t="e">
        <f>AND(#REF!,"AAAAAH0+nUM=")</f>
        <v>#REF!</v>
      </c>
      <c r="BQ124" t="e">
        <f>AND(#REF!,"AAAAAH0+nUQ=")</f>
        <v>#REF!</v>
      </c>
      <c r="BR124" t="e">
        <f>AND(#REF!,"AAAAAH0+nUU=")</f>
        <v>#REF!</v>
      </c>
      <c r="BS124" t="e">
        <f>AND(#REF!,"AAAAAH0+nUY=")</f>
        <v>#REF!</v>
      </c>
      <c r="BT124" t="e">
        <f>AND(#REF!,"AAAAAH0+nUc=")</f>
        <v>#REF!</v>
      </c>
      <c r="BU124" t="e">
        <f>AND(#REF!,"AAAAAH0+nUg=")</f>
        <v>#REF!</v>
      </c>
      <c r="BV124" t="e">
        <f>AND(#REF!,"AAAAAH0+nUk=")</f>
        <v>#REF!</v>
      </c>
      <c r="BW124" t="e">
        <f>AND(#REF!,"AAAAAH0+nUo=")</f>
        <v>#REF!</v>
      </c>
      <c r="BX124" t="e">
        <f>AND(#REF!,"AAAAAH0+nUs=")</f>
        <v>#REF!</v>
      </c>
      <c r="BY124" t="e">
        <f>AND(#REF!,"AAAAAH0+nUw=")</f>
        <v>#REF!</v>
      </c>
      <c r="BZ124" t="e">
        <f>AND(#REF!,"AAAAAH0+nU0=")</f>
        <v>#REF!</v>
      </c>
      <c r="CA124" t="e">
        <f>AND(#REF!,"AAAAAH0+nU4=")</f>
        <v>#REF!</v>
      </c>
      <c r="CB124" t="e">
        <f>AND(#REF!,"AAAAAH0+nU8=")</f>
        <v>#REF!</v>
      </c>
      <c r="CC124" t="e">
        <f>AND(#REF!,"AAAAAH0+nVA=")</f>
        <v>#REF!</v>
      </c>
      <c r="CD124" t="e">
        <f>AND(#REF!,"AAAAAH0+nVE=")</f>
        <v>#REF!</v>
      </c>
      <c r="CE124" t="e">
        <f>AND(#REF!,"AAAAAH0+nVI=")</f>
        <v>#REF!</v>
      </c>
      <c r="CF124" t="e">
        <f>AND(#REF!,"AAAAAH0+nVM=")</f>
        <v>#REF!</v>
      </c>
      <c r="CG124" t="e">
        <f>AND(#REF!,"AAAAAH0+nVQ=")</f>
        <v>#REF!</v>
      </c>
      <c r="CH124" t="e">
        <f>AND(#REF!,"AAAAAH0+nVU=")</f>
        <v>#REF!</v>
      </c>
      <c r="CI124" t="e">
        <f>AND(#REF!,"AAAAAH0+nVY=")</f>
        <v>#REF!</v>
      </c>
      <c r="CJ124" t="e">
        <f>AND(#REF!,"AAAAAH0+nVc=")</f>
        <v>#REF!</v>
      </c>
      <c r="CK124" t="e">
        <f>AND(#REF!,"AAAAAH0+nVg=")</f>
        <v>#REF!</v>
      </c>
      <c r="CL124" t="e">
        <f>AND(#REF!,"AAAAAH0+nVk=")</f>
        <v>#REF!</v>
      </c>
      <c r="CM124" t="e">
        <f>AND(#REF!,"AAAAAH0+nVo=")</f>
        <v>#REF!</v>
      </c>
      <c r="CN124" t="e">
        <f>AND(#REF!,"AAAAAH0+nVs=")</f>
        <v>#REF!</v>
      </c>
      <c r="CO124" t="e">
        <f>AND(#REF!,"AAAAAH0+nVw=")</f>
        <v>#REF!</v>
      </c>
      <c r="CP124" t="e">
        <f>AND(#REF!,"AAAAAH0+nV0=")</f>
        <v>#REF!</v>
      </c>
      <c r="CQ124" t="e">
        <f>AND(#REF!,"AAAAAH0+nV4=")</f>
        <v>#REF!</v>
      </c>
      <c r="CR124" t="e">
        <f>AND(#REF!,"AAAAAH0+nV8=")</f>
        <v>#REF!</v>
      </c>
      <c r="CS124" t="e">
        <f>AND(#REF!,"AAAAAH0+nWA=")</f>
        <v>#REF!</v>
      </c>
      <c r="CT124" t="e">
        <f>AND(#REF!,"AAAAAH0+nWE=")</f>
        <v>#REF!</v>
      </c>
      <c r="CU124" t="e">
        <f>AND(#REF!,"AAAAAH0+nWI=")</f>
        <v>#REF!</v>
      </c>
      <c r="CV124" t="e">
        <f>AND(#REF!,"AAAAAH0+nWM=")</f>
        <v>#REF!</v>
      </c>
      <c r="CW124" t="e">
        <f>AND(#REF!,"AAAAAH0+nWQ=")</f>
        <v>#REF!</v>
      </c>
      <c r="CX124" t="e">
        <f>AND(#REF!,"AAAAAH0+nWU=")</f>
        <v>#REF!</v>
      </c>
      <c r="CY124" t="e">
        <f>AND(#REF!,"AAAAAH0+nWY=")</f>
        <v>#REF!</v>
      </c>
      <c r="CZ124" t="e">
        <f>AND(#REF!,"AAAAAH0+nWc=")</f>
        <v>#REF!</v>
      </c>
      <c r="DA124" t="e">
        <f>AND(#REF!,"AAAAAH0+nWg=")</f>
        <v>#REF!</v>
      </c>
      <c r="DB124" t="e">
        <f>AND(#REF!,"AAAAAH0+nWk=")</f>
        <v>#REF!</v>
      </c>
      <c r="DC124" t="e">
        <f>AND(#REF!,"AAAAAH0+nWo=")</f>
        <v>#REF!</v>
      </c>
      <c r="DD124" t="e">
        <f>AND(#REF!,"AAAAAH0+nWs=")</f>
        <v>#REF!</v>
      </c>
      <c r="DE124" t="e">
        <f>AND(#REF!,"AAAAAH0+nWw=")</f>
        <v>#REF!</v>
      </c>
      <c r="DF124" t="e">
        <f>AND(#REF!,"AAAAAH0+nW0=")</f>
        <v>#REF!</v>
      </c>
      <c r="DG124" t="e">
        <f>AND(#REF!,"AAAAAH0+nW4=")</f>
        <v>#REF!</v>
      </c>
      <c r="DH124" t="e">
        <f>AND(#REF!,"AAAAAH0+nW8=")</f>
        <v>#REF!</v>
      </c>
      <c r="DI124" t="e">
        <f>AND(#REF!,"AAAAAH0+nXA=")</f>
        <v>#REF!</v>
      </c>
      <c r="DJ124" t="e">
        <f>AND(#REF!,"AAAAAH0+nXE=")</f>
        <v>#REF!</v>
      </c>
      <c r="DK124" t="e">
        <f>AND(#REF!,"AAAAAH0+nXI=")</f>
        <v>#REF!</v>
      </c>
      <c r="DL124" t="e">
        <f>AND(#REF!,"AAAAAH0+nXM=")</f>
        <v>#REF!</v>
      </c>
      <c r="DM124" t="e">
        <f>AND(#REF!,"AAAAAH0+nXQ=")</f>
        <v>#REF!</v>
      </c>
      <c r="DN124" t="e">
        <f>AND(#REF!,"AAAAAH0+nXU=")</f>
        <v>#REF!</v>
      </c>
      <c r="DO124" t="e">
        <f>AND(#REF!,"AAAAAH0+nXY=")</f>
        <v>#REF!</v>
      </c>
      <c r="DP124" t="e">
        <f>AND(#REF!,"AAAAAH0+nXc=")</f>
        <v>#REF!</v>
      </c>
      <c r="DQ124" t="e">
        <f>AND(#REF!,"AAAAAH0+nXg=")</f>
        <v>#REF!</v>
      </c>
      <c r="DR124" t="e">
        <f>AND(#REF!,"AAAAAH0+nXk=")</f>
        <v>#REF!</v>
      </c>
      <c r="DS124" t="e">
        <f>AND(#REF!,"AAAAAH0+nXo=")</f>
        <v>#REF!</v>
      </c>
      <c r="DT124" t="e">
        <f>AND(#REF!,"AAAAAH0+nXs=")</f>
        <v>#REF!</v>
      </c>
      <c r="DU124" t="e">
        <f>AND(#REF!,"AAAAAH0+nXw=")</f>
        <v>#REF!</v>
      </c>
      <c r="DV124" t="e">
        <f>AND(#REF!,"AAAAAH0+nX0=")</f>
        <v>#REF!</v>
      </c>
      <c r="DW124" t="e">
        <f>AND(#REF!,"AAAAAH0+nX4=")</f>
        <v>#REF!</v>
      </c>
      <c r="DX124" t="e">
        <f>AND(#REF!,"AAAAAH0+nX8=")</f>
        <v>#REF!</v>
      </c>
      <c r="DY124" t="e">
        <f>AND(#REF!,"AAAAAH0+nYA=")</f>
        <v>#REF!</v>
      </c>
      <c r="DZ124" t="e">
        <f>AND(#REF!,"AAAAAH0+nYE=")</f>
        <v>#REF!</v>
      </c>
      <c r="EA124" t="e">
        <f>AND(#REF!,"AAAAAH0+nYI=")</f>
        <v>#REF!</v>
      </c>
      <c r="EB124" t="e">
        <f>AND(#REF!,"AAAAAH0+nYM=")</f>
        <v>#REF!</v>
      </c>
      <c r="EC124" t="e">
        <f>AND(#REF!,"AAAAAH0+nYQ=")</f>
        <v>#REF!</v>
      </c>
      <c r="ED124" t="e">
        <f>AND(#REF!,"AAAAAH0+nYU=")</f>
        <v>#REF!</v>
      </c>
      <c r="EE124" t="e">
        <f>AND(#REF!,"AAAAAH0+nYY=")</f>
        <v>#REF!</v>
      </c>
      <c r="EF124" t="e">
        <f>AND(#REF!,"AAAAAH0+nYc=")</f>
        <v>#REF!</v>
      </c>
      <c r="EG124" t="e">
        <f>AND(#REF!,"AAAAAH0+nYg=")</f>
        <v>#REF!</v>
      </c>
      <c r="EH124" t="e">
        <f>AND(#REF!,"AAAAAH0+nYk=")</f>
        <v>#REF!</v>
      </c>
      <c r="EI124" t="e">
        <f>AND(#REF!,"AAAAAH0+nYo=")</f>
        <v>#REF!</v>
      </c>
      <c r="EJ124" t="e">
        <f>AND(#REF!,"AAAAAH0+nYs=")</f>
        <v>#REF!</v>
      </c>
      <c r="EK124" t="e">
        <f>AND(#REF!,"AAAAAH0+nYw=")</f>
        <v>#REF!</v>
      </c>
      <c r="EL124" t="e">
        <f>AND(#REF!,"AAAAAH0+nY0=")</f>
        <v>#REF!</v>
      </c>
      <c r="EM124" t="e">
        <f>AND(#REF!,"AAAAAH0+nY4=")</f>
        <v>#REF!</v>
      </c>
      <c r="EN124" t="e">
        <f>AND(#REF!,"AAAAAH0+nY8=")</f>
        <v>#REF!</v>
      </c>
      <c r="EO124" t="e">
        <f>AND(#REF!,"AAAAAH0+nZA=")</f>
        <v>#REF!</v>
      </c>
      <c r="EP124" t="e">
        <f>AND(#REF!,"AAAAAH0+nZE=")</f>
        <v>#REF!</v>
      </c>
      <c r="EQ124" t="e">
        <f>AND(#REF!,"AAAAAH0+nZI=")</f>
        <v>#REF!</v>
      </c>
      <c r="ER124" t="e">
        <f>AND(#REF!,"AAAAAH0+nZM=")</f>
        <v>#REF!</v>
      </c>
      <c r="ES124" t="e">
        <f>AND(#REF!,"AAAAAH0+nZQ=")</f>
        <v>#REF!</v>
      </c>
      <c r="ET124" t="e">
        <f>AND(#REF!,"AAAAAH0+nZU=")</f>
        <v>#REF!</v>
      </c>
      <c r="EU124" t="e">
        <f>AND(#REF!,"AAAAAH0+nZY=")</f>
        <v>#REF!</v>
      </c>
      <c r="EV124" t="e">
        <f>AND(#REF!,"AAAAAH0+nZc=")</f>
        <v>#REF!</v>
      </c>
      <c r="EW124" t="e">
        <f>AND(#REF!,"AAAAAH0+nZg=")</f>
        <v>#REF!</v>
      </c>
      <c r="EX124" t="e">
        <f>AND(#REF!,"AAAAAH0+nZk=")</f>
        <v>#REF!</v>
      </c>
      <c r="EY124" t="e">
        <f>AND(#REF!,"AAAAAH0+nZo=")</f>
        <v>#REF!</v>
      </c>
      <c r="EZ124" t="e">
        <f>AND(#REF!,"AAAAAH0+nZs=")</f>
        <v>#REF!</v>
      </c>
      <c r="FA124" t="e">
        <f>AND(#REF!,"AAAAAH0+nZw=")</f>
        <v>#REF!</v>
      </c>
      <c r="FB124" t="e">
        <f>AND(#REF!,"AAAAAH0+nZ0=")</f>
        <v>#REF!</v>
      </c>
      <c r="FC124" t="e">
        <f>AND(#REF!,"AAAAAH0+nZ4=")</f>
        <v>#REF!</v>
      </c>
      <c r="FD124" t="e">
        <f>AND(#REF!,"AAAAAH0+nZ8=")</f>
        <v>#REF!</v>
      </c>
      <c r="FE124" t="e">
        <f>AND(#REF!,"AAAAAH0+naA=")</f>
        <v>#REF!</v>
      </c>
      <c r="FF124" t="e">
        <f>AND(#REF!,"AAAAAH0+naE=")</f>
        <v>#REF!</v>
      </c>
      <c r="FG124" t="e">
        <f>AND(#REF!,"AAAAAH0+naI=")</f>
        <v>#REF!</v>
      </c>
      <c r="FH124" t="e">
        <f>AND(#REF!,"AAAAAH0+naM=")</f>
        <v>#REF!</v>
      </c>
      <c r="FI124" t="e">
        <f>AND(#REF!,"AAAAAH0+naQ=")</f>
        <v>#REF!</v>
      </c>
      <c r="FJ124" t="e">
        <f>AND(#REF!,"AAAAAH0+naU=")</f>
        <v>#REF!</v>
      </c>
      <c r="FK124" t="e">
        <f>AND(#REF!,"AAAAAH0+naY=")</f>
        <v>#REF!</v>
      </c>
      <c r="FL124" t="e">
        <f>AND(#REF!,"AAAAAH0+nac=")</f>
        <v>#REF!</v>
      </c>
      <c r="FM124" t="e">
        <f>AND(#REF!,"AAAAAH0+nag=")</f>
        <v>#REF!</v>
      </c>
      <c r="FN124" t="e">
        <f>AND(#REF!,"AAAAAH0+nak=")</f>
        <v>#REF!</v>
      </c>
      <c r="FO124" t="e">
        <f>AND(#REF!,"AAAAAH0+nao=")</f>
        <v>#REF!</v>
      </c>
      <c r="FP124" t="e">
        <f>AND(#REF!,"AAAAAH0+nas=")</f>
        <v>#REF!</v>
      </c>
      <c r="FQ124" t="e">
        <f>AND(#REF!,"AAAAAH0+naw=")</f>
        <v>#REF!</v>
      </c>
      <c r="FR124" t="e">
        <f>AND(#REF!,"AAAAAH0+na0=")</f>
        <v>#REF!</v>
      </c>
      <c r="FS124" t="e">
        <f>AND(#REF!,"AAAAAH0+na4=")</f>
        <v>#REF!</v>
      </c>
      <c r="FT124" t="e">
        <f>AND(#REF!,"AAAAAH0+na8=")</f>
        <v>#REF!</v>
      </c>
      <c r="FU124" t="e">
        <f>AND(#REF!,"AAAAAH0+nbA=")</f>
        <v>#REF!</v>
      </c>
      <c r="FV124" t="e">
        <f>AND(#REF!,"AAAAAH0+nbE=")</f>
        <v>#REF!</v>
      </c>
      <c r="FW124" t="e">
        <f>AND(#REF!,"AAAAAH0+nbI=")</f>
        <v>#REF!</v>
      </c>
      <c r="FX124" t="e">
        <f>AND(#REF!,"AAAAAH0+nbM=")</f>
        <v>#REF!</v>
      </c>
      <c r="FY124" t="e">
        <f>AND(#REF!,"AAAAAH0+nbQ=")</f>
        <v>#REF!</v>
      </c>
      <c r="FZ124" t="e">
        <f>AND(#REF!,"AAAAAH0+nbU=")</f>
        <v>#REF!</v>
      </c>
      <c r="GA124" t="e">
        <f>AND(#REF!,"AAAAAH0+nbY=")</f>
        <v>#REF!</v>
      </c>
      <c r="GB124" t="e">
        <f>AND(#REF!,"AAAAAH0+nbc=")</f>
        <v>#REF!</v>
      </c>
      <c r="GC124" t="e">
        <f>AND(#REF!,"AAAAAH0+nbg=")</f>
        <v>#REF!</v>
      </c>
      <c r="GD124" t="e">
        <f>AND(#REF!,"AAAAAH0+nbk=")</f>
        <v>#REF!</v>
      </c>
      <c r="GE124" t="e">
        <f>AND(#REF!,"AAAAAH0+nbo=")</f>
        <v>#REF!</v>
      </c>
      <c r="GF124" t="e">
        <f>AND(#REF!,"AAAAAH0+nbs=")</f>
        <v>#REF!</v>
      </c>
      <c r="GG124" t="e">
        <f>AND(#REF!,"AAAAAH0+nbw=")</f>
        <v>#REF!</v>
      </c>
      <c r="GH124" t="e">
        <f>AND(#REF!,"AAAAAH0+nb0=")</f>
        <v>#REF!</v>
      </c>
      <c r="GI124" t="e">
        <f>AND(#REF!,"AAAAAH0+nb4=")</f>
        <v>#REF!</v>
      </c>
      <c r="GJ124" t="e">
        <f>AND(#REF!,"AAAAAH0+nb8=")</f>
        <v>#REF!</v>
      </c>
      <c r="GK124" t="e">
        <f>AND(#REF!,"AAAAAH0+ncA=")</f>
        <v>#REF!</v>
      </c>
      <c r="GL124" t="e">
        <f>AND(#REF!,"AAAAAH0+ncE=")</f>
        <v>#REF!</v>
      </c>
      <c r="GM124" t="e">
        <f>AND(#REF!,"AAAAAH0+ncI=")</f>
        <v>#REF!</v>
      </c>
      <c r="GN124" t="e">
        <f>AND(#REF!,"AAAAAH0+ncM=")</f>
        <v>#REF!</v>
      </c>
      <c r="GO124" t="e">
        <f>AND(#REF!,"AAAAAH0+ncQ=")</f>
        <v>#REF!</v>
      </c>
      <c r="GP124" t="e">
        <f>AND(#REF!,"AAAAAH0+ncU=")</f>
        <v>#REF!</v>
      </c>
      <c r="GQ124" t="e">
        <f>AND(#REF!,"AAAAAH0+ncY=")</f>
        <v>#REF!</v>
      </c>
      <c r="GR124" t="e">
        <f>AND(#REF!,"AAAAAH0+ncc=")</f>
        <v>#REF!</v>
      </c>
      <c r="GS124" t="e">
        <f>AND(#REF!,"AAAAAH0+ncg=")</f>
        <v>#REF!</v>
      </c>
      <c r="GT124" t="e">
        <f>AND(#REF!,"AAAAAH0+nck=")</f>
        <v>#REF!</v>
      </c>
      <c r="GU124" t="e">
        <f>AND(#REF!,"AAAAAH0+nco=")</f>
        <v>#REF!</v>
      </c>
      <c r="GV124" t="e">
        <f>AND(#REF!,"AAAAAH0+ncs=")</f>
        <v>#REF!</v>
      </c>
      <c r="GW124" t="e">
        <f>AND(#REF!,"AAAAAH0+ncw=")</f>
        <v>#REF!</v>
      </c>
      <c r="GX124" t="e">
        <f>AND(#REF!,"AAAAAH0+nc0=")</f>
        <v>#REF!</v>
      </c>
      <c r="GY124" t="e">
        <f>AND(#REF!,"AAAAAH0+nc4=")</f>
        <v>#REF!</v>
      </c>
      <c r="GZ124" t="e">
        <f>AND(#REF!,"AAAAAH0+nc8=")</f>
        <v>#REF!</v>
      </c>
      <c r="HA124" t="e">
        <f>AND(#REF!,"AAAAAH0+ndA=")</f>
        <v>#REF!</v>
      </c>
      <c r="HB124" t="e">
        <f>AND(#REF!,"AAAAAH0+ndE=")</f>
        <v>#REF!</v>
      </c>
      <c r="HC124" t="e">
        <f>AND(#REF!,"AAAAAH0+ndI=")</f>
        <v>#REF!</v>
      </c>
      <c r="HD124" t="e">
        <f>AND(#REF!,"AAAAAH0+ndM=")</f>
        <v>#REF!</v>
      </c>
      <c r="HE124" t="e">
        <f>AND(#REF!,"AAAAAH0+ndQ=")</f>
        <v>#REF!</v>
      </c>
      <c r="HF124" t="e">
        <f>AND(#REF!,"AAAAAH0+ndU=")</f>
        <v>#REF!</v>
      </c>
      <c r="HG124" t="e">
        <f>AND(#REF!,"AAAAAH0+ndY=")</f>
        <v>#REF!</v>
      </c>
      <c r="HH124" t="e">
        <f>AND(#REF!,"AAAAAH0+ndc=")</f>
        <v>#REF!</v>
      </c>
      <c r="HI124" t="e">
        <f>AND(#REF!,"AAAAAH0+ndg=")</f>
        <v>#REF!</v>
      </c>
      <c r="HJ124" t="e">
        <f>AND(#REF!,"AAAAAH0+ndk=")</f>
        <v>#REF!</v>
      </c>
      <c r="HK124" t="e">
        <f>AND(#REF!,"AAAAAH0+ndo=")</f>
        <v>#REF!</v>
      </c>
      <c r="HL124" t="e">
        <f>AND(#REF!,"AAAAAH0+nds=")</f>
        <v>#REF!</v>
      </c>
      <c r="HM124" t="e">
        <f>AND(#REF!,"AAAAAH0+ndw=")</f>
        <v>#REF!</v>
      </c>
      <c r="HN124" t="e">
        <f>AND(#REF!,"AAAAAH0+nd0=")</f>
        <v>#REF!</v>
      </c>
      <c r="HO124" t="e">
        <f>AND(#REF!,"AAAAAH0+nd4=")</f>
        <v>#REF!</v>
      </c>
      <c r="HP124" t="e">
        <f>AND(#REF!,"AAAAAH0+nd8=")</f>
        <v>#REF!</v>
      </c>
      <c r="HQ124" t="e">
        <f>AND(#REF!,"AAAAAH0+neA=")</f>
        <v>#REF!</v>
      </c>
      <c r="HR124" t="e">
        <f>AND(#REF!,"AAAAAH0+neE=")</f>
        <v>#REF!</v>
      </c>
      <c r="HS124" t="e">
        <f>AND(#REF!,"AAAAAH0+neI=")</f>
        <v>#REF!</v>
      </c>
      <c r="HT124" t="e">
        <f>AND(#REF!,"AAAAAH0+neM=")</f>
        <v>#REF!</v>
      </c>
      <c r="HU124" t="e">
        <f>AND(#REF!,"AAAAAH0+neQ=")</f>
        <v>#REF!</v>
      </c>
      <c r="HV124" t="e">
        <f>IF(#REF!,"AAAAAH0+neU=",0)</f>
        <v>#REF!</v>
      </c>
      <c r="HW124" t="e">
        <f>AND(#REF!,"AAAAAH0+neY=")</f>
        <v>#REF!</v>
      </c>
      <c r="HX124" t="e">
        <f>AND(#REF!,"AAAAAH0+nec=")</f>
        <v>#REF!</v>
      </c>
      <c r="HY124" t="e">
        <f>AND(#REF!,"AAAAAH0+neg=")</f>
        <v>#REF!</v>
      </c>
      <c r="HZ124" t="e">
        <f>AND(#REF!,"AAAAAH0+nek=")</f>
        <v>#REF!</v>
      </c>
      <c r="IA124" t="e">
        <f>AND(#REF!,"AAAAAH0+neo=")</f>
        <v>#REF!</v>
      </c>
      <c r="IB124" t="e">
        <f>AND(#REF!,"AAAAAH0+nes=")</f>
        <v>#REF!</v>
      </c>
      <c r="IC124" t="e">
        <f>AND(#REF!,"AAAAAH0+new=")</f>
        <v>#REF!</v>
      </c>
      <c r="ID124" t="e">
        <f>AND(#REF!,"AAAAAH0+ne0=")</f>
        <v>#REF!</v>
      </c>
      <c r="IE124" t="e">
        <f>AND(#REF!,"AAAAAH0+ne4=")</f>
        <v>#REF!</v>
      </c>
      <c r="IF124" t="e">
        <f>AND(#REF!,"AAAAAH0+ne8=")</f>
        <v>#REF!</v>
      </c>
      <c r="IG124" t="e">
        <f>AND(#REF!,"AAAAAH0+nfA=")</f>
        <v>#REF!</v>
      </c>
      <c r="IH124" t="e">
        <f>AND(#REF!,"AAAAAH0+nfE=")</f>
        <v>#REF!</v>
      </c>
      <c r="II124" t="e">
        <f>AND(#REF!,"AAAAAH0+nfI=")</f>
        <v>#REF!</v>
      </c>
      <c r="IJ124" t="e">
        <f>AND(#REF!,"AAAAAH0+nfM=")</f>
        <v>#REF!</v>
      </c>
      <c r="IK124" t="e">
        <f>AND(#REF!,"AAAAAH0+nfQ=")</f>
        <v>#REF!</v>
      </c>
      <c r="IL124" t="e">
        <f>AND(#REF!,"AAAAAH0+nfU=")</f>
        <v>#REF!</v>
      </c>
      <c r="IM124" t="e">
        <f>AND(#REF!,"AAAAAH0+nfY=")</f>
        <v>#REF!</v>
      </c>
      <c r="IN124" t="e">
        <f>AND(#REF!,"AAAAAH0+nfc=")</f>
        <v>#REF!</v>
      </c>
      <c r="IO124" t="e">
        <f>AND(#REF!,"AAAAAH0+nfg=")</f>
        <v>#REF!</v>
      </c>
      <c r="IP124" t="e">
        <f>AND(#REF!,"AAAAAH0+nfk=")</f>
        <v>#REF!</v>
      </c>
      <c r="IQ124" t="e">
        <f>AND(#REF!,"AAAAAH0+nfo=")</f>
        <v>#REF!</v>
      </c>
      <c r="IR124" t="e">
        <f>AND(#REF!,"AAAAAH0+nfs=")</f>
        <v>#REF!</v>
      </c>
      <c r="IS124" t="e">
        <f>AND(#REF!,"AAAAAH0+nfw=")</f>
        <v>#REF!</v>
      </c>
      <c r="IT124" t="e">
        <f>AND(#REF!,"AAAAAH0+nf0=")</f>
        <v>#REF!</v>
      </c>
      <c r="IU124" t="e">
        <f>AND(#REF!,"AAAAAH0+nf4=")</f>
        <v>#REF!</v>
      </c>
      <c r="IV124" t="e">
        <f>AND(#REF!,"AAAAAH0+nf8=")</f>
        <v>#REF!</v>
      </c>
    </row>
    <row r="125" spans="1:256" x14ac:dyDescent="0.25">
      <c r="A125" t="e">
        <f>AND(#REF!,"AAAAAH7rbgA=")</f>
        <v>#REF!</v>
      </c>
      <c r="B125" t="e">
        <f>AND(#REF!,"AAAAAH7rbgE=")</f>
        <v>#REF!</v>
      </c>
      <c r="C125" t="e">
        <f>AND(#REF!,"AAAAAH7rbgI=")</f>
        <v>#REF!</v>
      </c>
      <c r="D125" t="e">
        <f>AND(#REF!,"AAAAAH7rbgM=")</f>
        <v>#REF!</v>
      </c>
      <c r="E125" t="e">
        <f>AND(#REF!,"AAAAAH7rbgQ=")</f>
        <v>#REF!</v>
      </c>
      <c r="F125" t="e">
        <f>AND(#REF!,"AAAAAH7rbgU=")</f>
        <v>#REF!</v>
      </c>
      <c r="G125" t="e">
        <f>AND(#REF!,"AAAAAH7rbgY=")</f>
        <v>#REF!</v>
      </c>
      <c r="H125" t="e">
        <f>AND(#REF!,"AAAAAH7rbgc=")</f>
        <v>#REF!</v>
      </c>
      <c r="I125" t="e">
        <f>AND(#REF!,"AAAAAH7rbgg=")</f>
        <v>#REF!</v>
      </c>
      <c r="J125" t="e">
        <f>AND(#REF!,"AAAAAH7rbgk=")</f>
        <v>#REF!</v>
      </c>
      <c r="K125" t="e">
        <f>AND(#REF!,"AAAAAH7rbgo=")</f>
        <v>#REF!</v>
      </c>
      <c r="L125" t="e">
        <f>AND(#REF!,"AAAAAH7rbgs=")</f>
        <v>#REF!</v>
      </c>
      <c r="M125" t="e">
        <f>AND(#REF!,"AAAAAH7rbgw=")</f>
        <v>#REF!</v>
      </c>
      <c r="N125" t="e">
        <f>AND(#REF!,"AAAAAH7rbg0=")</f>
        <v>#REF!</v>
      </c>
      <c r="O125" t="e">
        <f>AND(#REF!,"AAAAAH7rbg4=")</f>
        <v>#REF!</v>
      </c>
      <c r="P125" t="e">
        <f>AND(#REF!,"AAAAAH7rbg8=")</f>
        <v>#REF!</v>
      </c>
      <c r="Q125" t="e">
        <f>AND(#REF!,"AAAAAH7rbhA=")</f>
        <v>#REF!</v>
      </c>
      <c r="R125" t="e">
        <f>AND(#REF!,"AAAAAH7rbhE=")</f>
        <v>#REF!</v>
      </c>
      <c r="S125" t="e">
        <f>AND(#REF!,"AAAAAH7rbhI=")</f>
        <v>#REF!</v>
      </c>
      <c r="T125" t="e">
        <f>AND(#REF!,"AAAAAH7rbhM=")</f>
        <v>#REF!</v>
      </c>
      <c r="U125" t="e">
        <f>AND(#REF!,"AAAAAH7rbhQ=")</f>
        <v>#REF!</v>
      </c>
      <c r="V125" t="e">
        <f>AND(#REF!,"AAAAAH7rbhU=")</f>
        <v>#REF!</v>
      </c>
      <c r="W125" t="e">
        <f>AND(#REF!,"AAAAAH7rbhY=")</f>
        <v>#REF!</v>
      </c>
      <c r="X125" t="e">
        <f>AND(#REF!,"AAAAAH7rbhc=")</f>
        <v>#REF!</v>
      </c>
      <c r="Y125" t="e">
        <f>AND(#REF!,"AAAAAH7rbhg=")</f>
        <v>#REF!</v>
      </c>
      <c r="Z125" t="e">
        <f>AND(#REF!,"AAAAAH7rbhk=")</f>
        <v>#REF!</v>
      </c>
      <c r="AA125" t="e">
        <f>AND(#REF!,"AAAAAH7rbho=")</f>
        <v>#REF!</v>
      </c>
      <c r="AB125" t="e">
        <f>AND(#REF!,"AAAAAH7rbhs=")</f>
        <v>#REF!</v>
      </c>
      <c r="AC125" t="e">
        <f>AND(#REF!,"AAAAAH7rbhw=")</f>
        <v>#REF!</v>
      </c>
      <c r="AD125" t="e">
        <f>AND(#REF!,"AAAAAH7rbh0=")</f>
        <v>#REF!</v>
      </c>
      <c r="AE125" t="e">
        <f>AND(#REF!,"AAAAAH7rbh4=")</f>
        <v>#REF!</v>
      </c>
      <c r="AF125" t="e">
        <f>AND(#REF!,"AAAAAH7rbh8=")</f>
        <v>#REF!</v>
      </c>
      <c r="AG125" t="e">
        <f>AND(#REF!,"AAAAAH7rbiA=")</f>
        <v>#REF!</v>
      </c>
      <c r="AH125" t="e">
        <f>AND(#REF!,"AAAAAH7rbiE=")</f>
        <v>#REF!</v>
      </c>
      <c r="AI125" t="e">
        <f>AND(#REF!,"AAAAAH7rbiI=")</f>
        <v>#REF!</v>
      </c>
      <c r="AJ125" t="e">
        <f>AND(#REF!,"AAAAAH7rbiM=")</f>
        <v>#REF!</v>
      </c>
      <c r="AK125" t="e">
        <f>AND(#REF!,"AAAAAH7rbiQ=")</f>
        <v>#REF!</v>
      </c>
      <c r="AL125" t="e">
        <f>AND(#REF!,"AAAAAH7rbiU=")</f>
        <v>#REF!</v>
      </c>
      <c r="AM125" t="e">
        <f>AND(#REF!,"AAAAAH7rbiY=")</f>
        <v>#REF!</v>
      </c>
      <c r="AN125" t="e">
        <f>AND(#REF!,"AAAAAH7rbic=")</f>
        <v>#REF!</v>
      </c>
      <c r="AO125" t="e">
        <f>AND(#REF!,"AAAAAH7rbig=")</f>
        <v>#REF!</v>
      </c>
      <c r="AP125" t="e">
        <f>AND(#REF!,"AAAAAH7rbik=")</f>
        <v>#REF!</v>
      </c>
      <c r="AQ125" t="e">
        <f>AND(#REF!,"AAAAAH7rbio=")</f>
        <v>#REF!</v>
      </c>
      <c r="AR125" t="e">
        <f>AND(#REF!,"AAAAAH7rbis=")</f>
        <v>#REF!</v>
      </c>
      <c r="AS125" t="e">
        <f>AND(#REF!,"AAAAAH7rbiw=")</f>
        <v>#REF!</v>
      </c>
      <c r="AT125" t="e">
        <f>AND(#REF!,"AAAAAH7rbi0=")</f>
        <v>#REF!</v>
      </c>
      <c r="AU125" t="e">
        <f>AND(#REF!,"AAAAAH7rbi4=")</f>
        <v>#REF!</v>
      </c>
      <c r="AV125" t="e">
        <f>AND(#REF!,"AAAAAH7rbi8=")</f>
        <v>#REF!</v>
      </c>
      <c r="AW125" t="e">
        <f>AND(#REF!,"AAAAAH7rbjA=")</f>
        <v>#REF!</v>
      </c>
      <c r="AX125" t="e">
        <f>AND(#REF!,"AAAAAH7rbjE=")</f>
        <v>#REF!</v>
      </c>
      <c r="AY125" t="e">
        <f>AND(#REF!,"AAAAAH7rbjI=")</f>
        <v>#REF!</v>
      </c>
      <c r="AZ125" t="e">
        <f>AND(#REF!,"AAAAAH7rbjM=")</f>
        <v>#REF!</v>
      </c>
      <c r="BA125" t="e">
        <f>AND(#REF!,"AAAAAH7rbjQ=")</f>
        <v>#REF!</v>
      </c>
      <c r="BB125" t="e">
        <f>AND(#REF!,"AAAAAH7rbjU=")</f>
        <v>#REF!</v>
      </c>
      <c r="BC125" t="e">
        <f>AND(#REF!,"AAAAAH7rbjY=")</f>
        <v>#REF!</v>
      </c>
      <c r="BD125" t="e">
        <f>AND(#REF!,"AAAAAH7rbjc=")</f>
        <v>#REF!</v>
      </c>
      <c r="BE125" t="e">
        <f>AND(#REF!,"AAAAAH7rbjg=")</f>
        <v>#REF!</v>
      </c>
      <c r="BF125" t="e">
        <f>AND(#REF!,"AAAAAH7rbjk=")</f>
        <v>#REF!</v>
      </c>
      <c r="BG125" t="e">
        <f>AND(#REF!,"AAAAAH7rbjo=")</f>
        <v>#REF!</v>
      </c>
      <c r="BH125" t="e">
        <f>AND(#REF!,"AAAAAH7rbjs=")</f>
        <v>#REF!</v>
      </c>
      <c r="BI125" t="e">
        <f>AND(#REF!,"AAAAAH7rbjw=")</f>
        <v>#REF!</v>
      </c>
      <c r="BJ125" t="e">
        <f>AND(#REF!,"AAAAAH7rbj0=")</f>
        <v>#REF!</v>
      </c>
      <c r="BK125" t="e">
        <f>AND(#REF!,"AAAAAH7rbj4=")</f>
        <v>#REF!</v>
      </c>
      <c r="BL125" t="e">
        <f>AND(#REF!,"AAAAAH7rbj8=")</f>
        <v>#REF!</v>
      </c>
      <c r="BM125" t="e">
        <f>AND(#REF!,"AAAAAH7rbkA=")</f>
        <v>#REF!</v>
      </c>
      <c r="BN125" t="e">
        <f>AND(#REF!,"AAAAAH7rbkE=")</f>
        <v>#REF!</v>
      </c>
      <c r="BO125" t="e">
        <f>AND(#REF!,"AAAAAH7rbkI=")</f>
        <v>#REF!</v>
      </c>
      <c r="BP125" t="e">
        <f>AND(#REF!,"AAAAAH7rbkM=")</f>
        <v>#REF!</v>
      </c>
      <c r="BQ125" t="e">
        <f>AND(#REF!,"AAAAAH7rbkQ=")</f>
        <v>#REF!</v>
      </c>
      <c r="BR125" t="e">
        <f>AND(#REF!,"AAAAAH7rbkU=")</f>
        <v>#REF!</v>
      </c>
      <c r="BS125" t="e">
        <f>AND(#REF!,"AAAAAH7rbkY=")</f>
        <v>#REF!</v>
      </c>
      <c r="BT125" t="e">
        <f>AND(#REF!,"AAAAAH7rbkc=")</f>
        <v>#REF!</v>
      </c>
      <c r="BU125" t="e">
        <f>AND(#REF!,"AAAAAH7rbkg=")</f>
        <v>#REF!</v>
      </c>
      <c r="BV125" t="e">
        <f>AND(#REF!,"AAAAAH7rbkk=")</f>
        <v>#REF!</v>
      </c>
      <c r="BW125" t="e">
        <f>AND(#REF!,"AAAAAH7rbko=")</f>
        <v>#REF!</v>
      </c>
      <c r="BX125" t="e">
        <f>AND(#REF!,"AAAAAH7rbks=")</f>
        <v>#REF!</v>
      </c>
      <c r="BY125" t="e">
        <f>AND(#REF!,"AAAAAH7rbkw=")</f>
        <v>#REF!</v>
      </c>
      <c r="BZ125" t="e">
        <f>AND(#REF!,"AAAAAH7rbk0=")</f>
        <v>#REF!</v>
      </c>
      <c r="CA125" t="e">
        <f>AND(#REF!,"AAAAAH7rbk4=")</f>
        <v>#REF!</v>
      </c>
      <c r="CB125" t="e">
        <f>AND(#REF!,"AAAAAH7rbk8=")</f>
        <v>#REF!</v>
      </c>
      <c r="CC125" t="e">
        <f>AND(#REF!,"AAAAAH7rblA=")</f>
        <v>#REF!</v>
      </c>
      <c r="CD125" t="e">
        <f>AND(#REF!,"AAAAAH7rblE=")</f>
        <v>#REF!</v>
      </c>
      <c r="CE125" t="e">
        <f>AND(#REF!,"AAAAAH7rblI=")</f>
        <v>#REF!</v>
      </c>
      <c r="CF125" t="e">
        <f>AND(#REF!,"AAAAAH7rblM=")</f>
        <v>#REF!</v>
      </c>
      <c r="CG125" t="e">
        <f>AND(#REF!,"AAAAAH7rblQ=")</f>
        <v>#REF!</v>
      </c>
      <c r="CH125" t="e">
        <f>AND(#REF!,"AAAAAH7rblU=")</f>
        <v>#REF!</v>
      </c>
      <c r="CI125" t="e">
        <f>AND(#REF!,"AAAAAH7rblY=")</f>
        <v>#REF!</v>
      </c>
      <c r="CJ125" t="e">
        <f>AND(#REF!,"AAAAAH7rblc=")</f>
        <v>#REF!</v>
      </c>
      <c r="CK125" t="e">
        <f>AND(#REF!,"AAAAAH7rblg=")</f>
        <v>#REF!</v>
      </c>
      <c r="CL125" t="e">
        <f>AND(#REF!,"AAAAAH7rblk=")</f>
        <v>#REF!</v>
      </c>
      <c r="CM125" t="e">
        <f>AND(#REF!,"AAAAAH7rblo=")</f>
        <v>#REF!</v>
      </c>
      <c r="CN125" t="e">
        <f>AND(#REF!,"AAAAAH7rbls=")</f>
        <v>#REF!</v>
      </c>
      <c r="CO125" t="e">
        <f>AND(#REF!,"AAAAAH7rblw=")</f>
        <v>#REF!</v>
      </c>
      <c r="CP125" t="e">
        <f>AND(#REF!,"AAAAAH7rbl0=")</f>
        <v>#REF!</v>
      </c>
      <c r="CQ125" t="e">
        <f>AND(#REF!,"AAAAAH7rbl4=")</f>
        <v>#REF!</v>
      </c>
      <c r="CR125" t="e">
        <f>AND(#REF!,"AAAAAH7rbl8=")</f>
        <v>#REF!</v>
      </c>
      <c r="CS125" t="e">
        <f>AND(#REF!,"AAAAAH7rbmA=")</f>
        <v>#REF!</v>
      </c>
      <c r="CT125" t="e">
        <f>AND(#REF!,"AAAAAH7rbmE=")</f>
        <v>#REF!</v>
      </c>
      <c r="CU125" t="e">
        <f>AND(#REF!,"AAAAAH7rbmI=")</f>
        <v>#REF!</v>
      </c>
      <c r="CV125" t="e">
        <f>AND(#REF!,"AAAAAH7rbmM=")</f>
        <v>#REF!</v>
      </c>
      <c r="CW125" t="e">
        <f>AND(#REF!,"AAAAAH7rbmQ=")</f>
        <v>#REF!</v>
      </c>
      <c r="CX125" t="e">
        <f>AND(#REF!,"AAAAAH7rbmU=")</f>
        <v>#REF!</v>
      </c>
      <c r="CY125" t="e">
        <f>AND(#REF!,"AAAAAH7rbmY=")</f>
        <v>#REF!</v>
      </c>
      <c r="CZ125" t="e">
        <f>AND(#REF!,"AAAAAH7rbmc=")</f>
        <v>#REF!</v>
      </c>
      <c r="DA125" t="e">
        <f>AND(#REF!,"AAAAAH7rbmg=")</f>
        <v>#REF!</v>
      </c>
      <c r="DB125" t="e">
        <f>AND(#REF!,"AAAAAH7rbmk=")</f>
        <v>#REF!</v>
      </c>
      <c r="DC125" t="e">
        <f>AND(#REF!,"AAAAAH7rbmo=")</f>
        <v>#REF!</v>
      </c>
      <c r="DD125" t="e">
        <f>AND(#REF!,"AAAAAH7rbms=")</f>
        <v>#REF!</v>
      </c>
      <c r="DE125" t="e">
        <f>AND(#REF!,"AAAAAH7rbmw=")</f>
        <v>#REF!</v>
      </c>
      <c r="DF125" t="e">
        <f>AND(#REF!,"AAAAAH7rbm0=")</f>
        <v>#REF!</v>
      </c>
      <c r="DG125" t="e">
        <f>AND(#REF!,"AAAAAH7rbm4=")</f>
        <v>#REF!</v>
      </c>
      <c r="DH125" t="e">
        <f>AND(#REF!,"AAAAAH7rbm8=")</f>
        <v>#REF!</v>
      </c>
      <c r="DI125" t="e">
        <f>AND(#REF!,"AAAAAH7rbnA=")</f>
        <v>#REF!</v>
      </c>
      <c r="DJ125" t="e">
        <f>AND(#REF!,"AAAAAH7rbnE=")</f>
        <v>#REF!</v>
      </c>
      <c r="DK125" t="e">
        <f>AND(#REF!,"AAAAAH7rbnI=")</f>
        <v>#REF!</v>
      </c>
      <c r="DL125" t="e">
        <f>AND(#REF!,"AAAAAH7rbnM=")</f>
        <v>#REF!</v>
      </c>
      <c r="DM125" t="e">
        <f>AND(#REF!,"AAAAAH7rbnQ=")</f>
        <v>#REF!</v>
      </c>
      <c r="DN125" t="e">
        <f>AND(#REF!,"AAAAAH7rbnU=")</f>
        <v>#REF!</v>
      </c>
      <c r="DO125" t="e">
        <f>AND(#REF!,"AAAAAH7rbnY=")</f>
        <v>#REF!</v>
      </c>
      <c r="DP125" t="e">
        <f>AND(#REF!,"AAAAAH7rbnc=")</f>
        <v>#REF!</v>
      </c>
      <c r="DQ125" t="e">
        <f>AND(#REF!,"AAAAAH7rbng=")</f>
        <v>#REF!</v>
      </c>
      <c r="DR125" t="e">
        <f>AND(#REF!,"AAAAAH7rbnk=")</f>
        <v>#REF!</v>
      </c>
      <c r="DS125" t="e">
        <f>AND(#REF!,"AAAAAH7rbno=")</f>
        <v>#REF!</v>
      </c>
      <c r="DT125" t="e">
        <f>AND(#REF!,"AAAAAH7rbns=")</f>
        <v>#REF!</v>
      </c>
      <c r="DU125" t="e">
        <f>AND(#REF!,"AAAAAH7rbnw=")</f>
        <v>#REF!</v>
      </c>
      <c r="DV125" t="e">
        <f>AND(#REF!,"AAAAAH7rbn0=")</f>
        <v>#REF!</v>
      </c>
      <c r="DW125" t="e">
        <f>AND(#REF!,"AAAAAH7rbn4=")</f>
        <v>#REF!</v>
      </c>
      <c r="DX125" t="e">
        <f>AND(#REF!,"AAAAAH7rbn8=")</f>
        <v>#REF!</v>
      </c>
      <c r="DY125" t="e">
        <f>AND(#REF!,"AAAAAH7rboA=")</f>
        <v>#REF!</v>
      </c>
      <c r="DZ125" t="e">
        <f>AND(#REF!,"AAAAAH7rboE=")</f>
        <v>#REF!</v>
      </c>
      <c r="EA125" t="e">
        <f>AND(#REF!,"AAAAAH7rboI=")</f>
        <v>#REF!</v>
      </c>
      <c r="EB125" t="e">
        <f>AND(#REF!,"AAAAAH7rboM=")</f>
        <v>#REF!</v>
      </c>
      <c r="EC125" t="e">
        <f>AND(#REF!,"AAAAAH7rboQ=")</f>
        <v>#REF!</v>
      </c>
      <c r="ED125" t="e">
        <f>AND(#REF!,"AAAAAH7rboU=")</f>
        <v>#REF!</v>
      </c>
      <c r="EE125" t="e">
        <f>AND(#REF!,"AAAAAH7rboY=")</f>
        <v>#REF!</v>
      </c>
      <c r="EF125" t="e">
        <f>AND(#REF!,"AAAAAH7rboc=")</f>
        <v>#REF!</v>
      </c>
      <c r="EG125" t="e">
        <f>AND(#REF!,"AAAAAH7rbog=")</f>
        <v>#REF!</v>
      </c>
      <c r="EH125" t="e">
        <f>AND(#REF!,"AAAAAH7rbok=")</f>
        <v>#REF!</v>
      </c>
      <c r="EI125" t="e">
        <f>AND(#REF!,"AAAAAH7rboo=")</f>
        <v>#REF!</v>
      </c>
      <c r="EJ125" t="e">
        <f>AND(#REF!,"AAAAAH7rbos=")</f>
        <v>#REF!</v>
      </c>
      <c r="EK125" t="e">
        <f>AND(#REF!,"AAAAAH7rbow=")</f>
        <v>#REF!</v>
      </c>
      <c r="EL125" t="e">
        <f>AND(#REF!,"AAAAAH7rbo0=")</f>
        <v>#REF!</v>
      </c>
      <c r="EM125" t="e">
        <f>AND(#REF!,"AAAAAH7rbo4=")</f>
        <v>#REF!</v>
      </c>
      <c r="EN125" t="e">
        <f>AND(#REF!,"AAAAAH7rbo8=")</f>
        <v>#REF!</v>
      </c>
      <c r="EO125" t="e">
        <f>AND(#REF!,"AAAAAH7rbpA=")</f>
        <v>#REF!</v>
      </c>
      <c r="EP125" t="e">
        <f>AND(#REF!,"AAAAAH7rbpE=")</f>
        <v>#REF!</v>
      </c>
      <c r="EQ125" t="e">
        <f>AND(#REF!,"AAAAAH7rbpI=")</f>
        <v>#REF!</v>
      </c>
      <c r="ER125" t="e">
        <f>AND(#REF!,"AAAAAH7rbpM=")</f>
        <v>#REF!</v>
      </c>
      <c r="ES125" t="e">
        <f>AND(#REF!,"AAAAAH7rbpQ=")</f>
        <v>#REF!</v>
      </c>
      <c r="ET125" t="e">
        <f>AND(#REF!,"AAAAAH7rbpU=")</f>
        <v>#REF!</v>
      </c>
      <c r="EU125" t="e">
        <f>AND(#REF!,"AAAAAH7rbpY=")</f>
        <v>#REF!</v>
      </c>
      <c r="EV125" t="e">
        <f>AND(#REF!,"AAAAAH7rbpc=")</f>
        <v>#REF!</v>
      </c>
      <c r="EW125" t="e">
        <f>AND(#REF!,"AAAAAH7rbpg=")</f>
        <v>#REF!</v>
      </c>
      <c r="EX125" t="e">
        <f>AND(#REF!,"AAAAAH7rbpk=")</f>
        <v>#REF!</v>
      </c>
      <c r="EY125" t="e">
        <f>AND(#REF!,"AAAAAH7rbpo=")</f>
        <v>#REF!</v>
      </c>
      <c r="EZ125" t="e">
        <f>AND(#REF!,"AAAAAH7rbps=")</f>
        <v>#REF!</v>
      </c>
      <c r="FA125" t="e">
        <f>AND(#REF!,"AAAAAH7rbpw=")</f>
        <v>#REF!</v>
      </c>
      <c r="FB125" t="e">
        <f>AND(#REF!,"AAAAAH7rbp0=")</f>
        <v>#REF!</v>
      </c>
      <c r="FC125" t="e">
        <f>AND(#REF!,"AAAAAH7rbp4=")</f>
        <v>#REF!</v>
      </c>
      <c r="FD125" t="e">
        <f>AND(#REF!,"AAAAAH7rbp8=")</f>
        <v>#REF!</v>
      </c>
      <c r="FE125" t="e">
        <f>AND(#REF!,"AAAAAH7rbqA=")</f>
        <v>#REF!</v>
      </c>
      <c r="FF125" t="e">
        <f>AND(#REF!,"AAAAAH7rbqE=")</f>
        <v>#REF!</v>
      </c>
      <c r="FG125" t="e">
        <f>IF(#REF!,"AAAAAH7rbqI=",0)</f>
        <v>#REF!</v>
      </c>
      <c r="FH125" t="e">
        <f>AND(#REF!,"AAAAAH7rbqM=")</f>
        <v>#REF!</v>
      </c>
      <c r="FI125" t="e">
        <f>AND(#REF!,"AAAAAH7rbqQ=")</f>
        <v>#REF!</v>
      </c>
      <c r="FJ125" t="e">
        <f>AND(#REF!,"AAAAAH7rbqU=")</f>
        <v>#REF!</v>
      </c>
      <c r="FK125" t="e">
        <f>AND(#REF!,"AAAAAH7rbqY=")</f>
        <v>#REF!</v>
      </c>
      <c r="FL125" t="e">
        <f>AND(#REF!,"AAAAAH7rbqc=")</f>
        <v>#REF!</v>
      </c>
      <c r="FM125" t="e">
        <f>AND(#REF!,"AAAAAH7rbqg=")</f>
        <v>#REF!</v>
      </c>
      <c r="FN125" t="e">
        <f>AND(#REF!,"AAAAAH7rbqk=")</f>
        <v>#REF!</v>
      </c>
      <c r="FO125" t="e">
        <f>AND(#REF!,"AAAAAH7rbqo=")</f>
        <v>#REF!</v>
      </c>
      <c r="FP125" t="e">
        <f>AND(#REF!,"AAAAAH7rbqs=")</f>
        <v>#REF!</v>
      </c>
      <c r="FQ125" t="e">
        <f>AND(#REF!,"AAAAAH7rbqw=")</f>
        <v>#REF!</v>
      </c>
      <c r="FR125" t="e">
        <f>AND(#REF!,"AAAAAH7rbq0=")</f>
        <v>#REF!</v>
      </c>
      <c r="FS125" t="e">
        <f>AND(#REF!,"AAAAAH7rbq4=")</f>
        <v>#REF!</v>
      </c>
      <c r="FT125" t="e">
        <f>AND(#REF!,"AAAAAH7rbq8=")</f>
        <v>#REF!</v>
      </c>
      <c r="FU125" t="e">
        <f>AND(#REF!,"AAAAAH7rbrA=")</f>
        <v>#REF!</v>
      </c>
      <c r="FV125" t="e">
        <f>AND(#REF!,"AAAAAH7rbrE=")</f>
        <v>#REF!</v>
      </c>
      <c r="FW125" t="e">
        <f>AND(#REF!,"AAAAAH7rbrI=")</f>
        <v>#REF!</v>
      </c>
      <c r="FX125" t="e">
        <f>AND(#REF!,"AAAAAH7rbrM=")</f>
        <v>#REF!</v>
      </c>
      <c r="FY125" t="e">
        <f>AND(#REF!,"AAAAAH7rbrQ=")</f>
        <v>#REF!</v>
      </c>
      <c r="FZ125" t="e">
        <f>AND(#REF!,"AAAAAH7rbrU=")</f>
        <v>#REF!</v>
      </c>
      <c r="GA125" t="e">
        <f>AND(#REF!,"AAAAAH7rbrY=")</f>
        <v>#REF!</v>
      </c>
      <c r="GB125" t="e">
        <f>AND(#REF!,"AAAAAH7rbrc=")</f>
        <v>#REF!</v>
      </c>
      <c r="GC125" t="e">
        <f>AND(#REF!,"AAAAAH7rbrg=")</f>
        <v>#REF!</v>
      </c>
      <c r="GD125" t="e">
        <f>AND(#REF!,"AAAAAH7rbrk=")</f>
        <v>#REF!</v>
      </c>
      <c r="GE125" t="e">
        <f>AND(#REF!,"AAAAAH7rbro=")</f>
        <v>#REF!</v>
      </c>
      <c r="GF125" t="e">
        <f>AND(#REF!,"AAAAAH7rbrs=")</f>
        <v>#REF!</v>
      </c>
      <c r="GG125" t="e">
        <f>AND(#REF!,"AAAAAH7rbrw=")</f>
        <v>#REF!</v>
      </c>
      <c r="GH125" t="e">
        <f>AND(#REF!,"AAAAAH7rbr0=")</f>
        <v>#REF!</v>
      </c>
      <c r="GI125" t="e">
        <f>AND(#REF!,"AAAAAH7rbr4=")</f>
        <v>#REF!</v>
      </c>
      <c r="GJ125" t="e">
        <f>AND(#REF!,"AAAAAH7rbr8=")</f>
        <v>#REF!</v>
      </c>
      <c r="GK125" t="e">
        <f>AND(#REF!,"AAAAAH7rbsA=")</f>
        <v>#REF!</v>
      </c>
      <c r="GL125" t="e">
        <f>AND(#REF!,"AAAAAH7rbsE=")</f>
        <v>#REF!</v>
      </c>
      <c r="GM125" t="e">
        <f>AND(#REF!,"AAAAAH7rbsI=")</f>
        <v>#REF!</v>
      </c>
      <c r="GN125" t="e">
        <f>AND(#REF!,"AAAAAH7rbsM=")</f>
        <v>#REF!</v>
      </c>
      <c r="GO125" t="e">
        <f>AND(#REF!,"AAAAAH7rbsQ=")</f>
        <v>#REF!</v>
      </c>
      <c r="GP125" t="e">
        <f>AND(#REF!,"AAAAAH7rbsU=")</f>
        <v>#REF!</v>
      </c>
      <c r="GQ125" t="e">
        <f>AND(#REF!,"AAAAAH7rbsY=")</f>
        <v>#REF!</v>
      </c>
      <c r="GR125" t="e">
        <f>AND(#REF!,"AAAAAH7rbsc=")</f>
        <v>#REF!</v>
      </c>
      <c r="GS125" t="e">
        <f>AND(#REF!,"AAAAAH7rbsg=")</f>
        <v>#REF!</v>
      </c>
      <c r="GT125" t="e">
        <f>AND(#REF!,"AAAAAH7rbsk=")</f>
        <v>#REF!</v>
      </c>
      <c r="GU125" t="e">
        <f>AND(#REF!,"AAAAAH7rbso=")</f>
        <v>#REF!</v>
      </c>
      <c r="GV125" t="e">
        <f>AND(#REF!,"AAAAAH7rbss=")</f>
        <v>#REF!</v>
      </c>
      <c r="GW125" t="e">
        <f>AND(#REF!,"AAAAAH7rbsw=")</f>
        <v>#REF!</v>
      </c>
      <c r="GX125" t="e">
        <f>AND(#REF!,"AAAAAH7rbs0=")</f>
        <v>#REF!</v>
      </c>
      <c r="GY125" t="e">
        <f>AND(#REF!,"AAAAAH7rbs4=")</f>
        <v>#REF!</v>
      </c>
      <c r="GZ125" t="e">
        <f>AND(#REF!,"AAAAAH7rbs8=")</f>
        <v>#REF!</v>
      </c>
      <c r="HA125" t="e">
        <f>AND(#REF!,"AAAAAH7rbtA=")</f>
        <v>#REF!</v>
      </c>
      <c r="HB125" t="e">
        <f>AND(#REF!,"AAAAAH7rbtE=")</f>
        <v>#REF!</v>
      </c>
      <c r="HC125" t="e">
        <f>AND(#REF!,"AAAAAH7rbtI=")</f>
        <v>#REF!</v>
      </c>
      <c r="HD125" t="e">
        <f>AND(#REF!,"AAAAAH7rbtM=")</f>
        <v>#REF!</v>
      </c>
      <c r="HE125" t="e">
        <f>AND(#REF!,"AAAAAH7rbtQ=")</f>
        <v>#REF!</v>
      </c>
      <c r="HF125" t="e">
        <f>AND(#REF!,"AAAAAH7rbtU=")</f>
        <v>#REF!</v>
      </c>
      <c r="HG125" t="e">
        <f>AND(#REF!,"AAAAAH7rbtY=")</f>
        <v>#REF!</v>
      </c>
      <c r="HH125" t="e">
        <f>AND(#REF!,"AAAAAH7rbtc=")</f>
        <v>#REF!</v>
      </c>
      <c r="HI125" t="e">
        <f>AND(#REF!,"AAAAAH7rbtg=")</f>
        <v>#REF!</v>
      </c>
      <c r="HJ125" t="e">
        <f>AND(#REF!,"AAAAAH7rbtk=")</f>
        <v>#REF!</v>
      </c>
      <c r="HK125" t="e">
        <f>AND(#REF!,"AAAAAH7rbto=")</f>
        <v>#REF!</v>
      </c>
      <c r="HL125" t="e">
        <f>AND(#REF!,"AAAAAH7rbts=")</f>
        <v>#REF!</v>
      </c>
      <c r="HM125" t="e">
        <f>AND(#REF!,"AAAAAH7rbtw=")</f>
        <v>#REF!</v>
      </c>
      <c r="HN125" t="e">
        <f>AND(#REF!,"AAAAAH7rbt0=")</f>
        <v>#REF!</v>
      </c>
      <c r="HO125" t="e">
        <f>AND(#REF!,"AAAAAH7rbt4=")</f>
        <v>#REF!</v>
      </c>
      <c r="HP125" t="e">
        <f>AND(#REF!,"AAAAAH7rbt8=")</f>
        <v>#REF!</v>
      </c>
      <c r="HQ125" t="e">
        <f>AND(#REF!,"AAAAAH7rbuA=")</f>
        <v>#REF!</v>
      </c>
      <c r="HR125" t="e">
        <f>AND(#REF!,"AAAAAH7rbuE=")</f>
        <v>#REF!</v>
      </c>
      <c r="HS125" t="e">
        <f>AND(#REF!,"AAAAAH7rbuI=")</f>
        <v>#REF!</v>
      </c>
      <c r="HT125" t="e">
        <f>AND(#REF!,"AAAAAH7rbuM=")</f>
        <v>#REF!</v>
      </c>
      <c r="HU125" t="e">
        <f>AND(#REF!,"AAAAAH7rbuQ=")</f>
        <v>#REF!</v>
      </c>
      <c r="HV125" t="e">
        <f>AND(#REF!,"AAAAAH7rbuU=")</f>
        <v>#REF!</v>
      </c>
      <c r="HW125" t="e">
        <f>AND(#REF!,"AAAAAH7rbuY=")</f>
        <v>#REF!</v>
      </c>
      <c r="HX125" t="e">
        <f>AND(#REF!,"AAAAAH7rbuc=")</f>
        <v>#REF!</v>
      </c>
      <c r="HY125" t="e">
        <f>AND(#REF!,"AAAAAH7rbug=")</f>
        <v>#REF!</v>
      </c>
      <c r="HZ125" t="e">
        <f>AND(#REF!,"AAAAAH7rbuk=")</f>
        <v>#REF!</v>
      </c>
      <c r="IA125" t="e">
        <f>AND(#REF!,"AAAAAH7rbuo=")</f>
        <v>#REF!</v>
      </c>
      <c r="IB125" t="e">
        <f>AND(#REF!,"AAAAAH7rbus=")</f>
        <v>#REF!</v>
      </c>
      <c r="IC125" t="e">
        <f>AND(#REF!,"AAAAAH7rbuw=")</f>
        <v>#REF!</v>
      </c>
      <c r="ID125" t="e">
        <f>AND(#REF!,"AAAAAH7rbu0=")</f>
        <v>#REF!</v>
      </c>
      <c r="IE125" t="e">
        <f>AND(#REF!,"AAAAAH7rbu4=")</f>
        <v>#REF!</v>
      </c>
      <c r="IF125" t="e">
        <f>AND(#REF!,"AAAAAH7rbu8=")</f>
        <v>#REF!</v>
      </c>
      <c r="IG125" t="e">
        <f>AND(#REF!,"AAAAAH7rbvA=")</f>
        <v>#REF!</v>
      </c>
      <c r="IH125" t="e">
        <f>AND(#REF!,"AAAAAH7rbvE=")</f>
        <v>#REF!</v>
      </c>
      <c r="II125" t="e">
        <f>AND(#REF!,"AAAAAH7rbvI=")</f>
        <v>#REF!</v>
      </c>
      <c r="IJ125" t="e">
        <f>AND(#REF!,"AAAAAH7rbvM=")</f>
        <v>#REF!</v>
      </c>
      <c r="IK125" t="e">
        <f>AND(#REF!,"AAAAAH7rbvQ=")</f>
        <v>#REF!</v>
      </c>
      <c r="IL125" t="e">
        <f>AND(#REF!,"AAAAAH7rbvU=")</f>
        <v>#REF!</v>
      </c>
      <c r="IM125" t="e">
        <f>AND(#REF!,"AAAAAH7rbvY=")</f>
        <v>#REF!</v>
      </c>
      <c r="IN125" t="e">
        <f>AND(#REF!,"AAAAAH7rbvc=")</f>
        <v>#REF!</v>
      </c>
      <c r="IO125" t="e">
        <f>AND(#REF!,"AAAAAH7rbvg=")</f>
        <v>#REF!</v>
      </c>
      <c r="IP125" t="e">
        <f>AND(#REF!,"AAAAAH7rbvk=")</f>
        <v>#REF!</v>
      </c>
      <c r="IQ125" t="e">
        <f>AND(#REF!,"AAAAAH7rbvo=")</f>
        <v>#REF!</v>
      </c>
      <c r="IR125" t="e">
        <f>AND(#REF!,"AAAAAH7rbvs=")</f>
        <v>#REF!</v>
      </c>
      <c r="IS125" t="e">
        <f>AND(#REF!,"AAAAAH7rbvw=")</f>
        <v>#REF!</v>
      </c>
      <c r="IT125" t="e">
        <f>AND(#REF!,"AAAAAH7rbv0=")</f>
        <v>#REF!</v>
      </c>
      <c r="IU125" t="e">
        <f>AND(#REF!,"AAAAAH7rbv4=")</f>
        <v>#REF!</v>
      </c>
      <c r="IV125" t="e">
        <f>AND(#REF!,"AAAAAH7rbv8=")</f>
        <v>#REF!</v>
      </c>
    </row>
    <row r="126" spans="1:256" x14ac:dyDescent="0.25">
      <c r="A126" t="e">
        <f>AND(#REF!,"AAAAAD+t7wA=")</f>
        <v>#REF!</v>
      </c>
      <c r="B126" t="e">
        <f>AND(#REF!,"AAAAAD+t7wE=")</f>
        <v>#REF!</v>
      </c>
      <c r="C126" t="e">
        <f>AND(#REF!,"AAAAAD+t7wI=")</f>
        <v>#REF!</v>
      </c>
      <c r="D126" t="e">
        <f>AND(#REF!,"AAAAAD+t7wM=")</f>
        <v>#REF!</v>
      </c>
      <c r="E126" t="e">
        <f>AND(#REF!,"AAAAAD+t7wQ=")</f>
        <v>#REF!</v>
      </c>
      <c r="F126" t="e">
        <f>AND(#REF!,"AAAAAD+t7wU=")</f>
        <v>#REF!</v>
      </c>
      <c r="G126" t="e">
        <f>AND(#REF!,"AAAAAD+t7wY=")</f>
        <v>#REF!</v>
      </c>
      <c r="H126" t="e">
        <f>AND(#REF!,"AAAAAD+t7wc=")</f>
        <v>#REF!</v>
      </c>
      <c r="I126" t="e">
        <f>AND(#REF!,"AAAAAD+t7wg=")</f>
        <v>#REF!</v>
      </c>
      <c r="J126" t="e">
        <f>AND(#REF!,"AAAAAD+t7wk=")</f>
        <v>#REF!</v>
      </c>
      <c r="K126" t="e">
        <f>AND(#REF!,"AAAAAD+t7wo=")</f>
        <v>#REF!</v>
      </c>
      <c r="L126" t="e">
        <f>AND(#REF!,"AAAAAD+t7ws=")</f>
        <v>#REF!</v>
      </c>
      <c r="M126" t="e">
        <f>AND(#REF!,"AAAAAD+t7ww=")</f>
        <v>#REF!</v>
      </c>
      <c r="N126" t="e">
        <f>AND(#REF!,"AAAAAD+t7w0=")</f>
        <v>#REF!</v>
      </c>
      <c r="O126" t="e">
        <f>AND(#REF!,"AAAAAD+t7w4=")</f>
        <v>#REF!</v>
      </c>
      <c r="P126" t="e">
        <f>AND(#REF!,"AAAAAD+t7w8=")</f>
        <v>#REF!</v>
      </c>
      <c r="Q126" t="e">
        <f>AND(#REF!,"AAAAAD+t7xA=")</f>
        <v>#REF!</v>
      </c>
      <c r="R126" t="e">
        <f>AND(#REF!,"AAAAAD+t7xE=")</f>
        <v>#REF!</v>
      </c>
      <c r="S126" t="e">
        <f>AND(#REF!,"AAAAAD+t7xI=")</f>
        <v>#REF!</v>
      </c>
      <c r="T126" t="e">
        <f>AND(#REF!,"AAAAAD+t7xM=")</f>
        <v>#REF!</v>
      </c>
      <c r="U126" t="e">
        <f>AND(#REF!,"AAAAAD+t7xQ=")</f>
        <v>#REF!</v>
      </c>
      <c r="V126" t="e">
        <f>AND(#REF!,"AAAAAD+t7xU=")</f>
        <v>#REF!</v>
      </c>
      <c r="W126" t="e">
        <f>AND(#REF!,"AAAAAD+t7xY=")</f>
        <v>#REF!</v>
      </c>
      <c r="X126" t="e">
        <f>AND(#REF!,"AAAAAD+t7xc=")</f>
        <v>#REF!</v>
      </c>
      <c r="Y126" t="e">
        <f>AND(#REF!,"AAAAAD+t7xg=")</f>
        <v>#REF!</v>
      </c>
      <c r="Z126" t="e">
        <f>AND(#REF!,"AAAAAD+t7xk=")</f>
        <v>#REF!</v>
      </c>
      <c r="AA126" t="e">
        <f>AND(#REF!,"AAAAAD+t7xo=")</f>
        <v>#REF!</v>
      </c>
      <c r="AB126" t="e">
        <f>AND(#REF!,"AAAAAD+t7xs=")</f>
        <v>#REF!</v>
      </c>
      <c r="AC126" t="e">
        <f>AND(#REF!,"AAAAAD+t7xw=")</f>
        <v>#REF!</v>
      </c>
      <c r="AD126" t="e">
        <f>AND(#REF!,"AAAAAD+t7x0=")</f>
        <v>#REF!</v>
      </c>
      <c r="AE126" t="e">
        <f>AND(#REF!,"AAAAAD+t7x4=")</f>
        <v>#REF!</v>
      </c>
      <c r="AF126" t="e">
        <f>AND(#REF!,"AAAAAD+t7x8=")</f>
        <v>#REF!</v>
      </c>
      <c r="AG126" t="e">
        <f>AND(#REF!,"AAAAAD+t7yA=")</f>
        <v>#REF!</v>
      </c>
      <c r="AH126" t="e">
        <f>AND(#REF!,"AAAAAD+t7yE=")</f>
        <v>#REF!</v>
      </c>
      <c r="AI126" t="e">
        <f>AND(#REF!,"AAAAAD+t7yI=")</f>
        <v>#REF!</v>
      </c>
      <c r="AJ126" t="e">
        <f>AND(#REF!,"AAAAAD+t7yM=")</f>
        <v>#REF!</v>
      </c>
      <c r="AK126" t="e">
        <f>AND(#REF!,"AAAAAD+t7yQ=")</f>
        <v>#REF!</v>
      </c>
      <c r="AL126" t="e">
        <f>AND(#REF!,"AAAAAD+t7yU=")</f>
        <v>#REF!</v>
      </c>
      <c r="AM126" t="e">
        <f>AND(#REF!,"AAAAAD+t7yY=")</f>
        <v>#REF!</v>
      </c>
      <c r="AN126" t="e">
        <f>AND(#REF!,"AAAAAD+t7yc=")</f>
        <v>#REF!</v>
      </c>
      <c r="AO126" t="e">
        <f>AND(#REF!,"AAAAAD+t7yg=")</f>
        <v>#REF!</v>
      </c>
      <c r="AP126" t="e">
        <f>AND(#REF!,"AAAAAD+t7yk=")</f>
        <v>#REF!</v>
      </c>
      <c r="AQ126" t="e">
        <f>AND(#REF!,"AAAAAD+t7yo=")</f>
        <v>#REF!</v>
      </c>
      <c r="AR126" t="e">
        <f>AND(#REF!,"AAAAAD+t7ys=")</f>
        <v>#REF!</v>
      </c>
      <c r="AS126" t="e">
        <f>AND(#REF!,"AAAAAD+t7yw=")</f>
        <v>#REF!</v>
      </c>
      <c r="AT126" t="e">
        <f>AND(#REF!,"AAAAAD+t7y0=")</f>
        <v>#REF!</v>
      </c>
      <c r="AU126" t="e">
        <f>AND(#REF!,"AAAAAD+t7y4=")</f>
        <v>#REF!</v>
      </c>
      <c r="AV126" t="e">
        <f>AND(#REF!,"AAAAAD+t7y8=")</f>
        <v>#REF!</v>
      </c>
      <c r="AW126" t="e">
        <f>AND(#REF!,"AAAAAD+t7zA=")</f>
        <v>#REF!</v>
      </c>
      <c r="AX126" t="e">
        <f>AND(#REF!,"AAAAAD+t7zE=")</f>
        <v>#REF!</v>
      </c>
      <c r="AY126" t="e">
        <f>AND(#REF!,"AAAAAD+t7zI=")</f>
        <v>#REF!</v>
      </c>
      <c r="AZ126" t="e">
        <f>AND(#REF!,"AAAAAD+t7zM=")</f>
        <v>#REF!</v>
      </c>
      <c r="BA126" t="e">
        <f>AND(#REF!,"AAAAAD+t7zQ=")</f>
        <v>#REF!</v>
      </c>
      <c r="BB126" t="e">
        <f>AND(#REF!,"AAAAAD+t7zU=")</f>
        <v>#REF!</v>
      </c>
      <c r="BC126" t="e">
        <f>AND(#REF!,"AAAAAD+t7zY=")</f>
        <v>#REF!</v>
      </c>
      <c r="BD126" t="e">
        <f>AND(#REF!,"AAAAAD+t7zc=")</f>
        <v>#REF!</v>
      </c>
      <c r="BE126" t="e">
        <f>AND(#REF!,"AAAAAD+t7zg=")</f>
        <v>#REF!</v>
      </c>
      <c r="BF126" t="e">
        <f>AND(#REF!,"AAAAAD+t7zk=")</f>
        <v>#REF!</v>
      </c>
      <c r="BG126" t="e">
        <f>AND(#REF!,"AAAAAD+t7zo=")</f>
        <v>#REF!</v>
      </c>
      <c r="BH126" t="e">
        <f>AND(#REF!,"AAAAAD+t7zs=")</f>
        <v>#REF!</v>
      </c>
      <c r="BI126" t="e">
        <f>AND(#REF!,"AAAAAD+t7zw=")</f>
        <v>#REF!</v>
      </c>
      <c r="BJ126" t="e">
        <f>AND(#REF!,"AAAAAD+t7z0=")</f>
        <v>#REF!</v>
      </c>
      <c r="BK126" t="e">
        <f>AND(#REF!,"AAAAAD+t7z4=")</f>
        <v>#REF!</v>
      </c>
      <c r="BL126" t="e">
        <f>AND(#REF!,"AAAAAD+t7z8=")</f>
        <v>#REF!</v>
      </c>
      <c r="BM126" t="e">
        <f>AND(#REF!,"AAAAAD+t70A=")</f>
        <v>#REF!</v>
      </c>
      <c r="BN126" t="e">
        <f>AND(#REF!,"AAAAAD+t70E=")</f>
        <v>#REF!</v>
      </c>
      <c r="BO126" t="e">
        <f>AND(#REF!,"AAAAAD+t70I=")</f>
        <v>#REF!</v>
      </c>
      <c r="BP126" t="e">
        <f>AND(#REF!,"AAAAAD+t70M=")</f>
        <v>#REF!</v>
      </c>
      <c r="BQ126" t="e">
        <f>AND(#REF!,"AAAAAD+t70Q=")</f>
        <v>#REF!</v>
      </c>
      <c r="BR126" t="e">
        <f>AND(#REF!,"AAAAAD+t70U=")</f>
        <v>#REF!</v>
      </c>
      <c r="BS126" t="e">
        <f>AND(#REF!,"AAAAAD+t70Y=")</f>
        <v>#REF!</v>
      </c>
      <c r="BT126" t="e">
        <f>AND(#REF!,"AAAAAD+t70c=")</f>
        <v>#REF!</v>
      </c>
      <c r="BU126" t="e">
        <f>AND(#REF!,"AAAAAD+t70g=")</f>
        <v>#REF!</v>
      </c>
      <c r="BV126" t="e">
        <f>AND(#REF!,"AAAAAD+t70k=")</f>
        <v>#REF!</v>
      </c>
      <c r="BW126" t="e">
        <f>AND(#REF!,"AAAAAD+t70o=")</f>
        <v>#REF!</v>
      </c>
      <c r="BX126" t="e">
        <f>AND(#REF!,"AAAAAD+t70s=")</f>
        <v>#REF!</v>
      </c>
      <c r="BY126" t="e">
        <f>AND(#REF!,"AAAAAD+t70w=")</f>
        <v>#REF!</v>
      </c>
      <c r="BZ126" t="e">
        <f>AND(#REF!,"AAAAAD+t700=")</f>
        <v>#REF!</v>
      </c>
      <c r="CA126" t="e">
        <f>AND(#REF!,"AAAAAD+t704=")</f>
        <v>#REF!</v>
      </c>
      <c r="CB126" t="e">
        <f>AND(#REF!,"AAAAAD+t708=")</f>
        <v>#REF!</v>
      </c>
      <c r="CC126" t="e">
        <f>AND(#REF!,"AAAAAD+t71A=")</f>
        <v>#REF!</v>
      </c>
      <c r="CD126" t="e">
        <f>AND(#REF!,"AAAAAD+t71E=")</f>
        <v>#REF!</v>
      </c>
      <c r="CE126" t="e">
        <f>AND(#REF!,"AAAAAD+t71I=")</f>
        <v>#REF!</v>
      </c>
      <c r="CF126" t="e">
        <f>AND(#REF!,"AAAAAD+t71M=")</f>
        <v>#REF!</v>
      </c>
      <c r="CG126" t="e">
        <f>AND(#REF!,"AAAAAD+t71Q=")</f>
        <v>#REF!</v>
      </c>
      <c r="CH126" t="e">
        <f>AND(#REF!,"AAAAAD+t71U=")</f>
        <v>#REF!</v>
      </c>
      <c r="CI126" t="e">
        <f>AND(#REF!,"AAAAAD+t71Y=")</f>
        <v>#REF!</v>
      </c>
      <c r="CJ126" t="e">
        <f>AND(#REF!,"AAAAAD+t71c=")</f>
        <v>#REF!</v>
      </c>
      <c r="CK126" t="e">
        <f>AND(#REF!,"AAAAAD+t71g=")</f>
        <v>#REF!</v>
      </c>
      <c r="CL126" t="e">
        <f>AND(#REF!,"AAAAAD+t71k=")</f>
        <v>#REF!</v>
      </c>
      <c r="CM126" t="e">
        <f>AND(#REF!,"AAAAAD+t71o=")</f>
        <v>#REF!</v>
      </c>
      <c r="CN126" t="e">
        <f>AND(#REF!,"AAAAAD+t71s=")</f>
        <v>#REF!</v>
      </c>
      <c r="CO126" t="e">
        <f>AND(#REF!,"AAAAAD+t71w=")</f>
        <v>#REF!</v>
      </c>
      <c r="CP126" t="e">
        <f>AND(#REF!,"AAAAAD+t710=")</f>
        <v>#REF!</v>
      </c>
      <c r="CQ126" t="e">
        <f>AND(#REF!,"AAAAAD+t714=")</f>
        <v>#REF!</v>
      </c>
      <c r="CR126" t="e">
        <f>IF(#REF!,"AAAAAD+t718=",0)</f>
        <v>#REF!</v>
      </c>
      <c r="CS126" t="e">
        <f>AND(#REF!,"AAAAAD+t72A=")</f>
        <v>#REF!</v>
      </c>
      <c r="CT126" t="e">
        <f>AND(#REF!,"AAAAAD+t72E=")</f>
        <v>#REF!</v>
      </c>
      <c r="CU126" t="e">
        <f>AND(#REF!,"AAAAAD+t72I=")</f>
        <v>#REF!</v>
      </c>
      <c r="CV126" t="e">
        <f>AND(#REF!,"AAAAAD+t72M=")</f>
        <v>#REF!</v>
      </c>
      <c r="CW126" t="e">
        <f>AND(#REF!,"AAAAAD+t72Q=")</f>
        <v>#REF!</v>
      </c>
      <c r="CX126" t="e">
        <f>AND(#REF!,"AAAAAD+t72U=")</f>
        <v>#REF!</v>
      </c>
      <c r="CY126" t="e">
        <f>AND(#REF!,"AAAAAD+t72Y=")</f>
        <v>#REF!</v>
      </c>
      <c r="CZ126" t="e">
        <f>AND(#REF!,"AAAAAD+t72c=")</f>
        <v>#REF!</v>
      </c>
      <c r="DA126" t="e">
        <f>AND(#REF!,"AAAAAD+t72g=")</f>
        <v>#REF!</v>
      </c>
      <c r="DB126" t="e">
        <f>AND(#REF!,"AAAAAD+t72k=")</f>
        <v>#REF!</v>
      </c>
      <c r="DC126" t="e">
        <f>AND(#REF!,"AAAAAD+t72o=")</f>
        <v>#REF!</v>
      </c>
      <c r="DD126" t="e">
        <f>AND(#REF!,"AAAAAD+t72s=")</f>
        <v>#REF!</v>
      </c>
      <c r="DE126" t="e">
        <f>AND(#REF!,"AAAAAD+t72w=")</f>
        <v>#REF!</v>
      </c>
      <c r="DF126" t="e">
        <f>AND(#REF!,"AAAAAD+t720=")</f>
        <v>#REF!</v>
      </c>
      <c r="DG126" t="e">
        <f>AND(#REF!,"AAAAAD+t724=")</f>
        <v>#REF!</v>
      </c>
      <c r="DH126" t="e">
        <f>AND(#REF!,"AAAAAD+t728=")</f>
        <v>#REF!</v>
      </c>
      <c r="DI126" t="e">
        <f>AND(#REF!,"AAAAAD+t73A=")</f>
        <v>#REF!</v>
      </c>
      <c r="DJ126" t="e">
        <f>AND(#REF!,"AAAAAD+t73E=")</f>
        <v>#REF!</v>
      </c>
      <c r="DK126" t="e">
        <f>AND(#REF!,"AAAAAD+t73I=")</f>
        <v>#REF!</v>
      </c>
      <c r="DL126" t="e">
        <f>AND(#REF!,"AAAAAD+t73M=")</f>
        <v>#REF!</v>
      </c>
      <c r="DM126" t="e">
        <f>AND(#REF!,"AAAAAD+t73Q=")</f>
        <v>#REF!</v>
      </c>
      <c r="DN126" t="e">
        <f>AND(#REF!,"AAAAAD+t73U=")</f>
        <v>#REF!</v>
      </c>
      <c r="DO126" t="e">
        <f>AND(#REF!,"AAAAAD+t73Y=")</f>
        <v>#REF!</v>
      </c>
      <c r="DP126" t="e">
        <f>AND(#REF!,"AAAAAD+t73c=")</f>
        <v>#REF!</v>
      </c>
      <c r="DQ126" t="e">
        <f>AND(#REF!,"AAAAAD+t73g=")</f>
        <v>#REF!</v>
      </c>
      <c r="DR126" t="e">
        <f>AND(#REF!,"AAAAAD+t73k=")</f>
        <v>#REF!</v>
      </c>
      <c r="DS126" t="e">
        <f>AND(#REF!,"AAAAAD+t73o=")</f>
        <v>#REF!</v>
      </c>
      <c r="DT126" t="e">
        <f>AND(#REF!,"AAAAAD+t73s=")</f>
        <v>#REF!</v>
      </c>
      <c r="DU126" t="e">
        <f>AND(#REF!,"AAAAAD+t73w=")</f>
        <v>#REF!</v>
      </c>
      <c r="DV126" t="e">
        <f>AND(#REF!,"AAAAAD+t730=")</f>
        <v>#REF!</v>
      </c>
      <c r="DW126" t="e">
        <f>AND(#REF!,"AAAAAD+t734=")</f>
        <v>#REF!</v>
      </c>
      <c r="DX126" t="e">
        <f>AND(#REF!,"AAAAAD+t738=")</f>
        <v>#REF!</v>
      </c>
      <c r="DY126" t="e">
        <f>AND(#REF!,"AAAAAD+t74A=")</f>
        <v>#REF!</v>
      </c>
      <c r="DZ126" t="e">
        <f>AND(#REF!,"AAAAAD+t74E=")</f>
        <v>#REF!</v>
      </c>
      <c r="EA126" t="e">
        <f>AND(#REF!,"AAAAAD+t74I=")</f>
        <v>#REF!</v>
      </c>
      <c r="EB126" t="e">
        <f>AND(#REF!,"AAAAAD+t74M=")</f>
        <v>#REF!</v>
      </c>
      <c r="EC126" t="e">
        <f>AND(#REF!,"AAAAAD+t74Q=")</f>
        <v>#REF!</v>
      </c>
      <c r="ED126" t="e">
        <f>AND(#REF!,"AAAAAD+t74U=")</f>
        <v>#REF!</v>
      </c>
      <c r="EE126" t="e">
        <f>AND(#REF!,"AAAAAD+t74Y=")</f>
        <v>#REF!</v>
      </c>
      <c r="EF126" t="e">
        <f>AND(#REF!,"AAAAAD+t74c=")</f>
        <v>#REF!</v>
      </c>
      <c r="EG126" t="e">
        <f>AND(#REF!,"AAAAAD+t74g=")</f>
        <v>#REF!</v>
      </c>
      <c r="EH126" t="e">
        <f>AND(#REF!,"AAAAAD+t74k=")</f>
        <v>#REF!</v>
      </c>
      <c r="EI126" t="e">
        <f>AND(#REF!,"AAAAAD+t74o=")</f>
        <v>#REF!</v>
      </c>
      <c r="EJ126" t="e">
        <f>AND(#REF!,"AAAAAD+t74s=")</f>
        <v>#REF!</v>
      </c>
      <c r="EK126" t="e">
        <f>AND(#REF!,"AAAAAD+t74w=")</f>
        <v>#REF!</v>
      </c>
      <c r="EL126" t="e">
        <f>AND(#REF!,"AAAAAD+t740=")</f>
        <v>#REF!</v>
      </c>
      <c r="EM126" t="e">
        <f>AND(#REF!,"AAAAAD+t744=")</f>
        <v>#REF!</v>
      </c>
      <c r="EN126" t="e">
        <f>AND(#REF!,"AAAAAD+t748=")</f>
        <v>#REF!</v>
      </c>
      <c r="EO126" t="e">
        <f>AND(#REF!,"AAAAAD+t75A=")</f>
        <v>#REF!</v>
      </c>
      <c r="EP126" t="e">
        <f>AND(#REF!,"AAAAAD+t75E=")</f>
        <v>#REF!</v>
      </c>
      <c r="EQ126" t="e">
        <f>AND(#REF!,"AAAAAD+t75I=")</f>
        <v>#REF!</v>
      </c>
      <c r="ER126" t="e">
        <f>AND(#REF!,"AAAAAD+t75M=")</f>
        <v>#REF!</v>
      </c>
      <c r="ES126" t="e">
        <f>AND(#REF!,"AAAAAD+t75Q=")</f>
        <v>#REF!</v>
      </c>
      <c r="ET126" t="e">
        <f>AND(#REF!,"AAAAAD+t75U=")</f>
        <v>#REF!</v>
      </c>
      <c r="EU126" t="e">
        <f>AND(#REF!,"AAAAAD+t75Y=")</f>
        <v>#REF!</v>
      </c>
      <c r="EV126" t="e">
        <f>AND(#REF!,"AAAAAD+t75c=")</f>
        <v>#REF!</v>
      </c>
      <c r="EW126" t="e">
        <f>AND(#REF!,"AAAAAD+t75g=")</f>
        <v>#REF!</v>
      </c>
      <c r="EX126" t="e">
        <f>AND(#REF!,"AAAAAD+t75k=")</f>
        <v>#REF!</v>
      </c>
      <c r="EY126" t="e">
        <f>AND(#REF!,"AAAAAD+t75o=")</f>
        <v>#REF!</v>
      </c>
      <c r="EZ126" t="e">
        <f>AND(#REF!,"AAAAAD+t75s=")</f>
        <v>#REF!</v>
      </c>
      <c r="FA126" t="e">
        <f>AND(#REF!,"AAAAAD+t75w=")</f>
        <v>#REF!</v>
      </c>
      <c r="FB126" t="e">
        <f>AND(#REF!,"AAAAAD+t750=")</f>
        <v>#REF!</v>
      </c>
      <c r="FC126" t="e">
        <f>AND(#REF!,"AAAAAD+t754=")</f>
        <v>#REF!</v>
      </c>
      <c r="FD126" t="e">
        <f>AND(#REF!,"AAAAAD+t758=")</f>
        <v>#REF!</v>
      </c>
      <c r="FE126" t="e">
        <f>AND(#REF!,"AAAAAD+t76A=")</f>
        <v>#REF!</v>
      </c>
      <c r="FF126" t="e">
        <f>AND(#REF!,"AAAAAD+t76E=")</f>
        <v>#REF!</v>
      </c>
      <c r="FG126" t="e">
        <f>AND(#REF!,"AAAAAD+t76I=")</f>
        <v>#REF!</v>
      </c>
      <c r="FH126" t="e">
        <f>AND(#REF!,"AAAAAD+t76M=")</f>
        <v>#REF!</v>
      </c>
      <c r="FI126" t="e">
        <f>AND(#REF!,"AAAAAD+t76Q=")</f>
        <v>#REF!</v>
      </c>
      <c r="FJ126" t="e">
        <f>AND(#REF!,"AAAAAD+t76U=")</f>
        <v>#REF!</v>
      </c>
      <c r="FK126" t="e">
        <f>AND(#REF!,"AAAAAD+t76Y=")</f>
        <v>#REF!</v>
      </c>
      <c r="FL126" t="e">
        <f>AND(#REF!,"AAAAAD+t76c=")</f>
        <v>#REF!</v>
      </c>
      <c r="FM126" t="e">
        <f>AND(#REF!,"AAAAAD+t76g=")</f>
        <v>#REF!</v>
      </c>
      <c r="FN126" t="e">
        <f>AND(#REF!,"AAAAAD+t76k=")</f>
        <v>#REF!</v>
      </c>
      <c r="FO126" t="e">
        <f>AND(#REF!,"AAAAAD+t76o=")</f>
        <v>#REF!</v>
      </c>
      <c r="FP126" t="e">
        <f>AND(#REF!,"AAAAAD+t76s=")</f>
        <v>#REF!</v>
      </c>
      <c r="FQ126" t="e">
        <f>AND(#REF!,"AAAAAD+t76w=")</f>
        <v>#REF!</v>
      </c>
      <c r="FR126" t="e">
        <f>AND(#REF!,"AAAAAD+t760=")</f>
        <v>#REF!</v>
      </c>
      <c r="FS126" t="e">
        <f>AND(#REF!,"AAAAAD+t764=")</f>
        <v>#REF!</v>
      </c>
      <c r="FT126" t="e">
        <f>AND(#REF!,"AAAAAD+t768=")</f>
        <v>#REF!</v>
      </c>
      <c r="FU126" t="e">
        <f>AND(#REF!,"AAAAAD+t77A=")</f>
        <v>#REF!</v>
      </c>
      <c r="FV126" t="e">
        <f>AND(#REF!,"AAAAAD+t77E=")</f>
        <v>#REF!</v>
      </c>
      <c r="FW126" t="e">
        <f>AND(#REF!,"AAAAAD+t77I=")</f>
        <v>#REF!</v>
      </c>
      <c r="FX126" t="e">
        <f>AND(#REF!,"AAAAAD+t77M=")</f>
        <v>#REF!</v>
      </c>
      <c r="FY126" t="e">
        <f>AND(#REF!,"AAAAAD+t77Q=")</f>
        <v>#REF!</v>
      </c>
      <c r="FZ126" t="e">
        <f>AND(#REF!,"AAAAAD+t77U=")</f>
        <v>#REF!</v>
      </c>
      <c r="GA126" t="e">
        <f>AND(#REF!,"AAAAAD+t77Y=")</f>
        <v>#REF!</v>
      </c>
      <c r="GB126" t="e">
        <f>AND(#REF!,"AAAAAD+t77c=")</f>
        <v>#REF!</v>
      </c>
      <c r="GC126" t="e">
        <f>AND(#REF!,"AAAAAD+t77g=")</f>
        <v>#REF!</v>
      </c>
      <c r="GD126" t="e">
        <f>AND(#REF!,"AAAAAD+t77k=")</f>
        <v>#REF!</v>
      </c>
      <c r="GE126" t="e">
        <f>AND(#REF!,"AAAAAD+t77o=")</f>
        <v>#REF!</v>
      </c>
      <c r="GF126" t="e">
        <f>AND(#REF!,"AAAAAD+t77s=")</f>
        <v>#REF!</v>
      </c>
      <c r="GG126" t="e">
        <f>AND(#REF!,"AAAAAD+t77w=")</f>
        <v>#REF!</v>
      </c>
      <c r="GH126" t="e">
        <f>AND(#REF!,"AAAAAD+t770=")</f>
        <v>#REF!</v>
      </c>
      <c r="GI126" t="e">
        <f>AND(#REF!,"AAAAAD+t774=")</f>
        <v>#REF!</v>
      </c>
      <c r="GJ126" t="e">
        <f>AND(#REF!,"AAAAAD+t778=")</f>
        <v>#REF!</v>
      </c>
      <c r="GK126" t="e">
        <f>AND(#REF!,"AAAAAD+t78A=")</f>
        <v>#REF!</v>
      </c>
      <c r="GL126" t="e">
        <f>AND(#REF!,"AAAAAD+t78E=")</f>
        <v>#REF!</v>
      </c>
      <c r="GM126" t="e">
        <f>AND(#REF!,"AAAAAD+t78I=")</f>
        <v>#REF!</v>
      </c>
      <c r="GN126" t="e">
        <f>AND(#REF!,"AAAAAD+t78M=")</f>
        <v>#REF!</v>
      </c>
      <c r="GO126" t="e">
        <f>AND(#REF!,"AAAAAD+t78Q=")</f>
        <v>#REF!</v>
      </c>
      <c r="GP126" t="e">
        <f>AND(#REF!,"AAAAAD+t78U=")</f>
        <v>#REF!</v>
      </c>
      <c r="GQ126" t="e">
        <f>AND(#REF!,"AAAAAD+t78Y=")</f>
        <v>#REF!</v>
      </c>
      <c r="GR126" t="e">
        <f>AND(#REF!,"AAAAAD+t78c=")</f>
        <v>#REF!</v>
      </c>
      <c r="GS126" t="e">
        <f>AND(#REF!,"AAAAAD+t78g=")</f>
        <v>#REF!</v>
      </c>
      <c r="GT126" t="e">
        <f>AND(#REF!,"AAAAAD+t78k=")</f>
        <v>#REF!</v>
      </c>
      <c r="GU126" t="e">
        <f>AND(#REF!,"AAAAAD+t78o=")</f>
        <v>#REF!</v>
      </c>
      <c r="GV126" t="e">
        <f>AND(#REF!,"AAAAAD+t78s=")</f>
        <v>#REF!</v>
      </c>
      <c r="GW126" t="e">
        <f>AND(#REF!,"AAAAAD+t78w=")</f>
        <v>#REF!</v>
      </c>
      <c r="GX126" t="e">
        <f>AND(#REF!,"AAAAAD+t780=")</f>
        <v>#REF!</v>
      </c>
      <c r="GY126" t="e">
        <f>AND(#REF!,"AAAAAD+t784=")</f>
        <v>#REF!</v>
      </c>
      <c r="GZ126" t="e">
        <f>AND(#REF!,"AAAAAD+t788=")</f>
        <v>#REF!</v>
      </c>
      <c r="HA126" t="e">
        <f>AND(#REF!,"AAAAAD+t79A=")</f>
        <v>#REF!</v>
      </c>
      <c r="HB126" t="e">
        <f>AND(#REF!,"AAAAAD+t79E=")</f>
        <v>#REF!</v>
      </c>
      <c r="HC126" t="e">
        <f>AND(#REF!,"AAAAAD+t79I=")</f>
        <v>#REF!</v>
      </c>
      <c r="HD126" t="e">
        <f>AND(#REF!,"AAAAAD+t79M=")</f>
        <v>#REF!</v>
      </c>
      <c r="HE126" t="e">
        <f>AND(#REF!,"AAAAAD+t79Q=")</f>
        <v>#REF!</v>
      </c>
      <c r="HF126" t="e">
        <f>AND(#REF!,"AAAAAD+t79U=")</f>
        <v>#REF!</v>
      </c>
      <c r="HG126" t="e">
        <f>AND(#REF!,"AAAAAD+t79Y=")</f>
        <v>#REF!</v>
      </c>
      <c r="HH126" t="e">
        <f>AND(#REF!,"AAAAAD+t79c=")</f>
        <v>#REF!</v>
      </c>
      <c r="HI126" t="e">
        <f>AND(#REF!,"AAAAAD+t79g=")</f>
        <v>#REF!</v>
      </c>
      <c r="HJ126" t="e">
        <f>AND(#REF!,"AAAAAD+t79k=")</f>
        <v>#REF!</v>
      </c>
      <c r="HK126" t="e">
        <f>AND(#REF!,"AAAAAD+t79o=")</f>
        <v>#REF!</v>
      </c>
      <c r="HL126" t="e">
        <f>AND(#REF!,"AAAAAD+t79s=")</f>
        <v>#REF!</v>
      </c>
      <c r="HM126" t="e">
        <f>AND(#REF!,"AAAAAD+t79w=")</f>
        <v>#REF!</v>
      </c>
      <c r="HN126" t="e">
        <f>AND(#REF!,"AAAAAD+t790=")</f>
        <v>#REF!</v>
      </c>
      <c r="HO126" t="e">
        <f>AND(#REF!,"AAAAAD+t794=")</f>
        <v>#REF!</v>
      </c>
      <c r="HP126" t="e">
        <f>AND(#REF!,"AAAAAD+t798=")</f>
        <v>#REF!</v>
      </c>
      <c r="HQ126" t="e">
        <f>AND(#REF!,"AAAAAD+t7+A=")</f>
        <v>#REF!</v>
      </c>
      <c r="HR126" t="e">
        <f>AND(#REF!,"AAAAAD+t7+E=")</f>
        <v>#REF!</v>
      </c>
      <c r="HS126" t="e">
        <f>AND(#REF!,"AAAAAD+t7+I=")</f>
        <v>#REF!</v>
      </c>
      <c r="HT126" t="e">
        <f>AND(#REF!,"AAAAAD+t7+M=")</f>
        <v>#REF!</v>
      </c>
      <c r="HU126" t="e">
        <f>AND(#REF!,"AAAAAD+t7+Q=")</f>
        <v>#REF!</v>
      </c>
      <c r="HV126" t="e">
        <f>AND(#REF!,"AAAAAD+t7+U=")</f>
        <v>#REF!</v>
      </c>
      <c r="HW126" t="e">
        <f>AND(#REF!,"AAAAAD+t7+Y=")</f>
        <v>#REF!</v>
      </c>
      <c r="HX126" t="e">
        <f>AND(#REF!,"AAAAAD+t7+c=")</f>
        <v>#REF!</v>
      </c>
      <c r="HY126" t="e">
        <f>AND(#REF!,"AAAAAD+t7+g=")</f>
        <v>#REF!</v>
      </c>
      <c r="HZ126" t="e">
        <f>AND(#REF!,"AAAAAD+t7+k=")</f>
        <v>#REF!</v>
      </c>
      <c r="IA126" t="e">
        <f>AND(#REF!,"AAAAAD+t7+o=")</f>
        <v>#REF!</v>
      </c>
      <c r="IB126" t="e">
        <f>AND(#REF!,"AAAAAD+t7+s=")</f>
        <v>#REF!</v>
      </c>
      <c r="IC126" t="e">
        <f>AND(#REF!,"AAAAAD+t7+w=")</f>
        <v>#REF!</v>
      </c>
      <c r="ID126" t="e">
        <f>AND(#REF!,"AAAAAD+t7+0=")</f>
        <v>#REF!</v>
      </c>
      <c r="IE126" t="e">
        <f>AND(#REF!,"AAAAAD+t7+4=")</f>
        <v>#REF!</v>
      </c>
      <c r="IF126" t="e">
        <f>AND(#REF!,"AAAAAD+t7+8=")</f>
        <v>#REF!</v>
      </c>
      <c r="IG126" t="e">
        <f>AND(#REF!,"AAAAAD+t7/A=")</f>
        <v>#REF!</v>
      </c>
      <c r="IH126" t="e">
        <f>AND(#REF!,"AAAAAD+t7/E=")</f>
        <v>#REF!</v>
      </c>
      <c r="II126" t="e">
        <f>AND(#REF!,"AAAAAD+t7/I=")</f>
        <v>#REF!</v>
      </c>
      <c r="IJ126" t="e">
        <f>AND(#REF!,"AAAAAD+t7/M=")</f>
        <v>#REF!</v>
      </c>
      <c r="IK126" t="e">
        <f>AND(#REF!,"AAAAAD+t7/Q=")</f>
        <v>#REF!</v>
      </c>
      <c r="IL126" t="e">
        <f>AND(#REF!,"AAAAAD+t7/U=")</f>
        <v>#REF!</v>
      </c>
      <c r="IM126" t="e">
        <f>AND(#REF!,"AAAAAD+t7/Y=")</f>
        <v>#REF!</v>
      </c>
      <c r="IN126" t="e">
        <f>AND(#REF!,"AAAAAD+t7/c=")</f>
        <v>#REF!</v>
      </c>
      <c r="IO126" t="e">
        <f>AND(#REF!,"AAAAAD+t7/g=")</f>
        <v>#REF!</v>
      </c>
      <c r="IP126" t="e">
        <f>AND(#REF!,"AAAAAD+t7/k=")</f>
        <v>#REF!</v>
      </c>
      <c r="IQ126" t="e">
        <f>AND(#REF!,"AAAAAD+t7/o=")</f>
        <v>#REF!</v>
      </c>
      <c r="IR126" t="e">
        <f>AND(#REF!,"AAAAAD+t7/s=")</f>
        <v>#REF!</v>
      </c>
      <c r="IS126" t="e">
        <f>AND(#REF!,"AAAAAD+t7/w=")</f>
        <v>#REF!</v>
      </c>
      <c r="IT126" t="e">
        <f>AND(#REF!,"AAAAAD+t7/0=")</f>
        <v>#REF!</v>
      </c>
      <c r="IU126" t="e">
        <f>AND(#REF!,"AAAAAD+t7/4=")</f>
        <v>#REF!</v>
      </c>
      <c r="IV126" t="e">
        <f>AND(#REF!,"AAAAAD+t7/8=")</f>
        <v>#REF!</v>
      </c>
    </row>
    <row r="127" spans="1:256" x14ac:dyDescent="0.25">
      <c r="A127" t="e">
        <f>AND(#REF!,"AAAAAC/PfwA=")</f>
        <v>#REF!</v>
      </c>
      <c r="B127" t="e">
        <f>AND(#REF!,"AAAAAC/PfwE=")</f>
        <v>#REF!</v>
      </c>
      <c r="C127" t="e">
        <f>AND(#REF!,"AAAAAC/PfwI=")</f>
        <v>#REF!</v>
      </c>
      <c r="D127" t="e">
        <f>AND(#REF!,"AAAAAC/PfwM=")</f>
        <v>#REF!</v>
      </c>
      <c r="E127" t="e">
        <f>AND(#REF!,"AAAAAC/PfwQ=")</f>
        <v>#REF!</v>
      </c>
      <c r="F127" t="e">
        <f>AND(#REF!,"AAAAAC/PfwU=")</f>
        <v>#REF!</v>
      </c>
      <c r="G127" t="e">
        <f>AND(#REF!,"AAAAAC/PfwY=")</f>
        <v>#REF!</v>
      </c>
      <c r="H127" t="e">
        <f>AND(#REF!,"AAAAAC/Pfwc=")</f>
        <v>#REF!</v>
      </c>
      <c r="I127" t="e">
        <f>AND(#REF!,"AAAAAC/Pfwg=")</f>
        <v>#REF!</v>
      </c>
      <c r="J127" t="e">
        <f>AND(#REF!,"AAAAAC/Pfwk=")</f>
        <v>#REF!</v>
      </c>
      <c r="K127" t="e">
        <f>AND(#REF!,"AAAAAC/Pfwo=")</f>
        <v>#REF!</v>
      </c>
      <c r="L127" t="e">
        <f>AND(#REF!,"AAAAAC/Pfws=")</f>
        <v>#REF!</v>
      </c>
      <c r="M127" t="e">
        <f>AND(#REF!,"AAAAAC/Pfww=")</f>
        <v>#REF!</v>
      </c>
      <c r="N127" t="e">
        <f>AND(#REF!,"AAAAAC/Pfw0=")</f>
        <v>#REF!</v>
      </c>
      <c r="O127" t="e">
        <f>AND(#REF!,"AAAAAC/Pfw4=")</f>
        <v>#REF!</v>
      </c>
      <c r="P127" t="e">
        <f>AND(#REF!,"AAAAAC/Pfw8=")</f>
        <v>#REF!</v>
      </c>
      <c r="Q127" t="e">
        <f>AND(#REF!,"AAAAAC/PfxA=")</f>
        <v>#REF!</v>
      </c>
      <c r="R127" t="e">
        <f>AND(#REF!,"AAAAAC/PfxE=")</f>
        <v>#REF!</v>
      </c>
      <c r="S127" t="e">
        <f>AND(#REF!,"AAAAAC/PfxI=")</f>
        <v>#REF!</v>
      </c>
      <c r="T127" t="e">
        <f>AND(#REF!,"AAAAAC/PfxM=")</f>
        <v>#REF!</v>
      </c>
      <c r="U127" t="e">
        <f>AND(#REF!,"AAAAAC/PfxQ=")</f>
        <v>#REF!</v>
      </c>
      <c r="V127" t="e">
        <f>AND(#REF!,"AAAAAC/PfxU=")</f>
        <v>#REF!</v>
      </c>
      <c r="W127" t="e">
        <f>AND(#REF!,"AAAAAC/PfxY=")</f>
        <v>#REF!</v>
      </c>
      <c r="X127" t="e">
        <f>AND(#REF!,"AAAAAC/Pfxc=")</f>
        <v>#REF!</v>
      </c>
      <c r="Y127" t="e">
        <f>AND(#REF!,"AAAAAC/Pfxg=")</f>
        <v>#REF!</v>
      </c>
      <c r="Z127" t="e">
        <f>AND(#REF!,"AAAAAC/Pfxk=")</f>
        <v>#REF!</v>
      </c>
      <c r="AA127" t="e">
        <f>AND(#REF!,"AAAAAC/Pfxo=")</f>
        <v>#REF!</v>
      </c>
      <c r="AB127" t="e">
        <f>AND(#REF!,"AAAAAC/Pfxs=")</f>
        <v>#REF!</v>
      </c>
      <c r="AC127" t="e">
        <f>IF(#REF!,"AAAAAC/Pfxw=",0)</f>
        <v>#REF!</v>
      </c>
      <c r="AD127" t="e">
        <f>AND(#REF!,"AAAAAC/Pfx0=")</f>
        <v>#REF!</v>
      </c>
      <c r="AE127" t="e">
        <f>AND(#REF!,"AAAAAC/Pfx4=")</f>
        <v>#REF!</v>
      </c>
      <c r="AF127" t="e">
        <f>AND(#REF!,"AAAAAC/Pfx8=")</f>
        <v>#REF!</v>
      </c>
      <c r="AG127" t="e">
        <f>AND(#REF!,"AAAAAC/PfyA=")</f>
        <v>#REF!</v>
      </c>
      <c r="AH127" t="e">
        <f>AND(#REF!,"AAAAAC/PfyE=")</f>
        <v>#REF!</v>
      </c>
      <c r="AI127" t="e">
        <f>AND(#REF!,"AAAAAC/PfyI=")</f>
        <v>#REF!</v>
      </c>
      <c r="AJ127" t="e">
        <f>AND(#REF!,"AAAAAC/PfyM=")</f>
        <v>#REF!</v>
      </c>
      <c r="AK127" t="e">
        <f>AND(#REF!,"AAAAAC/PfyQ=")</f>
        <v>#REF!</v>
      </c>
      <c r="AL127" t="e">
        <f>AND(#REF!,"AAAAAC/PfyU=")</f>
        <v>#REF!</v>
      </c>
      <c r="AM127" t="e">
        <f>AND(#REF!,"AAAAAC/PfyY=")</f>
        <v>#REF!</v>
      </c>
      <c r="AN127" t="e">
        <f>AND(#REF!,"AAAAAC/Pfyc=")</f>
        <v>#REF!</v>
      </c>
      <c r="AO127" t="e">
        <f>AND(#REF!,"AAAAAC/Pfyg=")</f>
        <v>#REF!</v>
      </c>
      <c r="AP127" t="e">
        <f>AND(#REF!,"AAAAAC/Pfyk=")</f>
        <v>#REF!</v>
      </c>
      <c r="AQ127" t="e">
        <f>AND(#REF!,"AAAAAC/Pfyo=")</f>
        <v>#REF!</v>
      </c>
      <c r="AR127" t="e">
        <f>AND(#REF!,"AAAAAC/Pfys=")</f>
        <v>#REF!</v>
      </c>
      <c r="AS127" t="e">
        <f>AND(#REF!,"AAAAAC/Pfyw=")</f>
        <v>#REF!</v>
      </c>
      <c r="AT127" t="e">
        <f>AND(#REF!,"AAAAAC/Pfy0=")</f>
        <v>#REF!</v>
      </c>
      <c r="AU127" t="e">
        <f>AND(#REF!,"AAAAAC/Pfy4=")</f>
        <v>#REF!</v>
      </c>
      <c r="AV127" t="e">
        <f>AND(#REF!,"AAAAAC/Pfy8=")</f>
        <v>#REF!</v>
      </c>
      <c r="AW127" t="e">
        <f>AND(#REF!,"AAAAAC/PfzA=")</f>
        <v>#REF!</v>
      </c>
      <c r="AX127" t="e">
        <f>AND(#REF!,"AAAAAC/PfzE=")</f>
        <v>#REF!</v>
      </c>
      <c r="AY127" t="e">
        <f>AND(#REF!,"AAAAAC/PfzI=")</f>
        <v>#REF!</v>
      </c>
      <c r="AZ127" t="e">
        <f>AND(#REF!,"AAAAAC/PfzM=")</f>
        <v>#REF!</v>
      </c>
      <c r="BA127" t="e">
        <f>AND(#REF!,"AAAAAC/PfzQ=")</f>
        <v>#REF!</v>
      </c>
      <c r="BB127" t="e">
        <f>AND(#REF!,"AAAAAC/PfzU=")</f>
        <v>#REF!</v>
      </c>
      <c r="BC127" t="e">
        <f>AND(#REF!,"AAAAAC/PfzY=")</f>
        <v>#REF!</v>
      </c>
      <c r="BD127" t="e">
        <f>AND(#REF!,"AAAAAC/Pfzc=")</f>
        <v>#REF!</v>
      </c>
      <c r="BE127" t="e">
        <f>AND(#REF!,"AAAAAC/Pfzg=")</f>
        <v>#REF!</v>
      </c>
      <c r="BF127" t="e">
        <f>AND(#REF!,"AAAAAC/Pfzk=")</f>
        <v>#REF!</v>
      </c>
      <c r="BG127" t="e">
        <f>AND(#REF!,"AAAAAC/Pfzo=")</f>
        <v>#REF!</v>
      </c>
      <c r="BH127" t="e">
        <f>AND(#REF!,"AAAAAC/Pfzs=")</f>
        <v>#REF!</v>
      </c>
      <c r="BI127" t="e">
        <f>AND(#REF!,"AAAAAC/Pfzw=")</f>
        <v>#REF!</v>
      </c>
      <c r="BJ127" t="e">
        <f>AND(#REF!,"AAAAAC/Pfz0=")</f>
        <v>#REF!</v>
      </c>
      <c r="BK127" t="e">
        <f>AND(#REF!,"AAAAAC/Pfz4=")</f>
        <v>#REF!</v>
      </c>
      <c r="BL127" t="e">
        <f>AND(#REF!,"AAAAAC/Pfz8=")</f>
        <v>#REF!</v>
      </c>
      <c r="BM127" t="e">
        <f>AND(#REF!,"AAAAAC/Pf0A=")</f>
        <v>#REF!</v>
      </c>
      <c r="BN127" t="e">
        <f>AND(#REF!,"AAAAAC/Pf0E=")</f>
        <v>#REF!</v>
      </c>
      <c r="BO127" t="e">
        <f>AND(#REF!,"AAAAAC/Pf0I=")</f>
        <v>#REF!</v>
      </c>
      <c r="BP127" t="e">
        <f>AND(#REF!,"AAAAAC/Pf0M=")</f>
        <v>#REF!</v>
      </c>
      <c r="BQ127" t="e">
        <f>AND(#REF!,"AAAAAC/Pf0Q=")</f>
        <v>#REF!</v>
      </c>
      <c r="BR127" t="e">
        <f>AND(#REF!,"AAAAAC/Pf0U=")</f>
        <v>#REF!</v>
      </c>
      <c r="BS127" t="e">
        <f>AND(#REF!,"AAAAAC/Pf0Y=")</f>
        <v>#REF!</v>
      </c>
      <c r="BT127" t="e">
        <f>AND(#REF!,"AAAAAC/Pf0c=")</f>
        <v>#REF!</v>
      </c>
      <c r="BU127" t="e">
        <f>AND(#REF!,"AAAAAC/Pf0g=")</f>
        <v>#REF!</v>
      </c>
      <c r="BV127" t="e">
        <f>AND(#REF!,"AAAAAC/Pf0k=")</f>
        <v>#REF!</v>
      </c>
      <c r="BW127" t="e">
        <f>AND(#REF!,"AAAAAC/Pf0o=")</f>
        <v>#REF!</v>
      </c>
      <c r="BX127" t="e">
        <f>AND(#REF!,"AAAAAC/Pf0s=")</f>
        <v>#REF!</v>
      </c>
      <c r="BY127" t="e">
        <f>AND(#REF!,"AAAAAC/Pf0w=")</f>
        <v>#REF!</v>
      </c>
      <c r="BZ127" t="e">
        <f>AND(#REF!,"AAAAAC/Pf00=")</f>
        <v>#REF!</v>
      </c>
      <c r="CA127" t="e">
        <f>AND(#REF!,"AAAAAC/Pf04=")</f>
        <v>#REF!</v>
      </c>
      <c r="CB127" t="e">
        <f>AND(#REF!,"AAAAAC/Pf08=")</f>
        <v>#REF!</v>
      </c>
      <c r="CC127" t="e">
        <f>AND(#REF!,"AAAAAC/Pf1A=")</f>
        <v>#REF!</v>
      </c>
      <c r="CD127" t="e">
        <f>AND(#REF!,"AAAAAC/Pf1E=")</f>
        <v>#REF!</v>
      </c>
      <c r="CE127" t="e">
        <f>AND(#REF!,"AAAAAC/Pf1I=")</f>
        <v>#REF!</v>
      </c>
      <c r="CF127" t="e">
        <f>AND(#REF!,"AAAAAC/Pf1M=")</f>
        <v>#REF!</v>
      </c>
      <c r="CG127" t="e">
        <f>AND(#REF!,"AAAAAC/Pf1Q=")</f>
        <v>#REF!</v>
      </c>
      <c r="CH127" t="e">
        <f>AND(#REF!,"AAAAAC/Pf1U=")</f>
        <v>#REF!</v>
      </c>
      <c r="CI127" t="e">
        <f>AND(#REF!,"AAAAAC/Pf1Y=")</f>
        <v>#REF!</v>
      </c>
      <c r="CJ127" t="e">
        <f>AND(#REF!,"AAAAAC/Pf1c=")</f>
        <v>#REF!</v>
      </c>
      <c r="CK127" t="e">
        <f>AND(#REF!,"AAAAAC/Pf1g=")</f>
        <v>#REF!</v>
      </c>
      <c r="CL127" t="e">
        <f>AND(#REF!,"AAAAAC/Pf1k=")</f>
        <v>#REF!</v>
      </c>
      <c r="CM127" t="e">
        <f>AND(#REF!,"AAAAAC/Pf1o=")</f>
        <v>#REF!</v>
      </c>
      <c r="CN127" t="e">
        <f>AND(#REF!,"AAAAAC/Pf1s=")</f>
        <v>#REF!</v>
      </c>
      <c r="CO127" t="e">
        <f>AND(#REF!,"AAAAAC/Pf1w=")</f>
        <v>#REF!</v>
      </c>
      <c r="CP127" t="e">
        <f>AND(#REF!,"AAAAAC/Pf10=")</f>
        <v>#REF!</v>
      </c>
      <c r="CQ127" t="e">
        <f>AND(#REF!,"AAAAAC/Pf14=")</f>
        <v>#REF!</v>
      </c>
      <c r="CR127" t="e">
        <f>AND(#REF!,"AAAAAC/Pf18=")</f>
        <v>#REF!</v>
      </c>
      <c r="CS127" t="e">
        <f>AND(#REF!,"AAAAAC/Pf2A=")</f>
        <v>#REF!</v>
      </c>
      <c r="CT127" t="e">
        <f>AND(#REF!,"AAAAAC/Pf2E=")</f>
        <v>#REF!</v>
      </c>
      <c r="CU127" t="e">
        <f>AND(#REF!,"AAAAAC/Pf2I=")</f>
        <v>#REF!</v>
      </c>
      <c r="CV127" t="e">
        <f>AND(#REF!,"AAAAAC/Pf2M=")</f>
        <v>#REF!</v>
      </c>
      <c r="CW127" t="e">
        <f>AND(#REF!,"AAAAAC/Pf2Q=")</f>
        <v>#REF!</v>
      </c>
      <c r="CX127" t="e">
        <f>AND(#REF!,"AAAAAC/Pf2U=")</f>
        <v>#REF!</v>
      </c>
      <c r="CY127" t="e">
        <f>AND(#REF!,"AAAAAC/Pf2Y=")</f>
        <v>#REF!</v>
      </c>
      <c r="CZ127" t="e">
        <f>AND(#REF!,"AAAAAC/Pf2c=")</f>
        <v>#REF!</v>
      </c>
      <c r="DA127" t="e">
        <f>AND(#REF!,"AAAAAC/Pf2g=")</f>
        <v>#REF!</v>
      </c>
      <c r="DB127" t="e">
        <f>AND(#REF!,"AAAAAC/Pf2k=")</f>
        <v>#REF!</v>
      </c>
      <c r="DC127" t="e">
        <f>AND(#REF!,"AAAAAC/Pf2o=")</f>
        <v>#REF!</v>
      </c>
      <c r="DD127" t="e">
        <f>AND(#REF!,"AAAAAC/Pf2s=")</f>
        <v>#REF!</v>
      </c>
      <c r="DE127" t="e">
        <f>AND(#REF!,"AAAAAC/Pf2w=")</f>
        <v>#REF!</v>
      </c>
      <c r="DF127" t="e">
        <f>AND(#REF!,"AAAAAC/Pf20=")</f>
        <v>#REF!</v>
      </c>
      <c r="DG127" t="e">
        <f>AND(#REF!,"AAAAAC/Pf24=")</f>
        <v>#REF!</v>
      </c>
      <c r="DH127" t="e">
        <f>AND(#REF!,"AAAAAC/Pf28=")</f>
        <v>#REF!</v>
      </c>
      <c r="DI127" t="e">
        <f>AND(#REF!,"AAAAAC/Pf3A=")</f>
        <v>#REF!</v>
      </c>
      <c r="DJ127" t="e">
        <f>AND(#REF!,"AAAAAC/Pf3E=")</f>
        <v>#REF!</v>
      </c>
      <c r="DK127" t="e">
        <f>AND(#REF!,"AAAAAC/Pf3I=")</f>
        <v>#REF!</v>
      </c>
      <c r="DL127" t="e">
        <f>AND(#REF!,"AAAAAC/Pf3M=")</f>
        <v>#REF!</v>
      </c>
      <c r="DM127" t="e">
        <f>AND(#REF!,"AAAAAC/Pf3Q=")</f>
        <v>#REF!</v>
      </c>
      <c r="DN127" t="e">
        <f>AND(#REF!,"AAAAAC/Pf3U=")</f>
        <v>#REF!</v>
      </c>
      <c r="DO127" t="e">
        <f>AND(#REF!,"AAAAAC/Pf3Y=")</f>
        <v>#REF!</v>
      </c>
      <c r="DP127" t="e">
        <f>AND(#REF!,"AAAAAC/Pf3c=")</f>
        <v>#REF!</v>
      </c>
      <c r="DQ127" t="e">
        <f>AND(#REF!,"AAAAAC/Pf3g=")</f>
        <v>#REF!</v>
      </c>
      <c r="DR127" t="e">
        <f>AND(#REF!,"AAAAAC/Pf3k=")</f>
        <v>#REF!</v>
      </c>
      <c r="DS127" t="e">
        <f>AND(#REF!,"AAAAAC/Pf3o=")</f>
        <v>#REF!</v>
      </c>
      <c r="DT127" t="e">
        <f>AND(#REF!,"AAAAAC/Pf3s=")</f>
        <v>#REF!</v>
      </c>
      <c r="DU127" t="e">
        <f>AND(#REF!,"AAAAAC/Pf3w=")</f>
        <v>#REF!</v>
      </c>
      <c r="DV127" t="e">
        <f>AND(#REF!,"AAAAAC/Pf30=")</f>
        <v>#REF!</v>
      </c>
      <c r="DW127" t="e">
        <f>AND(#REF!,"AAAAAC/Pf34=")</f>
        <v>#REF!</v>
      </c>
      <c r="DX127" t="e">
        <f>AND(#REF!,"AAAAAC/Pf38=")</f>
        <v>#REF!</v>
      </c>
      <c r="DY127" t="e">
        <f>AND(#REF!,"AAAAAC/Pf4A=")</f>
        <v>#REF!</v>
      </c>
      <c r="DZ127" t="e">
        <f>AND(#REF!,"AAAAAC/Pf4E=")</f>
        <v>#REF!</v>
      </c>
      <c r="EA127" t="e">
        <f>AND(#REF!,"AAAAAC/Pf4I=")</f>
        <v>#REF!</v>
      </c>
      <c r="EB127" t="e">
        <f>AND(#REF!,"AAAAAC/Pf4M=")</f>
        <v>#REF!</v>
      </c>
      <c r="EC127" t="e">
        <f>AND(#REF!,"AAAAAC/Pf4Q=")</f>
        <v>#REF!</v>
      </c>
      <c r="ED127" t="e">
        <f>AND(#REF!,"AAAAAC/Pf4U=")</f>
        <v>#REF!</v>
      </c>
      <c r="EE127" t="e">
        <f>AND(#REF!,"AAAAAC/Pf4Y=")</f>
        <v>#REF!</v>
      </c>
      <c r="EF127" t="e">
        <f>AND(#REF!,"AAAAAC/Pf4c=")</f>
        <v>#REF!</v>
      </c>
      <c r="EG127" t="e">
        <f>AND(#REF!,"AAAAAC/Pf4g=")</f>
        <v>#REF!</v>
      </c>
      <c r="EH127" t="e">
        <f>AND(#REF!,"AAAAAC/Pf4k=")</f>
        <v>#REF!</v>
      </c>
      <c r="EI127" t="e">
        <f>AND(#REF!,"AAAAAC/Pf4o=")</f>
        <v>#REF!</v>
      </c>
      <c r="EJ127" t="e">
        <f>AND(#REF!,"AAAAAC/Pf4s=")</f>
        <v>#REF!</v>
      </c>
      <c r="EK127" t="e">
        <f>AND(#REF!,"AAAAAC/Pf4w=")</f>
        <v>#REF!</v>
      </c>
      <c r="EL127" t="e">
        <f>AND(#REF!,"AAAAAC/Pf40=")</f>
        <v>#REF!</v>
      </c>
      <c r="EM127" t="e">
        <f>AND(#REF!,"AAAAAC/Pf44=")</f>
        <v>#REF!</v>
      </c>
      <c r="EN127" t="e">
        <f>AND(#REF!,"AAAAAC/Pf48=")</f>
        <v>#REF!</v>
      </c>
      <c r="EO127" t="e">
        <f>AND(#REF!,"AAAAAC/Pf5A=")</f>
        <v>#REF!</v>
      </c>
      <c r="EP127" t="e">
        <f>AND(#REF!,"AAAAAC/Pf5E=")</f>
        <v>#REF!</v>
      </c>
      <c r="EQ127" t="e">
        <f>AND(#REF!,"AAAAAC/Pf5I=")</f>
        <v>#REF!</v>
      </c>
      <c r="ER127" t="e">
        <f>AND(#REF!,"AAAAAC/Pf5M=")</f>
        <v>#REF!</v>
      </c>
      <c r="ES127" t="e">
        <f>AND(#REF!,"AAAAAC/Pf5Q=")</f>
        <v>#REF!</v>
      </c>
      <c r="ET127" t="e">
        <f>AND(#REF!,"AAAAAC/Pf5U=")</f>
        <v>#REF!</v>
      </c>
      <c r="EU127" t="e">
        <f>AND(#REF!,"AAAAAC/Pf5Y=")</f>
        <v>#REF!</v>
      </c>
      <c r="EV127" t="e">
        <f>AND(#REF!,"AAAAAC/Pf5c=")</f>
        <v>#REF!</v>
      </c>
      <c r="EW127" t="e">
        <f>AND(#REF!,"AAAAAC/Pf5g=")</f>
        <v>#REF!</v>
      </c>
      <c r="EX127" t="e">
        <f>AND(#REF!,"AAAAAC/Pf5k=")</f>
        <v>#REF!</v>
      </c>
      <c r="EY127" t="e">
        <f>AND(#REF!,"AAAAAC/Pf5o=")</f>
        <v>#REF!</v>
      </c>
      <c r="EZ127" t="e">
        <f>AND(#REF!,"AAAAAC/Pf5s=")</f>
        <v>#REF!</v>
      </c>
      <c r="FA127" t="e">
        <f>AND(#REF!,"AAAAAC/Pf5w=")</f>
        <v>#REF!</v>
      </c>
      <c r="FB127" t="e">
        <f>AND(#REF!,"AAAAAC/Pf50=")</f>
        <v>#REF!</v>
      </c>
      <c r="FC127" t="e">
        <f>AND(#REF!,"AAAAAC/Pf54=")</f>
        <v>#REF!</v>
      </c>
      <c r="FD127" t="e">
        <f>AND(#REF!,"AAAAAC/Pf58=")</f>
        <v>#REF!</v>
      </c>
      <c r="FE127" t="e">
        <f>AND(#REF!,"AAAAAC/Pf6A=")</f>
        <v>#REF!</v>
      </c>
      <c r="FF127" t="e">
        <f>AND(#REF!,"AAAAAC/Pf6E=")</f>
        <v>#REF!</v>
      </c>
      <c r="FG127" t="e">
        <f>AND(#REF!,"AAAAAC/Pf6I=")</f>
        <v>#REF!</v>
      </c>
      <c r="FH127" t="e">
        <f>AND(#REF!,"AAAAAC/Pf6M=")</f>
        <v>#REF!</v>
      </c>
      <c r="FI127" t="e">
        <f>AND(#REF!,"AAAAAC/Pf6Q=")</f>
        <v>#REF!</v>
      </c>
      <c r="FJ127" t="e">
        <f>AND(#REF!,"AAAAAC/Pf6U=")</f>
        <v>#REF!</v>
      </c>
      <c r="FK127" t="e">
        <f>AND(#REF!,"AAAAAC/Pf6Y=")</f>
        <v>#REF!</v>
      </c>
      <c r="FL127" t="e">
        <f>AND(#REF!,"AAAAAC/Pf6c=")</f>
        <v>#REF!</v>
      </c>
      <c r="FM127" t="e">
        <f>AND(#REF!,"AAAAAC/Pf6g=")</f>
        <v>#REF!</v>
      </c>
      <c r="FN127" t="e">
        <f>AND(#REF!,"AAAAAC/Pf6k=")</f>
        <v>#REF!</v>
      </c>
      <c r="FO127" t="e">
        <f>AND(#REF!,"AAAAAC/Pf6o=")</f>
        <v>#REF!</v>
      </c>
      <c r="FP127" t="e">
        <f>AND(#REF!,"AAAAAC/Pf6s=")</f>
        <v>#REF!</v>
      </c>
      <c r="FQ127" t="e">
        <f>AND(#REF!,"AAAAAC/Pf6w=")</f>
        <v>#REF!</v>
      </c>
      <c r="FR127" t="e">
        <f>AND(#REF!,"AAAAAC/Pf60=")</f>
        <v>#REF!</v>
      </c>
      <c r="FS127" t="e">
        <f>AND(#REF!,"AAAAAC/Pf64=")</f>
        <v>#REF!</v>
      </c>
      <c r="FT127" t="e">
        <f>AND(#REF!,"AAAAAC/Pf68=")</f>
        <v>#REF!</v>
      </c>
      <c r="FU127" t="e">
        <f>AND(#REF!,"AAAAAC/Pf7A=")</f>
        <v>#REF!</v>
      </c>
      <c r="FV127" t="e">
        <f>AND(#REF!,"AAAAAC/Pf7E=")</f>
        <v>#REF!</v>
      </c>
      <c r="FW127" t="e">
        <f>AND(#REF!,"AAAAAC/Pf7I=")</f>
        <v>#REF!</v>
      </c>
      <c r="FX127" t="e">
        <f>AND(#REF!,"AAAAAC/Pf7M=")</f>
        <v>#REF!</v>
      </c>
      <c r="FY127" t="e">
        <f>AND(#REF!,"AAAAAC/Pf7Q=")</f>
        <v>#REF!</v>
      </c>
      <c r="FZ127" t="e">
        <f>AND(#REF!,"AAAAAC/Pf7U=")</f>
        <v>#REF!</v>
      </c>
      <c r="GA127" t="e">
        <f>AND(#REF!,"AAAAAC/Pf7Y=")</f>
        <v>#REF!</v>
      </c>
      <c r="GB127" t="e">
        <f>AND(#REF!,"AAAAAC/Pf7c=")</f>
        <v>#REF!</v>
      </c>
      <c r="GC127" t="e">
        <f>AND(#REF!,"AAAAAC/Pf7g=")</f>
        <v>#REF!</v>
      </c>
      <c r="GD127" t="e">
        <f>AND(#REF!,"AAAAAC/Pf7k=")</f>
        <v>#REF!</v>
      </c>
      <c r="GE127" t="e">
        <f>AND(#REF!,"AAAAAC/Pf7o=")</f>
        <v>#REF!</v>
      </c>
      <c r="GF127" t="e">
        <f>AND(#REF!,"AAAAAC/Pf7s=")</f>
        <v>#REF!</v>
      </c>
      <c r="GG127" t="e">
        <f>AND(#REF!,"AAAAAC/Pf7w=")</f>
        <v>#REF!</v>
      </c>
      <c r="GH127" t="e">
        <f>AND(#REF!,"AAAAAC/Pf70=")</f>
        <v>#REF!</v>
      </c>
      <c r="GI127" t="e">
        <f>AND(#REF!,"AAAAAC/Pf74=")</f>
        <v>#REF!</v>
      </c>
      <c r="GJ127" t="e">
        <f>AND(#REF!,"AAAAAC/Pf78=")</f>
        <v>#REF!</v>
      </c>
      <c r="GK127" t="e">
        <f>AND(#REF!,"AAAAAC/Pf8A=")</f>
        <v>#REF!</v>
      </c>
      <c r="GL127" t="e">
        <f>AND(#REF!,"AAAAAC/Pf8E=")</f>
        <v>#REF!</v>
      </c>
      <c r="GM127" t="e">
        <f>AND(#REF!,"AAAAAC/Pf8I=")</f>
        <v>#REF!</v>
      </c>
      <c r="GN127" t="e">
        <f>AND(#REF!,"AAAAAC/Pf8M=")</f>
        <v>#REF!</v>
      </c>
      <c r="GO127" t="e">
        <f>AND(#REF!,"AAAAAC/Pf8Q=")</f>
        <v>#REF!</v>
      </c>
      <c r="GP127" t="e">
        <f>AND(#REF!,"AAAAAC/Pf8U=")</f>
        <v>#REF!</v>
      </c>
      <c r="GQ127" t="e">
        <f>AND(#REF!,"AAAAAC/Pf8Y=")</f>
        <v>#REF!</v>
      </c>
      <c r="GR127" t="e">
        <f>AND(#REF!,"AAAAAC/Pf8c=")</f>
        <v>#REF!</v>
      </c>
      <c r="GS127" t="e">
        <f>AND(#REF!,"AAAAAC/Pf8g=")</f>
        <v>#REF!</v>
      </c>
      <c r="GT127" t="e">
        <f>AND(#REF!,"AAAAAC/Pf8k=")</f>
        <v>#REF!</v>
      </c>
      <c r="GU127" t="e">
        <f>AND(#REF!,"AAAAAC/Pf8o=")</f>
        <v>#REF!</v>
      </c>
      <c r="GV127" t="e">
        <f>AND(#REF!,"AAAAAC/Pf8s=")</f>
        <v>#REF!</v>
      </c>
      <c r="GW127" t="e">
        <f>AND(#REF!,"AAAAAC/Pf8w=")</f>
        <v>#REF!</v>
      </c>
      <c r="GX127" t="e">
        <f>AND(#REF!,"AAAAAC/Pf80=")</f>
        <v>#REF!</v>
      </c>
      <c r="GY127" t="e">
        <f>AND(#REF!,"AAAAAC/Pf84=")</f>
        <v>#REF!</v>
      </c>
      <c r="GZ127" t="e">
        <f>AND(#REF!,"AAAAAC/Pf88=")</f>
        <v>#REF!</v>
      </c>
      <c r="HA127" t="e">
        <f>AND(#REF!,"AAAAAC/Pf9A=")</f>
        <v>#REF!</v>
      </c>
      <c r="HB127" t="e">
        <f>AND(#REF!,"AAAAAC/Pf9E=")</f>
        <v>#REF!</v>
      </c>
      <c r="HC127" t="e">
        <f>AND(#REF!,"AAAAAC/Pf9I=")</f>
        <v>#REF!</v>
      </c>
      <c r="HD127" t="e">
        <f>AND(#REF!,"AAAAAC/Pf9M=")</f>
        <v>#REF!</v>
      </c>
      <c r="HE127" t="e">
        <f>AND(#REF!,"AAAAAC/Pf9Q=")</f>
        <v>#REF!</v>
      </c>
      <c r="HF127" t="e">
        <f>AND(#REF!,"AAAAAC/Pf9U=")</f>
        <v>#REF!</v>
      </c>
      <c r="HG127" t="e">
        <f>AND(#REF!,"AAAAAC/Pf9Y=")</f>
        <v>#REF!</v>
      </c>
      <c r="HH127" t="e">
        <f>AND(#REF!,"AAAAAC/Pf9c=")</f>
        <v>#REF!</v>
      </c>
      <c r="HI127" t="e">
        <f>AND(#REF!,"AAAAAC/Pf9g=")</f>
        <v>#REF!</v>
      </c>
      <c r="HJ127" t="e">
        <f>IF(#REF!,"AAAAAC/Pf9k=",0)</f>
        <v>#REF!</v>
      </c>
      <c r="HK127" t="e">
        <f>AND(#REF!,"AAAAAC/Pf9o=")</f>
        <v>#REF!</v>
      </c>
      <c r="HL127" t="e">
        <f>AND(#REF!,"AAAAAC/Pf9s=")</f>
        <v>#REF!</v>
      </c>
      <c r="HM127" t="e">
        <f>AND(#REF!,"AAAAAC/Pf9w=")</f>
        <v>#REF!</v>
      </c>
      <c r="HN127" t="e">
        <f>AND(#REF!,"AAAAAC/Pf90=")</f>
        <v>#REF!</v>
      </c>
      <c r="HO127" t="e">
        <f>AND(#REF!,"AAAAAC/Pf94=")</f>
        <v>#REF!</v>
      </c>
      <c r="HP127" t="e">
        <f>AND(#REF!,"AAAAAC/Pf98=")</f>
        <v>#REF!</v>
      </c>
      <c r="HQ127" t="e">
        <f>AND(#REF!,"AAAAAC/Pf+A=")</f>
        <v>#REF!</v>
      </c>
      <c r="HR127" t="e">
        <f>AND(#REF!,"AAAAAC/Pf+E=")</f>
        <v>#REF!</v>
      </c>
      <c r="HS127" t="e">
        <f>AND(#REF!,"AAAAAC/Pf+I=")</f>
        <v>#REF!</v>
      </c>
      <c r="HT127" t="e">
        <f>AND(#REF!,"AAAAAC/Pf+M=")</f>
        <v>#REF!</v>
      </c>
      <c r="HU127" t="e">
        <f>AND(#REF!,"AAAAAC/Pf+Q=")</f>
        <v>#REF!</v>
      </c>
      <c r="HV127" t="e">
        <f>AND(#REF!,"AAAAAC/Pf+U=")</f>
        <v>#REF!</v>
      </c>
      <c r="HW127" t="e">
        <f>AND(#REF!,"AAAAAC/Pf+Y=")</f>
        <v>#REF!</v>
      </c>
      <c r="HX127" t="e">
        <f>AND(#REF!,"AAAAAC/Pf+c=")</f>
        <v>#REF!</v>
      </c>
      <c r="HY127" t="e">
        <f>AND(#REF!,"AAAAAC/Pf+g=")</f>
        <v>#REF!</v>
      </c>
      <c r="HZ127" t="e">
        <f>AND(#REF!,"AAAAAC/Pf+k=")</f>
        <v>#REF!</v>
      </c>
      <c r="IA127" t="e">
        <f>AND(#REF!,"AAAAAC/Pf+o=")</f>
        <v>#REF!</v>
      </c>
      <c r="IB127" t="e">
        <f>AND(#REF!,"AAAAAC/Pf+s=")</f>
        <v>#REF!</v>
      </c>
      <c r="IC127" t="e">
        <f>AND(#REF!,"AAAAAC/Pf+w=")</f>
        <v>#REF!</v>
      </c>
      <c r="ID127" t="e">
        <f>AND(#REF!,"AAAAAC/Pf+0=")</f>
        <v>#REF!</v>
      </c>
      <c r="IE127" t="e">
        <f>AND(#REF!,"AAAAAC/Pf+4=")</f>
        <v>#REF!</v>
      </c>
      <c r="IF127" t="e">
        <f>AND(#REF!,"AAAAAC/Pf+8=")</f>
        <v>#REF!</v>
      </c>
      <c r="IG127" t="e">
        <f>AND(#REF!,"AAAAAC/Pf/A=")</f>
        <v>#REF!</v>
      </c>
      <c r="IH127" t="e">
        <f>AND(#REF!,"AAAAAC/Pf/E=")</f>
        <v>#REF!</v>
      </c>
      <c r="II127" t="e">
        <f>AND(#REF!,"AAAAAC/Pf/I=")</f>
        <v>#REF!</v>
      </c>
      <c r="IJ127" t="e">
        <f>AND(#REF!,"AAAAAC/Pf/M=")</f>
        <v>#REF!</v>
      </c>
      <c r="IK127" t="e">
        <f>AND(#REF!,"AAAAAC/Pf/Q=")</f>
        <v>#REF!</v>
      </c>
      <c r="IL127" t="e">
        <f>AND(#REF!,"AAAAAC/Pf/U=")</f>
        <v>#REF!</v>
      </c>
      <c r="IM127" t="e">
        <f>AND(#REF!,"AAAAAC/Pf/Y=")</f>
        <v>#REF!</v>
      </c>
      <c r="IN127" t="e">
        <f>AND(#REF!,"AAAAAC/Pf/c=")</f>
        <v>#REF!</v>
      </c>
      <c r="IO127" t="e">
        <f>AND(#REF!,"AAAAAC/Pf/g=")</f>
        <v>#REF!</v>
      </c>
      <c r="IP127" t="e">
        <f>AND(#REF!,"AAAAAC/Pf/k=")</f>
        <v>#REF!</v>
      </c>
      <c r="IQ127" t="e">
        <f>AND(#REF!,"AAAAAC/Pf/o=")</f>
        <v>#REF!</v>
      </c>
      <c r="IR127" t="e">
        <f>AND(#REF!,"AAAAAC/Pf/s=")</f>
        <v>#REF!</v>
      </c>
      <c r="IS127" t="e">
        <f>AND(#REF!,"AAAAAC/Pf/w=")</f>
        <v>#REF!</v>
      </c>
      <c r="IT127" t="e">
        <f>AND(#REF!,"AAAAAC/Pf/0=")</f>
        <v>#REF!</v>
      </c>
      <c r="IU127" t="e">
        <f>AND(#REF!,"AAAAAC/Pf/4=")</f>
        <v>#REF!</v>
      </c>
      <c r="IV127" t="e">
        <f>AND(#REF!,"AAAAAC/Pf/8=")</f>
        <v>#REF!</v>
      </c>
    </row>
    <row r="128" spans="1:256" x14ac:dyDescent="0.25">
      <c r="A128" t="e">
        <f>AND(#REF!,"AAAAAC5/vwA=")</f>
        <v>#REF!</v>
      </c>
      <c r="B128" t="e">
        <f>AND(#REF!,"AAAAAC5/vwE=")</f>
        <v>#REF!</v>
      </c>
      <c r="C128" t="e">
        <f>AND(#REF!,"AAAAAC5/vwI=")</f>
        <v>#REF!</v>
      </c>
      <c r="D128" t="e">
        <f>AND(#REF!,"AAAAAC5/vwM=")</f>
        <v>#REF!</v>
      </c>
      <c r="E128" t="e">
        <f>AND(#REF!,"AAAAAC5/vwQ=")</f>
        <v>#REF!</v>
      </c>
      <c r="F128" t="e">
        <f>AND(#REF!,"AAAAAC5/vwU=")</f>
        <v>#REF!</v>
      </c>
      <c r="G128" t="e">
        <f>AND(#REF!,"AAAAAC5/vwY=")</f>
        <v>#REF!</v>
      </c>
      <c r="H128" t="e">
        <f>AND(#REF!,"AAAAAC5/vwc=")</f>
        <v>#REF!</v>
      </c>
      <c r="I128" t="e">
        <f>AND(#REF!,"AAAAAC5/vwg=")</f>
        <v>#REF!</v>
      </c>
      <c r="J128" t="e">
        <f>AND(#REF!,"AAAAAC5/vwk=")</f>
        <v>#REF!</v>
      </c>
      <c r="K128" t="e">
        <f>AND(#REF!,"AAAAAC5/vwo=")</f>
        <v>#REF!</v>
      </c>
      <c r="L128" t="e">
        <f>AND(#REF!,"AAAAAC5/vws=")</f>
        <v>#REF!</v>
      </c>
      <c r="M128" t="e">
        <f>AND(#REF!,"AAAAAC5/vww=")</f>
        <v>#REF!</v>
      </c>
      <c r="N128" t="e">
        <f>AND(#REF!,"AAAAAC5/vw0=")</f>
        <v>#REF!</v>
      </c>
      <c r="O128" t="e">
        <f>AND(#REF!,"AAAAAC5/vw4=")</f>
        <v>#REF!</v>
      </c>
      <c r="P128" t="e">
        <f>AND(#REF!,"AAAAAC5/vw8=")</f>
        <v>#REF!</v>
      </c>
      <c r="Q128" t="e">
        <f>AND(#REF!,"AAAAAC5/vxA=")</f>
        <v>#REF!</v>
      </c>
      <c r="R128" t="e">
        <f>AND(#REF!,"AAAAAC5/vxE=")</f>
        <v>#REF!</v>
      </c>
      <c r="S128" t="e">
        <f>AND(#REF!,"AAAAAC5/vxI=")</f>
        <v>#REF!</v>
      </c>
      <c r="T128" t="e">
        <f>AND(#REF!,"AAAAAC5/vxM=")</f>
        <v>#REF!</v>
      </c>
      <c r="U128" t="e">
        <f>AND(#REF!,"AAAAAC5/vxQ=")</f>
        <v>#REF!</v>
      </c>
      <c r="V128" t="e">
        <f>AND(#REF!,"AAAAAC5/vxU=")</f>
        <v>#REF!</v>
      </c>
      <c r="W128" t="e">
        <f>AND(#REF!,"AAAAAC5/vxY=")</f>
        <v>#REF!</v>
      </c>
      <c r="X128" t="e">
        <f>AND(#REF!,"AAAAAC5/vxc=")</f>
        <v>#REF!</v>
      </c>
      <c r="Y128" t="e">
        <f>AND(#REF!,"AAAAAC5/vxg=")</f>
        <v>#REF!</v>
      </c>
      <c r="Z128" t="e">
        <f>AND(#REF!,"AAAAAC5/vxk=")</f>
        <v>#REF!</v>
      </c>
      <c r="AA128" t="e">
        <f>AND(#REF!,"AAAAAC5/vxo=")</f>
        <v>#REF!</v>
      </c>
      <c r="AB128" t="e">
        <f>AND(#REF!,"AAAAAC5/vxs=")</f>
        <v>#REF!</v>
      </c>
      <c r="AC128" t="e">
        <f>AND(#REF!,"AAAAAC5/vxw=")</f>
        <v>#REF!</v>
      </c>
      <c r="AD128" t="e">
        <f>AND(#REF!,"AAAAAC5/vx0=")</f>
        <v>#REF!</v>
      </c>
      <c r="AE128" t="e">
        <f>AND(#REF!,"AAAAAC5/vx4=")</f>
        <v>#REF!</v>
      </c>
      <c r="AF128" t="e">
        <f>AND(#REF!,"AAAAAC5/vx8=")</f>
        <v>#REF!</v>
      </c>
      <c r="AG128" t="e">
        <f>AND(#REF!,"AAAAAC5/vyA=")</f>
        <v>#REF!</v>
      </c>
      <c r="AH128" t="e">
        <f>AND(#REF!,"AAAAAC5/vyE=")</f>
        <v>#REF!</v>
      </c>
      <c r="AI128" t="e">
        <f>AND(#REF!,"AAAAAC5/vyI=")</f>
        <v>#REF!</v>
      </c>
      <c r="AJ128" t="e">
        <f>AND(#REF!,"AAAAAC5/vyM=")</f>
        <v>#REF!</v>
      </c>
      <c r="AK128" t="e">
        <f>AND(#REF!,"AAAAAC5/vyQ=")</f>
        <v>#REF!</v>
      </c>
      <c r="AL128" t="e">
        <f>AND(#REF!,"AAAAAC5/vyU=")</f>
        <v>#REF!</v>
      </c>
      <c r="AM128" t="e">
        <f>AND(#REF!,"AAAAAC5/vyY=")</f>
        <v>#REF!</v>
      </c>
      <c r="AN128" t="e">
        <f>AND(#REF!,"AAAAAC5/vyc=")</f>
        <v>#REF!</v>
      </c>
      <c r="AO128" t="e">
        <f>AND(#REF!,"AAAAAC5/vyg=")</f>
        <v>#REF!</v>
      </c>
      <c r="AP128" t="e">
        <f>AND(#REF!,"AAAAAC5/vyk=")</f>
        <v>#REF!</v>
      </c>
      <c r="AQ128" t="e">
        <f>AND(#REF!,"AAAAAC5/vyo=")</f>
        <v>#REF!</v>
      </c>
      <c r="AR128" t="e">
        <f>AND(#REF!,"AAAAAC5/vys=")</f>
        <v>#REF!</v>
      </c>
      <c r="AS128" t="e">
        <f>AND(#REF!,"AAAAAC5/vyw=")</f>
        <v>#REF!</v>
      </c>
      <c r="AT128" t="e">
        <f>AND(#REF!,"AAAAAC5/vy0=")</f>
        <v>#REF!</v>
      </c>
      <c r="AU128" t="e">
        <f>AND(#REF!,"AAAAAC5/vy4=")</f>
        <v>#REF!</v>
      </c>
      <c r="AV128" t="e">
        <f>AND(#REF!,"AAAAAC5/vy8=")</f>
        <v>#REF!</v>
      </c>
      <c r="AW128" t="e">
        <f>AND(#REF!,"AAAAAC5/vzA=")</f>
        <v>#REF!</v>
      </c>
      <c r="AX128" t="e">
        <f>AND(#REF!,"AAAAAC5/vzE=")</f>
        <v>#REF!</v>
      </c>
      <c r="AY128" t="e">
        <f>AND(#REF!,"AAAAAC5/vzI=")</f>
        <v>#REF!</v>
      </c>
      <c r="AZ128" t="e">
        <f>AND(#REF!,"AAAAAC5/vzM=")</f>
        <v>#REF!</v>
      </c>
      <c r="BA128" t="e">
        <f>AND(#REF!,"AAAAAC5/vzQ=")</f>
        <v>#REF!</v>
      </c>
      <c r="BB128" t="e">
        <f>AND(#REF!,"AAAAAC5/vzU=")</f>
        <v>#REF!</v>
      </c>
      <c r="BC128" t="e">
        <f>AND(#REF!,"AAAAAC5/vzY=")</f>
        <v>#REF!</v>
      </c>
      <c r="BD128" t="e">
        <f>AND(#REF!,"AAAAAC5/vzc=")</f>
        <v>#REF!</v>
      </c>
      <c r="BE128" t="e">
        <f>AND(#REF!,"AAAAAC5/vzg=")</f>
        <v>#REF!</v>
      </c>
      <c r="BF128" t="e">
        <f>AND(#REF!,"AAAAAC5/vzk=")</f>
        <v>#REF!</v>
      </c>
      <c r="BG128" t="e">
        <f>AND(#REF!,"AAAAAC5/vzo=")</f>
        <v>#REF!</v>
      </c>
      <c r="BH128" t="e">
        <f>AND(#REF!,"AAAAAC5/vzs=")</f>
        <v>#REF!</v>
      </c>
      <c r="BI128" t="e">
        <f>AND(#REF!,"AAAAAC5/vzw=")</f>
        <v>#REF!</v>
      </c>
      <c r="BJ128" t="e">
        <f>AND(#REF!,"AAAAAC5/vz0=")</f>
        <v>#REF!</v>
      </c>
      <c r="BK128" t="e">
        <f>AND(#REF!,"AAAAAC5/vz4=")</f>
        <v>#REF!</v>
      </c>
      <c r="BL128" t="e">
        <f>AND(#REF!,"AAAAAC5/vz8=")</f>
        <v>#REF!</v>
      </c>
      <c r="BM128" t="e">
        <f>AND(#REF!,"AAAAAC5/v0A=")</f>
        <v>#REF!</v>
      </c>
      <c r="BN128" t="e">
        <f>AND(#REF!,"AAAAAC5/v0E=")</f>
        <v>#REF!</v>
      </c>
      <c r="BO128" t="e">
        <f>AND(#REF!,"AAAAAC5/v0I=")</f>
        <v>#REF!</v>
      </c>
      <c r="BP128" t="e">
        <f>AND(#REF!,"AAAAAC5/v0M=")</f>
        <v>#REF!</v>
      </c>
      <c r="BQ128" t="e">
        <f>AND(#REF!,"AAAAAC5/v0Q=")</f>
        <v>#REF!</v>
      </c>
      <c r="BR128" t="e">
        <f>AND(#REF!,"AAAAAC5/v0U=")</f>
        <v>#REF!</v>
      </c>
      <c r="BS128" t="e">
        <f>AND(#REF!,"AAAAAC5/v0Y=")</f>
        <v>#REF!</v>
      </c>
      <c r="BT128" t="e">
        <f>AND(#REF!,"AAAAAC5/v0c=")</f>
        <v>#REF!</v>
      </c>
      <c r="BU128" t="e">
        <f>AND(#REF!,"AAAAAC5/v0g=")</f>
        <v>#REF!</v>
      </c>
      <c r="BV128" t="e">
        <f>AND(#REF!,"AAAAAC5/v0k=")</f>
        <v>#REF!</v>
      </c>
      <c r="BW128" t="e">
        <f>AND(#REF!,"AAAAAC5/v0o=")</f>
        <v>#REF!</v>
      </c>
      <c r="BX128" t="e">
        <f>AND(#REF!,"AAAAAC5/v0s=")</f>
        <v>#REF!</v>
      </c>
      <c r="BY128" t="e">
        <f>AND(#REF!,"AAAAAC5/v0w=")</f>
        <v>#REF!</v>
      </c>
      <c r="BZ128" t="e">
        <f>AND(#REF!,"AAAAAC5/v00=")</f>
        <v>#REF!</v>
      </c>
      <c r="CA128" t="e">
        <f>AND(#REF!,"AAAAAC5/v04=")</f>
        <v>#REF!</v>
      </c>
      <c r="CB128" t="e">
        <f>AND(#REF!,"AAAAAC5/v08=")</f>
        <v>#REF!</v>
      </c>
      <c r="CC128" t="e">
        <f>AND(#REF!,"AAAAAC5/v1A=")</f>
        <v>#REF!</v>
      </c>
      <c r="CD128" t="e">
        <f>AND(#REF!,"AAAAAC5/v1E=")</f>
        <v>#REF!</v>
      </c>
      <c r="CE128" t="e">
        <f>AND(#REF!,"AAAAAC5/v1I=")</f>
        <v>#REF!</v>
      </c>
      <c r="CF128" t="e">
        <f>AND(#REF!,"AAAAAC5/v1M=")</f>
        <v>#REF!</v>
      </c>
      <c r="CG128" t="e">
        <f>AND(#REF!,"AAAAAC5/v1Q=")</f>
        <v>#REF!</v>
      </c>
      <c r="CH128" t="e">
        <f>AND(#REF!,"AAAAAC5/v1U=")</f>
        <v>#REF!</v>
      </c>
      <c r="CI128" t="e">
        <f>AND(#REF!,"AAAAAC5/v1Y=")</f>
        <v>#REF!</v>
      </c>
      <c r="CJ128" t="e">
        <f>AND(#REF!,"AAAAAC5/v1c=")</f>
        <v>#REF!</v>
      </c>
      <c r="CK128" t="e">
        <f>AND(#REF!,"AAAAAC5/v1g=")</f>
        <v>#REF!</v>
      </c>
      <c r="CL128" t="e">
        <f>AND(#REF!,"AAAAAC5/v1k=")</f>
        <v>#REF!</v>
      </c>
      <c r="CM128" t="e">
        <f>AND(#REF!,"AAAAAC5/v1o=")</f>
        <v>#REF!</v>
      </c>
      <c r="CN128" t="e">
        <f>AND(#REF!,"AAAAAC5/v1s=")</f>
        <v>#REF!</v>
      </c>
      <c r="CO128" t="e">
        <f>AND(#REF!,"AAAAAC5/v1w=")</f>
        <v>#REF!</v>
      </c>
      <c r="CP128" t="e">
        <f>AND(#REF!,"AAAAAC5/v10=")</f>
        <v>#REF!</v>
      </c>
      <c r="CQ128" t="e">
        <f>AND(#REF!,"AAAAAC5/v14=")</f>
        <v>#REF!</v>
      </c>
      <c r="CR128" t="e">
        <f>AND(#REF!,"AAAAAC5/v18=")</f>
        <v>#REF!</v>
      </c>
      <c r="CS128" t="e">
        <f>AND(#REF!,"AAAAAC5/v2A=")</f>
        <v>#REF!</v>
      </c>
      <c r="CT128" t="e">
        <f>AND(#REF!,"AAAAAC5/v2E=")</f>
        <v>#REF!</v>
      </c>
      <c r="CU128" t="e">
        <f>AND(#REF!,"AAAAAC5/v2I=")</f>
        <v>#REF!</v>
      </c>
      <c r="CV128" t="e">
        <f>AND(#REF!,"AAAAAC5/v2M=")</f>
        <v>#REF!</v>
      </c>
      <c r="CW128" t="e">
        <f>AND(#REF!,"AAAAAC5/v2Q=")</f>
        <v>#REF!</v>
      </c>
      <c r="CX128" t="e">
        <f>AND(#REF!,"AAAAAC5/v2U=")</f>
        <v>#REF!</v>
      </c>
      <c r="CY128" t="e">
        <f>AND(#REF!,"AAAAAC5/v2Y=")</f>
        <v>#REF!</v>
      </c>
      <c r="CZ128" t="e">
        <f>AND(#REF!,"AAAAAC5/v2c=")</f>
        <v>#REF!</v>
      </c>
      <c r="DA128" t="e">
        <f>AND(#REF!,"AAAAAC5/v2g=")</f>
        <v>#REF!</v>
      </c>
      <c r="DB128" t="e">
        <f>AND(#REF!,"AAAAAC5/v2k=")</f>
        <v>#REF!</v>
      </c>
      <c r="DC128" t="e">
        <f>AND(#REF!,"AAAAAC5/v2o=")</f>
        <v>#REF!</v>
      </c>
      <c r="DD128" t="e">
        <f>AND(#REF!,"AAAAAC5/v2s=")</f>
        <v>#REF!</v>
      </c>
      <c r="DE128" t="e">
        <f>AND(#REF!,"AAAAAC5/v2w=")</f>
        <v>#REF!</v>
      </c>
      <c r="DF128" t="e">
        <f>AND(#REF!,"AAAAAC5/v20=")</f>
        <v>#REF!</v>
      </c>
      <c r="DG128" t="e">
        <f>AND(#REF!,"AAAAAC5/v24=")</f>
        <v>#REF!</v>
      </c>
      <c r="DH128" t="e">
        <f>AND(#REF!,"AAAAAC5/v28=")</f>
        <v>#REF!</v>
      </c>
      <c r="DI128" t="e">
        <f>AND(#REF!,"AAAAAC5/v3A=")</f>
        <v>#REF!</v>
      </c>
      <c r="DJ128" t="e">
        <f>AND(#REF!,"AAAAAC5/v3E=")</f>
        <v>#REF!</v>
      </c>
      <c r="DK128" t="e">
        <f>AND(#REF!,"AAAAAC5/v3I=")</f>
        <v>#REF!</v>
      </c>
      <c r="DL128" t="e">
        <f>AND(#REF!,"AAAAAC5/v3M=")</f>
        <v>#REF!</v>
      </c>
      <c r="DM128" t="e">
        <f>AND(#REF!,"AAAAAC5/v3Q=")</f>
        <v>#REF!</v>
      </c>
      <c r="DN128" t="e">
        <f>AND(#REF!,"AAAAAC5/v3U=")</f>
        <v>#REF!</v>
      </c>
      <c r="DO128" t="e">
        <f>AND(#REF!,"AAAAAC5/v3Y=")</f>
        <v>#REF!</v>
      </c>
      <c r="DP128" t="e">
        <f>AND(#REF!,"AAAAAC5/v3c=")</f>
        <v>#REF!</v>
      </c>
      <c r="DQ128" t="e">
        <f>AND(#REF!,"AAAAAC5/v3g=")</f>
        <v>#REF!</v>
      </c>
      <c r="DR128" t="e">
        <f>AND(#REF!,"AAAAAC5/v3k=")</f>
        <v>#REF!</v>
      </c>
      <c r="DS128" t="e">
        <f>AND(#REF!,"AAAAAC5/v3o=")</f>
        <v>#REF!</v>
      </c>
      <c r="DT128" t="e">
        <f>AND(#REF!,"AAAAAC5/v3s=")</f>
        <v>#REF!</v>
      </c>
      <c r="DU128" t="e">
        <f>AND(#REF!,"AAAAAC5/v3w=")</f>
        <v>#REF!</v>
      </c>
      <c r="DV128" t="e">
        <f>AND(#REF!,"AAAAAC5/v30=")</f>
        <v>#REF!</v>
      </c>
      <c r="DW128" t="e">
        <f>AND(#REF!,"AAAAAC5/v34=")</f>
        <v>#REF!</v>
      </c>
      <c r="DX128" t="e">
        <f>AND(#REF!,"AAAAAC5/v38=")</f>
        <v>#REF!</v>
      </c>
      <c r="DY128" t="e">
        <f>AND(#REF!,"AAAAAC5/v4A=")</f>
        <v>#REF!</v>
      </c>
      <c r="DZ128" t="e">
        <f>AND(#REF!,"AAAAAC5/v4E=")</f>
        <v>#REF!</v>
      </c>
      <c r="EA128" t="e">
        <f>AND(#REF!,"AAAAAC5/v4I=")</f>
        <v>#REF!</v>
      </c>
      <c r="EB128" t="e">
        <f>AND(#REF!,"AAAAAC5/v4M=")</f>
        <v>#REF!</v>
      </c>
      <c r="EC128" t="e">
        <f>AND(#REF!,"AAAAAC5/v4Q=")</f>
        <v>#REF!</v>
      </c>
      <c r="ED128" t="e">
        <f>AND(#REF!,"AAAAAC5/v4U=")</f>
        <v>#REF!</v>
      </c>
      <c r="EE128" t="e">
        <f>AND(#REF!,"AAAAAC5/v4Y=")</f>
        <v>#REF!</v>
      </c>
      <c r="EF128" t="e">
        <f>AND(#REF!,"AAAAAC5/v4c=")</f>
        <v>#REF!</v>
      </c>
      <c r="EG128" t="e">
        <f>AND(#REF!,"AAAAAC5/v4g=")</f>
        <v>#REF!</v>
      </c>
      <c r="EH128" t="e">
        <f>AND(#REF!,"AAAAAC5/v4k=")</f>
        <v>#REF!</v>
      </c>
      <c r="EI128" t="e">
        <f>AND(#REF!,"AAAAAC5/v4o=")</f>
        <v>#REF!</v>
      </c>
      <c r="EJ128" t="e">
        <f>AND(#REF!,"AAAAAC5/v4s=")</f>
        <v>#REF!</v>
      </c>
      <c r="EK128" t="e">
        <f>AND(#REF!,"AAAAAC5/v4w=")</f>
        <v>#REF!</v>
      </c>
      <c r="EL128" t="e">
        <f>AND(#REF!,"AAAAAC5/v40=")</f>
        <v>#REF!</v>
      </c>
      <c r="EM128" t="e">
        <f>AND(#REF!,"AAAAAC5/v44=")</f>
        <v>#REF!</v>
      </c>
      <c r="EN128" t="e">
        <f>AND(#REF!,"AAAAAC5/v48=")</f>
        <v>#REF!</v>
      </c>
      <c r="EO128" t="e">
        <f>AND(#REF!,"AAAAAC5/v5A=")</f>
        <v>#REF!</v>
      </c>
      <c r="EP128" t="e">
        <f>AND(#REF!,"AAAAAC5/v5E=")</f>
        <v>#REF!</v>
      </c>
      <c r="EQ128" t="e">
        <f>AND(#REF!,"AAAAAC5/v5I=")</f>
        <v>#REF!</v>
      </c>
      <c r="ER128" t="e">
        <f>AND(#REF!,"AAAAAC5/v5M=")</f>
        <v>#REF!</v>
      </c>
      <c r="ES128" t="e">
        <f>AND(#REF!,"AAAAAC5/v5Q=")</f>
        <v>#REF!</v>
      </c>
      <c r="ET128" t="e">
        <f>AND(#REF!,"AAAAAC5/v5U=")</f>
        <v>#REF!</v>
      </c>
      <c r="EU128" t="e">
        <f>IF(#REF!,"AAAAAC5/v5Y=",0)</f>
        <v>#REF!</v>
      </c>
      <c r="EV128" t="e">
        <f>AND(#REF!,"AAAAAC5/v5c=")</f>
        <v>#REF!</v>
      </c>
      <c r="EW128" t="e">
        <f>AND(#REF!,"AAAAAC5/v5g=")</f>
        <v>#REF!</v>
      </c>
      <c r="EX128" t="e">
        <f>AND(#REF!,"AAAAAC5/v5k=")</f>
        <v>#REF!</v>
      </c>
      <c r="EY128" t="e">
        <f>AND(#REF!,"AAAAAC5/v5o=")</f>
        <v>#REF!</v>
      </c>
      <c r="EZ128" t="e">
        <f>AND(#REF!,"AAAAAC5/v5s=")</f>
        <v>#REF!</v>
      </c>
      <c r="FA128" t="e">
        <f>AND(#REF!,"AAAAAC5/v5w=")</f>
        <v>#REF!</v>
      </c>
      <c r="FB128" t="e">
        <f>AND(#REF!,"AAAAAC5/v50=")</f>
        <v>#REF!</v>
      </c>
      <c r="FC128" t="e">
        <f>AND(#REF!,"AAAAAC5/v54=")</f>
        <v>#REF!</v>
      </c>
      <c r="FD128" t="e">
        <f>AND(#REF!,"AAAAAC5/v58=")</f>
        <v>#REF!</v>
      </c>
      <c r="FE128" t="e">
        <f>AND(#REF!,"AAAAAC5/v6A=")</f>
        <v>#REF!</v>
      </c>
      <c r="FF128" t="e">
        <f>AND(#REF!,"AAAAAC5/v6E=")</f>
        <v>#REF!</v>
      </c>
      <c r="FG128" t="e">
        <f>AND(#REF!,"AAAAAC5/v6I=")</f>
        <v>#REF!</v>
      </c>
      <c r="FH128" t="e">
        <f>AND(#REF!,"AAAAAC5/v6M=")</f>
        <v>#REF!</v>
      </c>
      <c r="FI128" t="e">
        <f>AND(#REF!,"AAAAAC5/v6Q=")</f>
        <v>#REF!</v>
      </c>
      <c r="FJ128" t="e">
        <f>AND(#REF!,"AAAAAC5/v6U=")</f>
        <v>#REF!</v>
      </c>
      <c r="FK128" t="e">
        <f>AND(#REF!,"AAAAAC5/v6Y=")</f>
        <v>#REF!</v>
      </c>
      <c r="FL128" t="e">
        <f>AND(#REF!,"AAAAAC5/v6c=")</f>
        <v>#REF!</v>
      </c>
      <c r="FM128" t="e">
        <f>AND(#REF!,"AAAAAC5/v6g=")</f>
        <v>#REF!</v>
      </c>
      <c r="FN128" t="e">
        <f>AND(#REF!,"AAAAAC5/v6k=")</f>
        <v>#REF!</v>
      </c>
      <c r="FO128" t="e">
        <f>AND(#REF!,"AAAAAC5/v6o=")</f>
        <v>#REF!</v>
      </c>
      <c r="FP128" t="e">
        <f>AND(#REF!,"AAAAAC5/v6s=")</f>
        <v>#REF!</v>
      </c>
      <c r="FQ128" t="e">
        <f>AND(#REF!,"AAAAAC5/v6w=")</f>
        <v>#REF!</v>
      </c>
      <c r="FR128" t="e">
        <f>AND(#REF!,"AAAAAC5/v60=")</f>
        <v>#REF!</v>
      </c>
      <c r="FS128" t="e">
        <f>AND(#REF!,"AAAAAC5/v64=")</f>
        <v>#REF!</v>
      </c>
      <c r="FT128" t="e">
        <f>AND(#REF!,"AAAAAC5/v68=")</f>
        <v>#REF!</v>
      </c>
      <c r="FU128" t="e">
        <f>AND(#REF!,"AAAAAC5/v7A=")</f>
        <v>#REF!</v>
      </c>
      <c r="FV128" t="e">
        <f>AND(#REF!,"AAAAAC5/v7E=")</f>
        <v>#REF!</v>
      </c>
      <c r="FW128" t="e">
        <f>AND(#REF!,"AAAAAC5/v7I=")</f>
        <v>#REF!</v>
      </c>
      <c r="FX128" t="e">
        <f>AND(#REF!,"AAAAAC5/v7M=")</f>
        <v>#REF!</v>
      </c>
      <c r="FY128" t="e">
        <f>AND(#REF!,"AAAAAC5/v7Q=")</f>
        <v>#REF!</v>
      </c>
      <c r="FZ128" t="e">
        <f>AND(#REF!,"AAAAAC5/v7U=")</f>
        <v>#REF!</v>
      </c>
      <c r="GA128" t="e">
        <f>AND(#REF!,"AAAAAC5/v7Y=")</f>
        <v>#REF!</v>
      </c>
      <c r="GB128" t="e">
        <f>AND(#REF!,"AAAAAC5/v7c=")</f>
        <v>#REF!</v>
      </c>
      <c r="GC128" t="e">
        <f>AND(#REF!,"AAAAAC5/v7g=")</f>
        <v>#REF!</v>
      </c>
      <c r="GD128" t="e">
        <f>AND(#REF!,"AAAAAC5/v7k=")</f>
        <v>#REF!</v>
      </c>
      <c r="GE128" t="e">
        <f>AND(#REF!,"AAAAAC5/v7o=")</f>
        <v>#REF!</v>
      </c>
      <c r="GF128" t="e">
        <f>AND(#REF!,"AAAAAC5/v7s=")</f>
        <v>#REF!</v>
      </c>
      <c r="GG128" t="e">
        <f>AND(#REF!,"AAAAAC5/v7w=")</f>
        <v>#REF!</v>
      </c>
      <c r="GH128" t="e">
        <f>AND(#REF!,"AAAAAC5/v70=")</f>
        <v>#REF!</v>
      </c>
      <c r="GI128" t="e">
        <f>AND(#REF!,"AAAAAC5/v74=")</f>
        <v>#REF!</v>
      </c>
      <c r="GJ128" t="e">
        <f>AND(#REF!,"AAAAAC5/v78=")</f>
        <v>#REF!</v>
      </c>
      <c r="GK128" t="e">
        <f>AND(#REF!,"AAAAAC5/v8A=")</f>
        <v>#REF!</v>
      </c>
      <c r="GL128" t="e">
        <f>AND(#REF!,"AAAAAC5/v8E=")</f>
        <v>#REF!</v>
      </c>
      <c r="GM128" t="e">
        <f>AND(#REF!,"AAAAAC5/v8I=")</f>
        <v>#REF!</v>
      </c>
      <c r="GN128" t="e">
        <f>AND(#REF!,"AAAAAC5/v8M=")</f>
        <v>#REF!</v>
      </c>
      <c r="GO128" t="e">
        <f>AND(#REF!,"AAAAAC5/v8Q=")</f>
        <v>#REF!</v>
      </c>
      <c r="GP128" t="e">
        <f>AND(#REF!,"AAAAAC5/v8U=")</f>
        <v>#REF!</v>
      </c>
      <c r="GQ128" t="e">
        <f>AND(#REF!,"AAAAAC5/v8Y=")</f>
        <v>#REF!</v>
      </c>
      <c r="GR128" t="e">
        <f>AND(#REF!,"AAAAAC5/v8c=")</f>
        <v>#REF!</v>
      </c>
      <c r="GS128" t="e">
        <f>AND(#REF!,"AAAAAC5/v8g=")</f>
        <v>#REF!</v>
      </c>
      <c r="GT128" t="e">
        <f>AND(#REF!,"AAAAAC5/v8k=")</f>
        <v>#REF!</v>
      </c>
      <c r="GU128" t="e">
        <f>AND(#REF!,"AAAAAC5/v8o=")</f>
        <v>#REF!</v>
      </c>
      <c r="GV128" t="e">
        <f>AND(#REF!,"AAAAAC5/v8s=")</f>
        <v>#REF!</v>
      </c>
      <c r="GW128" t="e">
        <f>AND(#REF!,"AAAAAC5/v8w=")</f>
        <v>#REF!</v>
      </c>
      <c r="GX128" t="e">
        <f>AND(#REF!,"AAAAAC5/v80=")</f>
        <v>#REF!</v>
      </c>
      <c r="GY128" t="e">
        <f>AND(#REF!,"AAAAAC5/v84=")</f>
        <v>#REF!</v>
      </c>
      <c r="GZ128" t="e">
        <f>AND(#REF!,"AAAAAC5/v88=")</f>
        <v>#REF!</v>
      </c>
      <c r="HA128" t="e">
        <f>AND(#REF!,"AAAAAC5/v9A=")</f>
        <v>#REF!</v>
      </c>
      <c r="HB128" t="e">
        <f>AND(#REF!,"AAAAAC5/v9E=")</f>
        <v>#REF!</v>
      </c>
      <c r="HC128" t="e">
        <f>AND(#REF!,"AAAAAC5/v9I=")</f>
        <v>#REF!</v>
      </c>
      <c r="HD128" t="e">
        <f>AND(#REF!,"AAAAAC5/v9M=")</f>
        <v>#REF!</v>
      </c>
      <c r="HE128" t="e">
        <f>AND(#REF!,"AAAAAC5/v9Q=")</f>
        <v>#REF!</v>
      </c>
      <c r="HF128" t="e">
        <f>AND(#REF!,"AAAAAC5/v9U=")</f>
        <v>#REF!</v>
      </c>
      <c r="HG128" t="e">
        <f>AND(#REF!,"AAAAAC5/v9Y=")</f>
        <v>#REF!</v>
      </c>
      <c r="HH128" t="e">
        <f>AND(#REF!,"AAAAAC5/v9c=")</f>
        <v>#REF!</v>
      </c>
      <c r="HI128" t="e">
        <f>AND(#REF!,"AAAAAC5/v9g=")</f>
        <v>#REF!</v>
      </c>
      <c r="HJ128" t="e">
        <f>AND(#REF!,"AAAAAC5/v9k=")</f>
        <v>#REF!</v>
      </c>
      <c r="HK128" t="e">
        <f>AND(#REF!,"AAAAAC5/v9o=")</f>
        <v>#REF!</v>
      </c>
      <c r="HL128" t="e">
        <f>AND(#REF!,"AAAAAC5/v9s=")</f>
        <v>#REF!</v>
      </c>
      <c r="HM128" t="e">
        <f>AND(#REF!,"AAAAAC5/v9w=")</f>
        <v>#REF!</v>
      </c>
      <c r="HN128" t="e">
        <f>AND(#REF!,"AAAAAC5/v90=")</f>
        <v>#REF!</v>
      </c>
      <c r="HO128" t="e">
        <f>AND(#REF!,"AAAAAC5/v94=")</f>
        <v>#REF!</v>
      </c>
      <c r="HP128" t="e">
        <f>AND(#REF!,"AAAAAC5/v98=")</f>
        <v>#REF!</v>
      </c>
      <c r="HQ128" t="e">
        <f>AND(#REF!,"AAAAAC5/v+A=")</f>
        <v>#REF!</v>
      </c>
      <c r="HR128" t="e">
        <f>AND(#REF!,"AAAAAC5/v+E=")</f>
        <v>#REF!</v>
      </c>
      <c r="HS128" t="e">
        <f>AND(#REF!,"AAAAAC5/v+I=")</f>
        <v>#REF!</v>
      </c>
      <c r="HT128" t="e">
        <f>AND(#REF!,"AAAAAC5/v+M=")</f>
        <v>#REF!</v>
      </c>
      <c r="HU128" t="e">
        <f>AND(#REF!,"AAAAAC5/v+Q=")</f>
        <v>#REF!</v>
      </c>
      <c r="HV128" t="e">
        <f>AND(#REF!,"AAAAAC5/v+U=")</f>
        <v>#REF!</v>
      </c>
      <c r="HW128" t="e">
        <f>AND(#REF!,"AAAAAC5/v+Y=")</f>
        <v>#REF!</v>
      </c>
      <c r="HX128" t="e">
        <f>AND(#REF!,"AAAAAC5/v+c=")</f>
        <v>#REF!</v>
      </c>
      <c r="HY128" t="e">
        <f>AND(#REF!,"AAAAAC5/v+g=")</f>
        <v>#REF!</v>
      </c>
      <c r="HZ128" t="e">
        <f>AND(#REF!,"AAAAAC5/v+k=")</f>
        <v>#REF!</v>
      </c>
      <c r="IA128" t="e">
        <f>AND(#REF!,"AAAAAC5/v+o=")</f>
        <v>#REF!</v>
      </c>
      <c r="IB128" t="e">
        <f>AND(#REF!,"AAAAAC5/v+s=")</f>
        <v>#REF!</v>
      </c>
      <c r="IC128" t="e">
        <f>AND(#REF!,"AAAAAC5/v+w=")</f>
        <v>#REF!</v>
      </c>
      <c r="ID128" t="e">
        <f>AND(#REF!,"AAAAAC5/v+0=")</f>
        <v>#REF!</v>
      </c>
      <c r="IE128" t="e">
        <f>AND(#REF!,"AAAAAC5/v+4=")</f>
        <v>#REF!</v>
      </c>
      <c r="IF128" t="e">
        <f>AND(#REF!,"AAAAAC5/v+8=")</f>
        <v>#REF!</v>
      </c>
      <c r="IG128" t="e">
        <f>AND(#REF!,"AAAAAC5/v/A=")</f>
        <v>#REF!</v>
      </c>
      <c r="IH128" t="e">
        <f>AND(#REF!,"AAAAAC5/v/E=")</f>
        <v>#REF!</v>
      </c>
      <c r="II128" t="e">
        <f>AND(#REF!,"AAAAAC5/v/I=")</f>
        <v>#REF!</v>
      </c>
      <c r="IJ128" t="e">
        <f>AND(#REF!,"AAAAAC5/v/M=")</f>
        <v>#REF!</v>
      </c>
      <c r="IK128" t="e">
        <f>AND(#REF!,"AAAAAC5/v/Q=")</f>
        <v>#REF!</v>
      </c>
      <c r="IL128" t="e">
        <f>AND(#REF!,"AAAAAC5/v/U=")</f>
        <v>#REF!</v>
      </c>
      <c r="IM128" t="e">
        <f>AND(#REF!,"AAAAAC5/v/Y=")</f>
        <v>#REF!</v>
      </c>
      <c r="IN128" t="e">
        <f>AND(#REF!,"AAAAAC5/v/c=")</f>
        <v>#REF!</v>
      </c>
      <c r="IO128" t="e">
        <f>AND(#REF!,"AAAAAC5/v/g=")</f>
        <v>#REF!</v>
      </c>
      <c r="IP128" t="e">
        <f>AND(#REF!,"AAAAAC5/v/k=")</f>
        <v>#REF!</v>
      </c>
      <c r="IQ128" t="e">
        <f>AND(#REF!,"AAAAAC5/v/o=")</f>
        <v>#REF!</v>
      </c>
      <c r="IR128" t="e">
        <f>AND(#REF!,"AAAAAC5/v/s=")</f>
        <v>#REF!</v>
      </c>
      <c r="IS128" t="e">
        <f>AND(#REF!,"AAAAAC5/v/w=")</f>
        <v>#REF!</v>
      </c>
      <c r="IT128" t="e">
        <f>AND(#REF!,"AAAAAC5/v/0=")</f>
        <v>#REF!</v>
      </c>
      <c r="IU128" t="e">
        <f>AND(#REF!,"AAAAAC5/v/4=")</f>
        <v>#REF!</v>
      </c>
      <c r="IV128" t="e">
        <f>AND(#REF!,"AAAAAC5/v/8=")</f>
        <v>#REF!</v>
      </c>
    </row>
    <row r="129" spans="1:256" x14ac:dyDescent="0.25">
      <c r="A129" t="e">
        <f>AND(#REF!,"AAAAAE/87gA=")</f>
        <v>#REF!</v>
      </c>
      <c r="B129" t="e">
        <f>AND(#REF!,"AAAAAE/87gE=")</f>
        <v>#REF!</v>
      </c>
      <c r="C129" t="e">
        <f>AND(#REF!,"AAAAAE/87gI=")</f>
        <v>#REF!</v>
      </c>
      <c r="D129" t="e">
        <f>AND(#REF!,"AAAAAE/87gM=")</f>
        <v>#REF!</v>
      </c>
      <c r="E129" t="e">
        <f>AND(#REF!,"AAAAAE/87gQ=")</f>
        <v>#REF!</v>
      </c>
      <c r="F129" t="e">
        <f>AND(#REF!,"AAAAAE/87gU=")</f>
        <v>#REF!</v>
      </c>
      <c r="G129" t="e">
        <f>AND(#REF!,"AAAAAE/87gY=")</f>
        <v>#REF!</v>
      </c>
      <c r="H129" t="e">
        <f>AND(#REF!,"AAAAAE/87gc=")</f>
        <v>#REF!</v>
      </c>
      <c r="I129" t="e">
        <f>AND(#REF!,"AAAAAE/87gg=")</f>
        <v>#REF!</v>
      </c>
      <c r="J129" t="e">
        <f>AND(#REF!,"AAAAAE/87gk=")</f>
        <v>#REF!</v>
      </c>
      <c r="K129" t="e">
        <f>AND(#REF!,"AAAAAE/87go=")</f>
        <v>#REF!</v>
      </c>
      <c r="L129" t="e">
        <f>AND(#REF!,"AAAAAE/87gs=")</f>
        <v>#REF!</v>
      </c>
      <c r="M129" t="e">
        <f>AND(#REF!,"AAAAAE/87gw=")</f>
        <v>#REF!</v>
      </c>
      <c r="N129" t="e">
        <f>AND(#REF!,"AAAAAE/87g0=")</f>
        <v>#REF!</v>
      </c>
      <c r="O129" t="e">
        <f>AND(#REF!,"AAAAAE/87g4=")</f>
        <v>#REF!</v>
      </c>
      <c r="P129" t="e">
        <f>AND(#REF!,"AAAAAE/87g8=")</f>
        <v>#REF!</v>
      </c>
      <c r="Q129" t="e">
        <f>AND(#REF!,"AAAAAE/87hA=")</f>
        <v>#REF!</v>
      </c>
      <c r="R129" t="e">
        <f>AND(#REF!,"AAAAAE/87hE=")</f>
        <v>#REF!</v>
      </c>
      <c r="S129" t="e">
        <f>AND(#REF!,"AAAAAE/87hI=")</f>
        <v>#REF!</v>
      </c>
      <c r="T129" t="e">
        <f>AND(#REF!,"AAAAAE/87hM=")</f>
        <v>#REF!</v>
      </c>
      <c r="U129" t="e">
        <f>AND(#REF!,"AAAAAE/87hQ=")</f>
        <v>#REF!</v>
      </c>
      <c r="V129" t="e">
        <f>AND(#REF!,"AAAAAE/87hU=")</f>
        <v>#REF!</v>
      </c>
      <c r="W129" t="e">
        <f>AND(#REF!,"AAAAAE/87hY=")</f>
        <v>#REF!</v>
      </c>
      <c r="X129" t="e">
        <f>AND(#REF!,"AAAAAE/87hc=")</f>
        <v>#REF!</v>
      </c>
      <c r="Y129" t="e">
        <f>AND(#REF!,"AAAAAE/87hg=")</f>
        <v>#REF!</v>
      </c>
      <c r="Z129" t="e">
        <f>AND(#REF!,"AAAAAE/87hk=")</f>
        <v>#REF!</v>
      </c>
      <c r="AA129" t="e">
        <f>AND(#REF!,"AAAAAE/87ho=")</f>
        <v>#REF!</v>
      </c>
      <c r="AB129" t="e">
        <f>AND(#REF!,"AAAAAE/87hs=")</f>
        <v>#REF!</v>
      </c>
      <c r="AC129" t="e">
        <f>AND(#REF!,"AAAAAE/87hw=")</f>
        <v>#REF!</v>
      </c>
      <c r="AD129" t="e">
        <f>AND(#REF!,"AAAAAE/87h0=")</f>
        <v>#REF!</v>
      </c>
      <c r="AE129" t="e">
        <f>AND(#REF!,"AAAAAE/87h4=")</f>
        <v>#REF!</v>
      </c>
      <c r="AF129" t="e">
        <f>AND(#REF!,"AAAAAE/87h8=")</f>
        <v>#REF!</v>
      </c>
      <c r="AG129" t="e">
        <f>AND(#REF!,"AAAAAE/87iA=")</f>
        <v>#REF!</v>
      </c>
      <c r="AH129" t="e">
        <f>AND(#REF!,"AAAAAE/87iE=")</f>
        <v>#REF!</v>
      </c>
      <c r="AI129" t="e">
        <f>AND(#REF!,"AAAAAE/87iI=")</f>
        <v>#REF!</v>
      </c>
      <c r="AJ129" t="e">
        <f>AND(#REF!,"AAAAAE/87iM=")</f>
        <v>#REF!</v>
      </c>
      <c r="AK129" t="e">
        <f>AND(#REF!,"AAAAAE/87iQ=")</f>
        <v>#REF!</v>
      </c>
      <c r="AL129" t="e">
        <f>AND(#REF!,"AAAAAE/87iU=")</f>
        <v>#REF!</v>
      </c>
      <c r="AM129" t="e">
        <f>AND(#REF!,"AAAAAE/87iY=")</f>
        <v>#REF!</v>
      </c>
      <c r="AN129" t="e">
        <f>AND(#REF!,"AAAAAE/87ic=")</f>
        <v>#REF!</v>
      </c>
      <c r="AO129" t="e">
        <f>AND(#REF!,"AAAAAE/87ig=")</f>
        <v>#REF!</v>
      </c>
      <c r="AP129" t="e">
        <f>AND(#REF!,"AAAAAE/87ik=")</f>
        <v>#REF!</v>
      </c>
      <c r="AQ129" t="e">
        <f>AND(#REF!,"AAAAAE/87io=")</f>
        <v>#REF!</v>
      </c>
      <c r="AR129" t="e">
        <f>AND(#REF!,"AAAAAE/87is=")</f>
        <v>#REF!</v>
      </c>
      <c r="AS129" t="e">
        <f>AND(#REF!,"AAAAAE/87iw=")</f>
        <v>#REF!</v>
      </c>
      <c r="AT129" t="e">
        <f>AND(#REF!,"AAAAAE/87i0=")</f>
        <v>#REF!</v>
      </c>
      <c r="AU129" t="e">
        <f>AND(#REF!,"AAAAAE/87i4=")</f>
        <v>#REF!</v>
      </c>
      <c r="AV129" t="e">
        <f>AND(#REF!,"AAAAAE/87i8=")</f>
        <v>#REF!</v>
      </c>
      <c r="AW129" t="e">
        <f>AND(#REF!,"AAAAAE/87jA=")</f>
        <v>#REF!</v>
      </c>
      <c r="AX129" t="e">
        <f>AND(#REF!,"AAAAAE/87jE=")</f>
        <v>#REF!</v>
      </c>
      <c r="AY129" t="e">
        <f>AND(#REF!,"AAAAAE/87jI=")</f>
        <v>#REF!</v>
      </c>
      <c r="AZ129" t="e">
        <f>AND(#REF!,"AAAAAE/87jM=")</f>
        <v>#REF!</v>
      </c>
      <c r="BA129" t="e">
        <f>AND(#REF!,"AAAAAE/87jQ=")</f>
        <v>#REF!</v>
      </c>
      <c r="BB129" t="e">
        <f>AND(#REF!,"AAAAAE/87jU=")</f>
        <v>#REF!</v>
      </c>
      <c r="BC129" t="e">
        <f>AND(#REF!,"AAAAAE/87jY=")</f>
        <v>#REF!</v>
      </c>
      <c r="BD129" t="e">
        <f>AND(#REF!,"AAAAAE/87jc=")</f>
        <v>#REF!</v>
      </c>
      <c r="BE129" t="e">
        <f>AND(#REF!,"AAAAAE/87jg=")</f>
        <v>#REF!</v>
      </c>
      <c r="BF129" t="e">
        <f>AND(#REF!,"AAAAAE/87jk=")</f>
        <v>#REF!</v>
      </c>
      <c r="BG129" t="e">
        <f>AND(#REF!,"AAAAAE/87jo=")</f>
        <v>#REF!</v>
      </c>
      <c r="BH129" t="e">
        <f>AND(#REF!,"AAAAAE/87js=")</f>
        <v>#REF!</v>
      </c>
      <c r="BI129" t="e">
        <f>AND(#REF!,"AAAAAE/87jw=")</f>
        <v>#REF!</v>
      </c>
      <c r="BJ129" t="e">
        <f>AND(#REF!,"AAAAAE/87j0=")</f>
        <v>#REF!</v>
      </c>
      <c r="BK129" t="e">
        <f>AND(#REF!,"AAAAAE/87j4=")</f>
        <v>#REF!</v>
      </c>
      <c r="BL129" t="e">
        <f>AND(#REF!,"AAAAAE/87j8=")</f>
        <v>#REF!</v>
      </c>
      <c r="BM129" t="e">
        <f>AND(#REF!,"AAAAAE/87kA=")</f>
        <v>#REF!</v>
      </c>
      <c r="BN129" t="e">
        <f>AND(#REF!,"AAAAAE/87kE=")</f>
        <v>#REF!</v>
      </c>
      <c r="BO129" t="e">
        <f>AND(#REF!,"AAAAAE/87kI=")</f>
        <v>#REF!</v>
      </c>
      <c r="BP129" t="e">
        <f>AND(#REF!,"AAAAAE/87kM=")</f>
        <v>#REF!</v>
      </c>
      <c r="BQ129" t="e">
        <f>AND(#REF!,"AAAAAE/87kQ=")</f>
        <v>#REF!</v>
      </c>
      <c r="BR129" t="e">
        <f>AND(#REF!,"AAAAAE/87kU=")</f>
        <v>#REF!</v>
      </c>
      <c r="BS129" t="e">
        <f>AND(#REF!,"AAAAAE/87kY=")</f>
        <v>#REF!</v>
      </c>
      <c r="BT129" t="e">
        <f>AND(#REF!,"AAAAAE/87kc=")</f>
        <v>#REF!</v>
      </c>
      <c r="BU129" t="e">
        <f>AND(#REF!,"AAAAAE/87kg=")</f>
        <v>#REF!</v>
      </c>
      <c r="BV129" t="e">
        <f>AND(#REF!,"AAAAAE/87kk=")</f>
        <v>#REF!</v>
      </c>
      <c r="BW129" t="e">
        <f>AND(#REF!,"AAAAAE/87ko=")</f>
        <v>#REF!</v>
      </c>
      <c r="BX129" t="e">
        <f>AND(#REF!,"AAAAAE/87ks=")</f>
        <v>#REF!</v>
      </c>
      <c r="BY129" t="e">
        <f>AND(#REF!,"AAAAAE/87kw=")</f>
        <v>#REF!</v>
      </c>
      <c r="BZ129" t="e">
        <f>AND(#REF!,"AAAAAE/87k0=")</f>
        <v>#REF!</v>
      </c>
      <c r="CA129" t="e">
        <f>AND(#REF!,"AAAAAE/87k4=")</f>
        <v>#REF!</v>
      </c>
      <c r="CB129" t="e">
        <f>AND(#REF!,"AAAAAE/87k8=")</f>
        <v>#REF!</v>
      </c>
      <c r="CC129" t="e">
        <f>AND(#REF!,"AAAAAE/87lA=")</f>
        <v>#REF!</v>
      </c>
      <c r="CD129" t="e">
        <f>AND(#REF!,"AAAAAE/87lE=")</f>
        <v>#REF!</v>
      </c>
      <c r="CE129" t="e">
        <f>AND(#REF!,"AAAAAE/87lI=")</f>
        <v>#REF!</v>
      </c>
      <c r="CF129" t="e">
        <f>IF(#REF!,"AAAAAE/87lM=",0)</f>
        <v>#REF!</v>
      </c>
      <c r="CG129" t="e">
        <f>AND(#REF!,"AAAAAE/87lQ=")</f>
        <v>#REF!</v>
      </c>
      <c r="CH129" t="e">
        <f>AND(#REF!,"AAAAAE/87lU=")</f>
        <v>#REF!</v>
      </c>
      <c r="CI129" t="e">
        <f>AND(#REF!,"AAAAAE/87lY=")</f>
        <v>#REF!</v>
      </c>
      <c r="CJ129" t="e">
        <f>AND(#REF!,"AAAAAE/87lc=")</f>
        <v>#REF!</v>
      </c>
      <c r="CK129" t="e">
        <f>AND(#REF!,"AAAAAE/87lg=")</f>
        <v>#REF!</v>
      </c>
      <c r="CL129" t="e">
        <f>AND(#REF!,"AAAAAE/87lk=")</f>
        <v>#REF!</v>
      </c>
      <c r="CM129" t="e">
        <f>AND(#REF!,"AAAAAE/87lo=")</f>
        <v>#REF!</v>
      </c>
      <c r="CN129" t="e">
        <f>AND(#REF!,"AAAAAE/87ls=")</f>
        <v>#REF!</v>
      </c>
      <c r="CO129" t="e">
        <f>AND(#REF!,"AAAAAE/87lw=")</f>
        <v>#REF!</v>
      </c>
      <c r="CP129" t="e">
        <f>AND(#REF!,"AAAAAE/87l0=")</f>
        <v>#REF!</v>
      </c>
      <c r="CQ129" t="e">
        <f>AND(#REF!,"AAAAAE/87l4=")</f>
        <v>#REF!</v>
      </c>
      <c r="CR129" t="e">
        <f>AND(#REF!,"AAAAAE/87l8=")</f>
        <v>#REF!</v>
      </c>
      <c r="CS129" t="e">
        <f>AND(#REF!,"AAAAAE/87mA=")</f>
        <v>#REF!</v>
      </c>
      <c r="CT129" t="e">
        <f>AND(#REF!,"AAAAAE/87mE=")</f>
        <v>#REF!</v>
      </c>
      <c r="CU129" t="e">
        <f>AND(#REF!,"AAAAAE/87mI=")</f>
        <v>#REF!</v>
      </c>
      <c r="CV129" t="e">
        <f>AND(#REF!,"AAAAAE/87mM=")</f>
        <v>#REF!</v>
      </c>
      <c r="CW129" t="e">
        <f>AND(#REF!,"AAAAAE/87mQ=")</f>
        <v>#REF!</v>
      </c>
      <c r="CX129" t="e">
        <f>AND(#REF!,"AAAAAE/87mU=")</f>
        <v>#REF!</v>
      </c>
      <c r="CY129" t="e">
        <f>AND(#REF!,"AAAAAE/87mY=")</f>
        <v>#REF!</v>
      </c>
      <c r="CZ129" t="e">
        <f>AND(#REF!,"AAAAAE/87mc=")</f>
        <v>#REF!</v>
      </c>
      <c r="DA129" t="e">
        <f>AND(#REF!,"AAAAAE/87mg=")</f>
        <v>#REF!</v>
      </c>
      <c r="DB129" t="e">
        <f>AND(#REF!,"AAAAAE/87mk=")</f>
        <v>#REF!</v>
      </c>
      <c r="DC129" t="e">
        <f>AND(#REF!,"AAAAAE/87mo=")</f>
        <v>#REF!</v>
      </c>
      <c r="DD129" t="e">
        <f>AND(#REF!,"AAAAAE/87ms=")</f>
        <v>#REF!</v>
      </c>
      <c r="DE129" t="e">
        <f>AND(#REF!,"AAAAAE/87mw=")</f>
        <v>#REF!</v>
      </c>
      <c r="DF129" t="e">
        <f>AND(#REF!,"AAAAAE/87m0=")</f>
        <v>#REF!</v>
      </c>
      <c r="DG129" t="e">
        <f>AND(#REF!,"AAAAAE/87m4=")</f>
        <v>#REF!</v>
      </c>
      <c r="DH129" t="e">
        <f>AND(#REF!,"AAAAAE/87m8=")</f>
        <v>#REF!</v>
      </c>
      <c r="DI129" t="e">
        <f>AND(#REF!,"AAAAAE/87nA=")</f>
        <v>#REF!</v>
      </c>
      <c r="DJ129" t="e">
        <f>AND(#REF!,"AAAAAE/87nE=")</f>
        <v>#REF!</v>
      </c>
      <c r="DK129" t="e">
        <f>AND(#REF!,"AAAAAE/87nI=")</f>
        <v>#REF!</v>
      </c>
      <c r="DL129" t="e">
        <f>AND(#REF!,"AAAAAE/87nM=")</f>
        <v>#REF!</v>
      </c>
      <c r="DM129" t="e">
        <f>AND(#REF!,"AAAAAE/87nQ=")</f>
        <v>#REF!</v>
      </c>
      <c r="DN129" t="e">
        <f>AND(#REF!,"AAAAAE/87nU=")</f>
        <v>#REF!</v>
      </c>
      <c r="DO129" t="e">
        <f>AND(#REF!,"AAAAAE/87nY=")</f>
        <v>#REF!</v>
      </c>
      <c r="DP129" t="e">
        <f>AND(#REF!,"AAAAAE/87nc=")</f>
        <v>#REF!</v>
      </c>
      <c r="DQ129" t="e">
        <f>AND(#REF!,"AAAAAE/87ng=")</f>
        <v>#REF!</v>
      </c>
      <c r="DR129" t="e">
        <f>AND(#REF!,"AAAAAE/87nk=")</f>
        <v>#REF!</v>
      </c>
      <c r="DS129" t="e">
        <f>AND(#REF!,"AAAAAE/87no=")</f>
        <v>#REF!</v>
      </c>
      <c r="DT129" t="e">
        <f>AND(#REF!,"AAAAAE/87ns=")</f>
        <v>#REF!</v>
      </c>
      <c r="DU129" t="e">
        <f>AND(#REF!,"AAAAAE/87nw=")</f>
        <v>#REF!</v>
      </c>
      <c r="DV129" t="e">
        <f>AND(#REF!,"AAAAAE/87n0=")</f>
        <v>#REF!</v>
      </c>
      <c r="DW129" t="e">
        <f>AND(#REF!,"AAAAAE/87n4=")</f>
        <v>#REF!</v>
      </c>
      <c r="DX129" t="e">
        <f>AND(#REF!,"AAAAAE/87n8=")</f>
        <v>#REF!</v>
      </c>
      <c r="DY129" t="e">
        <f>AND(#REF!,"AAAAAE/87oA=")</f>
        <v>#REF!</v>
      </c>
      <c r="DZ129" t="e">
        <f>AND(#REF!,"AAAAAE/87oE=")</f>
        <v>#REF!</v>
      </c>
      <c r="EA129" t="e">
        <f>AND(#REF!,"AAAAAE/87oI=")</f>
        <v>#REF!</v>
      </c>
      <c r="EB129" t="e">
        <f>AND(#REF!,"AAAAAE/87oM=")</f>
        <v>#REF!</v>
      </c>
      <c r="EC129" t="e">
        <f>AND(#REF!,"AAAAAE/87oQ=")</f>
        <v>#REF!</v>
      </c>
      <c r="ED129" t="e">
        <f>AND(#REF!,"AAAAAE/87oU=")</f>
        <v>#REF!</v>
      </c>
      <c r="EE129" t="e">
        <f>AND(#REF!,"AAAAAE/87oY=")</f>
        <v>#REF!</v>
      </c>
      <c r="EF129" t="e">
        <f>AND(#REF!,"AAAAAE/87oc=")</f>
        <v>#REF!</v>
      </c>
      <c r="EG129" t="e">
        <f>AND(#REF!,"AAAAAE/87og=")</f>
        <v>#REF!</v>
      </c>
      <c r="EH129" t="e">
        <f>AND(#REF!,"AAAAAE/87ok=")</f>
        <v>#REF!</v>
      </c>
      <c r="EI129" t="e">
        <f>AND(#REF!,"AAAAAE/87oo=")</f>
        <v>#REF!</v>
      </c>
      <c r="EJ129" t="e">
        <f>AND(#REF!,"AAAAAE/87os=")</f>
        <v>#REF!</v>
      </c>
      <c r="EK129" t="e">
        <f>AND(#REF!,"AAAAAE/87ow=")</f>
        <v>#REF!</v>
      </c>
      <c r="EL129" t="e">
        <f>AND(#REF!,"AAAAAE/87o0=")</f>
        <v>#REF!</v>
      </c>
      <c r="EM129" t="e">
        <f>AND(#REF!,"AAAAAE/87o4=")</f>
        <v>#REF!</v>
      </c>
      <c r="EN129" t="e">
        <f>AND(#REF!,"AAAAAE/87o8=")</f>
        <v>#REF!</v>
      </c>
      <c r="EO129" t="e">
        <f>AND(#REF!,"AAAAAE/87pA=")</f>
        <v>#REF!</v>
      </c>
      <c r="EP129" t="e">
        <f>AND(#REF!,"AAAAAE/87pE=")</f>
        <v>#REF!</v>
      </c>
      <c r="EQ129" t="e">
        <f>AND(#REF!,"AAAAAE/87pI=")</f>
        <v>#REF!</v>
      </c>
      <c r="ER129" t="e">
        <f>AND(#REF!,"AAAAAE/87pM=")</f>
        <v>#REF!</v>
      </c>
      <c r="ES129" t="e">
        <f>AND(#REF!,"AAAAAE/87pQ=")</f>
        <v>#REF!</v>
      </c>
      <c r="ET129" t="e">
        <f>AND(#REF!,"AAAAAE/87pU=")</f>
        <v>#REF!</v>
      </c>
      <c r="EU129" t="e">
        <f>AND(#REF!,"AAAAAE/87pY=")</f>
        <v>#REF!</v>
      </c>
      <c r="EV129" t="e">
        <f>AND(#REF!,"AAAAAE/87pc=")</f>
        <v>#REF!</v>
      </c>
      <c r="EW129" t="e">
        <f>AND(#REF!,"AAAAAE/87pg=")</f>
        <v>#REF!</v>
      </c>
      <c r="EX129" t="e">
        <f>AND(#REF!,"AAAAAE/87pk=")</f>
        <v>#REF!</v>
      </c>
      <c r="EY129" t="e">
        <f>AND(#REF!,"AAAAAE/87po=")</f>
        <v>#REF!</v>
      </c>
      <c r="EZ129" t="e">
        <f>AND(#REF!,"AAAAAE/87ps=")</f>
        <v>#REF!</v>
      </c>
      <c r="FA129" t="e">
        <f>AND(#REF!,"AAAAAE/87pw=")</f>
        <v>#REF!</v>
      </c>
      <c r="FB129" t="e">
        <f>AND(#REF!,"AAAAAE/87p0=")</f>
        <v>#REF!</v>
      </c>
      <c r="FC129" t="e">
        <f>AND(#REF!,"AAAAAE/87p4=")</f>
        <v>#REF!</v>
      </c>
      <c r="FD129" t="e">
        <f>AND(#REF!,"AAAAAE/87p8=")</f>
        <v>#REF!</v>
      </c>
      <c r="FE129" t="e">
        <f>AND(#REF!,"AAAAAE/87qA=")</f>
        <v>#REF!</v>
      </c>
      <c r="FF129" t="e">
        <f>AND(#REF!,"AAAAAE/87qE=")</f>
        <v>#REF!</v>
      </c>
      <c r="FG129" t="e">
        <f>AND(#REF!,"AAAAAE/87qI=")</f>
        <v>#REF!</v>
      </c>
      <c r="FH129" t="e">
        <f>AND(#REF!,"AAAAAE/87qM=")</f>
        <v>#REF!</v>
      </c>
      <c r="FI129" t="e">
        <f>AND(#REF!,"AAAAAE/87qQ=")</f>
        <v>#REF!</v>
      </c>
      <c r="FJ129" t="e">
        <f>AND(#REF!,"AAAAAE/87qU=")</f>
        <v>#REF!</v>
      </c>
      <c r="FK129" t="e">
        <f>AND(#REF!,"AAAAAE/87qY=")</f>
        <v>#REF!</v>
      </c>
      <c r="FL129" t="e">
        <f>AND(#REF!,"AAAAAE/87qc=")</f>
        <v>#REF!</v>
      </c>
      <c r="FM129" t="e">
        <f>AND(#REF!,"AAAAAE/87qg=")</f>
        <v>#REF!</v>
      </c>
      <c r="FN129" t="e">
        <f>AND(#REF!,"AAAAAE/87qk=")</f>
        <v>#REF!</v>
      </c>
      <c r="FO129" t="e">
        <f>AND(#REF!,"AAAAAE/87qo=")</f>
        <v>#REF!</v>
      </c>
      <c r="FP129" t="e">
        <f>AND(#REF!,"AAAAAE/87qs=")</f>
        <v>#REF!</v>
      </c>
      <c r="FQ129" t="e">
        <f>AND(#REF!,"AAAAAE/87qw=")</f>
        <v>#REF!</v>
      </c>
      <c r="FR129" t="e">
        <f>AND(#REF!,"AAAAAE/87q0=")</f>
        <v>#REF!</v>
      </c>
      <c r="FS129" t="e">
        <f>AND(#REF!,"AAAAAE/87q4=")</f>
        <v>#REF!</v>
      </c>
      <c r="FT129" t="e">
        <f>AND(#REF!,"AAAAAE/87q8=")</f>
        <v>#REF!</v>
      </c>
      <c r="FU129" t="e">
        <f>AND(#REF!,"AAAAAE/87rA=")</f>
        <v>#REF!</v>
      </c>
      <c r="FV129" t="e">
        <f>AND(#REF!,"AAAAAE/87rE=")</f>
        <v>#REF!</v>
      </c>
      <c r="FW129" t="e">
        <f>AND(#REF!,"AAAAAE/87rI=")</f>
        <v>#REF!</v>
      </c>
      <c r="FX129" t="e">
        <f>AND(#REF!,"AAAAAE/87rM=")</f>
        <v>#REF!</v>
      </c>
      <c r="FY129" t="e">
        <f>AND(#REF!,"AAAAAE/87rQ=")</f>
        <v>#REF!</v>
      </c>
      <c r="FZ129" t="e">
        <f>AND(#REF!,"AAAAAE/87rU=")</f>
        <v>#REF!</v>
      </c>
      <c r="GA129" t="e">
        <f>AND(#REF!,"AAAAAE/87rY=")</f>
        <v>#REF!</v>
      </c>
      <c r="GB129" t="e">
        <f>AND(#REF!,"AAAAAE/87rc=")</f>
        <v>#REF!</v>
      </c>
      <c r="GC129" t="e">
        <f>AND(#REF!,"AAAAAE/87rg=")</f>
        <v>#REF!</v>
      </c>
      <c r="GD129" t="e">
        <f>AND(#REF!,"AAAAAE/87rk=")</f>
        <v>#REF!</v>
      </c>
      <c r="GE129" t="e">
        <f>AND(#REF!,"AAAAAE/87ro=")</f>
        <v>#REF!</v>
      </c>
      <c r="GF129" t="e">
        <f>AND(#REF!,"AAAAAE/87rs=")</f>
        <v>#REF!</v>
      </c>
      <c r="GG129" t="e">
        <f>AND(#REF!,"AAAAAE/87rw=")</f>
        <v>#REF!</v>
      </c>
      <c r="GH129" t="e">
        <f>AND(#REF!,"AAAAAE/87r0=")</f>
        <v>#REF!</v>
      </c>
      <c r="GI129" t="e">
        <f>AND(#REF!,"AAAAAE/87r4=")</f>
        <v>#REF!</v>
      </c>
      <c r="GJ129" t="e">
        <f>AND(#REF!,"AAAAAE/87r8=")</f>
        <v>#REF!</v>
      </c>
      <c r="GK129" t="e">
        <f>AND(#REF!,"AAAAAE/87sA=")</f>
        <v>#REF!</v>
      </c>
      <c r="GL129" t="e">
        <f>AND(#REF!,"AAAAAE/87sE=")</f>
        <v>#REF!</v>
      </c>
      <c r="GM129" t="e">
        <f>AND(#REF!,"AAAAAE/87sI=")</f>
        <v>#REF!</v>
      </c>
      <c r="GN129" t="e">
        <f>AND(#REF!,"AAAAAE/87sM=")</f>
        <v>#REF!</v>
      </c>
      <c r="GO129" t="e">
        <f>AND(#REF!,"AAAAAE/87sQ=")</f>
        <v>#REF!</v>
      </c>
      <c r="GP129" t="e">
        <f>AND(#REF!,"AAAAAE/87sU=")</f>
        <v>#REF!</v>
      </c>
      <c r="GQ129" t="e">
        <f>AND(#REF!,"AAAAAE/87sY=")</f>
        <v>#REF!</v>
      </c>
      <c r="GR129" t="e">
        <f>AND(#REF!,"AAAAAE/87sc=")</f>
        <v>#REF!</v>
      </c>
      <c r="GS129" t="e">
        <f>AND(#REF!,"AAAAAE/87sg=")</f>
        <v>#REF!</v>
      </c>
      <c r="GT129" t="e">
        <f>AND(#REF!,"AAAAAE/87sk=")</f>
        <v>#REF!</v>
      </c>
      <c r="GU129" t="e">
        <f>AND(#REF!,"AAAAAE/87so=")</f>
        <v>#REF!</v>
      </c>
      <c r="GV129" t="e">
        <f>AND(#REF!,"AAAAAE/87ss=")</f>
        <v>#REF!</v>
      </c>
      <c r="GW129" t="e">
        <f>AND(#REF!,"AAAAAE/87sw=")</f>
        <v>#REF!</v>
      </c>
      <c r="GX129" t="e">
        <f>AND(#REF!,"AAAAAE/87s0=")</f>
        <v>#REF!</v>
      </c>
      <c r="GY129" t="e">
        <f>AND(#REF!,"AAAAAE/87s4=")</f>
        <v>#REF!</v>
      </c>
      <c r="GZ129" t="e">
        <f>AND(#REF!,"AAAAAE/87s8=")</f>
        <v>#REF!</v>
      </c>
      <c r="HA129" t="e">
        <f>AND(#REF!,"AAAAAE/87tA=")</f>
        <v>#REF!</v>
      </c>
      <c r="HB129" t="e">
        <f>AND(#REF!,"AAAAAE/87tE=")</f>
        <v>#REF!</v>
      </c>
      <c r="HC129" t="e">
        <f>AND(#REF!,"AAAAAE/87tI=")</f>
        <v>#REF!</v>
      </c>
      <c r="HD129" t="e">
        <f>AND(#REF!,"AAAAAE/87tM=")</f>
        <v>#REF!</v>
      </c>
      <c r="HE129" t="e">
        <f>AND(#REF!,"AAAAAE/87tQ=")</f>
        <v>#REF!</v>
      </c>
      <c r="HF129" t="e">
        <f>AND(#REF!,"AAAAAE/87tU=")</f>
        <v>#REF!</v>
      </c>
      <c r="HG129" t="e">
        <f>AND(#REF!,"AAAAAE/87tY=")</f>
        <v>#REF!</v>
      </c>
      <c r="HH129" t="e">
        <f>AND(#REF!,"AAAAAE/87tc=")</f>
        <v>#REF!</v>
      </c>
      <c r="HI129" t="e">
        <f>AND(#REF!,"AAAAAE/87tg=")</f>
        <v>#REF!</v>
      </c>
      <c r="HJ129" t="e">
        <f>AND(#REF!,"AAAAAE/87tk=")</f>
        <v>#REF!</v>
      </c>
      <c r="HK129" t="e">
        <f>AND(#REF!,"AAAAAE/87to=")</f>
        <v>#REF!</v>
      </c>
      <c r="HL129" t="e">
        <f>AND(#REF!,"AAAAAE/87ts=")</f>
        <v>#REF!</v>
      </c>
      <c r="HM129" t="e">
        <f>AND(#REF!,"AAAAAE/87tw=")</f>
        <v>#REF!</v>
      </c>
      <c r="HN129" t="e">
        <f>AND(#REF!,"AAAAAE/87t0=")</f>
        <v>#REF!</v>
      </c>
      <c r="HO129" t="e">
        <f>AND(#REF!,"AAAAAE/87t4=")</f>
        <v>#REF!</v>
      </c>
      <c r="HP129" t="e">
        <f>AND(#REF!,"AAAAAE/87t8=")</f>
        <v>#REF!</v>
      </c>
      <c r="HQ129" t="e">
        <f>AND(#REF!,"AAAAAE/87uA=")</f>
        <v>#REF!</v>
      </c>
      <c r="HR129" t="e">
        <f>AND(#REF!,"AAAAAE/87uE=")</f>
        <v>#REF!</v>
      </c>
      <c r="HS129" t="e">
        <f>AND(#REF!,"AAAAAE/87uI=")</f>
        <v>#REF!</v>
      </c>
      <c r="HT129" t="e">
        <f>AND(#REF!,"AAAAAE/87uM=")</f>
        <v>#REF!</v>
      </c>
      <c r="HU129" t="e">
        <f>AND(#REF!,"AAAAAE/87uQ=")</f>
        <v>#REF!</v>
      </c>
      <c r="HV129" t="e">
        <f>AND(#REF!,"AAAAAE/87uU=")</f>
        <v>#REF!</v>
      </c>
      <c r="HW129" t="e">
        <f>AND(#REF!,"AAAAAE/87uY=")</f>
        <v>#REF!</v>
      </c>
      <c r="HX129" t="e">
        <f>AND(#REF!,"AAAAAE/87uc=")</f>
        <v>#REF!</v>
      </c>
      <c r="HY129" t="e">
        <f>AND(#REF!,"AAAAAE/87ug=")</f>
        <v>#REF!</v>
      </c>
      <c r="HZ129" t="e">
        <f>AND(#REF!,"AAAAAE/87uk=")</f>
        <v>#REF!</v>
      </c>
      <c r="IA129" t="e">
        <f>AND(#REF!,"AAAAAE/87uo=")</f>
        <v>#REF!</v>
      </c>
      <c r="IB129" t="e">
        <f>AND(#REF!,"AAAAAE/87us=")</f>
        <v>#REF!</v>
      </c>
      <c r="IC129" t="e">
        <f>AND(#REF!,"AAAAAE/87uw=")</f>
        <v>#REF!</v>
      </c>
      <c r="ID129" t="e">
        <f>AND(#REF!,"AAAAAE/87u0=")</f>
        <v>#REF!</v>
      </c>
      <c r="IE129" t="e">
        <f>AND(#REF!,"AAAAAE/87u4=")</f>
        <v>#REF!</v>
      </c>
      <c r="IF129" t="e">
        <f>AND(#REF!,"AAAAAE/87u8=")</f>
        <v>#REF!</v>
      </c>
      <c r="IG129" t="e">
        <f>AND(#REF!,"AAAAAE/87vA=")</f>
        <v>#REF!</v>
      </c>
      <c r="IH129" t="e">
        <f>AND(#REF!,"AAAAAE/87vE=")</f>
        <v>#REF!</v>
      </c>
      <c r="II129" t="e">
        <f>AND(#REF!,"AAAAAE/87vI=")</f>
        <v>#REF!</v>
      </c>
      <c r="IJ129" t="e">
        <f>AND(#REF!,"AAAAAE/87vM=")</f>
        <v>#REF!</v>
      </c>
      <c r="IK129" t="e">
        <f>AND(#REF!,"AAAAAE/87vQ=")</f>
        <v>#REF!</v>
      </c>
      <c r="IL129" t="e">
        <f>AND(#REF!,"AAAAAE/87vU=")</f>
        <v>#REF!</v>
      </c>
      <c r="IM129" t="e">
        <f>AND(#REF!,"AAAAAE/87vY=")</f>
        <v>#REF!</v>
      </c>
      <c r="IN129" t="e">
        <f>AND(#REF!,"AAAAAE/87vc=")</f>
        <v>#REF!</v>
      </c>
      <c r="IO129" t="e">
        <f>AND(#REF!,"AAAAAE/87vg=")</f>
        <v>#REF!</v>
      </c>
      <c r="IP129" t="e">
        <f>AND(#REF!,"AAAAAE/87vk=")</f>
        <v>#REF!</v>
      </c>
      <c r="IQ129" t="e">
        <f>AND(#REF!,"AAAAAE/87vo=")</f>
        <v>#REF!</v>
      </c>
      <c r="IR129" t="e">
        <f>AND(#REF!,"AAAAAE/87vs=")</f>
        <v>#REF!</v>
      </c>
      <c r="IS129" t="e">
        <f>AND(#REF!,"AAAAAE/87vw=")</f>
        <v>#REF!</v>
      </c>
      <c r="IT129" t="e">
        <f>AND(#REF!,"AAAAAE/87v0=")</f>
        <v>#REF!</v>
      </c>
      <c r="IU129" t="e">
        <f>AND(#REF!,"AAAAAE/87v4=")</f>
        <v>#REF!</v>
      </c>
      <c r="IV129" t="e">
        <f>AND(#REF!,"AAAAAE/87v8=")</f>
        <v>#REF!</v>
      </c>
    </row>
    <row r="130" spans="1:256" x14ac:dyDescent="0.25">
      <c r="A130" t="e">
        <f>AND(#REF!,"AAAAAH+38QA=")</f>
        <v>#REF!</v>
      </c>
      <c r="B130" t="e">
        <f>AND(#REF!,"AAAAAH+38QE=")</f>
        <v>#REF!</v>
      </c>
      <c r="C130" t="e">
        <f>AND(#REF!,"AAAAAH+38QI=")</f>
        <v>#REF!</v>
      </c>
      <c r="D130" t="e">
        <f>AND(#REF!,"AAAAAH+38QM=")</f>
        <v>#REF!</v>
      </c>
      <c r="E130" t="e">
        <f>AND(#REF!,"AAAAAH+38QQ=")</f>
        <v>#REF!</v>
      </c>
      <c r="F130" t="e">
        <f>AND(#REF!,"AAAAAH+38QU=")</f>
        <v>#REF!</v>
      </c>
      <c r="G130" t="e">
        <f>AND(#REF!,"AAAAAH+38QY=")</f>
        <v>#REF!</v>
      </c>
      <c r="H130" t="e">
        <f>AND(#REF!,"AAAAAH+38Qc=")</f>
        <v>#REF!</v>
      </c>
      <c r="I130" t="e">
        <f>AND(#REF!,"AAAAAH+38Qg=")</f>
        <v>#REF!</v>
      </c>
      <c r="J130" t="e">
        <f>AND(#REF!,"AAAAAH+38Qk=")</f>
        <v>#REF!</v>
      </c>
      <c r="K130" t="e">
        <f>AND(#REF!,"AAAAAH+38Qo=")</f>
        <v>#REF!</v>
      </c>
      <c r="L130" t="e">
        <f>AND(#REF!,"AAAAAH+38Qs=")</f>
        <v>#REF!</v>
      </c>
      <c r="M130" t="e">
        <f>AND(#REF!,"AAAAAH+38Qw=")</f>
        <v>#REF!</v>
      </c>
      <c r="N130" t="e">
        <f>AND(#REF!,"AAAAAH+38Q0=")</f>
        <v>#REF!</v>
      </c>
      <c r="O130" t="e">
        <f>AND(#REF!,"AAAAAH+38Q4=")</f>
        <v>#REF!</v>
      </c>
      <c r="P130" t="e">
        <f>AND(#REF!,"AAAAAH+38Q8=")</f>
        <v>#REF!</v>
      </c>
      <c r="Q130" t="e">
        <f>IF(#REF!,"AAAAAH+38RA=",0)</f>
        <v>#REF!</v>
      </c>
      <c r="R130" t="e">
        <f>AND(#REF!,"AAAAAH+38RE=")</f>
        <v>#REF!</v>
      </c>
      <c r="S130" t="e">
        <f>AND(#REF!,"AAAAAH+38RI=")</f>
        <v>#REF!</v>
      </c>
      <c r="T130" t="e">
        <f>AND(#REF!,"AAAAAH+38RM=")</f>
        <v>#REF!</v>
      </c>
      <c r="U130" t="e">
        <f>AND(#REF!,"AAAAAH+38RQ=")</f>
        <v>#REF!</v>
      </c>
      <c r="V130" t="e">
        <f>AND(#REF!,"AAAAAH+38RU=")</f>
        <v>#REF!</v>
      </c>
      <c r="W130" t="e">
        <f>AND(#REF!,"AAAAAH+38RY=")</f>
        <v>#REF!</v>
      </c>
      <c r="X130" t="e">
        <f>AND(#REF!,"AAAAAH+38Rc=")</f>
        <v>#REF!</v>
      </c>
      <c r="Y130" t="e">
        <f>AND(#REF!,"AAAAAH+38Rg=")</f>
        <v>#REF!</v>
      </c>
      <c r="Z130" t="e">
        <f>AND(#REF!,"AAAAAH+38Rk=")</f>
        <v>#REF!</v>
      </c>
      <c r="AA130" t="e">
        <f>AND(#REF!,"AAAAAH+38Ro=")</f>
        <v>#REF!</v>
      </c>
      <c r="AB130" t="e">
        <f>AND(#REF!,"AAAAAH+38Rs=")</f>
        <v>#REF!</v>
      </c>
      <c r="AC130" t="e">
        <f>AND(#REF!,"AAAAAH+38Rw=")</f>
        <v>#REF!</v>
      </c>
      <c r="AD130" t="e">
        <f>AND(#REF!,"AAAAAH+38R0=")</f>
        <v>#REF!</v>
      </c>
      <c r="AE130" t="e">
        <f>AND(#REF!,"AAAAAH+38R4=")</f>
        <v>#REF!</v>
      </c>
      <c r="AF130" t="e">
        <f>AND(#REF!,"AAAAAH+38R8=")</f>
        <v>#REF!</v>
      </c>
      <c r="AG130" t="e">
        <f>AND(#REF!,"AAAAAH+38SA=")</f>
        <v>#REF!</v>
      </c>
      <c r="AH130" t="e">
        <f>AND(#REF!,"AAAAAH+38SE=")</f>
        <v>#REF!</v>
      </c>
      <c r="AI130" t="e">
        <f>AND(#REF!,"AAAAAH+38SI=")</f>
        <v>#REF!</v>
      </c>
      <c r="AJ130" t="e">
        <f>AND(#REF!,"AAAAAH+38SM=")</f>
        <v>#REF!</v>
      </c>
      <c r="AK130" t="e">
        <f>AND(#REF!,"AAAAAH+38SQ=")</f>
        <v>#REF!</v>
      </c>
      <c r="AL130" t="e">
        <f>AND(#REF!,"AAAAAH+38SU=")</f>
        <v>#REF!</v>
      </c>
      <c r="AM130" t="e">
        <f>AND(#REF!,"AAAAAH+38SY=")</f>
        <v>#REF!</v>
      </c>
      <c r="AN130" t="e">
        <f>AND(#REF!,"AAAAAH+38Sc=")</f>
        <v>#REF!</v>
      </c>
      <c r="AO130" t="e">
        <f>AND(#REF!,"AAAAAH+38Sg=")</f>
        <v>#REF!</v>
      </c>
      <c r="AP130" t="e">
        <f>AND(#REF!,"AAAAAH+38Sk=")</f>
        <v>#REF!</v>
      </c>
      <c r="AQ130" t="e">
        <f>AND(#REF!,"AAAAAH+38So=")</f>
        <v>#REF!</v>
      </c>
      <c r="AR130" t="e">
        <f>AND(#REF!,"AAAAAH+38Ss=")</f>
        <v>#REF!</v>
      </c>
      <c r="AS130" t="e">
        <f>AND(#REF!,"AAAAAH+38Sw=")</f>
        <v>#REF!</v>
      </c>
      <c r="AT130" t="e">
        <f>AND(#REF!,"AAAAAH+38S0=")</f>
        <v>#REF!</v>
      </c>
      <c r="AU130" t="e">
        <f>AND(#REF!,"AAAAAH+38S4=")</f>
        <v>#REF!</v>
      </c>
      <c r="AV130" t="e">
        <f>AND(#REF!,"AAAAAH+38S8=")</f>
        <v>#REF!</v>
      </c>
      <c r="AW130" t="e">
        <f>AND(#REF!,"AAAAAH+38TA=")</f>
        <v>#REF!</v>
      </c>
      <c r="AX130" t="e">
        <f>AND(#REF!,"AAAAAH+38TE=")</f>
        <v>#REF!</v>
      </c>
      <c r="AY130" t="e">
        <f>AND(#REF!,"AAAAAH+38TI=")</f>
        <v>#REF!</v>
      </c>
      <c r="AZ130" t="e">
        <f>AND(#REF!,"AAAAAH+38TM=")</f>
        <v>#REF!</v>
      </c>
      <c r="BA130" t="e">
        <f>AND(#REF!,"AAAAAH+38TQ=")</f>
        <v>#REF!</v>
      </c>
      <c r="BB130" t="e">
        <f>AND(#REF!,"AAAAAH+38TU=")</f>
        <v>#REF!</v>
      </c>
      <c r="BC130" t="e">
        <f>AND(#REF!,"AAAAAH+38TY=")</f>
        <v>#REF!</v>
      </c>
      <c r="BD130" t="e">
        <f>AND(#REF!,"AAAAAH+38Tc=")</f>
        <v>#REF!</v>
      </c>
      <c r="BE130" t="e">
        <f>AND(#REF!,"AAAAAH+38Tg=")</f>
        <v>#REF!</v>
      </c>
      <c r="BF130" t="e">
        <f>AND(#REF!,"AAAAAH+38Tk=")</f>
        <v>#REF!</v>
      </c>
      <c r="BG130" t="e">
        <f>AND(#REF!,"AAAAAH+38To=")</f>
        <v>#REF!</v>
      </c>
      <c r="BH130" t="e">
        <f>AND(#REF!,"AAAAAH+38Ts=")</f>
        <v>#REF!</v>
      </c>
      <c r="BI130" t="e">
        <f>AND(#REF!,"AAAAAH+38Tw=")</f>
        <v>#REF!</v>
      </c>
      <c r="BJ130" t="e">
        <f>AND(#REF!,"AAAAAH+38T0=")</f>
        <v>#REF!</v>
      </c>
      <c r="BK130" t="e">
        <f>AND(#REF!,"AAAAAH+38T4=")</f>
        <v>#REF!</v>
      </c>
      <c r="BL130" t="e">
        <f>AND(#REF!,"AAAAAH+38T8=")</f>
        <v>#REF!</v>
      </c>
      <c r="BM130" t="e">
        <f>AND(#REF!,"AAAAAH+38UA=")</f>
        <v>#REF!</v>
      </c>
      <c r="BN130" t="e">
        <f>AND(#REF!,"AAAAAH+38UE=")</f>
        <v>#REF!</v>
      </c>
      <c r="BO130" t="e">
        <f>AND(#REF!,"AAAAAH+38UI=")</f>
        <v>#REF!</v>
      </c>
      <c r="BP130" t="e">
        <f>AND(#REF!,"AAAAAH+38UM=")</f>
        <v>#REF!</v>
      </c>
      <c r="BQ130" t="e">
        <f>AND(#REF!,"AAAAAH+38UQ=")</f>
        <v>#REF!</v>
      </c>
      <c r="BR130" t="e">
        <f>AND(#REF!,"AAAAAH+38UU=")</f>
        <v>#REF!</v>
      </c>
      <c r="BS130" t="e">
        <f>AND(#REF!,"AAAAAH+38UY=")</f>
        <v>#REF!</v>
      </c>
      <c r="BT130" t="e">
        <f>AND(#REF!,"AAAAAH+38Uc=")</f>
        <v>#REF!</v>
      </c>
      <c r="BU130" t="e">
        <f>AND(#REF!,"AAAAAH+38Ug=")</f>
        <v>#REF!</v>
      </c>
      <c r="BV130" t="e">
        <f>AND(#REF!,"AAAAAH+38Uk=")</f>
        <v>#REF!</v>
      </c>
      <c r="BW130" t="e">
        <f>AND(#REF!,"AAAAAH+38Uo=")</f>
        <v>#REF!</v>
      </c>
      <c r="BX130" t="e">
        <f>AND(#REF!,"AAAAAH+38Us=")</f>
        <v>#REF!</v>
      </c>
      <c r="BY130" t="e">
        <f>AND(#REF!,"AAAAAH+38Uw=")</f>
        <v>#REF!</v>
      </c>
      <c r="BZ130" t="e">
        <f>AND(#REF!,"AAAAAH+38U0=")</f>
        <v>#REF!</v>
      </c>
      <c r="CA130" t="e">
        <f>AND(#REF!,"AAAAAH+38U4=")</f>
        <v>#REF!</v>
      </c>
      <c r="CB130" t="e">
        <f>AND(#REF!,"AAAAAH+38U8=")</f>
        <v>#REF!</v>
      </c>
      <c r="CC130" t="e">
        <f>AND(#REF!,"AAAAAH+38VA=")</f>
        <v>#REF!</v>
      </c>
      <c r="CD130" t="e">
        <f>AND(#REF!,"AAAAAH+38VE=")</f>
        <v>#REF!</v>
      </c>
      <c r="CE130" t="e">
        <f>AND(#REF!,"AAAAAH+38VI=")</f>
        <v>#REF!</v>
      </c>
      <c r="CF130" t="e">
        <f>AND(#REF!,"AAAAAH+38VM=")</f>
        <v>#REF!</v>
      </c>
      <c r="CG130" t="e">
        <f>AND(#REF!,"AAAAAH+38VQ=")</f>
        <v>#REF!</v>
      </c>
      <c r="CH130" t="e">
        <f>AND(#REF!,"AAAAAH+38VU=")</f>
        <v>#REF!</v>
      </c>
      <c r="CI130" t="e">
        <f>AND(#REF!,"AAAAAH+38VY=")</f>
        <v>#REF!</v>
      </c>
      <c r="CJ130" t="e">
        <f>AND(#REF!,"AAAAAH+38Vc=")</f>
        <v>#REF!</v>
      </c>
      <c r="CK130" t="e">
        <f>AND(#REF!,"AAAAAH+38Vg=")</f>
        <v>#REF!</v>
      </c>
      <c r="CL130" t="e">
        <f>AND(#REF!,"AAAAAH+38Vk=")</f>
        <v>#REF!</v>
      </c>
      <c r="CM130" t="e">
        <f>AND(#REF!,"AAAAAH+38Vo=")</f>
        <v>#REF!</v>
      </c>
      <c r="CN130" t="e">
        <f>AND(#REF!,"AAAAAH+38Vs=")</f>
        <v>#REF!</v>
      </c>
      <c r="CO130" t="e">
        <f>AND(#REF!,"AAAAAH+38Vw=")</f>
        <v>#REF!</v>
      </c>
      <c r="CP130" t="e">
        <f>AND(#REF!,"AAAAAH+38V0=")</f>
        <v>#REF!</v>
      </c>
      <c r="CQ130" t="e">
        <f>AND(#REF!,"AAAAAH+38V4=")</f>
        <v>#REF!</v>
      </c>
      <c r="CR130" t="e">
        <f>AND(#REF!,"AAAAAH+38V8=")</f>
        <v>#REF!</v>
      </c>
      <c r="CS130" t="e">
        <f>AND(#REF!,"AAAAAH+38WA=")</f>
        <v>#REF!</v>
      </c>
      <c r="CT130" t="e">
        <f>AND(#REF!,"AAAAAH+38WE=")</f>
        <v>#REF!</v>
      </c>
      <c r="CU130" t="e">
        <f>AND(#REF!,"AAAAAH+38WI=")</f>
        <v>#REF!</v>
      </c>
      <c r="CV130" t="e">
        <f>AND(#REF!,"AAAAAH+38WM=")</f>
        <v>#REF!</v>
      </c>
      <c r="CW130" t="e">
        <f>AND(#REF!,"AAAAAH+38WQ=")</f>
        <v>#REF!</v>
      </c>
      <c r="CX130" t="e">
        <f>AND(#REF!,"AAAAAH+38WU=")</f>
        <v>#REF!</v>
      </c>
      <c r="CY130" t="e">
        <f>AND(#REF!,"AAAAAH+38WY=")</f>
        <v>#REF!</v>
      </c>
      <c r="CZ130" t="e">
        <f>AND(#REF!,"AAAAAH+38Wc=")</f>
        <v>#REF!</v>
      </c>
      <c r="DA130" t="e">
        <f>AND(#REF!,"AAAAAH+38Wg=")</f>
        <v>#REF!</v>
      </c>
      <c r="DB130" t="e">
        <f>AND(#REF!,"AAAAAH+38Wk=")</f>
        <v>#REF!</v>
      </c>
      <c r="DC130" t="e">
        <f>AND(#REF!,"AAAAAH+38Wo=")</f>
        <v>#REF!</v>
      </c>
      <c r="DD130" t="e">
        <f>AND(#REF!,"AAAAAH+38Ws=")</f>
        <v>#REF!</v>
      </c>
      <c r="DE130" t="e">
        <f>AND(#REF!,"AAAAAH+38Ww=")</f>
        <v>#REF!</v>
      </c>
      <c r="DF130" t="e">
        <f>AND(#REF!,"AAAAAH+38W0=")</f>
        <v>#REF!</v>
      </c>
      <c r="DG130" t="e">
        <f>AND(#REF!,"AAAAAH+38W4=")</f>
        <v>#REF!</v>
      </c>
      <c r="DH130" t="e">
        <f>AND(#REF!,"AAAAAH+38W8=")</f>
        <v>#REF!</v>
      </c>
      <c r="DI130" t="e">
        <f>AND(#REF!,"AAAAAH+38XA=")</f>
        <v>#REF!</v>
      </c>
      <c r="DJ130" t="e">
        <f>AND(#REF!,"AAAAAH+38XE=")</f>
        <v>#REF!</v>
      </c>
      <c r="DK130" t="e">
        <f>AND(#REF!,"AAAAAH+38XI=")</f>
        <v>#REF!</v>
      </c>
      <c r="DL130" t="e">
        <f>AND(#REF!,"AAAAAH+38XM=")</f>
        <v>#REF!</v>
      </c>
      <c r="DM130" t="e">
        <f>AND(#REF!,"AAAAAH+38XQ=")</f>
        <v>#REF!</v>
      </c>
      <c r="DN130" t="e">
        <f>AND(#REF!,"AAAAAH+38XU=")</f>
        <v>#REF!</v>
      </c>
      <c r="DO130" t="e">
        <f>AND(#REF!,"AAAAAH+38XY=")</f>
        <v>#REF!</v>
      </c>
      <c r="DP130" t="e">
        <f>AND(#REF!,"AAAAAH+38Xc=")</f>
        <v>#REF!</v>
      </c>
      <c r="DQ130" t="e">
        <f>AND(#REF!,"AAAAAH+38Xg=")</f>
        <v>#REF!</v>
      </c>
      <c r="DR130" t="e">
        <f>AND(#REF!,"AAAAAH+38Xk=")</f>
        <v>#REF!</v>
      </c>
      <c r="DS130" t="e">
        <f>AND(#REF!,"AAAAAH+38Xo=")</f>
        <v>#REF!</v>
      </c>
      <c r="DT130" t="e">
        <f>AND(#REF!,"AAAAAH+38Xs=")</f>
        <v>#REF!</v>
      </c>
      <c r="DU130" t="e">
        <f>AND(#REF!,"AAAAAH+38Xw=")</f>
        <v>#REF!</v>
      </c>
      <c r="DV130" t="e">
        <f>AND(#REF!,"AAAAAH+38X0=")</f>
        <v>#REF!</v>
      </c>
      <c r="DW130" t="e">
        <f>AND(#REF!,"AAAAAH+38X4=")</f>
        <v>#REF!</v>
      </c>
      <c r="DX130" t="e">
        <f>AND(#REF!,"AAAAAH+38X8=")</f>
        <v>#REF!</v>
      </c>
      <c r="DY130" t="e">
        <f>AND(#REF!,"AAAAAH+38YA=")</f>
        <v>#REF!</v>
      </c>
      <c r="DZ130" t="e">
        <f>AND(#REF!,"AAAAAH+38YE=")</f>
        <v>#REF!</v>
      </c>
      <c r="EA130" t="e">
        <f>AND(#REF!,"AAAAAH+38YI=")</f>
        <v>#REF!</v>
      </c>
      <c r="EB130" t="e">
        <f>AND(#REF!,"AAAAAH+38YM=")</f>
        <v>#REF!</v>
      </c>
      <c r="EC130" t="e">
        <f>AND(#REF!,"AAAAAH+38YQ=")</f>
        <v>#REF!</v>
      </c>
      <c r="ED130" t="e">
        <f>AND(#REF!,"AAAAAH+38YU=")</f>
        <v>#REF!</v>
      </c>
      <c r="EE130" t="e">
        <f>AND(#REF!,"AAAAAH+38YY=")</f>
        <v>#REF!</v>
      </c>
      <c r="EF130" t="e">
        <f>AND(#REF!,"AAAAAH+38Yc=")</f>
        <v>#REF!</v>
      </c>
      <c r="EG130" t="e">
        <f>AND(#REF!,"AAAAAH+38Yg=")</f>
        <v>#REF!</v>
      </c>
      <c r="EH130" t="e">
        <f>AND(#REF!,"AAAAAH+38Yk=")</f>
        <v>#REF!</v>
      </c>
      <c r="EI130" t="e">
        <f>AND(#REF!,"AAAAAH+38Yo=")</f>
        <v>#REF!</v>
      </c>
      <c r="EJ130" t="e">
        <f>AND(#REF!,"AAAAAH+38Ys=")</f>
        <v>#REF!</v>
      </c>
      <c r="EK130" t="e">
        <f>AND(#REF!,"AAAAAH+38Yw=")</f>
        <v>#REF!</v>
      </c>
      <c r="EL130" t="e">
        <f>AND(#REF!,"AAAAAH+38Y0=")</f>
        <v>#REF!</v>
      </c>
      <c r="EM130" t="e">
        <f>AND(#REF!,"AAAAAH+38Y4=")</f>
        <v>#REF!</v>
      </c>
      <c r="EN130" t="e">
        <f>AND(#REF!,"AAAAAH+38Y8=")</f>
        <v>#REF!</v>
      </c>
      <c r="EO130" t="e">
        <f>AND(#REF!,"AAAAAH+38ZA=")</f>
        <v>#REF!</v>
      </c>
      <c r="EP130" t="e">
        <f>AND(#REF!,"AAAAAH+38ZE=")</f>
        <v>#REF!</v>
      </c>
      <c r="EQ130" t="e">
        <f>AND(#REF!,"AAAAAH+38ZI=")</f>
        <v>#REF!</v>
      </c>
      <c r="ER130" t="e">
        <f>AND(#REF!,"AAAAAH+38ZM=")</f>
        <v>#REF!</v>
      </c>
      <c r="ES130" t="e">
        <f>AND(#REF!,"AAAAAH+38ZQ=")</f>
        <v>#REF!</v>
      </c>
      <c r="ET130" t="e">
        <f>AND(#REF!,"AAAAAH+38ZU=")</f>
        <v>#REF!</v>
      </c>
      <c r="EU130" t="e">
        <f>AND(#REF!,"AAAAAH+38ZY=")</f>
        <v>#REF!</v>
      </c>
      <c r="EV130" t="e">
        <f>AND(#REF!,"AAAAAH+38Zc=")</f>
        <v>#REF!</v>
      </c>
      <c r="EW130" t="e">
        <f>AND(#REF!,"AAAAAH+38Zg=")</f>
        <v>#REF!</v>
      </c>
      <c r="EX130" t="e">
        <f>AND(#REF!,"AAAAAH+38Zk=")</f>
        <v>#REF!</v>
      </c>
      <c r="EY130" t="e">
        <f>AND(#REF!,"AAAAAH+38Zo=")</f>
        <v>#REF!</v>
      </c>
      <c r="EZ130" t="e">
        <f>AND(#REF!,"AAAAAH+38Zs=")</f>
        <v>#REF!</v>
      </c>
      <c r="FA130" t="e">
        <f>AND(#REF!,"AAAAAH+38Zw=")</f>
        <v>#REF!</v>
      </c>
      <c r="FB130" t="e">
        <f>AND(#REF!,"AAAAAH+38Z0=")</f>
        <v>#REF!</v>
      </c>
      <c r="FC130" t="e">
        <f>AND(#REF!,"AAAAAH+38Z4=")</f>
        <v>#REF!</v>
      </c>
      <c r="FD130" t="e">
        <f>AND(#REF!,"AAAAAH+38Z8=")</f>
        <v>#REF!</v>
      </c>
      <c r="FE130" t="e">
        <f>AND(#REF!,"AAAAAH+38aA=")</f>
        <v>#REF!</v>
      </c>
      <c r="FF130" t="e">
        <f>AND(#REF!,"AAAAAH+38aE=")</f>
        <v>#REF!</v>
      </c>
      <c r="FG130" t="e">
        <f>AND(#REF!,"AAAAAH+38aI=")</f>
        <v>#REF!</v>
      </c>
      <c r="FH130" t="e">
        <f>AND(#REF!,"AAAAAH+38aM=")</f>
        <v>#REF!</v>
      </c>
      <c r="FI130" t="e">
        <f>AND(#REF!,"AAAAAH+38aQ=")</f>
        <v>#REF!</v>
      </c>
      <c r="FJ130" t="e">
        <f>AND(#REF!,"AAAAAH+38aU=")</f>
        <v>#REF!</v>
      </c>
      <c r="FK130" t="e">
        <f>AND(#REF!,"AAAAAH+38aY=")</f>
        <v>#REF!</v>
      </c>
      <c r="FL130" t="e">
        <f>AND(#REF!,"AAAAAH+38ac=")</f>
        <v>#REF!</v>
      </c>
      <c r="FM130" t="e">
        <f>AND(#REF!,"AAAAAH+38ag=")</f>
        <v>#REF!</v>
      </c>
      <c r="FN130" t="e">
        <f>AND(#REF!,"AAAAAH+38ak=")</f>
        <v>#REF!</v>
      </c>
      <c r="FO130" t="e">
        <f>AND(#REF!,"AAAAAH+38ao=")</f>
        <v>#REF!</v>
      </c>
      <c r="FP130" t="e">
        <f>AND(#REF!,"AAAAAH+38as=")</f>
        <v>#REF!</v>
      </c>
      <c r="FQ130" t="e">
        <f>AND(#REF!,"AAAAAH+38aw=")</f>
        <v>#REF!</v>
      </c>
      <c r="FR130" t="e">
        <f>AND(#REF!,"AAAAAH+38a0=")</f>
        <v>#REF!</v>
      </c>
      <c r="FS130" t="e">
        <f>AND(#REF!,"AAAAAH+38a4=")</f>
        <v>#REF!</v>
      </c>
      <c r="FT130" t="e">
        <f>AND(#REF!,"AAAAAH+38a8=")</f>
        <v>#REF!</v>
      </c>
      <c r="FU130" t="e">
        <f>AND(#REF!,"AAAAAH+38bA=")</f>
        <v>#REF!</v>
      </c>
      <c r="FV130" t="e">
        <f>AND(#REF!,"AAAAAH+38bE=")</f>
        <v>#REF!</v>
      </c>
      <c r="FW130" t="e">
        <f>AND(#REF!,"AAAAAH+38bI=")</f>
        <v>#REF!</v>
      </c>
      <c r="FX130" t="e">
        <f>AND(#REF!,"AAAAAH+38bM=")</f>
        <v>#REF!</v>
      </c>
      <c r="FY130" t="e">
        <f>AND(#REF!,"AAAAAH+38bQ=")</f>
        <v>#REF!</v>
      </c>
      <c r="FZ130" t="e">
        <f>AND(#REF!,"AAAAAH+38bU=")</f>
        <v>#REF!</v>
      </c>
      <c r="GA130" t="e">
        <f>AND(#REF!,"AAAAAH+38bY=")</f>
        <v>#REF!</v>
      </c>
      <c r="GB130" t="e">
        <f>AND(#REF!,"AAAAAH+38bc=")</f>
        <v>#REF!</v>
      </c>
      <c r="GC130" t="e">
        <f>AND(#REF!,"AAAAAH+38bg=")</f>
        <v>#REF!</v>
      </c>
      <c r="GD130" t="e">
        <f>AND(#REF!,"AAAAAH+38bk=")</f>
        <v>#REF!</v>
      </c>
      <c r="GE130" t="e">
        <f>AND(#REF!,"AAAAAH+38bo=")</f>
        <v>#REF!</v>
      </c>
      <c r="GF130" t="e">
        <f>AND(#REF!,"AAAAAH+38bs=")</f>
        <v>#REF!</v>
      </c>
      <c r="GG130" t="e">
        <f>AND(#REF!,"AAAAAH+38bw=")</f>
        <v>#REF!</v>
      </c>
      <c r="GH130" t="e">
        <f>AND(#REF!,"AAAAAH+38b0=")</f>
        <v>#REF!</v>
      </c>
      <c r="GI130" t="e">
        <f>AND(#REF!,"AAAAAH+38b4=")</f>
        <v>#REF!</v>
      </c>
      <c r="GJ130" t="e">
        <f>AND(#REF!,"AAAAAH+38b8=")</f>
        <v>#REF!</v>
      </c>
      <c r="GK130" t="e">
        <f>AND(#REF!,"AAAAAH+38cA=")</f>
        <v>#REF!</v>
      </c>
      <c r="GL130" t="e">
        <f>AND(#REF!,"AAAAAH+38cE=")</f>
        <v>#REF!</v>
      </c>
      <c r="GM130" t="e">
        <f>AND(#REF!,"AAAAAH+38cI=")</f>
        <v>#REF!</v>
      </c>
      <c r="GN130" t="e">
        <f>AND(#REF!,"AAAAAH+38cM=")</f>
        <v>#REF!</v>
      </c>
      <c r="GO130" t="e">
        <f>AND(#REF!,"AAAAAH+38cQ=")</f>
        <v>#REF!</v>
      </c>
      <c r="GP130" t="e">
        <f>AND(#REF!,"AAAAAH+38cU=")</f>
        <v>#REF!</v>
      </c>
      <c r="GQ130" t="e">
        <f>AND(#REF!,"AAAAAH+38cY=")</f>
        <v>#REF!</v>
      </c>
      <c r="GR130" t="e">
        <f>AND(#REF!,"AAAAAH+38cc=")</f>
        <v>#REF!</v>
      </c>
      <c r="GS130" t="e">
        <f>AND(#REF!,"AAAAAH+38cg=")</f>
        <v>#REF!</v>
      </c>
      <c r="GT130" t="e">
        <f>AND(#REF!,"AAAAAH+38ck=")</f>
        <v>#REF!</v>
      </c>
      <c r="GU130" t="e">
        <f>AND(#REF!,"AAAAAH+38co=")</f>
        <v>#REF!</v>
      </c>
      <c r="GV130" t="e">
        <f>AND(#REF!,"AAAAAH+38cs=")</f>
        <v>#REF!</v>
      </c>
      <c r="GW130" t="e">
        <f>AND(#REF!,"AAAAAH+38cw=")</f>
        <v>#REF!</v>
      </c>
      <c r="GX130" t="e">
        <f>IF(#REF!,"AAAAAH+38c0=",0)</f>
        <v>#REF!</v>
      </c>
      <c r="GY130" t="e">
        <f>AND(#REF!,"AAAAAH+38c4=")</f>
        <v>#REF!</v>
      </c>
      <c r="GZ130" t="e">
        <f>AND(#REF!,"AAAAAH+38c8=")</f>
        <v>#REF!</v>
      </c>
      <c r="HA130" t="e">
        <f>AND(#REF!,"AAAAAH+38dA=")</f>
        <v>#REF!</v>
      </c>
      <c r="HB130" t="e">
        <f>AND(#REF!,"AAAAAH+38dE=")</f>
        <v>#REF!</v>
      </c>
      <c r="HC130" t="e">
        <f>AND(#REF!,"AAAAAH+38dI=")</f>
        <v>#REF!</v>
      </c>
      <c r="HD130" t="e">
        <f>AND(#REF!,"AAAAAH+38dM=")</f>
        <v>#REF!</v>
      </c>
      <c r="HE130" t="e">
        <f>AND(#REF!,"AAAAAH+38dQ=")</f>
        <v>#REF!</v>
      </c>
      <c r="HF130" t="e">
        <f>AND(#REF!,"AAAAAH+38dU=")</f>
        <v>#REF!</v>
      </c>
      <c r="HG130" t="e">
        <f>AND(#REF!,"AAAAAH+38dY=")</f>
        <v>#REF!</v>
      </c>
      <c r="HH130" t="e">
        <f>AND(#REF!,"AAAAAH+38dc=")</f>
        <v>#REF!</v>
      </c>
      <c r="HI130" t="e">
        <f>AND(#REF!,"AAAAAH+38dg=")</f>
        <v>#REF!</v>
      </c>
      <c r="HJ130" t="e">
        <f>AND(#REF!,"AAAAAH+38dk=")</f>
        <v>#REF!</v>
      </c>
      <c r="HK130" t="e">
        <f>AND(#REF!,"AAAAAH+38do=")</f>
        <v>#REF!</v>
      </c>
      <c r="HL130" t="e">
        <f>AND(#REF!,"AAAAAH+38ds=")</f>
        <v>#REF!</v>
      </c>
      <c r="HM130" t="e">
        <f>AND(#REF!,"AAAAAH+38dw=")</f>
        <v>#REF!</v>
      </c>
      <c r="HN130" t="e">
        <f>AND(#REF!,"AAAAAH+38d0=")</f>
        <v>#REF!</v>
      </c>
      <c r="HO130" t="e">
        <f>AND(#REF!,"AAAAAH+38d4=")</f>
        <v>#REF!</v>
      </c>
      <c r="HP130" t="e">
        <f>AND(#REF!,"AAAAAH+38d8=")</f>
        <v>#REF!</v>
      </c>
      <c r="HQ130" t="e">
        <f>AND(#REF!,"AAAAAH+38eA=")</f>
        <v>#REF!</v>
      </c>
      <c r="HR130" t="e">
        <f>AND(#REF!,"AAAAAH+38eE=")</f>
        <v>#REF!</v>
      </c>
      <c r="HS130" t="e">
        <f>AND(#REF!,"AAAAAH+38eI=")</f>
        <v>#REF!</v>
      </c>
      <c r="HT130" t="e">
        <f>AND(#REF!,"AAAAAH+38eM=")</f>
        <v>#REF!</v>
      </c>
      <c r="HU130" t="e">
        <f>AND(#REF!,"AAAAAH+38eQ=")</f>
        <v>#REF!</v>
      </c>
      <c r="HV130" t="e">
        <f>AND(#REF!,"AAAAAH+38eU=")</f>
        <v>#REF!</v>
      </c>
      <c r="HW130" t="e">
        <f>AND(#REF!,"AAAAAH+38eY=")</f>
        <v>#REF!</v>
      </c>
      <c r="HX130" t="e">
        <f>AND(#REF!,"AAAAAH+38ec=")</f>
        <v>#REF!</v>
      </c>
      <c r="HY130" t="e">
        <f>AND(#REF!,"AAAAAH+38eg=")</f>
        <v>#REF!</v>
      </c>
      <c r="HZ130" t="e">
        <f>AND(#REF!,"AAAAAH+38ek=")</f>
        <v>#REF!</v>
      </c>
      <c r="IA130" t="e">
        <f>AND(#REF!,"AAAAAH+38eo=")</f>
        <v>#REF!</v>
      </c>
      <c r="IB130" t="e">
        <f>AND(#REF!,"AAAAAH+38es=")</f>
        <v>#REF!</v>
      </c>
      <c r="IC130" t="e">
        <f>AND(#REF!,"AAAAAH+38ew=")</f>
        <v>#REF!</v>
      </c>
      <c r="ID130" t="e">
        <f>AND(#REF!,"AAAAAH+38e0=")</f>
        <v>#REF!</v>
      </c>
      <c r="IE130" t="e">
        <f>AND(#REF!,"AAAAAH+38e4=")</f>
        <v>#REF!</v>
      </c>
      <c r="IF130" t="e">
        <f>AND(#REF!,"AAAAAH+38e8=")</f>
        <v>#REF!</v>
      </c>
      <c r="IG130" t="e">
        <f>AND(#REF!,"AAAAAH+38fA=")</f>
        <v>#REF!</v>
      </c>
      <c r="IH130" t="e">
        <f>AND(#REF!,"AAAAAH+38fE=")</f>
        <v>#REF!</v>
      </c>
      <c r="II130" t="e">
        <f>AND(#REF!,"AAAAAH+38fI=")</f>
        <v>#REF!</v>
      </c>
      <c r="IJ130" t="e">
        <f>AND(#REF!,"AAAAAH+38fM=")</f>
        <v>#REF!</v>
      </c>
      <c r="IK130" t="e">
        <f>AND(#REF!,"AAAAAH+38fQ=")</f>
        <v>#REF!</v>
      </c>
      <c r="IL130" t="e">
        <f>AND(#REF!,"AAAAAH+38fU=")</f>
        <v>#REF!</v>
      </c>
      <c r="IM130" t="e">
        <f>AND(#REF!,"AAAAAH+38fY=")</f>
        <v>#REF!</v>
      </c>
      <c r="IN130" t="e">
        <f>AND(#REF!,"AAAAAH+38fc=")</f>
        <v>#REF!</v>
      </c>
      <c r="IO130" t="e">
        <f>AND(#REF!,"AAAAAH+38fg=")</f>
        <v>#REF!</v>
      </c>
      <c r="IP130" t="e">
        <f>AND(#REF!,"AAAAAH+38fk=")</f>
        <v>#REF!</v>
      </c>
      <c r="IQ130" t="e">
        <f>AND(#REF!,"AAAAAH+38fo=")</f>
        <v>#REF!</v>
      </c>
      <c r="IR130" t="e">
        <f>AND(#REF!,"AAAAAH+38fs=")</f>
        <v>#REF!</v>
      </c>
      <c r="IS130" t="e">
        <f>AND(#REF!,"AAAAAH+38fw=")</f>
        <v>#REF!</v>
      </c>
      <c r="IT130" t="e">
        <f>AND(#REF!,"AAAAAH+38f0=")</f>
        <v>#REF!</v>
      </c>
      <c r="IU130" t="e">
        <f>AND(#REF!,"AAAAAH+38f4=")</f>
        <v>#REF!</v>
      </c>
      <c r="IV130" t="e">
        <f>AND(#REF!,"AAAAAH+38f8=")</f>
        <v>#REF!</v>
      </c>
    </row>
    <row r="131" spans="1:256" x14ac:dyDescent="0.25">
      <c r="A131" t="e">
        <f>AND(#REF!,"AAAAACv3/AA=")</f>
        <v>#REF!</v>
      </c>
      <c r="B131" t="e">
        <f>AND(#REF!,"AAAAACv3/AE=")</f>
        <v>#REF!</v>
      </c>
      <c r="C131" t="e">
        <f>AND(#REF!,"AAAAACv3/AI=")</f>
        <v>#REF!</v>
      </c>
      <c r="D131" t="e">
        <f>AND(#REF!,"AAAAACv3/AM=")</f>
        <v>#REF!</v>
      </c>
      <c r="E131" t="e">
        <f>AND(#REF!,"AAAAACv3/AQ=")</f>
        <v>#REF!</v>
      </c>
      <c r="F131" t="e">
        <f>AND(#REF!,"AAAAACv3/AU=")</f>
        <v>#REF!</v>
      </c>
      <c r="G131" t="e">
        <f>AND(#REF!,"AAAAACv3/AY=")</f>
        <v>#REF!</v>
      </c>
      <c r="H131" t="e">
        <f>AND(#REF!,"AAAAACv3/Ac=")</f>
        <v>#REF!</v>
      </c>
      <c r="I131" t="e">
        <f>AND(#REF!,"AAAAACv3/Ag=")</f>
        <v>#REF!</v>
      </c>
      <c r="J131" t="e">
        <f>AND(#REF!,"AAAAACv3/Ak=")</f>
        <v>#REF!</v>
      </c>
      <c r="K131" t="e">
        <f>AND(#REF!,"AAAAACv3/Ao=")</f>
        <v>#REF!</v>
      </c>
      <c r="L131" t="e">
        <f>AND(#REF!,"AAAAACv3/As=")</f>
        <v>#REF!</v>
      </c>
      <c r="M131" t="e">
        <f>AND(#REF!,"AAAAACv3/Aw=")</f>
        <v>#REF!</v>
      </c>
      <c r="N131" t="e">
        <f>AND(#REF!,"AAAAACv3/A0=")</f>
        <v>#REF!</v>
      </c>
      <c r="O131" t="e">
        <f>AND(#REF!,"AAAAACv3/A4=")</f>
        <v>#REF!</v>
      </c>
      <c r="P131" t="e">
        <f>AND(#REF!,"AAAAACv3/A8=")</f>
        <v>#REF!</v>
      </c>
      <c r="Q131" t="e">
        <f>AND(#REF!,"AAAAACv3/BA=")</f>
        <v>#REF!</v>
      </c>
      <c r="R131" t="e">
        <f>AND(#REF!,"AAAAACv3/BE=")</f>
        <v>#REF!</v>
      </c>
      <c r="S131" t="e">
        <f>AND(#REF!,"AAAAACv3/BI=")</f>
        <v>#REF!</v>
      </c>
      <c r="T131" t="e">
        <f>AND(#REF!,"AAAAACv3/BM=")</f>
        <v>#REF!</v>
      </c>
      <c r="U131" t="e">
        <f>AND(#REF!,"AAAAACv3/BQ=")</f>
        <v>#REF!</v>
      </c>
      <c r="V131" t="e">
        <f>AND(#REF!,"AAAAACv3/BU=")</f>
        <v>#REF!</v>
      </c>
      <c r="W131" t="e">
        <f>AND(#REF!,"AAAAACv3/BY=")</f>
        <v>#REF!</v>
      </c>
      <c r="X131" t="e">
        <f>AND(#REF!,"AAAAACv3/Bc=")</f>
        <v>#REF!</v>
      </c>
      <c r="Y131" t="e">
        <f>AND(#REF!,"AAAAACv3/Bg=")</f>
        <v>#REF!</v>
      </c>
      <c r="Z131" t="e">
        <f>AND(#REF!,"AAAAACv3/Bk=")</f>
        <v>#REF!</v>
      </c>
      <c r="AA131" t="e">
        <f>AND(#REF!,"AAAAACv3/Bo=")</f>
        <v>#REF!</v>
      </c>
      <c r="AB131" t="e">
        <f>AND(#REF!,"AAAAACv3/Bs=")</f>
        <v>#REF!</v>
      </c>
      <c r="AC131" t="e">
        <f>AND(#REF!,"AAAAACv3/Bw=")</f>
        <v>#REF!</v>
      </c>
      <c r="AD131" t="e">
        <f>AND(#REF!,"AAAAACv3/B0=")</f>
        <v>#REF!</v>
      </c>
      <c r="AE131" t="e">
        <f>AND(#REF!,"AAAAACv3/B4=")</f>
        <v>#REF!</v>
      </c>
      <c r="AF131" t="e">
        <f>AND(#REF!,"AAAAACv3/B8=")</f>
        <v>#REF!</v>
      </c>
      <c r="AG131" t="e">
        <f>AND(#REF!,"AAAAACv3/CA=")</f>
        <v>#REF!</v>
      </c>
      <c r="AH131" t="e">
        <f>AND(#REF!,"AAAAACv3/CE=")</f>
        <v>#REF!</v>
      </c>
      <c r="AI131" t="e">
        <f>AND(#REF!,"AAAAACv3/CI=")</f>
        <v>#REF!</v>
      </c>
      <c r="AJ131" t="e">
        <f>AND(#REF!,"AAAAACv3/CM=")</f>
        <v>#REF!</v>
      </c>
      <c r="AK131" t="e">
        <f>AND(#REF!,"AAAAACv3/CQ=")</f>
        <v>#REF!</v>
      </c>
      <c r="AL131" t="e">
        <f>AND(#REF!,"AAAAACv3/CU=")</f>
        <v>#REF!</v>
      </c>
      <c r="AM131" t="e">
        <f>AND(#REF!,"AAAAACv3/CY=")</f>
        <v>#REF!</v>
      </c>
      <c r="AN131" t="e">
        <f>AND(#REF!,"AAAAACv3/Cc=")</f>
        <v>#REF!</v>
      </c>
      <c r="AO131" t="e">
        <f>AND(#REF!,"AAAAACv3/Cg=")</f>
        <v>#REF!</v>
      </c>
      <c r="AP131" t="e">
        <f>AND(#REF!,"AAAAACv3/Ck=")</f>
        <v>#REF!</v>
      </c>
      <c r="AQ131" t="e">
        <f>AND(#REF!,"AAAAACv3/Co=")</f>
        <v>#REF!</v>
      </c>
      <c r="AR131" t="e">
        <f>AND(#REF!,"AAAAACv3/Cs=")</f>
        <v>#REF!</v>
      </c>
      <c r="AS131" t="e">
        <f>AND(#REF!,"AAAAACv3/Cw=")</f>
        <v>#REF!</v>
      </c>
      <c r="AT131" t="e">
        <f>AND(#REF!,"AAAAACv3/C0=")</f>
        <v>#REF!</v>
      </c>
      <c r="AU131" t="e">
        <f>AND(#REF!,"AAAAACv3/C4=")</f>
        <v>#REF!</v>
      </c>
      <c r="AV131" t="e">
        <f>AND(#REF!,"AAAAACv3/C8=")</f>
        <v>#REF!</v>
      </c>
      <c r="AW131" t="e">
        <f>AND(#REF!,"AAAAACv3/DA=")</f>
        <v>#REF!</v>
      </c>
      <c r="AX131" t="e">
        <f>AND(#REF!,"AAAAACv3/DE=")</f>
        <v>#REF!</v>
      </c>
      <c r="AY131" t="e">
        <f>AND(#REF!,"AAAAACv3/DI=")</f>
        <v>#REF!</v>
      </c>
      <c r="AZ131" t="e">
        <f>AND(#REF!,"AAAAACv3/DM=")</f>
        <v>#REF!</v>
      </c>
      <c r="BA131" t="e">
        <f>AND(#REF!,"AAAAACv3/DQ=")</f>
        <v>#REF!</v>
      </c>
      <c r="BB131" t="e">
        <f>AND(#REF!,"AAAAACv3/DU=")</f>
        <v>#REF!</v>
      </c>
      <c r="BC131" t="e">
        <f>AND(#REF!,"AAAAACv3/DY=")</f>
        <v>#REF!</v>
      </c>
      <c r="BD131" t="e">
        <f>AND(#REF!,"AAAAACv3/Dc=")</f>
        <v>#REF!</v>
      </c>
      <c r="BE131" t="e">
        <f>AND(#REF!,"AAAAACv3/Dg=")</f>
        <v>#REF!</v>
      </c>
      <c r="BF131" t="e">
        <f>AND(#REF!,"AAAAACv3/Dk=")</f>
        <v>#REF!</v>
      </c>
      <c r="BG131" t="e">
        <f>AND(#REF!,"AAAAACv3/Do=")</f>
        <v>#REF!</v>
      </c>
      <c r="BH131" t="e">
        <f>AND(#REF!,"AAAAACv3/Ds=")</f>
        <v>#REF!</v>
      </c>
      <c r="BI131" t="e">
        <f>AND(#REF!,"AAAAACv3/Dw=")</f>
        <v>#REF!</v>
      </c>
      <c r="BJ131" t="e">
        <f>AND(#REF!,"AAAAACv3/D0=")</f>
        <v>#REF!</v>
      </c>
      <c r="BK131" t="e">
        <f>AND(#REF!,"AAAAACv3/D4=")</f>
        <v>#REF!</v>
      </c>
      <c r="BL131" t="e">
        <f>AND(#REF!,"AAAAACv3/D8=")</f>
        <v>#REF!</v>
      </c>
      <c r="BM131" t="e">
        <f>AND(#REF!,"AAAAACv3/EA=")</f>
        <v>#REF!</v>
      </c>
      <c r="BN131" t="e">
        <f>AND(#REF!,"AAAAACv3/EE=")</f>
        <v>#REF!</v>
      </c>
      <c r="BO131" t="e">
        <f>AND(#REF!,"AAAAACv3/EI=")</f>
        <v>#REF!</v>
      </c>
      <c r="BP131" t="e">
        <f>AND(#REF!,"AAAAACv3/EM=")</f>
        <v>#REF!</v>
      </c>
      <c r="BQ131" t="e">
        <f>AND(#REF!,"AAAAACv3/EQ=")</f>
        <v>#REF!</v>
      </c>
      <c r="BR131" t="e">
        <f>AND(#REF!,"AAAAACv3/EU=")</f>
        <v>#REF!</v>
      </c>
      <c r="BS131" t="e">
        <f>AND(#REF!,"AAAAACv3/EY=")</f>
        <v>#REF!</v>
      </c>
      <c r="BT131" t="e">
        <f>AND(#REF!,"AAAAACv3/Ec=")</f>
        <v>#REF!</v>
      </c>
      <c r="BU131" t="e">
        <f>AND(#REF!,"AAAAACv3/Eg=")</f>
        <v>#REF!</v>
      </c>
      <c r="BV131" t="e">
        <f>AND(#REF!,"AAAAACv3/Ek=")</f>
        <v>#REF!</v>
      </c>
      <c r="BW131" t="e">
        <f>AND(#REF!,"AAAAACv3/Eo=")</f>
        <v>#REF!</v>
      </c>
      <c r="BX131" t="e">
        <f>AND(#REF!,"AAAAACv3/Es=")</f>
        <v>#REF!</v>
      </c>
      <c r="BY131" t="e">
        <f>AND(#REF!,"AAAAACv3/Ew=")</f>
        <v>#REF!</v>
      </c>
      <c r="BZ131" t="e">
        <f>AND(#REF!,"AAAAACv3/E0=")</f>
        <v>#REF!</v>
      </c>
      <c r="CA131" t="e">
        <f>AND(#REF!,"AAAAACv3/E4=")</f>
        <v>#REF!</v>
      </c>
      <c r="CB131" t="e">
        <f>AND(#REF!,"AAAAACv3/E8=")</f>
        <v>#REF!</v>
      </c>
      <c r="CC131" t="e">
        <f>AND(#REF!,"AAAAACv3/FA=")</f>
        <v>#REF!</v>
      </c>
      <c r="CD131" t="e">
        <f>AND(#REF!,"AAAAACv3/FE=")</f>
        <v>#REF!</v>
      </c>
      <c r="CE131" t="e">
        <f>AND(#REF!,"AAAAACv3/FI=")</f>
        <v>#REF!</v>
      </c>
      <c r="CF131" t="e">
        <f>AND(#REF!,"AAAAACv3/FM=")</f>
        <v>#REF!</v>
      </c>
      <c r="CG131" t="e">
        <f>AND(#REF!,"AAAAACv3/FQ=")</f>
        <v>#REF!</v>
      </c>
      <c r="CH131" t="e">
        <f>AND(#REF!,"AAAAACv3/FU=")</f>
        <v>#REF!</v>
      </c>
      <c r="CI131" t="e">
        <f>AND(#REF!,"AAAAACv3/FY=")</f>
        <v>#REF!</v>
      </c>
      <c r="CJ131" t="e">
        <f>AND(#REF!,"AAAAACv3/Fc=")</f>
        <v>#REF!</v>
      </c>
      <c r="CK131" t="e">
        <f>AND(#REF!,"AAAAACv3/Fg=")</f>
        <v>#REF!</v>
      </c>
      <c r="CL131" t="e">
        <f>AND(#REF!,"AAAAACv3/Fk=")</f>
        <v>#REF!</v>
      </c>
      <c r="CM131" t="e">
        <f>AND(#REF!,"AAAAACv3/Fo=")</f>
        <v>#REF!</v>
      </c>
      <c r="CN131" t="e">
        <f>AND(#REF!,"AAAAACv3/Fs=")</f>
        <v>#REF!</v>
      </c>
      <c r="CO131" t="e">
        <f>AND(#REF!,"AAAAACv3/Fw=")</f>
        <v>#REF!</v>
      </c>
      <c r="CP131" t="e">
        <f>AND(#REF!,"AAAAACv3/F0=")</f>
        <v>#REF!</v>
      </c>
      <c r="CQ131" t="e">
        <f>AND(#REF!,"AAAAACv3/F4=")</f>
        <v>#REF!</v>
      </c>
      <c r="CR131" t="e">
        <f>AND(#REF!,"AAAAACv3/F8=")</f>
        <v>#REF!</v>
      </c>
      <c r="CS131" t="e">
        <f>AND(#REF!,"AAAAACv3/GA=")</f>
        <v>#REF!</v>
      </c>
      <c r="CT131" t="e">
        <f>AND(#REF!,"AAAAACv3/GE=")</f>
        <v>#REF!</v>
      </c>
      <c r="CU131" t="e">
        <f>AND(#REF!,"AAAAACv3/GI=")</f>
        <v>#REF!</v>
      </c>
      <c r="CV131" t="e">
        <f>AND(#REF!,"AAAAACv3/GM=")</f>
        <v>#REF!</v>
      </c>
      <c r="CW131" t="e">
        <f>AND(#REF!,"AAAAACv3/GQ=")</f>
        <v>#REF!</v>
      </c>
      <c r="CX131" t="e">
        <f>AND(#REF!,"AAAAACv3/GU=")</f>
        <v>#REF!</v>
      </c>
      <c r="CY131" t="e">
        <f>AND(#REF!,"AAAAACv3/GY=")</f>
        <v>#REF!</v>
      </c>
      <c r="CZ131" t="e">
        <f>AND(#REF!,"AAAAACv3/Gc=")</f>
        <v>#REF!</v>
      </c>
      <c r="DA131" t="e">
        <f>AND(#REF!,"AAAAACv3/Gg=")</f>
        <v>#REF!</v>
      </c>
      <c r="DB131" t="e">
        <f>AND(#REF!,"AAAAACv3/Gk=")</f>
        <v>#REF!</v>
      </c>
      <c r="DC131" t="e">
        <f>AND(#REF!,"AAAAACv3/Go=")</f>
        <v>#REF!</v>
      </c>
      <c r="DD131" t="e">
        <f>AND(#REF!,"AAAAACv3/Gs=")</f>
        <v>#REF!</v>
      </c>
      <c r="DE131" t="e">
        <f>AND(#REF!,"AAAAACv3/Gw=")</f>
        <v>#REF!</v>
      </c>
      <c r="DF131" t="e">
        <f>AND(#REF!,"AAAAACv3/G0=")</f>
        <v>#REF!</v>
      </c>
      <c r="DG131" t="e">
        <f>AND(#REF!,"AAAAACv3/G4=")</f>
        <v>#REF!</v>
      </c>
      <c r="DH131" t="e">
        <f>AND(#REF!,"AAAAACv3/G8=")</f>
        <v>#REF!</v>
      </c>
      <c r="DI131" t="e">
        <f>AND(#REF!,"AAAAACv3/HA=")</f>
        <v>#REF!</v>
      </c>
      <c r="DJ131" t="e">
        <f>AND(#REF!,"AAAAACv3/HE=")</f>
        <v>#REF!</v>
      </c>
      <c r="DK131" t="e">
        <f>AND(#REF!,"AAAAACv3/HI=")</f>
        <v>#REF!</v>
      </c>
      <c r="DL131" t="e">
        <f>AND(#REF!,"AAAAACv3/HM=")</f>
        <v>#REF!</v>
      </c>
      <c r="DM131" t="e">
        <f>AND(#REF!,"AAAAACv3/HQ=")</f>
        <v>#REF!</v>
      </c>
      <c r="DN131" t="e">
        <f>AND(#REF!,"AAAAACv3/HU=")</f>
        <v>#REF!</v>
      </c>
      <c r="DO131" t="e">
        <f>AND(#REF!,"AAAAACv3/HY=")</f>
        <v>#REF!</v>
      </c>
      <c r="DP131" t="e">
        <f>AND(#REF!,"AAAAACv3/Hc=")</f>
        <v>#REF!</v>
      </c>
      <c r="DQ131" t="e">
        <f>AND(#REF!,"AAAAACv3/Hg=")</f>
        <v>#REF!</v>
      </c>
      <c r="DR131" t="e">
        <f>AND(#REF!,"AAAAACv3/Hk=")</f>
        <v>#REF!</v>
      </c>
      <c r="DS131" t="e">
        <f>AND(#REF!,"AAAAACv3/Ho=")</f>
        <v>#REF!</v>
      </c>
      <c r="DT131" t="e">
        <f>AND(#REF!,"AAAAACv3/Hs=")</f>
        <v>#REF!</v>
      </c>
      <c r="DU131" t="e">
        <f>AND(#REF!,"AAAAACv3/Hw=")</f>
        <v>#REF!</v>
      </c>
      <c r="DV131" t="e">
        <f>AND(#REF!,"AAAAACv3/H0=")</f>
        <v>#REF!</v>
      </c>
      <c r="DW131" t="e">
        <f>AND(#REF!,"AAAAACv3/H4=")</f>
        <v>#REF!</v>
      </c>
      <c r="DX131" t="e">
        <f>AND(#REF!,"AAAAACv3/H8=")</f>
        <v>#REF!</v>
      </c>
      <c r="DY131" t="e">
        <f>AND(#REF!,"AAAAACv3/IA=")</f>
        <v>#REF!</v>
      </c>
      <c r="DZ131" t="e">
        <f>AND(#REF!,"AAAAACv3/IE=")</f>
        <v>#REF!</v>
      </c>
      <c r="EA131" t="e">
        <f>AND(#REF!,"AAAAACv3/II=")</f>
        <v>#REF!</v>
      </c>
      <c r="EB131" t="e">
        <f>AND(#REF!,"AAAAACv3/IM=")</f>
        <v>#REF!</v>
      </c>
      <c r="EC131" t="e">
        <f>AND(#REF!,"AAAAACv3/IQ=")</f>
        <v>#REF!</v>
      </c>
      <c r="ED131" t="e">
        <f>AND(#REF!,"AAAAACv3/IU=")</f>
        <v>#REF!</v>
      </c>
      <c r="EE131" t="e">
        <f>AND(#REF!,"AAAAACv3/IY=")</f>
        <v>#REF!</v>
      </c>
      <c r="EF131" t="e">
        <f>AND(#REF!,"AAAAACv3/Ic=")</f>
        <v>#REF!</v>
      </c>
      <c r="EG131" t="e">
        <f>AND(#REF!,"AAAAACv3/Ig=")</f>
        <v>#REF!</v>
      </c>
      <c r="EH131" t="e">
        <f>AND(#REF!,"AAAAACv3/Ik=")</f>
        <v>#REF!</v>
      </c>
      <c r="EI131" t="e">
        <f>IF(#REF!,"AAAAACv3/Io=",0)</f>
        <v>#REF!</v>
      </c>
      <c r="EJ131" t="e">
        <f>AND(#REF!,"AAAAACv3/Is=")</f>
        <v>#REF!</v>
      </c>
      <c r="EK131" t="e">
        <f>AND(#REF!,"AAAAACv3/Iw=")</f>
        <v>#REF!</v>
      </c>
      <c r="EL131" t="e">
        <f>AND(#REF!,"AAAAACv3/I0=")</f>
        <v>#REF!</v>
      </c>
      <c r="EM131" t="e">
        <f>AND(#REF!,"AAAAACv3/I4=")</f>
        <v>#REF!</v>
      </c>
      <c r="EN131" t="e">
        <f>AND(#REF!,"AAAAACv3/I8=")</f>
        <v>#REF!</v>
      </c>
      <c r="EO131" t="e">
        <f>AND(#REF!,"AAAAACv3/JA=")</f>
        <v>#REF!</v>
      </c>
      <c r="EP131" t="e">
        <f>AND(#REF!,"AAAAACv3/JE=")</f>
        <v>#REF!</v>
      </c>
      <c r="EQ131" t="e">
        <f>AND(#REF!,"AAAAACv3/JI=")</f>
        <v>#REF!</v>
      </c>
      <c r="ER131" t="e">
        <f>AND(#REF!,"AAAAACv3/JM=")</f>
        <v>#REF!</v>
      </c>
      <c r="ES131" t="e">
        <f>AND(#REF!,"AAAAACv3/JQ=")</f>
        <v>#REF!</v>
      </c>
      <c r="ET131" t="e">
        <f>AND(#REF!,"AAAAACv3/JU=")</f>
        <v>#REF!</v>
      </c>
      <c r="EU131" t="e">
        <f>AND(#REF!,"AAAAACv3/JY=")</f>
        <v>#REF!</v>
      </c>
      <c r="EV131" t="e">
        <f>AND(#REF!,"AAAAACv3/Jc=")</f>
        <v>#REF!</v>
      </c>
      <c r="EW131" t="e">
        <f>AND(#REF!,"AAAAACv3/Jg=")</f>
        <v>#REF!</v>
      </c>
      <c r="EX131" t="e">
        <f>AND(#REF!,"AAAAACv3/Jk=")</f>
        <v>#REF!</v>
      </c>
      <c r="EY131" t="e">
        <f>AND(#REF!,"AAAAACv3/Jo=")</f>
        <v>#REF!</v>
      </c>
      <c r="EZ131" t="e">
        <f>AND(#REF!,"AAAAACv3/Js=")</f>
        <v>#REF!</v>
      </c>
      <c r="FA131" t="e">
        <f>AND(#REF!,"AAAAACv3/Jw=")</f>
        <v>#REF!</v>
      </c>
      <c r="FB131" t="e">
        <f>AND(#REF!,"AAAAACv3/J0=")</f>
        <v>#REF!</v>
      </c>
      <c r="FC131" t="e">
        <f>AND(#REF!,"AAAAACv3/J4=")</f>
        <v>#REF!</v>
      </c>
      <c r="FD131" t="e">
        <f>AND(#REF!,"AAAAACv3/J8=")</f>
        <v>#REF!</v>
      </c>
      <c r="FE131" t="e">
        <f>AND(#REF!,"AAAAACv3/KA=")</f>
        <v>#REF!</v>
      </c>
      <c r="FF131" t="e">
        <f>AND(#REF!,"AAAAACv3/KE=")</f>
        <v>#REF!</v>
      </c>
      <c r="FG131" t="e">
        <f>AND(#REF!,"AAAAACv3/KI=")</f>
        <v>#REF!</v>
      </c>
      <c r="FH131" t="e">
        <f>AND(#REF!,"AAAAACv3/KM=")</f>
        <v>#REF!</v>
      </c>
      <c r="FI131" t="e">
        <f>AND(#REF!,"AAAAACv3/KQ=")</f>
        <v>#REF!</v>
      </c>
      <c r="FJ131" t="e">
        <f>AND(#REF!,"AAAAACv3/KU=")</f>
        <v>#REF!</v>
      </c>
      <c r="FK131" t="e">
        <f>AND(#REF!,"AAAAACv3/KY=")</f>
        <v>#REF!</v>
      </c>
      <c r="FL131" t="e">
        <f>AND(#REF!,"AAAAACv3/Kc=")</f>
        <v>#REF!</v>
      </c>
      <c r="FM131" t="e">
        <f>AND(#REF!,"AAAAACv3/Kg=")</f>
        <v>#REF!</v>
      </c>
      <c r="FN131" t="e">
        <f>AND(#REF!,"AAAAACv3/Kk=")</f>
        <v>#REF!</v>
      </c>
      <c r="FO131" t="e">
        <f>AND(#REF!,"AAAAACv3/Ko=")</f>
        <v>#REF!</v>
      </c>
      <c r="FP131" t="e">
        <f>AND(#REF!,"AAAAACv3/Ks=")</f>
        <v>#REF!</v>
      </c>
      <c r="FQ131" t="e">
        <f>AND(#REF!,"AAAAACv3/Kw=")</f>
        <v>#REF!</v>
      </c>
      <c r="FR131" t="e">
        <f>AND(#REF!,"AAAAACv3/K0=")</f>
        <v>#REF!</v>
      </c>
      <c r="FS131" t="e">
        <f>AND(#REF!,"AAAAACv3/K4=")</f>
        <v>#REF!</v>
      </c>
      <c r="FT131" t="e">
        <f>AND(#REF!,"AAAAACv3/K8=")</f>
        <v>#REF!</v>
      </c>
      <c r="FU131" t="e">
        <f>AND(#REF!,"AAAAACv3/LA=")</f>
        <v>#REF!</v>
      </c>
      <c r="FV131" t="e">
        <f>AND(#REF!,"AAAAACv3/LE=")</f>
        <v>#REF!</v>
      </c>
      <c r="FW131" t="e">
        <f>AND(#REF!,"AAAAACv3/LI=")</f>
        <v>#REF!</v>
      </c>
      <c r="FX131" t="e">
        <f>AND(#REF!,"AAAAACv3/LM=")</f>
        <v>#REF!</v>
      </c>
      <c r="FY131" t="e">
        <f>AND(#REF!,"AAAAACv3/LQ=")</f>
        <v>#REF!</v>
      </c>
      <c r="FZ131" t="e">
        <f>AND(#REF!,"AAAAACv3/LU=")</f>
        <v>#REF!</v>
      </c>
      <c r="GA131" t="e">
        <f>AND(#REF!,"AAAAACv3/LY=")</f>
        <v>#REF!</v>
      </c>
      <c r="GB131" t="e">
        <f>AND(#REF!,"AAAAACv3/Lc=")</f>
        <v>#REF!</v>
      </c>
      <c r="GC131" t="e">
        <f>AND(#REF!,"AAAAACv3/Lg=")</f>
        <v>#REF!</v>
      </c>
      <c r="GD131" t="e">
        <f>AND(#REF!,"AAAAACv3/Lk=")</f>
        <v>#REF!</v>
      </c>
      <c r="GE131" t="e">
        <f>AND(#REF!,"AAAAACv3/Lo=")</f>
        <v>#REF!</v>
      </c>
      <c r="GF131" t="e">
        <f>AND(#REF!,"AAAAACv3/Ls=")</f>
        <v>#REF!</v>
      </c>
      <c r="GG131" t="e">
        <f>AND(#REF!,"AAAAACv3/Lw=")</f>
        <v>#REF!</v>
      </c>
      <c r="GH131" t="e">
        <f>AND(#REF!,"AAAAACv3/L0=")</f>
        <v>#REF!</v>
      </c>
      <c r="GI131" t="e">
        <f>AND(#REF!,"AAAAACv3/L4=")</f>
        <v>#REF!</v>
      </c>
      <c r="GJ131" t="e">
        <f>AND(#REF!,"AAAAACv3/L8=")</f>
        <v>#REF!</v>
      </c>
      <c r="GK131" t="e">
        <f>AND(#REF!,"AAAAACv3/MA=")</f>
        <v>#REF!</v>
      </c>
      <c r="GL131" t="e">
        <f>AND(#REF!,"AAAAACv3/ME=")</f>
        <v>#REF!</v>
      </c>
      <c r="GM131" t="e">
        <f>AND(#REF!,"AAAAACv3/MI=")</f>
        <v>#REF!</v>
      </c>
      <c r="GN131" t="e">
        <f>AND(#REF!,"AAAAACv3/MM=")</f>
        <v>#REF!</v>
      </c>
      <c r="GO131" t="e">
        <f>AND(#REF!,"AAAAACv3/MQ=")</f>
        <v>#REF!</v>
      </c>
      <c r="GP131" t="e">
        <f>AND(#REF!,"AAAAACv3/MU=")</f>
        <v>#REF!</v>
      </c>
      <c r="GQ131" t="e">
        <f>AND(#REF!,"AAAAACv3/MY=")</f>
        <v>#REF!</v>
      </c>
      <c r="GR131" t="e">
        <f>AND(#REF!,"AAAAACv3/Mc=")</f>
        <v>#REF!</v>
      </c>
      <c r="GS131" t="e">
        <f>AND(#REF!,"AAAAACv3/Mg=")</f>
        <v>#REF!</v>
      </c>
      <c r="GT131" t="e">
        <f>AND(#REF!,"AAAAACv3/Mk=")</f>
        <v>#REF!</v>
      </c>
      <c r="GU131" t="e">
        <f>AND(#REF!,"AAAAACv3/Mo=")</f>
        <v>#REF!</v>
      </c>
      <c r="GV131" t="e">
        <f>AND(#REF!,"AAAAACv3/Ms=")</f>
        <v>#REF!</v>
      </c>
      <c r="GW131" t="e">
        <f>AND(#REF!,"AAAAACv3/Mw=")</f>
        <v>#REF!</v>
      </c>
      <c r="GX131" t="e">
        <f>AND(#REF!,"AAAAACv3/M0=")</f>
        <v>#REF!</v>
      </c>
      <c r="GY131" t="e">
        <f>AND(#REF!,"AAAAACv3/M4=")</f>
        <v>#REF!</v>
      </c>
      <c r="GZ131" t="e">
        <f>AND(#REF!,"AAAAACv3/M8=")</f>
        <v>#REF!</v>
      </c>
      <c r="HA131" t="e">
        <f>AND(#REF!,"AAAAACv3/NA=")</f>
        <v>#REF!</v>
      </c>
      <c r="HB131" t="e">
        <f>AND(#REF!,"AAAAACv3/NE=")</f>
        <v>#REF!</v>
      </c>
      <c r="HC131" t="e">
        <f>AND(#REF!,"AAAAACv3/NI=")</f>
        <v>#REF!</v>
      </c>
      <c r="HD131" t="e">
        <f>AND(#REF!,"AAAAACv3/NM=")</f>
        <v>#REF!</v>
      </c>
      <c r="HE131" t="e">
        <f>AND(#REF!,"AAAAACv3/NQ=")</f>
        <v>#REF!</v>
      </c>
      <c r="HF131" t="e">
        <f>AND(#REF!,"AAAAACv3/NU=")</f>
        <v>#REF!</v>
      </c>
      <c r="HG131" t="e">
        <f>AND(#REF!,"AAAAACv3/NY=")</f>
        <v>#REF!</v>
      </c>
      <c r="HH131" t="e">
        <f>AND(#REF!,"AAAAACv3/Nc=")</f>
        <v>#REF!</v>
      </c>
      <c r="HI131" t="e">
        <f>AND(#REF!,"AAAAACv3/Ng=")</f>
        <v>#REF!</v>
      </c>
      <c r="HJ131" t="e">
        <f>AND(#REF!,"AAAAACv3/Nk=")</f>
        <v>#REF!</v>
      </c>
      <c r="HK131" t="e">
        <f>AND(#REF!,"AAAAACv3/No=")</f>
        <v>#REF!</v>
      </c>
      <c r="HL131" t="e">
        <f>AND(#REF!,"AAAAACv3/Ns=")</f>
        <v>#REF!</v>
      </c>
      <c r="HM131" t="e">
        <f>AND(#REF!,"AAAAACv3/Nw=")</f>
        <v>#REF!</v>
      </c>
      <c r="HN131" t="e">
        <f>AND(#REF!,"AAAAACv3/N0=")</f>
        <v>#REF!</v>
      </c>
      <c r="HO131" t="e">
        <f>AND(#REF!,"AAAAACv3/N4=")</f>
        <v>#REF!</v>
      </c>
      <c r="HP131" t="e">
        <f>AND(#REF!,"AAAAACv3/N8=")</f>
        <v>#REF!</v>
      </c>
      <c r="HQ131" t="e">
        <f>AND(#REF!,"AAAAACv3/OA=")</f>
        <v>#REF!</v>
      </c>
      <c r="HR131" t="e">
        <f>AND(#REF!,"AAAAACv3/OE=")</f>
        <v>#REF!</v>
      </c>
      <c r="HS131" t="e">
        <f>AND(#REF!,"AAAAACv3/OI=")</f>
        <v>#REF!</v>
      </c>
      <c r="HT131" t="e">
        <f>AND(#REF!,"AAAAACv3/OM=")</f>
        <v>#REF!</v>
      </c>
      <c r="HU131" t="e">
        <f>AND(#REF!,"AAAAACv3/OQ=")</f>
        <v>#REF!</v>
      </c>
      <c r="HV131" t="e">
        <f>AND(#REF!,"AAAAACv3/OU=")</f>
        <v>#REF!</v>
      </c>
      <c r="HW131" t="e">
        <f>AND(#REF!,"AAAAACv3/OY=")</f>
        <v>#REF!</v>
      </c>
      <c r="HX131" t="e">
        <f>AND(#REF!,"AAAAACv3/Oc=")</f>
        <v>#REF!</v>
      </c>
      <c r="HY131" t="e">
        <f>AND(#REF!,"AAAAACv3/Og=")</f>
        <v>#REF!</v>
      </c>
      <c r="HZ131" t="e">
        <f>AND(#REF!,"AAAAACv3/Ok=")</f>
        <v>#REF!</v>
      </c>
      <c r="IA131" t="e">
        <f>AND(#REF!,"AAAAACv3/Oo=")</f>
        <v>#REF!</v>
      </c>
      <c r="IB131" t="e">
        <f>AND(#REF!,"AAAAACv3/Os=")</f>
        <v>#REF!</v>
      </c>
      <c r="IC131" t="e">
        <f>AND(#REF!,"AAAAACv3/Ow=")</f>
        <v>#REF!</v>
      </c>
      <c r="ID131" t="e">
        <f>AND(#REF!,"AAAAACv3/O0=")</f>
        <v>#REF!</v>
      </c>
      <c r="IE131" t="e">
        <f>AND(#REF!,"AAAAACv3/O4=")</f>
        <v>#REF!</v>
      </c>
      <c r="IF131" t="e">
        <f>AND(#REF!,"AAAAACv3/O8=")</f>
        <v>#REF!</v>
      </c>
      <c r="IG131" t="e">
        <f>AND(#REF!,"AAAAACv3/PA=")</f>
        <v>#REF!</v>
      </c>
      <c r="IH131" t="e">
        <f>AND(#REF!,"AAAAACv3/PE=")</f>
        <v>#REF!</v>
      </c>
      <c r="II131" t="e">
        <f>AND(#REF!,"AAAAACv3/PI=")</f>
        <v>#REF!</v>
      </c>
      <c r="IJ131" t="e">
        <f>AND(#REF!,"AAAAACv3/PM=")</f>
        <v>#REF!</v>
      </c>
      <c r="IK131" t="e">
        <f>AND(#REF!,"AAAAACv3/PQ=")</f>
        <v>#REF!</v>
      </c>
      <c r="IL131" t="e">
        <f>AND(#REF!,"AAAAACv3/PU=")</f>
        <v>#REF!</v>
      </c>
      <c r="IM131" t="e">
        <f>AND(#REF!,"AAAAACv3/PY=")</f>
        <v>#REF!</v>
      </c>
      <c r="IN131" t="e">
        <f>AND(#REF!,"AAAAACv3/Pc=")</f>
        <v>#REF!</v>
      </c>
      <c r="IO131" t="e">
        <f>AND(#REF!,"AAAAACv3/Pg=")</f>
        <v>#REF!</v>
      </c>
      <c r="IP131" t="e">
        <f>AND(#REF!,"AAAAACv3/Pk=")</f>
        <v>#REF!</v>
      </c>
      <c r="IQ131" t="e">
        <f>AND(#REF!,"AAAAACv3/Po=")</f>
        <v>#REF!</v>
      </c>
      <c r="IR131" t="e">
        <f>AND(#REF!,"AAAAACv3/Ps=")</f>
        <v>#REF!</v>
      </c>
      <c r="IS131" t="e">
        <f>AND(#REF!,"AAAAACv3/Pw=")</f>
        <v>#REF!</v>
      </c>
      <c r="IT131" t="e">
        <f>AND(#REF!,"AAAAACv3/P0=")</f>
        <v>#REF!</v>
      </c>
      <c r="IU131" t="e">
        <f>AND(#REF!,"AAAAACv3/P4=")</f>
        <v>#REF!</v>
      </c>
      <c r="IV131" t="e">
        <f>AND(#REF!,"AAAAACv3/P8=")</f>
        <v>#REF!</v>
      </c>
    </row>
    <row r="132" spans="1:256" x14ac:dyDescent="0.25">
      <c r="A132" t="e">
        <f>AND(#REF!,"AAAAAF/3bwA=")</f>
        <v>#REF!</v>
      </c>
      <c r="B132" t="e">
        <f>AND(#REF!,"AAAAAF/3bwE=")</f>
        <v>#REF!</v>
      </c>
      <c r="C132" t="e">
        <f>AND(#REF!,"AAAAAF/3bwI=")</f>
        <v>#REF!</v>
      </c>
      <c r="D132" t="e">
        <f>AND(#REF!,"AAAAAF/3bwM=")</f>
        <v>#REF!</v>
      </c>
      <c r="E132" t="e">
        <f>AND(#REF!,"AAAAAF/3bwQ=")</f>
        <v>#REF!</v>
      </c>
      <c r="F132" t="e">
        <f>AND(#REF!,"AAAAAF/3bwU=")</f>
        <v>#REF!</v>
      </c>
      <c r="G132" t="e">
        <f>AND(#REF!,"AAAAAF/3bwY=")</f>
        <v>#REF!</v>
      </c>
      <c r="H132" t="e">
        <f>AND(#REF!,"AAAAAF/3bwc=")</f>
        <v>#REF!</v>
      </c>
      <c r="I132" t="e">
        <f>AND(#REF!,"AAAAAF/3bwg=")</f>
        <v>#REF!</v>
      </c>
      <c r="J132" t="e">
        <f>AND(#REF!,"AAAAAF/3bwk=")</f>
        <v>#REF!</v>
      </c>
      <c r="K132" t="e">
        <f>AND(#REF!,"AAAAAF/3bwo=")</f>
        <v>#REF!</v>
      </c>
      <c r="L132" t="e">
        <f>AND(#REF!,"AAAAAF/3bws=")</f>
        <v>#REF!</v>
      </c>
      <c r="M132" t="e">
        <f>AND(#REF!,"AAAAAF/3bww=")</f>
        <v>#REF!</v>
      </c>
      <c r="N132" t="e">
        <f>AND(#REF!,"AAAAAF/3bw0=")</f>
        <v>#REF!</v>
      </c>
      <c r="O132" t="e">
        <f>AND(#REF!,"AAAAAF/3bw4=")</f>
        <v>#REF!</v>
      </c>
      <c r="P132" t="e">
        <f>AND(#REF!,"AAAAAF/3bw8=")</f>
        <v>#REF!</v>
      </c>
      <c r="Q132" t="e">
        <f>AND(#REF!,"AAAAAF/3bxA=")</f>
        <v>#REF!</v>
      </c>
      <c r="R132" t="e">
        <f>AND(#REF!,"AAAAAF/3bxE=")</f>
        <v>#REF!</v>
      </c>
      <c r="S132" t="e">
        <f>AND(#REF!,"AAAAAF/3bxI=")</f>
        <v>#REF!</v>
      </c>
      <c r="T132" t="e">
        <f>AND(#REF!,"AAAAAF/3bxM=")</f>
        <v>#REF!</v>
      </c>
      <c r="U132" t="e">
        <f>AND(#REF!,"AAAAAF/3bxQ=")</f>
        <v>#REF!</v>
      </c>
      <c r="V132" t="e">
        <f>AND(#REF!,"AAAAAF/3bxU=")</f>
        <v>#REF!</v>
      </c>
      <c r="W132" t="e">
        <f>AND(#REF!,"AAAAAF/3bxY=")</f>
        <v>#REF!</v>
      </c>
      <c r="X132" t="e">
        <f>AND(#REF!,"AAAAAF/3bxc=")</f>
        <v>#REF!</v>
      </c>
      <c r="Y132" t="e">
        <f>AND(#REF!,"AAAAAF/3bxg=")</f>
        <v>#REF!</v>
      </c>
      <c r="Z132" t="e">
        <f>AND(#REF!,"AAAAAF/3bxk=")</f>
        <v>#REF!</v>
      </c>
      <c r="AA132" t="e">
        <f>AND(#REF!,"AAAAAF/3bxo=")</f>
        <v>#REF!</v>
      </c>
      <c r="AB132" t="e">
        <f>AND(#REF!,"AAAAAF/3bxs=")</f>
        <v>#REF!</v>
      </c>
      <c r="AC132" t="e">
        <f>AND(#REF!,"AAAAAF/3bxw=")</f>
        <v>#REF!</v>
      </c>
      <c r="AD132" t="e">
        <f>AND(#REF!,"AAAAAF/3bx0=")</f>
        <v>#REF!</v>
      </c>
      <c r="AE132" t="e">
        <f>AND(#REF!,"AAAAAF/3bx4=")</f>
        <v>#REF!</v>
      </c>
      <c r="AF132" t="e">
        <f>AND(#REF!,"AAAAAF/3bx8=")</f>
        <v>#REF!</v>
      </c>
      <c r="AG132" t="e">
        <f>AND(#REF!,"AAAAAF/3byA=")</f>
        <v>#REF!</v>
      </c>
      <c r="AH132" t="e">
        <f>AND(#REF!,"AAAAAF/3byE=")</f>
        <v>#REF!</v>
      </c>
      <c r="AI132" t="e">
        <f>AND(#REF!,"AAAAAF/3byI=")</f>
        <v>#REF!</v>
      </c>
      <c r="AJ132" t="e">
        <f>AND(#REF!,"AAAAAF/3byM=")</f>
        <v>#REF!</v>
      </c>
      <c r="AK132" t="e">
        <f>AND(#REF!,"AAAAAF/3byQ=")</f>
        <v>#REF!</v>
      </c>
      <c r="AL132" t="e">
        <f>AND(#REF!,"AAAAAF/3byU=")</f>
        <v>#REF!</v>
      </c>
      <c r="AM132" t="e">
        <f>AND(#REF!,"AAAAAF/3byY=")</f>
        <v>#REF!</v>
      </c>
      <c r="AN132" t="e">
        <f>AND(#REF!,"AAAAAF/3byc=")</f>
        <v>#REF!</v>
      </c>
      <c r="AO132" t="e">
        <f>AND(#REF!,"AAAAAF/3byg=")</f>
        <v>#REF!</v>
      </c>
      <c r="AP132" t="e">
        <f>AND(#REF!,"AAAAAF/3byk=")</f>
        <v>#REF!</v>
      </c>
      <c r="AQ132" t="e">
        <f>AND(#REF!,"AAAAAF/3byo=")</f>
        <v>#REF!</v>
      </c>
      <c r="AR132" t="e">
        <f>AND(#REF!,"AAAAAF/3bys=")</f>
        <v>#REF!</v>
      </c>
      <c r="AS132" t="e">
        <f>AND(#REF!,"AAAAAF/3byw=")</f>
        <v>#REF!</v>
      </c>
      <c r="AT132" t="e">
        <f>AND(#REF!,"AAAAAF/3by0=")</f>
        <v>#REF!</v>
      </c>
      <c r="AU132" t="e">
        <f>AND(#REF!,"AAAAAF/3by4=")</f>
        <v>#REF!</v>
      </c>
      <c r="AV132" t="e">
        <f>AND(#REF!,"AAAAAF/3by8=")</f>
        <v>#REF!</v>
      </c>
      <c r="AW132" t="e">
        <f>AND(#REF!,"AAAAAF/3bzA=")</f>
        <v>#REF!</v>
      </c>
      <c r="AX132" t="e">
        <f>AND(#REF!,"AAAAAF/3bzE=")</f>
        <v>#REF!</v>
      </c>
      <c r="AY132" t="e">
        <f>AND(#REF!,"AAAAAF/3bzI=")</f>
        <v>#REF!</v>
      </c>
      <c r="AZ132" t="e">
        <f>AND(#REF!,"AAAAAF/3bzM=")</f>
        <v>#REF!</v>
      </c>
      <c r="BA132" t="e">
        <f>AND(#REF!,"AAAAAF/3bzQ=")</f>
        <v>#REF!</v>
      </c>
      <c r="BB132" t="e">
        <f>AND(#REF!,"AAAAAF/3bzU=")</f>
        <v>#REF!</v>
      </c>
      <c r="BC132" t="e">
        <f>AND(#REF!,"AAAAAF/3bzY=")</f>
        <v>#REF!</v>
      </c>
      <c r="BD132" t="e">
        <f>AND(#REF!,"AAAAAF/3bzc=")</f>
        <v>#REF!</v>
      </c>
      <c r="BE132" t="e">
        <f>AND(#REF!,"AAAAAF/3bzg=")</f>
        <v>#REF!</v>
      </c>
      <c r="BF132" t="e">
        <f>AND(#REF!,"AAAAAF/3bzk=")</f>
        <v>#REF!</v>
      </c>
      <c r="BG132" t="e">
        <f>AND(#REF!,"AAAAAF/3bzo=")</f>
        <v>#REF!</v>
      </c>
      <c r="BH132" t="e">
        <f>AND(#REF!,"AAAAAF/3bzs=")</f>
        <v>#REF!</v>
      </c>
      <c r="BI132" t="e">
        <f>AND(#REF!,"AAAAAF/3bzw=")</f>
        <v>#REF!</v>
      </c>
      <c r="BJ132" t="e">
        <f>AND(#REF!,"AAAAAF/3bz0=")</f>
        <v>#REF!</v>
      </c>
      <c r="BK132" t="e">
        <f>AND(#REF!,"AAAAAF/3bz4=")</f>
        <v>#REF!</v>
      </c>
      <c r="BL132" t="e">
        <f>AND(#REF!,"AAAAAF/3bz8=")</f>
        <v>#REF!</v>
      </c>
      <c r="BM132" t="e">
        <f>AND(#REF!,"AAAAAF/3b0A=")</f>
        <v>#REF!</v>
      </c>
      <c r="BN132" t="e">
        <f>AND(#REF!,"AAAAAF/3b0E=")</f>
        <v>#REF!</v>
      </c>
      <c r="BO132" t="e">
        <f>AND(#REF!,"AAAAAF/3b0I=")</f>
        <v>#REF!</v>
      </c>
      <c r="BP132" t="e">
        <f>AND(#REF!,"AAAAAF/3b0M=")</f>
        <v>#REF!</v>
      </c>
      <c r="BQ132" t="e">
        <f>AND(#REF!,"AAAAAF/3b0Q=")</f>
        <v>#REF!</v>
      </c>
      <c r="BR132" t="e">
        <f>AND(#REF!,"AAAAAF/3b0U=")</f>
        <v>#REF!</v>
      </c>
      <c r="BS132" t="e">
        <f>AND(#REF!,"AAAAAF/3b0Y=")</f>
        <v>#REF!</v>
      </c>
      <c r="BT132" t="e">
        <f>IF(#REF!,"AAAAAF/3b0c=",0)</f>
        <v>#REF!</v>
      </c>
      <c r="BU132" t="e">
        <f>AND(#REF!,"AAAAAF/3b0g=")</f>
        <v>#REF!</v>
      </c>
      <c r="BV132" t="e">
        <f>AND(#REF!,"AAAAAF/3b0k=")</f>
        <v>#REF!</v>
      </c>
      <c r="BW132" t="e">
        <f>AND(#REF!,"AAAAAF/3b0o=")</f>
        <v>#REF!</v>
      </c>
      <c r="BX132" t="e">
        <f>AND(#REF!,"AAAAAF/3b0s=")</f>
        <v>#REF!</v>
      </c>
      <c r="BY132" t="e">
        <f>AND(#REF!,"AAAAAF/3b0w=")</f>
        <v>#REF!</v>
      </c>
      <c r="BZ132" t="e">
        <f>AND(#REF!,"AAAAAF/3b00=")</f>
        <v>#REF!</v>
      </c>
      <c r="CA132" t="e">
        <f>AND(#REF!,"AAAAAF/3b04=")</f>
        <v>#REF!</v>
      </c>
      <c r="CB132" t="e">
        <f>AND(#REF!,"AAAAAF/3b08=")</f>
        <v>#REF!</v>
      </c>
      <c r="CC132" t="e">
        <f>AND(#REF!,"AAAAAF/3b1A=")</f>
        <v>#REF!</v>
      </c>
      <c r="CD132" t="e">
        <f>AND(#REF!,"AAAAAF/3b1E=")</f>
        <v>#REF!</v>
      </c>
      <c r="CE132" t="e">
        <f>AND(#REF!,"AAAAAF/3b1I=")</f>
        <v>#REF!</v>
      </c>
      <c r="CF132" t="e">
        <f>AND(#REF!,"AAAAAF/3b1M=")</f>
        <v>#REF!</v>
      </c>
      <c r="CG132" t="e">
        <f>AND(#REF!,"AAAAAF/3b1Q=")</f>
        <v>#REF!</v>
      </c>
      <c r="CH132" t="e">
        <f>AND(#REF!,"AAAAAF/3b1U=")</f>
        <v>#REF!</v>
      </c>
      <c r="CI132" t="e">
        <f>AND(#REF!,"AAAAAF/3b1Y=")</f>
        <v>#REF!</v>
      </c>
      <c r="CJ132" t="e">
        <f>AND(#REF!,"AAAAAF/3b1c=")</f>
        <v>#REF!</v>
      </c>
      <c r="CK132" t="e">
        <f>AND(#REF!,"AAAAAF/3b1g=")</f>
        <v>#REF!</v>
      </c>
      <c r="CL132" t="e">
        <f>AND(#REF!,"AAAAAF/3b1k=")</f>
        <v>#REF!</v>
      </c>
      <c r="CM132" t="e">
        <f>AND(#REF!,"AAAAAF/3b1o=")</f>
        <v>#REF!</v>
      </c>
      <c r="CN132" t="e">
        <f>AND(#REF!,"AAAAAF/3b1s=")</f>
        <v>#REF!</v>
      </c>
      <c r="CO132" t="e">
        <f>AND(#REF!,"AAAAAF/3b1w=")</f>
        <v>#REF!</v>
      </c>
      <c r="CP132" t="e">
        <f>AND(#REF!,"AAAAAF/3b10=")</f>
        <v>#REF!</v>
      </c>
      <c r="CQ132" t="e">
        <f>AND(#REF!,"AAAAAF/3b14=")</f>
        <v>#REF!</v>
      </c>
      <c r="CR132" t="e">
        <f>AND(#REF!,"AAAAAF/3b18=")</f>
        <v>#REF!</v>
      </c>
      <c r="CS132" t="e">
        <f>AND(#REF!,"AAAAAF/3b2A=")</f>
        <v>#REF!</v>
      </c>
      <c r="CT132" t="e">
        <f>AND(#REF!,"AAAAAF/3b2E=")</f>
        <v>#REF!</v>
      </c>
      <c r="CU132" t="e">
        <f>AND(#REF!,"AAAAAF/3b2I=")</f>
        <v>#REF!</v>
      </c>
      <c r="CV132" t="e">
        <f>AND(#REF!,"AAAAAF/3b2M=")</f>
        <v>#REF!</v>
      </c>
      <c r="CW132" t="e">
        <f>AND(#REF!,"AAAAAF/3b2Q=")</f>
        <v>#REF!</v>
      </c>
      <c r="CX132" t="e">
        <f>AND(#REF!,"AAAAAF/3b2U=")</f>
        <v>#REF!</v>
      </c>
      <c r="CY132" t="e">
        <f>AND(#REF!,"AAAAAF/3b2Y=")</f>
        <v>#REF!</v>
      </c>
      <c r="CZ132" t="e">
        <f>AND(#REF!,"AAAAAF/3b2c=")</f>
        <v>#REF!</v>
      </c>
      <c r="DA132" t="e">
        <f>AND(#REF!,"AAAAAF/3b2g=")</f>
        <v>#REF!</v>
      </c>
      <c r="DB132" t="e">
        <f>AND(#REF!,"AAAAAF/3b2k=")</f>
        <v>#REF!</v>
      </c>
      <c r="DC132" t="e">
        <f>AND(#REF!,"AAAAAF/3b2o=")</f>
        <v>#REF!</v>
      </c>
      <c r="DD132" t="e">
        <f>AND(#REF!,"AAAAAF/3b2s=")</f>
        <v>#REF!</v>
      </c>
      <c r="DE132" t="e">
        <f>AND(#REF!,"AAAAAF/3b2w=")</f>
        <v>#REF!</v>
      </c>
      <c r="DF132" t="e">
        <f>AND(#REF!,"AAAAAF/3b20=")</f>
        <v>#REF!</v>
      </c>
      <c r="DG132" t="e">
        <f>AND(#REF!,"AAAAAF/3b24=")</f>
        <v>#REF!</v>
      </c>
      <c r="DH132" t="e">
        <f>AND(#REF!,"AAAAAF/3b28=")</f>
        <v>#REF!</v>
      </c>
      <c r="DI132" t="e">
        <f>AND(#REF!,"AAAAAF/3b3A=")</f>
        <v>#REF!</v>
      </c>
      <c r="DJ132" t="e">
        <f>AND(#REF!,"AAAAAF/3b3E=")</f>
        <v>#REF!</v>
      </c>
      <c r="DK132" t="e">
        <f>AND(#REF!,"AAAAAF/3b3I=")</f>
        <v>#REF!</v>
      </c>
      <c r="DL132" t="e">
        <f>AND(#REF!,"AAAAAF/3b3M=")</f>
        <v>#REF!</v>
      </c>
      <c r="DM132" t="e">
        <f>AND(#REF!,"AAAAAF/3b3Q=")</f>
        <v>#REF!</v>
      </c>
      <c r="DN132" t="e">
        <f>AND(#REF!,"AAAAAF/3b3U=")</f>
        <v>#REF!</v>
      </c>
      <c r="DO132" t="e">
        <f>AND(#REF!,"AAAAAF/3b3Y=")</f>
        <v>#REF!</v>
      </c>
      <c r="DP132" t="e">
        <f>AND(#REF!,"AAAAAF/3b3c=")</f>
        <v>#REF!</v>
      </c>
      <c r="DQ132" t="e">
        <f>AND(#REF!,"AAAAAF/3b3g=")</f>
        <v>#REF!</v>
      </c>
      <c r="DR132" t="e">
        <f>AND(#REF!,"AAAAAF/3b3k=")</f>
        <v>#REF!</v>
      </c>
      <c r="DS132" t="e">
        <f>AND(#REF!,"AAAAAF/3b3o=")</f>
        <v>#REF!</v>
      </c>
      <c r="DT132" t="e">
        <f>AND(#REF!,"AAAAAF/3b3s=")</f>
        <v>#REF!</v>
      </c>
      <c r="DU132" t="e">
        <f>AND(#REF!,"AAAAAF/3b3w=")</f>
        <v>#REF!</v>
      </c>
      <c r="DV132" t="e">
        <f>AND(#REF!,"AAAAAF/3b30=")</f>
        <v>#REF!</v>
      </c>
      <c r="DW132" t="e">
        <f>AND(#REF!,"AAAAAF/3b34=")</f>
        <v>#REF!</v>
      </c>
      <c r="DX132" t="e">
        <f>AND(#REF!,"AAAAAF/3b38=")</f>
        <v>#REF!</v>
      </c>
      <c r="DY132" t="e">
        <f>AND(#REF!,"AAAAAF/3b4A=")</f>
        <v>#REF!</v>
      </c>
      <c r="DZ132" t="e">
        <f>AND(#REF!,"AAAAAF/3b4E=")</f>
        <v>#REF!</v>
      </c>
      <c r="EA132" t="e">
        <f>AND(#REF!,"AAAAAF/3b4I=")</f>
        <v>#REF!</v>
      </c>
      <c r="EB132" t="e">
        <f>AND(#REF!,"AAAAAF/3b4M=")</f>
        <v>#REF!</v>
      </c>
      <c r="EC132" t="e">
        <f>AND(#REF!,"AAAAAF/3b4Q=")</f>
        <v>#REF!</v>
      </c>
      <c r="ED132" t="e">
        <f>AND(#REF!,"AAAAAF/3b4U=")</f>
        <v>#REF!</v>
      </c>
      <c r="EE132" t="e">
        <f>AND(#REF!,"AAAAAF/3b4Y=")</f>
        <v>#REF!</v>
      </c>
      <c r="EF132" t="e">
        <f>AND(#REF!,"AAAAAF/3b4c=")</f>
        <v>#REF!</v>
      </c>
      <c r="EG132" t="e">
        <f>AND(#REF!,"AAAAAF/3b4g=")</f>
        <v>#REF!</v>
      </c>
      <c r="EH132" t="e">
        <f>AND(#REF!,"AAAAAF/3b4k=")</f>
        <v>#REF!</v>
      </c>
      <c r="EI132" t="e">
        <f>AND(#REF!,"AAAAAF/3b4o=")</f>
        <v>#REF!</v>
      </c>
      <c r="EJ132" t="e">
        <f>AND(#REF!,"AAAAAF/3b4s=")</f>
        <v>#REF!</v>
      </c>
      <c r="EK132" t="e">
        <f>AND(#REF!,"AAAAAF/3b4w=")</f>
        <v>#REF!</v>
      </c>
      <c r="EL132" t="e">
        <f>AND(#REF!,"AAAAAF/3b40=")</f>
        <v>#REF!</v>
      </c>
      <c r="EM132" t="e">
        <f>AND(#REF!,"AAAAAF/3b44=")</f>
        <v>#REF!</v>
      </c>
      <c r="EN132" t="e">
        <f>AND(#REF!,"AAAAAF/3b48=")</f>
        <v>#REF!</v>
      </c>
      <c r="EO132" t="e">
        <f>AND(#REF!,"AAAAAF/3b5A=")</f>
        <v>#REF!</v>
      </c>
      <c r="EP132" t="e">
        <f>AND(#REF!,"AAAAAF/3b5E=")</f>
        <v>#REF!</v>
      </c>
      <c r="EQ132" t="e">
        <f>AND(#REF!,"AAAAAF/3b5I=")</f>
        <v>#REF!</v>
      </c>
      <c r="ER132" t="e">
        <f>AND(#REF!,"AAAAAF/3b5M=")</f>
        <v>#REF!</v>
      </c>
      <c r="ES132" t="e">
        <f>AND(#REF!,"AAAAAF/3b5Q=")</f>
        <v>#REF!</v>
      </c>
      <c r="ET132" t="e">
        <f>AND(#REF!,"AAAAAF/3b5U=")</f>
        <v>#REF!</v>
      </c>
      <c r="EU132" t="e">
        <f>AND(#REF!,"AAAAAF/3b5Y=")</f>
        <v>#REF!</v>
      </c>
      <c r="EV132" t="e">
        <f>AND(#REF!,"AAAAAF/3b5c=")</f>
        <v>#REF!</v>
      </c>
      <c r="EW132" t="e">
        <f>AND(#REF!,"AAAAAF/3b5g=")</f>
        <v>#REF!</v>
      </c>
      <c r="EX132" t="e">
        <f>AND(#REF!,"AAAAAF/3b5k=")</f>
        <v>#REF!</v>
      </c>
      <c r="EY132" t="e">
        <f>AND(#REF!,"AAAAAF/3b5o=")</f>
        <v>#REF!</v>
      </c>
      <c r="EZ132" t="e">
        <f>AND(#REF!,"AAAAAF/3b5s=")</f>
        <v>#REF!</v>
      </c>
      <c r="FA132" t="e">
        <f>AND(#REF!,"AAAAAF/3b5w=")</f>
        <v>#REF!</v>
      </c>
      <c r="FB132" t="e">
        <f>AND(#REF!,"AAAAAF/3b50=")</f>
        <v>#REF!</v>
      </c>
      <c r="FC132" t="e">
        <f>AND(#REF!,"AAAAAF/3b54=")</f>
        <v>#REF!</v>
      </c>
      <c r="FD132" t="e">
        <f>AND(#REF!,"AAAAAF/3b58=")</f>
        <v>#REF!</v>
      </c>
      <c r="FE132" t="e">
        <f>AND(#REF!,"AAAAAF/3b6A=")</f>
        <v>#REF!</v>
      </c>
      <c r="FF132" t="e">
        <f>AND(#REF!,"AAAAAF/3b6E=")</f>
        <v>#REF!</v>
      </c>
      <c r="FG132" t="e">
        <f>AND(#REF!,"AAAAAF/3b6I=")</f>
        <v>#REF!</v>
      </c>
      <c r="FH132" t="e">
        <f>AND(#REF!,"AAAAAF/3b6M=")</f>
        <v>#REF!</v>
      </c>
      <c r="FI132" t="e">
        <f>AND(#REF!,"AAAAAF/3b6Q=")</f>
        <v>#REF!</v>
      </c>
      <c r="FJ132" t="e">
        <f>AND(#REF!,"AAAAAF/3b6U=")</f>
        <v>#REF!</v>
      </c>
      <c r="FK132" t="e">
        <f>AND(#REF!,"AAAAAF/3b6Y=")</f>
        <v>#REF!</v>
      </c>
      <c r="FL132" t="e">
        <f>AND(#REF!,"AAAAAF/3b6c=")</f>
        <v>#REF!</v>
      </c>
      <c r="FM132" t="e">
        <f>AND(#REF!,"AAAAAF/3b6g=")</f>
        <v>#REF!</v>
      </c>
      <c r="FN132" t="e">
        <f>AND(#REF!,"AAAAAF/3b6k=")</f>
        <v>#REF!</v>
      </c>
      <c r="FO132" t="e">
        <f>AND(#REF!,"AAAAAF/3b6o=")</f>
        <v>#REF!</v>
      </c>
      <c r="FP132" t="e">
        <f>AND(#REF!,"AAAAAF/3b6s=")</f>
        <v>#REF!</v>
      </c>
      <c r="FQ132" t="e">
        <f>AND(#REF!,"AAAAAF/3b6w=")</f>
        <v>#REF!</v>
      </c>
      <c r="FR132" t="e">
        <f>AND(#REF!,"AAAAAF/3b60=")</f>
        <v>#REF!</v>
      </c>
      <c r="FS132" t="e">
        <f>AND(#REF!,"AAAAAF/3b64=")</f>
        <v>#REF!</v>
      </c>
      <c r="FT132" t="e">
        <f>AND(#REF!,"AAAAAF/3b68=")</f>
        <v>#REF!</v>
      </c>
      <c r="FU132" t="e">
        <f>AND(#REF!,"AAAAAF/3b7A=")</f>
        <v>#REF!</v>
      </c>
      <c r="FV132" t="e">
        <f>AND(#REF!,"AAAAAF/3b7E=")</f>
        <v>#REF!</v>
      </c>
      <c r="FW132" t="e">
        <f>AND(#REF!,"AAAAAF/3b7I=")</f>
        <v>#REF!</v>
      </c>
      <c r="FX132" t="e">
        <f>AND(#REF!,"AAAAAF/3b7M=")</f>
        <v>#REF!</v>
      </c>
      <c r="FY132" t="e">
        <f>AND(#REF!,"AAAAAF/3b7Q=")</f>
        <v>#REF!</v>
      </c>
      <c r="FZ132" t="e">
        <f>AND(#REF!,"AAAAAF/3b7U=")</f>
        <v>#REF!</v>
      </c>
      <c r="GA132" t="e">
        <f>AND(#REF!,"AAAAAF/3b7Y=")</f>
        <v>#REF!</v>
      </c>
      <c r="GB132" t="e">
        <f>AND(#REF!,"AAAAAF/3b7c=")</f>
        <v>#REF!</v>
      </c>
      <c r="GC132" t="e">
        <f>AND(#REF!,"AAAAAF/3b7g=")</f>
        <v>#REF!</v>
      </c>
      <c r="GD132" t="e">
        <f>AND(#REF!,"AAAAAF/3b7k=")</f>
        <v>#REF!</v>
      </c>
      <c r="GE132" t="e">
        <f>AND(#REF!,"AAAAAF/3b7o=")</f>
        <v>#REF!</v>
      </c>
      <c r="GF132" t="e">
        <f>AND(#REF!,"AAAAAF/3b7s=")</f>
        <v>#REF!</v>
      </c>
      <c r="GG132" t="e">
        <f>AND(#REF!,"AAAAAF/3b7w=")</f>
        <v>#REF!</v>
      </c>
      <c r="GH132" t="e">
        <f>AND(#REF!,"AAAAAF/3b70=")</f>
        <v>#REF!</v>
      </c>
      <c r="GI132" t="e">
        <f>AND(#REF!,"AAAAAF/3b74=")</f>
        <v>#REF!</v>
      </c>
      <c r="GJ132" t="e">
        <f>AND(#REF!,"AAAAAF/3b78=")</f>
        <v>#REF!</v>
      </c>
      <c r="GK132" t="e">
        <f>AND(#REF!,"AAAAAF/3b8A=")</f>
        <v>#REF!</v>
      </c>
      <c r="GL132" t="e">
        <f>AND(#REF!,"AAAAAF/3b8E=")</f>
        <v>#REF!</v>
      </c>
      <c r="GM132" t="e">
        <f>AND(#REF!,"AAAAAF/3b8I=")</f>
        <v>#REF!</v>
      </c>
      <c r="GN132" t="e">
        <f>AND(#REF!,"AAAAAF/3b8M=")</f>
        <v>#REF!</v>
      </c>
      <c r="GO132" t="e">
        <f>AND(#REF!,"AAAAAF/3b8Q=")</f>
        <v>#REF!</v>
      </c>
      <c r="GP132" t="e">
        <f>AND(#REF!,"AAAAAF/3b8U=")</f>
        <v>#REF!</v>
      </c>
      <c r="GQ132" t="e">
        <f>AND(#REF!,"AAAAAF/3b8Y=")</f>
        <v>#REF!</v>
      </c>
      <c r="GR132" t="e">
        <f>AND(#REF!,"AAAAAF/3b8c=")</f>
        <v>#REF!</v>
      </c>
      <c r="GS132" t="e">
        <f>AND(#REF!,"AAAAAF/3b8g=")</f>
        <v>#REF!</v>
      </c>
      <c r="GT132" t="e">
        <f>AND(#REF!,"AAAAAF/3b8k=")</f>
        <v>#REF!</v>
      </c>
      <c r="GU132" t="e">
        <f>AND(#REF!,"AAAAAF/3b8o=")</f>
        <v>#REF!</v>
      </c>
      <c r="GV132" t="e">
        <f>AND(#REF!,"AAAAAF/3b8s=")</f>
        <v>#REF!</v>
      </c>
      <c r="GW132" t="e">
        <f>AND(#REF!,"AAAAAF/3b8w=")</f>
        <v>#REF!</v>
      </c>
      <c r="GX132" t="e">
        <f>AND(#REF!,"AAAAAF/3b80=")</f>
        <v>#REF!</v>
      </c>
      <c r="GY132" t="e">
        <f>AND(#REF!,"AAAAAF/3b84=")</f>
        <v>#REF!</v>
      </c>
      <c r="GZ132" t="e">
        <f>AND(#REF!,"AAAAAF/3b88=")</f>
        <v>#REF!</v>
      </c>
      <c r="HA132" t="e">
        <f>AND(#REF!,"AAAAAF/3b9A=")</f>
        <v>#REF!</v>
      </c>
      <c r="HB132" t="e">
        <f>AND(#REF!,"AAAAAF/3b9E=")</f>
        <v>#REF!</v>
      </c>
      <c r="HC132" t="e">
        <f>AND(#REF!,"AAAAAF/3b9I=")</f>
        <v>#REF!</v>
      </c>
      <c r="HD132" t="e">
        <f>AND(#REF!,"AAAAAF/3b9M=")</f>
        <v>#REF!</v>
      </c>
      <c r="HE132" t="e">
        <f>AND(#REF!,"AAAAAF/3b9Q=")</f>
        <v>#REF!</v>
      </c>
      <c r="HF132" t="e">
        <f>AND(#REF!,"AAAAAF/3b9U=")</f>
        <v>#REF!</v>
      </c>
      <c r="HG132" t="e">
        <f>AND(#REF!,"AAAAAF/3b9Y=")</f>
        <v>#REF!</v>
      </c>
      <c r="HH132" t="e">
        <f>AND(#REF!,"AAAAAF/3b9c=")</f>
        <v>#REF!</v>
      </c>
      <c r="HI132" t="e">
        <f>AND(#REF!,"AAAAAF/3b9g=")</f>
        <v>#REF!</v>
      </c>
      <c r="HJ132" t="e">
        <f>AND(#REF!,"AAAAAF/3b9k=")</f>
        <v>#REF!</v>
      </c>
      <c r="HK132" t="e">
        <f>AND(#REF!,"AAAAAF/3b9o=")</f>
        <v>#REF!</v>
      </c>
      <c r="HL132" t="e">
        <f>AND(#REF!,"AAAAAF/3b9s=")</f>
        <v>#REF!</v>
      </c>
      <c r="HM132" t="e">
        <f>AND(#REF!,"AAAAAF/3b9w=")</f>
        <v>#REF!</v>
      </c>
      <c r="HN132" t="e">
        <f>AND(#REF!,"AAAAAF/3b90=")</f>
        <v>#REF!</v>
      </c>
      <c r="HO132" t="e">
        <f>AND(#REF!,"AAAAAF/3b94=")</f>
        <v>#REF!</v>
      </c>
      <c r="HP132" t="e">
        <f>AND(#REF!,"AAAAAF/3b98=")</f>
        <v>#REF!</v>
      </c>
      <c r="HQ132" t="e">
        <f>AND(#REF!,"AAAAAF/3b+A=")</f>
        <v>#REF!</v>
      </c>
      <c r="HR132" t="e">
        <f>AND(#REF!,"AAAAAF/3b+E=")</f>
        <v>#REF!</v>
      </c>
      <c r="HS132" t="e">
        <f>AND(#REF!,"AAAAAF/3b+I=")</f>
        <v>#REF!</v>
      </c>
      <c r="HT132" t="e">
        <f>AND(#REF!,"AAAAAF/3b+M=")</f>
        <v>#REF!</v>
      </c>
      <c r="HU132" t="e">
        <f>AND(#REF!,"AAAAAF/3b+Q=")</f>
        <v>#REF!</v>
      </c>
      <c r="HV132" t="e">
        <f>AND(#REF!,"AAAAAF/3b+U=")</f>
        <v>#REF!</v>
      </c>
      <c r="HW132" t="e">
        <f>AND(#REF!,"AAAAAF/3b+Y=")</f>
        <v>#REF!</v>
      </c>
      <c r="HX132" t="e">
        <f>AND(#REF!,"AAAAAF/3b+c=")</f>
        <v>#REF!</v>
      </c>
      <c r="HY132" t="e">
        <f>AND(#REF!,"AAAAAF/3b+g=")</f>
        <v>#REF!</v>
      </c>
      <c r="HZ132" t="e">
        <f>AND(#REF!,"AAAAAF/3b+k=")</f>
        <v>#REF!</v>
      </c>
      <c r="IA132" t="e">
        <f>AND(#REF!,"AAAAAF/3b+o=")</f>
        <v>#REF!</v>
      </c>
      <c r="IB132" t="e">
        <f>AND(#REF!,"AAAAAF/3b+s=")</f>
        <v>#REF!</v>
      </c>
      <c r="IC132" t="e">
        <f>AND(#REF!,"AAAAAF/3b+w=")</f>
        <v>#REF!</v>
      </c>
      <c r="ID132" t="e">
        <f>AND(#REF!,"AAAAAF/3b+0=")</f>
        <v>#REF!</v>
      </c>
      <c r="IE132" t="e">
        <f>AND(#REF!,"AAAAAF/3b+4=")</f>
        <v>#REF!</v>
      </c>
      <c r="IF132" t="e">
        <f>AND(#REF!,"AAAAAF/3b+8=")</f>
        <v>#REF!</v>
      </c>
      <c r="IG132" t="e">
        <f>AND(#REF!,"AAAAAF/3b/A=")</f>
        <v>#REF!</v>
      </c>
      <c r="IH132" t="e">
        <f>AND(#REF!,"AAAAAF/3b/E=")</f>
        <v>#REF!</v>
      </c>
      <c r="II132" t="e">
        <f>AND(#REF!,"AAAAAF/3b/I=")</f>
        <v>#REF!</v>
      </c>
      <c r="IJ132" t="e">
        <f>AND(#REF!,"AAAAAF/3b/M=")</f>
        <v>#REF!</v>
      </c>
      <c r="IK132" t="e">
        <f>AND(#REF!,"AAAAAF/3b/Q=")</f>
        <v>#REF!</v>
      </c>
      <c r="IL132" t="e">
        <f>AND(#REF!,"AAAAAF/3b/U=")</f>
        <v>#REF!</v>
      </c>
      <c r="IM132" t="e">
        <f>AND(#REF!,"AAAAAF/3b/Y=")</f>
        <v>#REF!</v>
      </c>
      <c r="IN132" t="e">
        <f>AND(#REF!,"AAAAAF/3b/c=")</f>
        <v>#REF!</v>
      </c>
      <c r="IO132" t="e">
        <f>AND(#REF!,"AAAAAF/3b/g=")</f>
        <v>#REF!</v>
      </c>
      <c r="IP132" t="e">
        <f>AND(#REF!,"AAAAAF/3b/k=")</f>
        <v>#REF!</v>
      </c>
      <c r="IQ132" t="e">
        <f>AND(#REF!,"AAAAAF/3b/o=")</f>
        <v>#REF!</v>
      </c>
      <c r="IR132" t="e">
        <f>AND(#REF!,"AAAAAF/3b/s=")</f>
        <v>#REF!</v>
      </c>
      <c r="IS132" t="e">
        <f>AND(#REF!,"AAAAAF/3b/w=")</f>
        <v>#REF!</v>
      </c>
      <c r="IT132" t="e">
        <f>AND(#REF!,"AAAAAF/3b/0=")</f>
        <v>#REF!</v>
      </c>
      <c r="IU132" t="e">
        <f>AND(#REF!,"AAAAAF/3b/4=")</f>
        <v>#REF!</v>
      </c>
      <c r="IV132" t="e">
        <f>AND(#REF!,"AAAAAF/3b/8=")</f>
        <v>#REF!</v>
      </c>
    </row>
    <row r="133" spans="1:256" x14ac:dyDescent="0.25">
      <c r="A133" t="e">
        <f>AND(#REF!,"AAAAAGv3jgA=")</f>
        <v>#REF!</v>
      </c>
      <c r="B133" t="e">
        <f>AND(#REF!,"AAAAAGv3jgE=")</f>
        <v>#REF!</v>
      </c>
      <c r="C133" t="e">
        <f>AND(#REF!,"AAAAAGv3jgI=")</f>
        <v>#REF!</v>
      </c>
      <c r="D133" t="e">
        <f>AND(#REF!,"AAAAAGv3jgM=")</f>
        <v>#REF!</v>
      </c>
      <c r="E133" t="e">
        <f>IF(#REF!,"AAAAAGv3jgQ=",0)</f>
        <v>#REF!</v>
      </c>
      <c r="F133" t="e">
        <f>AND(#REF!,"AAAAAGv3jgU=")</f>
        <v>#REF!</v>
      </c>
      <c r="G133" t="e">
        <f>AND(#REF!,"AAAAAGv3jgY=")</f>
        <v>#REF!</v>
      </c>
      <c r="H133" t="e">
        <f>AND(#REF!,"AAAAAGv3jgc=")</f>
        <v>#REF!</v>
      </c>
      <c r="I133" t="e">
        <f>AND(#REF!,"AAAAAGv3jgg=")</f>
        <v>#REF!</v>
      </c>
      <c r="J133" t="e">
        <f>AND(#REF!,"AAAAAGv3jgk=")</f>
        <v>#REF!</v>
      </c>
      <c r="K133" t="e">
        <f>AND(#REF!,"AAAAAGv3jgo=")</f>
        <v>#REF!</v>
      </c>
      <c r="L133" t="e">
        <f>AND(#REF!,"AAAAAGv3jgs=")</f>
        <v>#REF!</v>
      </c>
      <c r="M133" t="e">
        <f>AND(#REF!,"AAAAAGv3jgw=")</f>
        <v>#REF!</v>
      </c>
      <c r="N133" t="e">
        <f>AND(#REF!,"AAAAAGv3jg0=")</f>
        <v>#REF!</v>
      </c>
      <c r="O133" t="e">
        <f>AND(#REF!,"AAAAAGv3jg4=")</f>
        <v>#REF!</v>
      </c>
      <c r="P133" t="e">
        <f>AND(#REF!,"AAAAAGv3jg8=")</f>
        <v>#REF!</v>
      </c>
      <c r="Q133" t="e">
        <f>AND(#REF!,"AAAAAGv3jhA=")</f>
        <v>#REF!</v>
      </c>
      <c r="R133" t="e">
        <f>AND(#REF!,"AAAAAGv3jhE=")</f>
        <v>#REF!</v>
      </c>
      <c r="S133" t="e">
        <f>AND(#REF!,"AAAAAGv3jhI=")</f>
        <v>#REF!</v>
      </c>
      <c r="T133" t="e">
        <f>AND(#REF!,"AAAAAGv3jhM=")</f>
        <v>#REF!</v>
      </c>
      <c r="U133" t="e">
        <f>AND(#REF!,"AAAAAGv3jhQ=")</f>
        <v>#REF!</v>
      </c>
      <c r="V133" t="e">
        <f>AND(#REF!,"AAAAAGv3jhU=")</f>
        <v>#REF!</v>
      </c>
      <c r="W133" t="e">
        <f>AND(#REF!,"AAAAAGv3jhY=")</f>
        <v>#REF!</v>
      </c>
      <c r="X133" t="e">
        <f>AND(#REF!,"AAAAAGv3jhc=")</f>
        <v>#REF!</v>
      </c>
      <c r="Y133" t="e">
        <f>AND(#REF!,"AAAAAGv3jhg=")</f>
        <v>#REF!</v>
      </c>
      <c r="Z133" t="e">
        <f>AND(#REF!,"AAAAAGv3jhk=")</f>
        <v>#REF!</v>
      </c>
      <c r="AA133" t="e">
        <f>AND(#REF!,"AAAAAGv3jho=")</f>
        <v>#REF!</v>
      </c>
      <c r="AB133" t="e">
        <f>AND(#REF!,"AAAAAGv3jhs=")</f>
        <v>#REF!</v>
      </c>
      <c r="AC133" t="e">
        <f>AND(#REF!,"AAAAAGv3jhw=")</f>
        <v>#REF!</v>
      </c>
      <c r="AD133" t="e">
        <f>AND(#REF!,"AAAAAGv3jh0=")</f>
        <v>#REF!</v>
      </c>
      <c r="AE133" t="e">
        <f>AND(#REF!,"AAAAAGv3jh4=")</f>
        <v>#REF!</v>
      </c>
      <c r="AF133" t="e">
        <f>AND(#REF!,"AAAAAGv3jh8=")</f>
        <v>#REF!</v>
      </c>
      <c r="AG133" t="e">
        <f>AND(#REF!,"AAAAAGv3jiA=")</f>
        <v>#REF!</v>
      </c>
      <c r="AH133" t="e">
        <f>AND(#REF!,"AAAAAGv3jiE=")</f>
        <v>#REF!</v>
      </c>
      <c r="AI133" t="e">
        <f>AND(#REF!,"AAAAAGv3jiI=")</f>
        <v>#REF!</v>
      </c>
      <c r="AJ133" t="e">
        <f>AND(#REF!,"AAAAAGv3jiM=")</f>
        <v>#REF!</v>
      </c>
      <c r="AK133" t="e">
        <f>AND(#REF!,"AAAAAGv3jiQ=")</f>
        <v>#REF!</v>
      </c>
      <c r="AL133" t="e">
        <f>AND(#REF!,"AAAAAGv3jiU=")</f>
        <v>#REF!</v>
      </c>
      <c r="AM133" t="e">
        <f>AND(#REF!,"AAAAAGv3jiY=")</f>
        <v>#REF!</v>
      </c>
      <c r="AN133" t="e">
        <f>AND(#REF!,"AAAAAGv3jic=")</f>
        <v>#REF!</v>
      </c>
      <c r="AO133" t="e">
        <f>AND(#REF!,"AAAAAGv3jig=")</f>
        <v>#REF!</v>
      </c>
      <c r="AP133" t="e">
        <f>AND(#REF!,"AAAAAGv3jik=")</f>
        <v>#REF!</v>
      </c>
      <c r="AQ133" t="e">
        <f>AND(#REF!,"AAAAAGv3jio=")</f>
        <v>#REF!</v>
      </c>
      <c r="AR133" t="e">
        <f>AND(#REF!,"AAAAAGv3jis=")</f>
        <v>#REF!</v>
      </c>
      <c r="AS133" t="e">
        <f>AND(#REF!,"AAAAAGv3jiw=")</f>
        <v>#REF!</v>
      </c>
      <c r="AT133" t="e">
        <f>AND(#REF!,"AAAAAGv3ji0=")</f>
        <v>#REF!</v>
      </c>
      <c r="AU133" t="e">
        <f>AND(#REF!,"AAAAAGv3ji4=")</f>
        <v>#REF!</v>
      </c>
      <c r="AV133" t="e">
        <f>AND(#REF!,"AAAAAGv3ji8=")</f>
        <v>#REF!</v>
      </c>
      <c r="AW133" t="e">
        <f>AND(#REF!,"AAAAAGv3jjA=")</f>
        <v>#REF!</v>
      </c>
      <c r="AX133" t="e">
        <f>AND(#REF!,"AAAAAGv3jjE=")</f>
        <v>#REF!</v>
      </c>
      <c r="AY133" t="e">
        <f>AND(#REF!,"AAAAAGv3jjI=")</f>
        <v>#REF!</v>
      </c>
      <c r="AZ133" t="e">
        <f>AND(#REF!,"AAAAAGv3jjM=")</f>
        <v>#REF!</v>
      </c>
      <c r="BA133" t="e">
        <f>AND(#REF!,"AAAAAGv3jjQ=")</f>
        <v>#REF!</v>
      </c>
      <c r="BB133" t="e">
        <f>AND(#REF!,"AAAAAGv3jjU=")</f>
        <v>#REF!</v>
      </c>
      <c r="BC133" t="e">
        <f>AND(#REF!,"AAAAAGv3jjY=")</f>
        <v>#REF!</v>
      </c>
      <c r="BD133" t="e">
        <f>AND(#REF!,"AAAAAGv3jjc=")</f>
        <v>#REF!</v>
      </c>
      <c r="BE133" t="e">
        <f>AND(#REF!,"AAAAAGv3jjg=")</f>
        <v>#REF!</v>
      </c>
      <c r="BF133" t="e">
        <f>AND(#REF!,"AAAAAGv3jjk=")</f>
        <v>#REF!</v>
      </c>
      <c r="BG133" t="e">
        <f>AND(#REF!,"AAAAAGv3jjo=")</f>
        <v>#REF!</v>
      </c>
      <c r="BH133" t="e">
        <f>AND(#REF!,"AAAAAGv3jjs=")</f>
        <v>#REF!</v>
      </c>
      <c r="BI133" t="e">
        <f>AND(#REF!,"AAAAAGv3jjw=")</f>
        <v>#REF!</v>
      </c>
      <c r="BJ133" t="e">
        <f>AND(#REF!,"AAAAAGv3jj0=")</f>
        <v>#REF!</v>
      </c>
      <c r="BK133" t="e">
        <f>AND(#REF!,"AAAAAGv3jj4=")</f>
        <v>#REF!</v>
      </c>
      <c r="BL133" t="e">
        <f>AND(#REF!,"AAAAAGv3jj8=")</f>
        <v>#REF!</v>
      </c>
      <c r="BM133" t="e">
        <f>AND(#REF!,"AAAAAGv3jkA=")</f>
        <v>#REF!</v>
      </c>
      <c r="BN133" t="e">
        <f>AND(#REF!,"AAAAAGv3jkE=")</f>
        <v>#REF!</v>
      </c>
      <c r="BO133" t="e">
        <f>AND(#REF!,"AAAAAGv3jkI=")</f>
        <v>#REF!</v>
      </c>
      <c r="BP133" t="e">
        <f>AND(#REF!,"AAAAAGv3jkM=")</f>
        <v>#REF!</v>
      </c>
      <c r="BQ133" t="e">
        <f>AND(#REF!,"AAAAAGv3jkQ=")</f>
        <v>#REF!</v>
      </c>
      <c r="BR133" t="e">
        <f>AND(#REF!,"AAAAAGv3jkU=")</f>
        <v>#REF!</v>
      </c>
      <c r="BS133" t="e">
        <f>AND(#REF!,"AAAAAGv3jkY=")</f>
        <v>#REF!</v>
      </c>
      <c r="BT133" t="e">
        <f>AND(#REF!,"AAAAAGv3jkc=")</f>
        <v>#REF!</v>
      </c>
      <c r="BU133" t="e">
        <f>AND(#REF!,"AAAAAGv3jkg=")</f>
        <v>#REF!</v>
      </c>
      <c r="BV133" t="e">
        <f>AND(#REF!,"AAAAAGv3jkk=")</f>
        <v>#REF!</v>
      </c>
      <c r="BW133" t="e">
        <f>AND(#REF!,"AAAAAGv3jko=")</f>
        <v>#REF!</v>
      </c>
      <c r="BX133" t="e">
        <f>AND(#REF!,"AAAAAGv3jks=")</f>
        <v>#REF!</v>
      </c>
      <c r="BY133" t="e">
        <f>AND(#REF!,"AAAAAGv3jkw=")</f>
        <v>#REF!</v>
      </c>
      <c r="BZ133" t="e">
        <f>AND(#REF!,"AAAAAGv3jk0=")</f>
        <v>#REF!</v>
      </c>
      <c r="CA133" t="e">
        <f>AND(#REF!,"AAAAAGv3jk4=")</f>
        <v>#REF!</v>
      </c>
      <c r="CB133" t="e">
        <f>AND(#REF!,"AAAAAGv3jk8=")</f>
        <v>#REF!</v>
      </c>
      <c r="CC133" t="e">
        <f>AND(#REF!,"AAAAAGv3jlA=")</f>
        <v>#REF!</v>
      </c>
      <c r="CD133" t="e">
        <f>AND(#REF!,"AAAAAGv3jlE=")</f>
        <v>#REF!</v>
      </c>
      <c r="CE133" t="e">
        <f>AND(#REF!,"AAAAAGv3jlI=")</f>
        <v>#REF!</v>
      </c>
      <c r="CF133" t="e">
        <f>AND(#REF!,"AAAAAGv3jlM=")</f>
        <v>#REF!</v>
      </c>
      <c r="CG133" t="e">
        <f>AND(#REF!,"AAAAAGv3jlQ=")</f>
        <v>#REF!</v>
      </c>
      <c r="CH133" t="e">
        <f>AND(#REF!,"AAAAAGv3jlU=")</f>
        <v>#REF!</v>
      </c>
      <c r="CI133" t="e">
        <f>AND(#REF!,"AAAAAGv3jlY=")</f>
        <v>#REF!</v>
      </c>
      <c r="CJ133" t="e">
        <f>AND(#REF!,"AAAAAGv3jlc=")</f>
        <v>#REF!</v>
      </c>
      <c r="CK133" t="e">
        <f>AND(#REF!,"AAAAAGv3jlg=")</f>
        <v>#REF!</v>
      </c>
      <c r="CL133" t="e">
        <f>AND(#REF!,"AAAAAGv3jlk=")</f>
        <v>#REF!</v>
      </c>
      <c r="CM133" t="e">
        <f>AND(#REF!,"AAAAAGv3jlo=")</f>
        <v>#REF!</v>
      </c>
      <c r="CN133" t="e">
        <f>AND(#REF!,"AAAAAGv3jls=")</f>
        <v>#REF!</v>
      </c>
      <c r="CO133" t="e">
        <f>AND(#REF!,"AAAAAGv3jlw=")</f>
        <v>#REF!</v>
      </c>
      <c r="CP133" t="e">
        <f>AND(#REF!,"AAAAAGv3jl0=")</f>
        <v>#REF!</v>
      </c>
      <c r="CQ133" t="e">
        <f>AND(#REF!,"AAAAAGv3jl4=")</f>
        <v>#REF!</v>
      </c>
      <c r="CR133" t="e">
        <f>AND(#REF!,"AAAAAGv3jl8=")</f>
        <v>#REF!</v>
      </c>
      <c r="CS133" t="e">
        <f>AND(#REF!,"AAAAAGv3jmA=")</f>
        <v>#REF!</v>
      </c>
      <c r="CT133" t="e">
        <f>AND(#REF!,"AAAAAGv3jmE=")</f>
        <v>#REF!</v>
      </c>
      <c r="CU133" t="e">
        <f>AND(#REF!,"AAAAAGv3jmI=")</f>
        <v>#REF!</v>
      </c>
      <c r="CV133" t="e">
        <f>AND(#REF!,"AAAAAGv3jmM=")</f>
        <v>#REF!</v>
      </c>
      <c r="CW133" t="e">
        <f>AND(#REF!,"AAAAAGv3jmQ=")</f>
        <v>#REF!</v>
      </c>
      <c r="CX133" t="e">
        <f>AND(#REF!,"AAAAAGv3jmU=")</f>
        <v>#REF!</v>
      </c>
      <c r="CY133" t="e">
        <f>AND(#REF!,"AAAAAGv3jmY=")</f>
        <v>#REF!</v>
      </c>
      <c r="CZ133" t="e">
        <f>AND(#REF!,"AAAAAGv3jmc=")</f>
        <v>#REF!</v>
      </c>
      <c r="DA133" t="e">
        <f>AND(#REF!,"AAAAAGv3jmg=")</f>
        <v>#REF!</v>
      </c>
      <c r="DB133" t="e">
        <f>AND(#REF!,"AAAAAGv3jmk=")</f>
        <v>#REF!</v>
      </c>
      <c r="DC133" t="e">
        <f>AND(#REF!,"AAAAAGv3jmo=")</f>
        <v>#REF!</v>
      </c>
      <c r="DD133" t="e">
        <f>AND(#REF!,"AAAAAGv3jms=")</f>
        <v>#REF!</v>
      </c>
      <c r="DE133" t="e">
        <f>AND(#REF!,"AAAAAGv3jmw=")</f>
        <v>#REF!</v>
      </c>
      <c r="DF133" t="e">
        <f>AND(#REF!,"AAAAAGv3jm0=")</f>
        <v>#REF!</v>
      </c>
      <c r="DG133" t="e">
        <f>AND(#REF!,"AAAAAGv3jm4=")</f>
        <v>#REF!</v>
      </c>
      <c r="DH133" t="e">
        <f>AND(#REF!,"AAAAAGv3jm8=")</f>
        <v>#REF!</v>
      </c>
      <c r="DI133" t="e">
        <f>AND(#REF!,"AAAAAGv3jnA=")</f>
        <v>#REF!</v>
      </c>
      <c r="DJ133" t="e">
        <f>AND(#REF!,"AAAAAGv3jnE=")</f>
        <v>#REF!</v>
      </c>
      <c r="DK133" t="e">
        <f>AND(#REF!,"AAAAAGv3jnI=")</f>
        <v>#REF!</v>
      </c>
      <c r="DL133" t="e">
        <f>AND(#REF!,"AAAAAGv3jnM=")</f>
        <v>#REF!</v>
      </c>
      <c r="DM133" t="e">
        <f>AND(#REF!,"AAAAAGv3jnQ=")</f>
        <v>#REF!</v>
      </c>
      <c r="DN133" t="e">
        <f>AND(#REF!,"AAAAAGv3jnU=")</f>
        <v>#REF!</v>
      </c>
      <c r="DO133" t="e">
        <f>AND(#REF!,"AAAAAGv3jnY=")</f>
        <v>#REF!</v>
      </c>
      <c r="DP133" t="e">
        <f>AND(#REF!,"AAAAAGv3jnc=")</f>
        <v>#REF!</v>
      </c>
      <c r="DQ133" t="e">
        <f>AND(#REF!,"AAAAAGv3jng=")</f>
        <v>#REF!</v>
      </c>
      <c r="DR133" t="e">
        <f>AND(#REF!,"AAAAAGv3jnk=")</f>
        <v>#REF!</v>
      </c>
      <c r="DS133" t="e">
        <f>AND(#REF!,"AAAAAGv3jno=")</f>
        <v>#REF!</v>
      </c>
      <c r="DT133" t="e">
        <f>AND(#REF!,"AAAAAGv3jns=")</f>
        <v>#REF!</v>
      </c>
      <c r="DU133" t="e">
        <f>AND(#REF!,"AAAAAGv3jnw=")</f>
        <v>#REF!</v>
      </c>
      <c r="DV133" t="e">
        <f>AND(#REF!,"AAAAAGv3jn0=")</f>
        <v>#REF!</v>
      </c>
      <c r="DW133" t="e">
        <f>AND(#REF!,"AAAAAGv3jn4=")</f>
        <v>#REF!</v>
      </c>
      <c r="DX133" t="e">
        <f>AND(#REF!,"AAAAAGv3jn8=")</f>
        <v>#REF!</v>
      </c>
      <c r="DY133" t="e">
        <f>AND(#REF!,"AAAAAGv3joA=")</f>
        <v>#REF!</v>
      </c>
      <c r="DZ133" t="e">
        <f>AND(#REF!,"AAAAAGv3joE=")</f>
        <v>#REF!</v>
      </c>
      <c r="EA133" t="e">
        <f>AND(#REF!,"AAAAAGv3joI=")</f>
        <v>#REF!</v>
      </c>
      <c r="EB133" t="e">
        <f>AND(#REF!,"AAAAAGv3joM=")</f>
        <v>#REF!</v>
      </c>
      <c r="EC133" t="e">
        <f>AND(#REF!,"AAAAAGv3joQ=")</f>
        <v>#REF!</v>
      </c>
      <c r="ED133" t="e">
        <f>AND(#REF!,"AAAAAGv3joU=")</f>
        <v>#REF!</v>
      </c>
      <c r="EE133" t="e">
        <f>AND(#REF!,"AAAAAGv3joY=")</f>
        <v>#REF!</v>
      </c>
      <c r="EF133" t="e">
        <f>AND(#REF!,"AAAAAGv3joc=")</f>
        <v>#REF!</v>
      </c>
      <c r="EG133" t="e">
        <f>AND(#REF!,"AAAAAGv3jog=")</f>
        <v>#REF!</v>
      </c>
      <c r="EH133" t="e">
        <f>AND(#REF!,"AAAAAGv3jok=")</f>
        <v>#REF!</v>
      </c>
      <c r="EI133" t="e">
        <f>AND(#REF!,"AAAAAGv3joo=")</f>
        <v>#REF!</v>
      </c>
      <c r="EJ133" t="e">
        <f>AND(#REF!,"AAAAAGv3jos=")</f>
        <v>#REF!</v>
      </c>
      <c r="EK133" t="e">
        <f>AND(#REF!,"AAAAAGv3jow=")</f>
        <v>#REF!</v>
      </c>
      <c r="EL133" t="e">
        <f>AND(#REF!,"AAAAAGv3jo0=")</f>
        <v>#REF!</v>
      </c>
      <c r="EM133" t="e">
        <f>AND(#REF!,"AAAAAGv3jo4=")</f>
        <v>#REF!</v>
      </c>
      <c r="EN133" t="e">
        <f>AND(#REF!,"AAAAAGv3jo8=")</f>
        <v>#REF!</v>
      </c>
      <c r="EO133" t="e">
        <f>AND(#REF!,"AAAAAGv3jpA=")</f>
        <v>#REF!</v>
      </c>
      <c r="EP133" t="e">
        <f>AND(#REF!,"AAAAAGv3jpE=")</f>
        <v>#REF!</v>
      </c>
      <c r="EQ133" t="e">
        <f>AND(#REF!,"AAAAAGv3jpI=")</f>
        <v>#REF!</v>
      </c>
      <c r="ER133" t="e">
        <f>AND(#REF!,"AAAAAGv3jpM=")</f>
        <v>#REF!</v>
      </c>
      <c r="ES133" t="e">
        <f>AND(#REF!,"AAAAAGv3jpQ=")</f>
        <v>#REF!</v>
      </c>
      <c r="ET133" t="e">
        <f>AND(#REF!,"AAAAAGv3jpU=")</f>
        <v>#REF!</v>
      </c>
      <c r="EU133" t="e">
        <f>AND(#REF!,"AAAAAGv3jpY=")</f>
        <v>#REF!</v>
      </c>
      <c r="EV133" t="e">
        <f>AND(#REF!,"AAAAAGv3jpc=")</f>
        <v>#REF!</v>
      </c>
      <c r="EW133" t="e">
        <f>AND(#REF!,"AAAAAGv3jpg=")</f>
        <v>#REF!</v>
      </c>
      <c r="EX133" t="e">
        <f>AND(#REF!,"AAAAAGv3jpk=")</f>
        <v>#REF!</v>
      </c>
      <c r="EY133" t="e">
        <f>AND(#REF!,"AAAAAGv3jpo=")</f>
        <v>#REF!</v>
      </c>
      <c r="EZ133" t="e">
        <f>AND(#REF!,"AAAAAGv3jps=")</f>
        <v>#REF!</v>
      </c>
      <c r="FA133" t="e">
        <f>AND(#REF!,"AAAAAGv3jpw=")</f>
        <v>#REF!</v>
      </c>
      <c r="FB133" t="e">
        <f>AND(#REF!,"AAAAAGv3jp0=")</f>
        <v>#REF!</v>
      </c>
      <c r="FC133" t="e">
        <f>AND(#REF!,"AAAAAGv3jp4=")</f>
        <v>#REF!</v>
      </c>
      <c r="FD133" t="e">
        <f>AND(#REF!,"AAAAAGv3jp8=")</f>
        <v>#REF!</v>
      </c>
      <c r="FE133" t="e">
        <f>AND(#REF!,"AAAAAGv3jqA=")</f>
        <v>#REF!</v>
      </c>
      <c r="FF133" t="e">
        <f>AND(#REF!,"AAAAAGv3jqE=")</f>
        <v>#REF!</v>
      </c>
      <c r="FG133" t="e">
        <f>AND(#REF!,"AAAAAGv3jqI=")</f>
        <v>#REF!</v>
      </c>
      <c r="FH133" t="e">
        <f>AND(#REF!,"AAAAAGv3jqM=")</f>
        <v>#REF!</v>
      </c>
      <c r="FI133" t="e">
        <f>AND(#REF!,"AAAAAGv3jqQ=")</f>
        <v>#REF!</v>
      </c>
      <c r="FJ133" t="e">
        <f>AND(#REF!,"AAAAAGv3jqU=")</f>
        <v>#REF!</v>
      </c>
      <c r="FK133" t="e">
        <f>AND(#REF!,"AAAAAGv3jqY=")</f>
        <v>#REF!</v>
      </c>
      <c r="FL133" t="e">
        <f>AND(#REF!,"AAAAAGv3jqc=")</f>
        <v>#REF!</v>
      </c>
      <c r="FM133" t="e">
        <f>AND(#REF!,"AAAAAGv3jqg=")</f>
        <v>#REF!</v>
      </c>
      <c r="FN133" t="e">
        <f>AND(#REF!,"AAAAAGv3jqk=")</f>
        <v>#REF!</v>
      </c>
      <c r="FO133" t="e">
        <f>AND(#REF!,"AAAAAGv3jqo=")</f>
        <v>#REF!</v>
      </c>
      <c r="FP133" t="e">
        <f>AND(#REF!,"AAAAAGv3jqs=")</f>
        <v>#REF!</v>
      </c>
      <c r="FQ133" t="e">
        <f>AND(#REF!,"AAAAAGv3jqw=")</f>
        <v>#REF!</v>
      </c>
      <c r="FR133" t="e">
        <f>AND(#REF!,"AAAAAGv3jq0=")</f>
        <v>#REF!</v>
      </c>
      <c r="FS133" t="e">
        <f>AND(#REF!,"AAAAAGv3jq4=")</f>
        <v>#REF!</v>
      </c>
      <c r="FT133" t="e">
        <f>AND(#REF!,"AAAAAGv3jq8=")</f>
        <v>#REF!</v>
      </c>
      <c r="FU133" t="e">
        <f>AND(#REF!,"AAAAAGv3jrA=")</f>
        <v>#REF!</v>
      </c>
      <c r="FV133" t="e">
        <f>AND(#REF!,"AAAAAGv3jrE=")</f>
        <v>#REF!</v>
      </c>
      <c r="FW133" t="e">
        <f>AND(#REF!,"AAAAAGv3jrI=")</f>
        <v>#REF!</v>
      </c>
      <c r="FX133" t="e">
        <f>AND(#REF!,"AAAAAGv3jrM=")</f>
        <v>#REF!</v>
      </c>
      <c r="FY133" t="e">
        <f>AND(#REF!,"AAAAAGv3jrQ=")</f>
        <v>#REF!</v>
      </c>
      <c r="FZ133" t="e">
        <f>AND(#REF!,"AAAAAGv3jrU=")</f>
        <v>#REF!</v>
      </c>
      <c r="GA133" t="e">
        <f>AND(#REF!,"AAAAAGv3jrY=")</f>
        <v>#REF!</v>
      </c>
      <c r="GB133" t="e">
        <f>AND(#REF!,"AAAAAGv3jrc=")</f>
        <v>#REF!</v>
      </c>
      <c r="GC133" t="e">
        <f>AND(#REF!,"AAAAAGv3jrg=")</f>
        <v>#REF!</v>
      </c>
      <c r="GD133" t="e">
        <f>AND(#REF!,"AAAAAGv3jrk=")</f>
        <v>#REF!</v>
      </c>
      <c r="GE133" t="e">
        <f>AND(#REF!,"AAAAAGv3jro=")</f>
        <v>#REF!</v>
      </c>
      <c r="GF133" t="e">
        <f>AND(#REF!,"AAAAAGv3jrs=")</f>
        <v>#REF!</v>
      </c>
      <c r="GG133" t="e">
        <f>AND(#REF!,"AAAAAGv3jrw=")</f>
        <v>#REF!</v>
      </c>
      <c r="GH133" t="e">
        <f>AND(#REF!,"AAAAAGv3jr0=")</f>
        <v>#REF!</v>
      </c>
      <c r="GI133" t="e">
        <f>AND(#REF!,"AAAAAGv3jr4=")</f>
        <v>#REF!</v>
      </c>
      <c r="GJ133" t="e">
        <f>AND(#REF!,"AAAAAGv3jr8=")</f>
        <v>#REF!</v>
      </c>
      <c r="GK133" t="e">
        <f>AND(#REF!,"AAAAAGv3jsA=")</f>
        <v>#REF!</v>
      </c>
      <c r="GL133" t="e">
        <f>IF(#REF!,"AAAAAGv3jsE=",0)</f>
        <v>#REF!</v>
      </c>
      <c r="GM133" t="e">
        <f>AND(#REF!,"AAAAAGv3jsI=")</f>
        <v>#REF!</v>
      </c>
      <c r="GN133" t="e">
        <f>AND(#REF!,"AAAAAGv3jsM=")</f>
        <v>#REF!</v>
      </c>
      <c r="GO133" t="e">
        <f>AND(#REF!,"AAAAAGv3jsQ=")</f>
        <v>#REF!</v>
      </c>
      <c r="GP133" t="e">
        <f>AND(#REF!,"AAAAAGv3jsU=")</f>
        <v>#REF!</v>
      </c>
      <c r="GQ133" t="e">
        <f>AND(#REF!,"AAAAAGv3jsY=")</f>
        <v>#REF!</v>
      </c>
      <c r="GR133" t="e">
        <f>AND(#REF!,"AAAAAGv3jsc=")</f>
        <v>#REF!</v>
      </c>
      <c r="GS133" t="e">
        <f>AND(#REF!,"AAAAAGv3jsg=")</f>
        <v>#REF!</v>
      </c>
      <c r="GT133" t="e">
        <f>AND(#REF!,"AAAAAGv3jsk=")</f>
        <v>#REF!</v>
      </c>
      <c r="GU133" t="e">
        <f>AND(#REF!,"AAAAAGv3jso=")</f>
        <v>#REF!</v>
      </c>
      <c r="GV133" t="e">
        <f>AND(#REF!,"AAAAAGv3jss=")</f>
        <v>#REF!</v>
      </c>
      <c r="GW133" t="e">
        <f>AND(#REF!,"AAAAAGv3jsw=")</f>
        <v>#REF!</v>
      </c>
      <c r="GX133" t="e">
        <f>AND(#REF!,"AAAAAGv3js0=")</f>
        <v>#REF!</v>
      </c>
      <c r="GY133" t="e">
        <f>AND(#REF!,"AAAAAGv3js4=")</f>
        <v>#REF!</v>
      </c>
      <c r="GZ133" t="e">
        <f>AND(#REF!,"AAAAAGv3js8=")</f>
        <v>#REF!</v>
      </c>
      <c r="HA133" t="e">
        <f>AND(#REF!,"AAAAAGv3jtA=")</f>
        <v>#REF!</v>
      </c>
      <c r="HB133" t="e">
        <f>AND(#REF!,"AAAAAGv3jtE=")</f>
        <v>#REF!</v>
      </c>
      <c r="HC133" t="e">
        <f>AND(#REF!,"AAAAAGv3jtI=")</f>
        <v>#REF!</v>
      </c>
      <c r="HD133" t="e">
        <f>AND(#REF!,"AAAAAGv3jtM=")</f>
        <v>#REF!</v>
      </c>
      <c r="HE133" t="e">
        <f>AND(#REF!,"AAAAAGv3jtQ=")</f>
        <v>#REF!</v>
      </c>
      <c r="HF133" t="e">
        <f>AND(#REF!,"AAAAAGv3jtU=")</f>
        <v>#REF!</v>
      </c>
      <c r="HG133" t="e">
        <f>AND(#REF!,"AAAAAGv3jtY=")</f>
        <v>#REF!</v>
      </c>
      <c r="HH133" t="e">
        <f>AND(#REF!,"AAAAAGv3jtc=")</f>
        <v>#REF!</v>
      </c>
      <c r="HI133" t="e">
        <f>AND(#REF!,"AAAAAGv3jtg=")</f>
        <v>#REF!</v>
      </c>
      <c r="HJ133" t="e">
        <f>AND(#REF!,"AAAAAGv3jtk=")</f>
        <v>#REF!</v>
      </c>
      <c r="HK133" t="e">
        <f>AND(#REF!,"AAAAAGv3jto=")</f>
        <v>#REF!</v>
      </c>
      <c r="HL133" t="e">
        <f>AND(#REF!,"AAAAAGv3jts=")</f>
        <v>#REF!</v>
      </c>
      <c r="HM133" t="e">
        <f>AND(#REF!,"AAAAAGv3jtw=")</f>
        <v>#REF!</v>
      </c>
      <c r="HN133" t="e">
        <f>AND(#REF!,"AAAAAGv3jt0=")</f>
        <v>#REF!</v>
      </c>
      <c r="HO133" t="e">
        <f>AND(#REF!,"AAAAAGv3jt4=")</f>
        <v>#REF!</v>
      </c>
      <c r="HP133" t="e">
        <f>AND(#REF!,"AAAAAGv3jt8=")</f>
        <v>#REF!</v>
      </c>
      <c r="HQ133" t="e">
        <f>AND(#REF!,"AAAAAGv3juA=")</f>
        <v>#REF!</v>
      </c>
      <c r="HR133" t="e">
        <f>AND(#REF!,"AAAAAGv3juE=")</f>
        <v>#REF!</v>
      </c>
      <c r="HS133" t="e">
        <f>AND(#REF!,"AAAAAGv3juI=")</f>
        <v>#REF!</v>
      </c>
      <c r="HT133" t="e">
        <f>AND(#REF!,"AAAAAGv3juM=")</f>
        <v>#REF!</v>
      </c>
      <c r="HU133" t="e">
        <f>AND(#REF!,"AAAAAGv3juQ=")</f>
        <v>#REF!</v>
      </c>
      <c r="HV133" t="e">
        <f>AND(#REF!,"AAAAAGv3juU=")</f>
        <v>#REF!</v>
      </c>
      <c r="HW133" t="e">
        <f>AND(#REF!,"AAAAAGv3juY=")</f>
        <v>#REF!</v>
      </c>
      <c r="HX133" t="e">
        <f>AND(#REF!,"AAAAAGv3juc=")</f>
        <v>#REF!</v>
      </c>
      <c r="HY133" t="e">
        <f>AND(#REF!,"AAAAAGv3jug=")</f>
        <v>#REF!</v>
      </c>
      <c r="HZ133" t="e">
        <f>AND(#REF!,"AAAAAGv3juk=")</f>
        <v>#REF!</v>
      </c>
      <c r="IA133" t="e">
        <f>AND(#REF!,"AAAAAGv3juo=")</f>
        <v>#REF!</v>
      </c>
      <c r="IB133" t="e">
        <f>AND(#REF!,"AAAAAGv3jus=")</f>
        <v>#REF!</v>
      </c>
      <c r="IC133" t="e">
        <f>AND(#REF!,"AAAAAGv3juw=")</f>
        <v>#REF!</v>
      </c>
      <c r="ID133" t="e">
        <f>AND(#REF!,"AAAAAGv3ju0=")</f>
        <v>#REF!</v>
      </c>
      <c r="IE133" t="e">
        <f>AND(#REF!,"AAAAAGv3ju4=")</f>
        <v>#REF!</v>
      </c>
      <c r="IF133" t="e">
        <f>AND(#REF!,"AAAAAGv3ju8=")</f>
        <v>#REF!</v>
      </c>
      <c r="IG133" t="e">
        <f>AND(#REF!,"AAAAAGv3jvA=")</f>
        <v>#REF!</v>
      </c>
      <c r="IH133" t="e">
        <f>AND(#REF!,"AAAAAGv3jvE=")</f>
        <v>#REF!</v>
      </c>
      <c r="II133" t="e">
        <f>AND(#REF!,"AAAAAGv3jvI=")</f>
        <v>#REF!</v>
      </c>
      <c r="IJ133" t="e">
        <f>AND(#REF!,"AAAAAGv3jvM=")</f>
        <v>#REF!</v>
      </c>
      <c r="IK133" t="e">
        <f>AND(#REF!,"AAAAAGv3jvQ=")</f>
        <v>#REF!</v>
      </c>
      <c r="IL133" t="e">
        <f>AND(#REF!,"AAAAAGv3jvU=")</f>
        <v>#REF!</v>
      </c>
      <c r="IM133" t="e">
        <f>AND(#REF!,"AAAAAGv3jvY=")</f>
        <v>#REF!</v>
      </c>
      <c r="IN133" t="e">
        <f>AND(#REF!,"AAAAAGv3jvc=")</f>
        <v>#REF!</v>
      </c>
      <c r="IO133" t="e">
        <f>AND(#REF!,"AAAAAGv3jvg=")</f>
        <v>#REF!</v>
      </c>
      <c r="IP133" t="e">
        <f>AND(#REF!,"AAAAAGv3jvk=")</f>
        <v>#REF!</v>
      </c>
      <c r="IQ133" t="e">
        <f>AND(#REF!,"AAAAAGv3jvo=")</f>
        <v>#REF!</v>
      </c>
      <c r="IR133" t="e">
        <f>AND(#REF!,"AAAAAGv3jvs=")</f>
        <v>#REF!</v>
      </c>
      <c r="IS133" t="e">
        <f>AND(#REF!,"AAAAAGv3jvw=")</f>
        <v>#REF!</v>
      </c>
      <c r="IT133" t="e">
        <f>AND(#REF!,"AAAAAGv3jv0=")</f>
        <v>#REF!</v>
      </c>
      <c r="IU133" t="e">
        <f>AND(#REF!,"AAAAAGv3jv4=")</f>
        <v>#REF!</v>
      </c>
      <c r="IV133" t="e">
        <f>AND(#REF!,"AAAAAGv3jv8=")</f>
        <v>#REF!</v>
      </c>
    </row>
    <row r="134" spans="1:256" x14ac:dyDescent="0.25">
      <c r="A134" t="e">
        <f>AND(#REF!,"AAAAAHo/HgA=")</f>
        <v>#REF!</v>
      </c>
      <c r="B134" t="e">
        <f>AND(#REF!,"AAAAAHo/HgE=")</f>
        <v>#REF!</v>
      </c>
      <c r="C134" t="e">
        <f>AND(#REF!,"AAAAAHo/HgI=")</f>
        <v>#REF!</v>
      </c>
      <c r="D134" t="e">
        <f>AND(#REF!,"AAAAAHo/HgM=")</f>
        <v>#REF!</v>
      </c>
      <c r="E134" t="e">
        <f>AND(#REF!,"AAAAAHo/HgQ=")</f>
        <v>#REF!</v>
      </c>
      <c r="F134" t="e">
        <f>AND(#REF!,"AAAAAHo/HgU=")</f>
        <v>#REF!</v>
      </c>
      <c r="G134" t="e">
        <f>AND(#REF!,"AAAAAHo/HgY=")</f>
        <v>#REF!</v>
      </c>
      <c r="H134" t="e">
        <f>AND(#REF!,"AAAAAHo/Hgc=")</f>
        <v>#REF!</v>
      </c>
      <c r="I134" t="e">
        <f>AND(#REF!,"AAAAAHo/Hgg=")</f>
        <v>#REF!</v>
      </c>
      <c r="J134" t="e">
        <f>AND(#REF!,"AAAAAHo/Hgk=")</f>
        <v>#REF!</v>
      </c>
      <c r="K134" t="e">
        <f>AND(#REF!,"AAAAAHo/Hgo=")</f>
        <v>#REF!</v>
      </c>
      <c r="L134" t="e">
        <f>AND(#REF!,"AAAAAHo/Hgs=")</f>
        <v>#REF!</v>
      </c>
      <c r="M134" t="e">
        <f>AND(#REF!,"AAAAAHo/Hgw=")</f>
        <v>#REF!</v>
      </c>
      <c r="N134" t="e">
        <f>AND(#REF!,"AAAAAHo/Hg0=")</f>
        <v>#REF!</v>
      </c>
      <c r="O134" t="e">
        <f>AND(#REF!,"AAAAAHo/Hg4=")</f>
        <v>#REF!</v>
      </c>
      <c r="P134" t="e">
        <f>AND(#REF!,"AAAAAHo/Hg8=")</f>
        <v>#REF!</v>
      </c>
      <c r="Q134" t="e">
        <f>AND(#REF!,"AAAAAHo/HhA=")</f>
        <v>#REF!</v>
      </c>
      <c r="R134" t="e">
        <f>AND(#REF!,"AAAAAHo/HhE=")</f>
        <v>#REF!</v>
      </c>
      <c r="S134" t="e">
        <f>AND(#REF!,"AAAAAHo/HhI=")</f>
        <v>#REF!</v>
      </c>
      <c r="T134" t="e">
        <f>AND(#REF!,"AAAAAHo/HhM=")</f>
        <v>#REF!</v>
      </c>
      <c r="U134" t="e">
        <f>AND(#REF!,"AAAAAHo/HhQ=")</f>
        <v>#REF!</v>
      </c>
      <c r="V134" t="e">
        <f>AND(#REF!,"AAAAAHo/HhU=")</f>
        <v>#REF!</v>
      </c>
      <c r="W134" t="e">
        <f>AND(#REF!,"AAAAAHo/HhY=")</f>
        <v>#REF!</v>
      </c>
      <c r="X134" t="e">
        <f>AND(#REF!,"AAAAAHo/Hhc=")</f>
        <v>#REF!</v>
      </c>
      <c r="Y134" t="e">
        <f>AND(#REF!,"AAAAAHo/Hhg=")</f>
        <v>#REF!</v>
      </c>
      <c r="Z134" t="e">
        <f>AND(#REF!,"AAAAAHo/Hhk=")</f>
        <v>#REF!</v>
      </c>
      <c r="AA134" t="e">
        <f>AND(#REF!,"AAAAAHo/Hho=")</f>
        <v>#REF!</v>
      </c>
      <c r="AB134" t="e">
        <f>AND(#REF!,"AAAAAHo/Hhs=")</f>
        <v>#REF!</v>
      </c>
      <c r="AC134" t="e">
        <f>AND(#REF!,"AAAAAHo/Hhw=")</f>
        <v>#REF!</v>
      </c>
      <c r="AD134" t="e">
        <f>AND(#REF!,"AAAAAHo/Hh0=")</f>
        <v>#REF!</v>
      </c>
      <c r="AE134" t="e">
        <f>AND(#REF!,"AAAAAHo/Hh4=")</f>
        <v>#REF!</v>
      </c>
      <c r="AF134" t="e">
        <f>AND(#REF!,"AAAAAHo/Hh8=")</f>
        <v>#REF!</v>
      </c>
      <c r="AG134" t="e">
        <f>AND(#REF!,"AAAAAHo/HiA=")</f>
        <v>#REF!</v>
      </c>
      <c r="AH134" t="e">
        <f>AND(#REF!,"AAAAAHo/HiE=")</f>
        <v>#REF!</v>
      </c>
      <c r="AI134" t="e">
        <f>AND(#REF!,"AAAAAHo/HiI=")</f>
        <v>#REF!</v>
      </c>
      <c r="AJ134" t="e">
        <f>AND(#REF!,"AAAAAHo/HiM=")</f>
        <v>#REF!</v>
      </c>
      <c r="AK134" t="e">
        <f>AND(#REF!,"AAAAAHo/HiQ=")</f>
        <v>#REF!</v>
      </c>
      <c r="AL134" t="e">
        <f>AND(#REF!,"AAAAAHo/HiU=")</f>
        <v>#REF!</v>
      </c>
      <c r="AM134" t="e">
        <f>AND(#REF!,"AAAAAHo/HiY=")</f>
        <v>#REF!</v>
      </c>
      <c r="AN134" t="e">
        <f>AND(#REF!,"AAAAAHo/Hic=")</f>
        <v>#REF!</v>
      </c>
      <c r="AO134" t="e">
        <f>AND(#REF!,"AAAAAHo/Hig=")</f>
        <v>#REF!</v>
      </c>
      <c r="AP134" t="e">
        <f>AND(#REF!,"AAAAAHo/Hik=")</f>
        <v>#REF!</v>
      </c>
      <c r="AQ134" t="e">
        <f>AND(#REF!,"AAAAAHo/Hio=")</f>
        <v>#REF!</v>
      </c>
      <c r="AR134" t="e">
        <f>AND(#REF!,"AAAAAHo/His=")</f>
        <v>#REF!</v>
      </c>
      <c r="AS134" t="e">
        <f>AND(#REF!,"AAAAAHo/Hiw=")</f>
        <v>#REF!</v>
      </c>
      <c r="AT134" t="e">
        <f>AND(#REF!,"AAAAAHo/Hi0=")</f>
        <v>#REF!</v>
      </c>
      <c r="AU134" t="e">
        <f>AND(#REF!,"AAAAAHo/Hi4=")</f>
        <v>#REF!</v>
      </c>
      <c r="AV134" t="e">
        <f>AND(#REF!,"AAAAAHo/Hi8=")</f>
        <v>#REF!</v>
      </c>
      <c r="AW134" t="e">
        <f>AND(#REF!,"AAAAAHo/HjA=")</f>
        <v>#REF!</v>
      </c>
      <c r="AX134" t="e">
        <f>AND(#REF!,"AAAAAHo/HjE=")</f>
        <v>#REF!</v>
      </c>
      <c r="AY134" t="e">
        <f>AND(#REF!,"AAAAAHo/HjI=")</f>
        <v>#REF!</v>
      </c>
      <c r="AZ134" t="e">
        <f>AND(#REF!,"AAAAAHo/HjM=")</f>
        <v>#REF!</v>
      </c>
      <c r="BA134" t="e">
        <f>AND(#REF!,"AAAAAHo/HjQ=")</f>
        <v>#REF!</v>
      </c>
      <c r="BB134" t="e">
        <f>AND(#REF!,"AAAAAHo/HjU=")</f>
        <v>#REF!</v>
      </c>
      <c r="BC134" t="e">
        <f>AND(#REF!,"AAAAAHo/HjY=")</f>
        <v>#REF!</v>
      </c>
      <c r="BD134" t="e">
        <f>AND(#REF!,"AAAAAHo/Hjc=")</f>
        <v>#REF!</v>
      </c>
      <c r="BE134" t="e">
        <f>AND(#REF!,"AAAAAHo/Hjg=")</f>
        <v>#REF!</v>
      </c>
      <c r="BF134" t="e">
        <f>AND(#REF!,"AAAAAHo/Hjk=")</f>
        <v>#REF!</v>
      </c>
      <c r="BG134" t="e">
        <f>AND(#REF!,"AAAAAHo/Hjo=")</f>
        <v>#REF!</v>
      </c>
      <c r="BH134" t="e">
        <f>AND(#REF!,"AAAAAHo/Hjs=")</f>
        <v>#REF!</v>
      </c>
      <c r="BI134" t="e">
        <f>AND(#REF!,"AAAAAHo/Hjw=")</f>
        <v>#REF!</v>
      </c>
      <c r="BJ134" t="e">
        <f>AND(#REF!,"AAAAAHo/Hj0=")</f>
        <v>#REF!</v>
      </c>
      <c r="BK134" t="e">
        <f>AND(#REF!,"AAAAAHo/Hj4=")</f>
        <v>#REF!</v>
      </c>
      <c r="BL134" t="e">
        <f>AND(#REF!,"AAAAAHo/Hj8=")</f>
        <v>#REF!</v>
      </c>
      <c r="BM134" t="e">
        <f>AND(#REF!,"AAAAAHo/HkA=")</f>
        <v>#REF!</v>
      </c>
      <c r="BN134" t="e">
        <f>AND(#REF!,"AAAAAHo/HkE=")</f>
        <v>#REF!</v>
      </c>
      <c r="BO134" t="e">
        <f>AND(#REF!,"AAAAAHo/HkI=")</f>
        <v>#REF!</v>
      </c>
      <c r="BP134" t="e">
        <f>AND(#REF!,"AAAAAHo/HkM=")</f>
        <v>#REF!</v>
      </c>
      <c r="BQ134" t="e">
        <f>AND(#REF!,"AAAAAHo/HkQ=")</f>
        <v>#REF!</v>
      </c>
      <c r="BR134" t="e">
        <f>AND(#REF!,"AAAAAHo/HkU=")</f>
        <v>#REF!</v>
      </c>
      <c r="BS134" t="e">
        <f>AND(#REF!,"AAAAAHo/HkY=")</f>
        <v>#REF!</v>
      </c>
      <c r="BT134" t="e">
        <f>AND(#REF!,"AAAAAHo/Hkc=")</f>
        <v>#REF!</v>
      </c>
      <c r="BU134" t="e">
        <f>AND(#REF!,"AAAAAHo/Hkg=")</f>
        <v>#REF!</v>
      </c>
      <c r="BV134" t="e">
        <f>AND(#REF!,"AAAAAHo/Hkk=")</f>
        <v>#REF!</v>
      </c>
      <c r="BW134" t="e">
        <f>AND(#REF!,"AAAAAHo/Hko=")</f>
        <v>#REF!</v>
      </c>
      <c r="BX134" t="e">
        <f>AND(#REF!,"AAAAAHo/Hks=")</f>
        <v>#REF!</v>
      </c>
      <c r="BY134" t="e">
        <f>AND(#REF!,"AAAAAHo/Hkw=")</f>
        <v>#REF!</v>
      </c>
      <c r="BZ134" t="e">
        <f>AND(#REF!,"AAAAAHo/Hk0=")</f>
        <v>#REF!</v>
      </c>
      <c r="CA134" t="e">
        <f>AND(#REF!,"AAAAAHo/Hk4=")</f>
        <v>#REF!</v>
      </c>
      <c r="CB134" t="e">
        <f>AND(#REF!,"AAAAAHo/Hk8=")</f>
        <v>#REF!</v>
      </c>
      <c r="CC134" t="e">
        <f>AND(#REF!,"AAAAAHo/HlA=")</f>
        <v>#REF!</v>
      </c>
      <c r="CD134" t="e">
        <f>AND(#REF!,"AAAAAHo/HlE=")</f>
        <v>#REF!</v>
      </c>
      <c r="CE134" t="e">
        <f>AND(#REF!,"AAAAAHo/HlI=")</f>
        <v>#REF!</v>
      </c>
      <c r="CF134" t="e">
        <f>AND(#REF!,"AAAAAHo/HlM=")</f>
        <v>#REF!</v>
      </c>
      <c r="CG134" t="e">
        <f>AND(#REF!,"AAAAAHo/HlQ=")</f>
        <v>#REF!</v>
      </c>
      <c r="CH134" t="e">
        <f>AND(#REF!,"AAAAAHo/HlU=")</f>
        <v>#REF!</v>
      </c>
      <c r="CI134" t="e">
        <f>AND(#REF!,"AAAAAHo/HlY=")</f>
        <v>#REF!</v>
      </c>
      <c r="CJ134" t="e">
        <f>AND(#REF!,"AAAAAHo/Hlc=")</f>
        <v>#REF!</v>
      </c>
      <c r="CK134" t="e">
        <f>AND(#REF!,"AAAAAHo/Hlg=")</f>
        <v>#REF!</v>
      </c>
      <c r="CL134" t="e">
        <f>AND(#REF!,"AAAAAHo/Hlk=")</f>
        <v>#REF!</v>
      </c>
      <c r="CM134" t="e">
        <f>AND(#REF!,"AAAAAHo/Hlo=")</f>
        <v>#REF!</v>
      </c>
      <c r="CN134" t="e">
        <f>AND(#REF!,"AAAAAHo/Hls=")</f>
        <v>#REF!</v>
      </c>
      <c r="CO134" t="e">
        <f>AND(#REF!,"AAAAAHo/Hlw=")</f>
        <v>#REF!</v>
      </c>
      <c r="CP134" t="e">
        <f>AND(#REF!,"AAAAAHo/Hl0=")</f>
        <v>#REF!</v>
      </c>
      <c r="CQ134" t="e">
        <f>AND(#REF!,"AAAAAHo/Hl4=")</f>
        <v>#REF!</v>
      </c>
      <c r="CR134" t="e">
        <f>AND(#REF!,"AAAAAHo/Hl8=")</f>
        <v>#REF!</v>
      </c>
      <c r="CS134" t="e">
        <f>AND(#REF!,"AAAAAHo/HmA=")</f>
        <v>#REF!</v>
      </c>
      <c r="CT134" t="e">
        <f>AND(#REF!,"AAAAAHo/HmE=")</f>
        <v>#REF!</v>
      </c>
      <c r="CU134" t="e">
        <f>AND(#REF!,"AAAAAHo/HmI=")</f>
        <v>#REF!</v>
      </c>
      <c r="CV134" t="e">
        <f>AND(#REF!,"AAAAAHo/HmM=")</f>
        <v>#REF!</v>
      </c>
      <c r="CW134" t="e">
        <f>AND(#REF!,"AAAAAHo/HmQ=")</f>
        <v>#REF!</v>
      </c>
      <c r="CX134" t="e">
        <f>AND(#REF!,"AAAAAHo/HmU=")</f>
        <v>#REF!</v>
      </c>
      <c r="CY134" t="e">
        <f>AND(#REF!,"AAAAAHo/HmY=")</f>
        <v>#REF!</v>
      </c>
      <c r="CZ134" t="e">
        <f>AND(#REF!,"AAAAAHo/Hmc=")</f>
        <v>#REF!</v>
      </c>
      <c r="DA134" t="e">
        <f>AND(#REF!,"AAAAAHo/Hmg=")</f>
        <v>#REF!</v>
      </c>
      <c r="DB134" t="e">
        <f>AND(#REF!,"AAAAAHo/Hmk=")</f>
        <v>#REF!</v>
      </c>
      <c r="DC134" t="e">
        <f>AND(#REF!,"AAAAAHo/Hmo=")</f>
        <v>#REF!</v>
      </c>
      <c r="DD134" t="e">
        <f>AND(#REF!,"AAAAAHo/Hms=")</f>
        <v>#REF!</v>
      </c>
      <c r="DE134" t="e">
        <f>AND(#REF!,"AAAAAHo/Hmw=")</f>
        <v>#REF!</v>
      </c>
      <c r="DF134" t="e">
        <f>AND(#REF!,"AAAAAHo/Hm0=")</f>
        <v>#REF!</v>
      </c>
      <c r="DG134" t="e">
        <f>AND(#REF!,"AAAAAHo/Hm4=")</f>
        <v>#REF!</v>
      </c>
      <c r="DH134" t="e">
        <f>AND(#REF!,"AAAAAHo/Hm8=")</f>
        <v>#REF!</v>
      </c>
      <c r="DI134" t="e">
        <f>AND(#REF!,"AAAAAHo/HnA=")</f>
        <v>#REF!</v>
      </c>
      <c r="DJ134" t="e">
        <f>AND(#REF!,"AAAAAHo/HnE=")</f>
        <v>#REF!</v>
      </c>
      <c r="DK134" t="e">
        <f>AND(#REF!,"AAAAAHo/HnI=")</f>
        <v>#REF!</v>
      </c>
      <c r="DL134" t="e">
        <f>AND(#REF!,"AAAAAHo/HnM=")</f>
        <v>#REF!</v>
      </c>
      <c r="DM134" t="e">
        <f>AND(#REF!,"AAAAAHo/HnQ=")</f>
        <v>#REF!</v>
      </c>
      <c r="DN134" t="e">
        <f>AND(#REF!,"AAAAAHo/HnU=")</f>
        <v>#REF!</v>
      </c>
      <c r="DO134" t="e">
        <f>AND(#REF!,"AAAAAHo/HnY=")</f>
        <v>#REF!</v>
      </c>
      <c r="DP134" t="e">
        <f>AND(#REF!,"AAAAAHo/Hnc=")</f>
        <v>#REF!</v>
      </c>
      <c r="DQ134" t="e">
        <f>AND(#REF!,"AAAAAHo/Hng=")</f>
        <v>#REF!</v>
      </c>
      <c r="DR134" t="e">
        <f>AND(#REF!,"AAAAAHo/Hnk=")</f>
        <v>#REF!</v>
      </c>
      <c r="DS134" t="e">
        <f>AND(#REF!,"AAAAAHo/Hno=")</f>
        <v>#REF!</v>
      </c>
      <c r="DT134" t="e">
        <f>AND(#REF!,"AAAAAHo/Hns=")</f>
        <v>#REF!</v>
      </c>
      <c r="DU134" t="e">
        <f>AND(#REF!,"AAAAAHo/Hnw=")</f>
        <v>#REF!</v>
      </c>
      <c r="DV134" t="e">
        <f>AND(#REF!,"AAAAAHo/Hn0=")</f>
        <v>#REF!</v>
      </c>
      <c r="DW134" t="e">
        <f>IF(#REF!,"AAAAAHo/Hn4=",0)</f>
        <v>#REF!</v>
      </c>
      <c r="DX134" t="e">
        <f>AND(#REF!,"AAAAAHo/Hn8=")</f>
        <v>#REF!</v>
      </c>
      <c r="DY134" t="e">
        <f>AND(#REF!,"AAAAAHo/HoA=")</f>
        <v>#REF!</v>
      </c>
      <c r="DZ134" t="e">
        <f>AND(#REF!,"AAAAAHo/HoE=")</f>
        <v>#REF!</v>
      </c>
      <c r="EA134" t="e">
        <f>AND(#REF!,"AAAAAHo/HoI=")</f>
        <v>#REF!</v>
      </c>
      <c r="EB134" t="e">
        <f>AND(#REF!,"AAAAAHo/HoM=")</f>
        <v>#REF!</v>
      </c>
      <c r="EC134" t="e">
        <f>AND(#REF!,"AAAAAHo/HoQ=")</f>
        <v>#REF!</v>
      </c>
      <c r="ED134" t="e">
        <f>AND(#REF!,"AAAAAHo/HoU=")</f>
        <v>#REF!</v>
      </c>
      <c r="EE134" t="e">
        <f>AND(#REF!,"AAAAAHo/HoY=")</f>
        <v>#REF!</v>
      </c>
      <c r="EF134" t="e">
        <f>AND(#REF!,"AAAAAHo/Hoc=")</f>
        <v>#REF!</v>
      </c>
      <c r="EG134" t="e">
        <f>AND(#REF!,"AAAAAHo/Hog=")</f>
        <v>#REF!</v>
      </c>
      <c r="EH134" t="e">
        <f>AND(#REF!,"AAAAAHo/Hok=")</f>
        <v>#REF!</v>
      </c>
      <c r="EI134" t="e">
        <f>AND(#REF!,"AAAAAHo/Hoo=")</f>
        <v>#REF!</v>
      </c>
      <c r="EJ134" t="e">
        <f>AND(#REF!,"AAAAAHo/Hos=")</f>
        <v>#REF!</v>
      </c>
      <c r="EK134" t="e">
        <f>AND(#REF!,"AAAAAHo/How=")</f>
        <v>#REF!</v>
      </c>
      <c r="EL134" t="e">
        <f>AND(#REF!,"AAAAAHo/Ho0=")</f>
        <v>#REF!</v>
      </c>
      <c r="EM134" t="e">
        <f>AND(#REF!,"AAAAAHo/Ho4=")</f>
        <v>#REF!</v>
      </c>
      <c r="EN134" t="e">
        <f>AND(#REF!,"AAAAAHo/Ho8=")</f>
        <v>#REF!</v>
      </c>
      <c r="EO134" t="e">
        <f>AND(#REF!,"AAAAAHo/HpA=")</f>
        <v>#REF!</v>
      </c>
      <c r="EP134" t="e">
        <f>AND(#REF!,"AAAAAHo/HpE=")</f>
        <v>#REF!</v>
      </c>
      <c r="EQ134" t="e">
        <f>AND(#REF!,"AAAAAHo/HpI=")</f>
        <v>#REF!</v>
      </c>
      <c r="ER134" t="e">
        <f>AND(#REF!,"AAAAAHo/HpM=")</f>
        <v>#REF!</v>
      </c>
      <c r="ES134" t="e">
        <f>AND(#REF!,"AAAAAHo/HpQ=")</f>
        <v>#REF!</v>
      </c>
      <c r="ET134" t="e">
        <f>AND(#REF!,"AAAAAHo/HpU=")</f>
        <v>#REF!</v>
      </c>
      <c r="EU134" t="e">
        <f>AND(#REF!,"AAAAAHo/HpY=")</f>
        <v>#REF!</v>
      </c>
      <c r="EV134" t="e">
        <f>AND(#REF!,"AAAAAHo/Hpc=")</f>
        <v>#REF!</v>
      </c>
      <c r="EW134" t="e">
        <f>AND(#REF!,"AAAAAHo/Hpg=")</f>
        <v>#REF!</v>
      </c>
      <c r="EX134" t="e">
        <f>AND(#REF!,"AAAAAHo/Hpk=")</f>
        <v>#REF!</v>
      </c>
      <c r="EY134" t="e">
        <f>AND(#REF!,"AAAAAHo/Hpo=")</f>
        <v>#REF!</v>
      </c>
      <c r="EZ134" t="e">
        <f>AND(#REF!,"AAAAAHo/Hps=")</f>
        <v>#REF!</v>
      </c>
      <c r="FA134" t="e">
        <f>AND(#REF!,"AAAAAHo/Hpw=")</f>
        <v>#REF!</v>
      </c>
      <c r="FB134" t="e">
        <f>AND(#REF!,"AAAAAHo/Hp0=")</f>
        <v>#REF!</v>
      </c>
      <c r="FC134" t="e">
        <f>AND(#REF!,"AAAAAHo/Hp4=")</f>
        <v>#REF!</v>
      </c>
      <c r="FD134" t="e">
        <f>AND(#REF!,"AAAAAHo/Hp8=")</f>
        <v>#REF!</v>
      </c>
      <c r="FE134" t="e">
        <f>AND(#REF!,"AAAAAHo/HqA=")</f>
        <v>#REF!</v>
      </c>
      <c r="FF134" t="e">
        <f>AND(#REF!,"AAAAAHo/HqE=")</f>
        <v>#REF!</v>
      </c>
      <c r="FG134" t="e">
        <f>AND(#REF!,"AAAAAHo/HqI=")</f>
        <v>#REF!</v>
      </c>
      <c r="FH134" t="e">
        <f>AND(#REF!,"AAAAAHo/HqM=")</f>
        <v>#REF!</v>
      </c>
      <c r="FI134" t="e">
        <f>AND(#REF!,"AAAAAHo/HqQ=")</f>
        <v>#REF!</v>
      </c>
      <c r="FJ134" t="e">
        <f>AND(#REF!,"AAAAAHo/HqU=")</f>
        <v>#REF!</v>
      </c>
      <c r="FK134" t="e">
        <f>AND(#REF!,"AAAAAHo/HqY=")</f>
        <v>#REF!</v>
      </c>
      <c r="FL134" t="e">
        <f>AND(#REF!,"AAAAAHo/Hqc=")</f>
        <v>#REF!</v>
      </c>
      <c r="FM134" t="e">
        <f>AND(#REF!,"AAAAAHo/Hqg=")</f>
        <v>#REF!</v>
      </c>
      <c r="FN134" t="e">
        <f>AND(#REF!,"AAAAAHo/Hqk=")</f>
        <v>#REF!</v>
      </c>
      <c r="FO134" t="e">
        <f>AND(#REF!,"AAAAAHo/Hqo=")</f>
        <v>#REF!</v>
      </c>
      <c r="FP134" t="e">
        <f>AND(#REF!,"AAAAAHo/Hqs=")</f>
        <v>#REF!</v>
      </c>
      <c r="FQ134" t="e">
        <f>AND(#REF!,"AAAAAHo/Hqw=")</f>
        <v>#REF!</v>
      </c>
      <c r="FR134" t="e">
        <f>AND(#REF!,"AAAAAHo/Hq0=")</f>
        <v>#REF!</v>
      </c>
      <c r="FS134" t="e">
        <f>AND(#REF!,"AAAAAHo/Hq4=")</f>
        <v>#REF!</v>
      </c>
      <c r="FT134" t="e">
        <f>AND(#REF!,"AAAAAHo/Hq8=")</f>
        <v>#REF!</v>
      </c>
      <c r="FU134" t="e">
        <f>AND(#REF!,"AAAAAHo/HrA=")</f>
        <v>#REF!</v>
      </c>
      <c r="FV134" t="e">
        <f>AND(#REF!,"AAAAAHo/HrE=")</f>
        <v>#REF!</v>
      </c>
      <c r="FW134" t="e">
        <f>AND(#REF!,"AAAAAHo/HrI=")</f>
        <v>#REF!</v>
      </c>
      <c r="FX134" t="e">
        <f>AND(#REF!,"AAAAAHo/HrM=")</f>
        <v>#REF!</v>
      </c>
      <c r="FY134" t="e">
        <f>AND(#REF!,"AAAAAHo/HrQ=")</f>
        <v>#REF!</v>
      </c>
      <c r="FZ134" t="e">
        <f>AND(#REF!,"AAAAAHo/HrU=")</f>
        <v>#REF!</v>
      </c>
      <c r="GA134" t="e">
        <f>AND(#REF!,"AAAAAHo/HrY=")</f>
        <v>#REF!</v>
      </c>
      <c r="GB134" t="e">
        <f>AND(#REF!,"AAAAAHo/Hrc=")</f>
        <v>#REF!</v>
      </c>
      <c r="GC134" t="e">
        <f>AND(#REF!,"AAAAAHo/Hrg=")</f>
        <v>#REF!</v>
      </c>
      <c r="GD134" t="e">
        <f>AND(#REF!,"AAAAAHo/Hrk=")</f>
        <v>#REF!</v>
      </c>
      <c r="GE134" t="e">
        <f>AND(#REF!,"AAAAAHo/Hro=")</f>
        <v>#REF!</v>
      </c>
      <c r="GF134" t="e">
        <f>AND(#REF!,"AAAAAHo/Hrs=")</f>
        <v>#REF!</v>
      </c>
      <c r="GG134" t="e">
        <f>AND(#REF!,"AAAAAHo/Hrw=")</f>
        <v>#REF!</v>
      </c>
      <c r="GH134" t="e">
        <f>AND(#REF!,"AAAAAHo/Hr0=")</f>
        <v>#REF!</v>
      </c>
      <c r="GI134" t="e">
        <f>AND(#REF!,"AAAAAHo/Hr4=")</f>
        <v>#REF!</v>
      </c>
      <c r="GJ134" t="e">
        <f>AND(#REF!,"AAAAAHo/Hr8=")</f>
        <v>#REF!</v>
      </c>
      <c r="GK134" t="e">
        <f>AND(#REF!,"AAAAAHo/HsA=")</f>
        <v>#REF!</v>
      </c>
      <c r="GL134" t="e">
        <f>AND(#REF!,"AAAAAHo/HsE=")</f>
        <v>#REF!</v>
      </c>
      <c r="GM134" t="e">
        <f>AND(#REF!,"AAAAAHo/HsI=")</f>
        <v>#REF!</v>
      </c>
      <c r="GN134" t="e">
        <f>AND(#REF!,"AAAAAHo/HsM=")</f>
        <v>#REF!</v>
      </c>
      <c r="GO134" t="e">
        <f>AND(#REF!,"AAAAAHo/HsQ=")</f>
        <v>#REF!</v>
      </c>
      <c r="GP134" t="e">
        <f>AND(#REF!,"AAAAAHo/HsU=")</f>
        <v>#REF!</v>
      </c>
      <c r="GQ134" t="e">
        <f>AND(#REF!,"AAAAAHo/HsY=")</f>
        <v>#REF!</v>
      </c>
      <c r="GR134" t="e">
        <f>AND(#REF!,"AAAAAHo/Hsc=")</f>
        <v>#REF!</v>
      </c>
      <c r="GS134" t="e">
        <f>AND(#REF!,"AAAAAHo/Hsg=")</f>
        <v>#REF!</v>
      </c>
      <c r="GT134" t="e">
        <f>AND(#REF!,"AAAAAHo/Hsk=")</f>
        <v>#REF!</v>
      </c>
      <c r="GU134" t="e">
        <f>AND(#REF!,"AAAAAHo/Hso=")</f>
        <v>#REF!</v>
      </c>
      <c r="GV134" t="e">
        <f>AND(#REF!,"AAAAAHo/Hss=")</f>
        <v>#REF!</v>
      </c>
      <c r="GW134" t="e">
        <f>AND(#REF!,"AAAAAHo/Hsw=")</f>
        <v>#REF!</v>
      </c>
      <c r="GX134" t="e">
        <f>AND(#REF!,"AAAAAHo/Hs0=")</f>
        <v>#REF!</v>
      </c>
      <c r="GY134" t="e">
        <f>AND(#REF!,"AAAAAHo/Hs4=")</f>
        <v>#REF!</v>
      </c>
      <c r="GZ134" t="e">
        <f>AND(#REF!,"AAAAAHo/Hs8=")</f>
        <v>#REF!</v>
      </c>
      <c r="HA134" t="e">
        <f>AND(#REF!,"AAAAAHo/HtA=")</f>
        <v>#REF!</v>
      </c>
      <c r="HB134" t="e">
        <f>AND(#REF!,"AAAAAHo/HtE=")</f>
        <v>#REF!</v>
      </c>
      <c r="HC134" t="e">
        <f>AND(#REF!,"AAAAAHo/HtI=")</f>
        <v>#REF!</v>
      </c>
      <c r="HD134" t="e">
        <f>AND(#REF!,"AAAAAHo/HtM=")</f>
        <v>#REF!</v>
      </c>
      <c r="HE134" t="e">
        <f>AND(#REF!,"AAAAAHo/HtQ=")</f>
        <v>#REF!</v>
      </c>
      <c r="HF134" t="e">
        <f>AND(#REF!,"AAAAAHo/HtU=")</f>
        <v>#REF!</v>
      </c>
      <c r="HG134" t="e">
        <f>AND(#REF!,"AAAAAHo/HtY=")</f>
        <v>#REF!</v>
      </c>
      <c r="HH134" t="e">
        <f>AND(#REF!,"AAAAAHo/Htc=")</f>
        <v>#REF!</v>
      </c>
      <c r="HI134" t="e">
        <f>AND(#REF!,"AAAAAHo/Htg=")</f>
        <v>#REF!</v>
      </c>
      <c r="HJ134" t="e">
        <f>AND(#REF!,"AAAAAHo/Htk=")</f>
        <v>#REF!</v>
      </c>
      <c r="HK134" t="e">
        <f>AND(#REF!,"AAAAAHo/Hto=")</f>
        <v>#REF!</v>
      </c>
      <c r="HL134" t="e">
        <f>AND(#REF!,"AAAAAHo/Hts=")</f>
        <v>#REF!</v>
      </c>
      <c r="HM134" t="e">
        <f>AND(#REF!,"AAAAAHo/Htw=")</f>
        <v>#REF!</v>
      </c>
      <c r="HN134" t="e">
        <f>AND(#REF!,"AAAAAHo/Ht0=")</f>
        <v>#REF!</v>
      </c>
      <c r="HO134" t="e">
        <f>AND(#REF!,"AAAAAHo/Ht4=")</f>
        <v>#REF!</v>
      </c>
      <c r="HP134" t="e">
        <f>AND(#REF!,"AAAAAHo/Ht8=")</f>
        <v>#REF!</v>
      </c>
      <c r="HQ134" t="e">
        <f>AND(#REF!,"AAAAAHo/HuA=")</f>
        <v>#REF!</v>
      </c>
      <c r="HR134" t="e">
        <f>AND(#REF!,"AAAAAHo/HuE=")</f>
        <v>#REF!</v>
      </c>
      <c r="HS134" t="e">
        <f>AND(#REF!,"AAAAAHo/HuI=")</f>
        <v>#REF!</v>
      </c>
      <c r="HT134" t="e">
        <f>AND(#REF!,"AAAAAHo/HuM=")</f>
        <v>#REF!</v>
      </c>
      <c r="HU134" t="e">
        <f>AND(#REF!,"AAAAAHo/HuQ=")</f>
        <v>#REF!</v>
      </c>
      <c r="HV134" t="e">
        <f>AND(#REF!,"AAAAAHo/HuU=")</f>
        <v>#REF!</v>
      </c>
      <c r="HW134" t="e">
        <f>AND(#REF!,"AAAAAHo/HuY=")</f>
        <v>#REF!</v>
      </c>
      <c r="HX134" t="e">
        <f>AND(#REF!,"AAAAAHo/Huc=")</f>
        <v>#REF!</v>
      </c>
      <c r="HY134" t="e">
        <f>AND(#REF!,"AAAAAHo/Hug=")</f>
        <v>#REF!</v>
      </c>
      <c r="HZ134" t="e">
        <f>AND(#REF!,"AAAAAHo/Huk=")</f>
        <v>#REF!</v>
      </c>
      <c r="IA134" t="e">
        <f>AND(#REF!,"AAAAAHo/Huo=")</f>
        <v>#REF!</v>
      </c>
      <c r="IB134" t="e">
        <f>AND(#REF!,"AAAAAHo/Hus=")</f>
        <v>#REF!</v>
      </c>
      <c r="IC134" t="e">
        <f>AND(#REF!,"AAAAAHo/Huw=")</f>
        <v>#REF!</v>
      </c>
      <c r="ID134" t="e">
        <f>AND(#REF!,"AAAAAHo/Hu0=")</f>
        <v>#REF!</v>
      </c>
      <c r="IE134" t="e">
        <f>AND(#REF!,"AAAAAHo/Hu4=")</f>
        <v>#REF!</v>
      </c>
      <c r="IF134" t="e">
        <f>AND(#REF!,"AAAAAHo/Hu8=")</f>
        <v>#REF!</v>
      </c>
      <c r="IG134" t="e">
        <f>AND(#REF!,"AAAAAHo/HvA=")</f>
        <v>#REF!</v>
      </c>
      <c r="IH134" t="e">
        <f>AND(#REF!,"AAAAAHo/HvE=")</f>
        <v>#REF!</v>
      </c>
      <c r="II134" t="e">
        <f>AND(#REF!,"AAAAAHo/HvI=")</f>
        <v>#REF!</v>
      </c>
      <c r="IJ134" t="e">
        <f>AND(#REF!,"AAAAAHo/HvM=")</f>
        <v>#REF!</v>
      </c>
      <c r="IK134" t="e">
        <f>AND(#REF!,"AAAAAHo/HvQ=")</f>
        <v>#REF!</v>
      </c>
      <c r="IL134" t="e">
        <f>AND(#REF!,"AAAAAHo/HvU=")</f>
        <v>#REF!</v>
      </c>
      <c r="IM134" t="e">
        <f>AND(#REF!,"AAAAAHo/HvY=")</f>
        <v>#REF!</v>
      </c>
      <c r="IN134" t="e">
        <f>AND(#REF!,"AAAAAHo/Hvc=")</f>
        <v>#REF!</v>
      </c>
      <c r="IO134" t="e">
        <f>AND(#REF!,"AAAAAHo/Hvg=")</f>
        <v>#REF!</v>
      </c>
      <c r="IP134" t="e">
        <f>AND(#REF!,"AAAAAHo/Hvk=")</f>
        <v>#REF!</v>
      </c>
      <c r="IQ134" t="e">
        <f>AND(#REF!,"AAAAAHo/Hvo=")</f>
        <v>#REF!</v>
      </c>
      <c r="IR134" t="e">
        <f>AND(#REF!,"AAAAAHo/Hvs=")</f>
        <v>#REF!</v>
      </c>
      <c r="IS134" t="e">
        <f>AND(#REF!,"AAAAAHo/Hvw=")</f>
        <v>#REF!</v>
      </c>
      <c r="IT134" t="e">
        <f>AND(#REF!,"AAAAAHo/Hv0=")</f>
        <v>#REF!</v>
      </c>
      <c r="IU134" t="e">
        <f>AND(#REF!,"AAAAAHo/Hv4=")</f>
        <v>#REF!</v>
      </c>
      <c r="IV134" t="e">
        <f>AND(#REF!,"AAAAAHo/Hv8=")</f>
        <v>#REF!</v>
      </c>
    </row>
    <row r="135" spans="1:256" x14ac:dyDescent="0.25">
      <c r="A135" t="e">
        <f>AND(#REF!,"AAAAAG3HfgA=")</f>
        <v>#REF!</v>
      </c>
      <c r="B135" t="e">
        <f>AND(#REF!,"AAAAAG3HfgE=")</f>
        <v>#REF!</v>
      </c>
      <c r="C135" t="e">
        <f>AND(#REF!,"AAAAAG3HfgI=")</f>
        <v>#REF!</v>
      </c>
      <c r="D135" t="e">
        <f>AND(#REF!,"AAAAAG3HfgM=")</f>
        <v>#REF!</v>
      </c>
      <c r="E135" t="e">
        <f>AND(#REF!,"AAAAAG3HfgQ=")</f>
        <v>#REF!</v>
      </c>
      <c r="F135" t="e">
        <f>AND(#REF!,"AAAAAG3HfgU=")</f>
        <v>#REF!</v>
      </c>
      <c r="G135" t="e">
        <f>AND(#REF!,"AAAAAG3HfgY=")</f>
        <v>#REF!</v>
      </c>
      <c r="H135" t="e">
        <f>AND(#REF!,"AAAAAG3Hfgc=")</f>
        <v>#REF!</v>
      </c>
      <c r="I135" t="e">
        <f>AND(#REF!,"AAAAAG3Hfgg=")</f>
        <v>#REF!</v>
      </c>
      <c r="J135" t="e">
        <f>AND(#REF!,"AAAAAG3Hfgk=")</f>
        <v>#REF!</v>
      </c>
      <c r="K135" t="e">
        <f>AND(#REF!,"AAAAAG3Hfgo=")</f>
        <v>#REF!</v>
      </c>
      <c r="L135" t="e">
        <f>AND(#REF!,"AAAAAG3Hfgs=")</f>
        <v>#REF!</v>
      </c>
      <c r="M135" t="e">
        <f>AND(#REF!,"AAAAAG3Hfgw=")</f>
        <v>#REF!</v>
      </c>
      <c r="N135" t="e">
        <f>AND(#REF!,"AAAAAG3Hfg0=")</f>
        <v>#REF!</v>
      </c>
      <c r="O135" t="e">
        <f>AND(#REF!,"AAAAAG3Hfg4=")</f>
        <v>#REF!</v>
      </c>
      <c r="P135" t="e">
        <f>AND(#REF!,"AAAAAG3Hfg8=")</f>
        <v>#REF!</v>
      </c>
      <c r="Q135" t="e">
        <f>AND(#REF!,"AAAAAG3HfhA=")</f>
        <v>#REF!</v>
      </c>
      <c r="R135" t="e">
        <f>AND(#REF!,"AAAAAG3HfhE=")</f>
        <v>#REF!</v>
      </c>
      <c r="S135" t="e">
        <f>AND(#REF!,"AAAAAG3HfhI=")</f>
        <v>#REF!</v>
      </c>
      <c r="T135" t="e">
        <f>AND(#REF!,"AAAAAG3HfhM=")</f>
        <v>#REF!</v>
      </c>
      <c r="U135" t="e">
        <f>AND(#REF!,"AAAAAG3HfhQ=")</f>
        <v>#REF!</v>
      </c>
      <c r="V135" t="e">
        <f>AND(#REF!,"AAAAAG3HfhU=")</f>
        <v>#REF!</v>
      </c>
      <c r="W135" t="e">
        <f>AND(#REF!,"AAAAAG3HfhY=")</f>
        <v>#REF!</v>
      </c>
      <c r="X135" t="e">
        <f>AND(#REF!,"AAAAAG3Hfhc=")</f>
        <v>#REF!</v>
      </c>
      <c r="Y135" t="e">
        <f>AND(#REF!,"AAAAAG3Hfhg=")</f>
        <v>#REF!</v>
      </c>
      <c r="Z135" t="e">
        <f>AND(#REF!,"AAAAAG3Hfhk=")</f>
        <v>#REF!</v>
      </c>
      <c r="AA135" t="e">
        <f>AND(#REF!,"AAAAAG3Hfho=")</f>
        <v>#REF!</v>
      </c>
      <c r="AB135" t="e">
        <f>AND(#REF!,"AAAAAG3Hfhs=")</f>
        <v>#REF!</v>
      </c>
      <c r="AC135" t="e">
        <f>AND(#REF!,"AAAAAG3Hfhw=")</f>
        <v>#REF!</v>
      </c>
      <c r="AD135" t="e">
        <f>AND(#REF!,"AAAAAG3Hfh0=")</f>
        <v>#REF!</v>
      </c>
      <c r="AE135" t="e">
        <f>AND(#REF!,"AAAAAG3Hfh4=")</f>
        <v>#REF!</v>
      </c>
      <c r="AF135" t="e">
        <f>AND(#REF!,"AAAAAG3Hfh8=")</f>
        <v>#REF!</v>
      </c>
      <c r="AG135" t="e">
        <f>AND(#REF!,"AAAAAG3HfiA=")</f>
        <v>#REF!</v>
      </c>
      <c r="AH135" t="e">
        <f>AND(#REF!,"AAAAAG3HfiE=")</f>
        <v>#REF!</v>
      </c>
      <c r="AI135" t="e">
        <f>AND(#REF!,"AAAAAG3HfiI=")</f>
        <v>#REF!</v>
      </c>
      <c r="AJ135" t="e">
        <f>AND(#REF!,"AAAAAG3HfiM=")</f>
        <v>#REF!</v>
      </c>
      <c r="AK135" t="e">
        <f>AND(#REF!,"AAAAAG3HfiQ=")</f>
        <v>#REF!</v>
      </c>
      <c r="AL135" t="e">
        <f>AND(#REF!,"AAAAAG3HfiU=")</f>
        <v>#REF!</v>
      </c>
      <c r="AM135" t="e">
        <f>AND(#REF!,"AAAAAG3HfiY=")</f>
        <v>#REF!</v>
      </c>
      <c r="AN135" t="e">
        <f>AND(#REF!,"AAAAAG3Hfic=")</f>
        <v>#REF!</v>
      </c>
      <c r="AO135" t="e">
        <f>AND(#REF!,"AAAAAG3Hfig=")</f>
        <v>#REF!</v>
      </c>
      <c r="AP135" t="e">
        <f>AND(#REF!,"AAAAAG3Hfik=")</f>
        <v>#REF!</v>
      </c>
      <c r="AQ135" t="e">
        <f>AND(#REF!,"AAAAAG3Hfio=")</f>
        <v>#REF!</v>
      </c>
      <c r="AR135" t="e">
        <f>AND(#REF!,"AAAAAG3Hfis=")</f>
        <v>#REF!</v>
      </c>
      <c r="AS135" t="e">
        <f>AND(#REF!,"AAAAAG3Hfiw=")</f>
        <v>#REF!</v>
      </c>
      <c r="AT135" t="e">
        <f>AND(#REF!,"AAAAAG3Hfi0=")</f>
        <v>#REF!</v>
      </c>
      <c r="AU135" t="e">
        <f>AND(#REF!,"AAAAAG3Hfi4=")</f>
        <v>#REF!</v>
      </c>
      <c r="AV135" t="e">
        <f>AND(#REF!,"AAAAAG3Hfi8=")</f>
        <v>#REF!</v>
      </c>
      <c r="AW135" t="e">
        <f>AND(#REF!,"AAAAAG3HfjA=")</f>
        <v>#REF!</v>
      </c>
      <c r="AX135" t="e">
        <f>AND(#REF!,"AAAAAG3HfjE=")</f>
        <v>#REF!</v>
      </c>
      <c r="AY135" t="e">
        <f>AND(#REF!,"AAAAAG3HfjI=")</f>
        <v>#REF!</v>
      </c>
      <c r="AZ135" t="e">
        <f>AND(#REF!,"AAAAAG3HfjM=")</f>
        <v>#REF!</v>
      </c>
      <c r="BA135" t="e">
        <f>AND(#REF!,"AAAAAG3HfjQ=")</f>
        <v>#REF!</v>
      </c>
      <c r="BB135" t="e">
        <f>AND(#REF!,"AAAAAG3HfjU=")</f>
        <v>#REF!</v>
      </c>
      <c r="BC135" t="e">
        <f>AND(#REF!,"AAAAAG3HfjY=")</f>
        <v>#REF!</v>
      </c>
      <c r="BD135" t="e">
        <f>AND(#REF!,"AAAAAG3Hfjc=")</f>
        <v>#REF!</v>
      </c>
      <c r="BE135" t="e">
        <f>AND(#REF!,"AAAAAG3Hfjg=")</f>
        <v>#REF!</v>
      </c>
      <c r="BF135" t="e">
        <f>AND(#REF!,"AAAAAG3Hfjk=")</f>
        <v>#REF!</v>
      </c>
      <c r="BG135" t="e">
        <f>AND(#REF!,"AAAAAG3Hfjo=")</f>
        <v>#REF!</v>
      </c>
      <c r="BH135" t="e">
        <f>IF(#REF!,"AAAAAG3Hfjs=",0)</f>
        <v>#REF!</v>
      </c>
      <c r="BI135" t="e">
        <f>AND(#REF!,"AAAAAG3Hfjw=")</f>
        <v>#REF!</v>
      </c>
      <c r="BJ135" t="e">
        <f>AND(#REF!,"AAAAAG3Hfj0=")</f>
        <v>#REF!</v>
      </c>
      <c r="BK135" t="e">
        <f>AND(#REF!,"AAAAAG3Hfj4=")</f>
        <v>#REF!</v>
      </c>
      <c r="BL135" t="e">
        <f>AND(#REF!,"AAAAAG3Hfj8=")</f>
        <v>#REF!</v>
      </c>
      <c r="BM135" t="e">
        <f>AND(#REF!,"AAAAAG3HfkA=")</f>
        <v>#REF!</v>
      </c>
      <c r="BN135" t="e">
        <f>AND(#REF!,"AAAAAG3HfkE=")</f>
        <v>#REF!</v>
      </c>
      <c r="BO135" t="e">
        <f>AND(#REF!,"AAAAAG3HfkI=")</f>
        <v>#REF!</v>
      </c>
      <c r="BP135" t="e">
        <f>AND(#REF!,"AAAAAG3HfkM=")</f>
        <v>#REF!</v>
      </c>
      <c r="BQ135" t="e">
        <f>AND(#REF!,"AAAAAG3HfkQ=")</f>
        <v>#REF!</v>
      </c>
      <c r="BR135" t="e">
        <f>AND(#REF!,"AAAAAG3HfkU=")</f>
        <v>#REF!</v>
      </c>
      <c r="BS135" t="e">
        <f>AND(#REF!,"AAAAAG3HfkY=")</f>
        <v>#REF!</v>
      </c>
      <c r="BT135" t="e">
        <f>AND(#REF!,"AAAAAG3Hfkc=")</f>
        <v>#REF!</v>
      </c>
      <c r="BU135" t="e">
        <f>AND(#REF!,"AAAAAG3Hfkg=")</f>
        <v>#REF!</v>
      </c>
      <c r="BV135" t="e">
        <f>AND(#REF!,"AAAAAG3Hfkk=")</f>
        <v>#REF!</v>
      </c>
      <c r="BW135" t="e">
        <f>AND(#REF!,"AAAAAG3Hfko=")</f>
        <v>#REF!</v>
      </c>
      <c r="BX135" t="e">
        <f>AND(#REF!,"AAAAAG3Hfks=")</f>
        <v>#REF!</v>
      </c>
      <c r="BY135" t="e">
        <f>AND(#REF!,"AAAAAG3Hfkw=")</f>
        <v>#REF!</v>
      </c>
      <c r="BZ135" t="e">
        <f>AND(#REF!,"AAAAAG3Hfk0=")</f>
        <v>#REF!</v>
      </c>
      <c r="CA135" t="e">
        <f>AND(#REF!,"AAAAAG3Hfk4=")</f>
        <v>#REF!</v>
      </c>
      <c r="CB135" t="e">
        <f>AND(#REF!,"AAAAAG3Hfk8=")</f>
        <v>#REF!</v>
      </c>
      <c r="CC135" t="e">
        <f>AND(#REF!,"AAAAAG3HflA=")</f>
        <v>#REF!</v>
      </c>
      <c r="CD135" t="e">
        <f>AND(#REF!,"AAAAAG3HflE=")</f>
        <v>#REF!</v>
      </c>
      <c r="CE135" t="e">
        <f>AND(#REF!,"AAAAAG3HflI=")</f>
        <v>#REF!</v>
      </c>
      <c r="CF135" t="e">
        <f>AND(#REF!,"AAAAAG3HflM=")</f>
        <v>#REF!</v>
      </c>
      <c r="CG135" t="e">
        <f>AND(#REF!,"AAAAAG3HflQ=")</f>
        <v>#REF!</v>
      </c>
      <c r="CH135" t="e">
        <f>AND(#REF!,"AAAAAG3HflU=")</f>
        <v>#REF!</v>
      </c>
      <c r="CI135" t="e">
        <f>AND(#REF!,"AAAAAG3HflY=")</f>
        <v>#REF!</v>
      </c>
      <c r="CJ135" t="e">
        <f>AND(#REF!,"AAAAAG3Hflc=")</f>
        <v>#REF!</v>
      </c>
      <c r="CK135" t="e">
        <f>AND(#REF!,"AAAAAG3Hflg=")</f>
        <v>#REF!</v>
      </c>
      <c r="CL135" t="e">
        <f>AND(#REF!,"AAAAAG3Hflk=")</f>
        <v>#REF!</v>
      </c>
      <c r="CM135" t="e">
        <f>AND(#REF!,"AAAAAG3Hflo=")</f>
        <v>#REF!</v>
      </c>
      <c r="CN135" t="e">
        <f>AND(#REF!,"AAAAAG3Hfls=")</f>
        <v>#REF!</v>
      </c>
      <c r="CO135" t="e">
        <f>AND(#REF!,"AAAAAG3Hflw=")</f>
        <v>#REF!</v>
      </c>
      <c r="CP135" t="e">
        <f>AND(#REF!,"AAAAAG3Hfl0=")</f>
        <v>#REF!</v>
      </c>
      <c r="CQ135" t="e">
        <f>AND(#REF!,"AAAAAG3Hfl4=")</f>
        <v>#REF!</v>
      </c>
      <c r="CR135" t="e">
        <f>AND(#REF!,"AAAAAG3Hfl8=")</f>
        <v>#REF!</v>
      </c>
      <c r="CS135" t="e">
        <f>AND(#REF!,"AAAAAG3HfmA=")</f>
        <v>#REF!</v>
      </c>
      <c r="CT135" t="e">
        <f>AND(#REF!,"AAAAAG3HfmE=")</f>
        <v>#REF!</v>
      </c>
      <c r="CU135" t="e">
        <f>AND(#REF!,"AAAAAG3HfmI=")</f>
        <v>#REF!</v>
      </c>
      <c r="CV135" t="e">
        <f>AND(#REF!,"AAAAAG3HfmM=")</f>
        <v>#REF!</v>
      </c>
      <c r="CW135" t="e">
        <f>AND(#REF!,"AAAAAG3HfmQ=")</f>
        <v>#REF!</v>
      </c>
      <c r="CX135" t="e">
        <f>AND(#REF!,"AAAAAG3HfmU=")</f>
        <v>#REF!</v>
      </c>
      <c r="CY135" t="e">
        <f>AND(#REF!,"AAAAAG3HfmY=")</f>
        <v>#REF!</v>
      </c>
      <c r="CZ135" t="e">
        <f>AND(#REF!,"AAAAAG3Hfmc=")</f>
        <v>#REF!</v>
      </c>
      <c r="DA135" t="e">
        <f>AND(#REF!,"AAAAAG3Hfmg=")</f>
        <v>#REF!</v>
      </c>
      <c r="DB135" t="e">
        <f>AND(#REF!,"AAAAAG3Hfmk=")</f>
        <v>#REF!</v>
      </c>
      <c r="DC135" t="e">
        <f>AND(#REF!,"AAAAAG3Hfmo=")</f>
        <v>#REF!</v>
      </c>
      <c r="DD135" t="e">
        <f>AND(#REF!,"AAAAAG3Hfms=")</f>
        <v>#REF!</v>
      </c>
      <c r="DE135" t="e">
        <f>AND(#REF!,"AAAAAG3Hfmw=")</f>
        <v>#REF!</v>
      </c>
      <c r="DF135" t="e">
        <f>AND(#REF!,"AAAAAG3Hfm0=")</f>
        <v>#REF!</v>
      </c>
      <c r="DG135" t="e">
        <f>AND(#REF!,"AAAAAG3Hfm4=")</f>
        <v>#REF!</v>
      </c>
      <c r="DH135" t="e">
        <f>AND(#REF!,"AAAAAG3Hfm8=")</f>
        <v>#REF!</v>
      </c>
      <c r="DI135" t="e">
        <f>AND(#REF!,"AAAAAG3HfnA=")</f>
        <v>#REF!</v>
      </c>
      <c r="DJ135" t="e">
        <f>AND(#REF!,"AAAAAG3HfnE=")</f>
        <v>#REF!</v>
      </c>
      <c r="DK135" t="e">
        <f>AND(#REF!,"AAAAAG3HfnI=")</f>
        <v>#REF!</v>
      </c>
      <c r="DL135" t="e">
        <f>AND(#REF!,"AAAAAG3HfnM=")</f>
        <v>#REF!</v>
      </c>
      <c r="DM135" t="e">
        <f>AND(#REF!,"AAAAAG3HfnQ=")</f>
        <v>#REF!</v>
      </c>
      <c r="DN135" t="e">
        <f>AND(#REF!,"AAAAAG3HfnU=")</f>
        <v>#REF!</v>
      </c>
      <c r="DO135" t="e">
        <f>AND(#REF!,"AAAAAG3HfnY=")</f>
        <v>#REF!</v>
      </c>
      <c r="DP135" t="e">
        <f>AND(#REF!,"AAAAAG3Hfnc=")</f>
        <v>#REF!</v>
      </c>
      <c r="DQ135" t="e">
        <f>AND(#REF!,"AAAAAG3Hfng=")</f>
        <v>#REF!</v>
      </c>
      <c r="DR135" t="e">
        <f>AND(#REF!,"AAAAAG3Hfnk=")</f>
        <v>#REF!</v>
      </c>
      <c r="DS135" t="e">
        <f>AND(#REF!,"AAAAAG3Hfno=")</f>
        <v>#REF!</v>
      </c>
      <c r="DT135" t="e">
        <f>AND(#REF!,"AAAAAG3Hfns=")</f>
        <v>#REF!</v>
      </c>
      <c r="DU135" t="e">
        <f>AND(#REF!,"AAAAAG3Hfnw=")</f>
        <v>#REF!</v>
      </c>
      <c r="DV135" t="e">
        <f>AND(#REF!,"AAAAAG3Hfn0=")</f>
        <v>#REF!</v>
      </c>
      <c r="DW135" t="e">
        <f>AND(#REF!,"AAAAAG3Hfn4=")</f>
        <v>#REF!</v>
      </c>
      <c r="DX135" t="e">
        <f>AND(#REF!,"AAAAAG3Hfn8=")</f>
        <v>#REF!</v>
      </c>
      <c r="DY135" t="e">
        <f>AND(#REF!,"AAAAAG3HfoA=")</f>
        <v>#REF!</v>
      </c>
      <c r="DZ135" t="e">
        <f>AND(#REF!,"AAAAAG3HfoE=")</f>
        <v>#REF!</v>
      </c>
      <c r="EA135" t="e">
        <f>AND(#REF!,"AAAAAG3HfoI=")</f>
        <v>#REF!</v>
      </c>
      <c r="EB135" t="e">
        <f>AND(#REF!,"AAAAAG3HfoM=")</f>
        <v>#REF!</v>
      </c>
      <c r="EC135" t="e">
        <f>AND(#REF!,"AAAAAG3HfoQ=")</f>
        <v>#REF!</v>
      </c>
      <c r="ED135" t="e">
        <f>AND(#REF!,"AAAAAG3HfoU=")</f>
        <v>#REF!</v>
      </c>
      <c r="EE135" t="e">
        <f>AND(#REF!,"AAAAAG3HfoY=")</f>
        <v>#REF!</v>
      </c>
      <c r="EF135" t="e">
        <f>AND(#REF!,"AAAAAG3Hfoc=")</f>
        <v>#REF!</v>
      </c>
      <c r="EG135" t="e">
        <f>AND(#REF!,"AAAAAG3Hfog=")</f>
        <v>#REF!</v>
      </c>
      <c r="EH135" t="e">
        <f>AND(#REF!,"AAAAAG3Hfok=")</f>
        <v>#REF!</v>
      </c>
      <c r="EI135" t="e">
        <f>AND(#REF!,"AAAAAG3Hfoo=")</f>
        <v>#REF!</v>
      </c>
      <c r="EJ135" t="e">
        <f>AND(#REF!,"AAAAAG3Hfos=")</f>
        <v>#REF!</v>
      </c>
      <c r="EK135" t="e">
        <f>AND(#REF!,"AAAAAG3Hfow=")</f>
        <v>#REF!</v>
      </c>
      <c r="EL135" t="e">
        <f>AND(#REF!,"AAAAAG3Hfo0=")</f>
        <v>#REF!</v>
      </c>
      <c r="EM135" t="e">
        <f>AND(#REF!,"AAAAAG3Hfo4=")</f>
        <v>#REF!</v>
      </c>
      <c r="EN135" t="e">
        <f>AND(#REF!,"AAAAAG3Hfo8=")</f>
        <v>#REF!</v>
      </c>
      <c r="EO135" t="e">
        <f>AND(#REF!,"AAAAAG3HfpA=")</f>
        <v>#REF!</v>
      </c>
      <c r="EP135" t="e">
        <f>AND(#REF!,"AAAAAG3HfpE=")</f>
        <v>#REF!</v>
      </c>
      <c r="EQ135" t="e">
        <f>AND(#REF!,"AAAAAG3HfpI=")</f>
        <v>#REF!</v>
      </c>
      <c r="ER135" t="e">
        <f>AND(#REF!,"AAAAAG3HfpM=")</f>
        <v>#REF!</v>
      </c>
      <c r="ES135" t="e">
        <f>AND(#REF!,"AAAAAG3HfpQ=")</f>
        <v>#REF!</v>
      </c>
      <c r="ET135" t="e">
        <f>AND(#REF!,"AAAAAG3HfpU=")</f>
        <v>#REF!</v>
      </c>
      <c r="EU135" t="e">
        <f>AND(#REF!,"AAAAAG3HfpY=")</f>
        <v>#REF!</v>
      </c>
      <c r="EV135" t="e">
        <f>AND(#REF!,"AAAAAG3Hfpc=")</f>
        <v>#REF!</v>
      </c>
      <c r="EW135" t="e">
        <f>AND(#REF!,"AAAAAG3Hfpg=")</f>
        <v>#REF!</v>
      </c>
      <c r="EX135" t="e">
        <f>AND(#REF!,"AAAAAG3Hfpk=")</f>
        <v>#REF!</v>
      </c>
      <c r="EY135" t="e">
        <f>AND(#REF!,"AAAAAG3Hfpo=")</f>
        <v>#REF!</v>
      </c>
      <c r="EZ135" t="e">
        <f>AND(#REF!,"AAAAAG3Hfps=")</f>
        <v>#REF!</v>
      </c>
      <c r="FA135" t="e">
        <f>AND(#REF!,"AAAAAG3Hfpw=")</f>
        <v>#REF!</v>
      </c>
      <c r="FB135" t="e">
        <f>AND(#REF!,"AAAAAG3Hfp0=")</f>
        <v>#REF!</v>
      </c>
      <c r="FC135" t="e">
        <f>AND(#REF!,"AAAAAG3Hfp4=")</f>
        <v>#REF!</v>
      </c>
      <c r="FD135" t="e">
        <f>AND(#REF!,"AAAAAG3Hfp8=")</f>
        <v>#REF!</v>
      </c>
      <c r="FE135" t="e">
        <f>AND(#REF!,"AAAAAG3HfqA=")</f>
        <v>#REF!</v>
      </c>
      <c r="FF135" t="e">
        <f>AND(#REF!,"AAAAAG3HfqE=")</f>
        <v>#REF!</v>
      </c>
      <c r="FG135" t="e">
        <f>AND(#REF!,"AAAAAG3HfqI=")</f>
        <v>#REF!</v>
      </c>
      <c r="FH135" t="e">
        <f>AND(#REF!,"AAAAAG3HfqM=")</f>
        <v>#REF!</v>
      </c>
      <c r="FI135" t="e">
        <f>AND(#REF!,"AAAAAG3HfqQ=")</f>
        <v>#REF!</v>
      </c>
      <c r="FJ135" t="e">
        <f>AND(#REF!,"AAAAAG3HfqU=")</f>
        <v>#REF!</v>
      </c>
      <c r="FK135" t="e">
        <f>AND(#REF!,"AAAAAG3HfqY=")</f>
        <v>#REF!</v>
      </c>
      <c r="FL135" t="e">
        <f>AND(#REF!,"AAAAAG3Hfqc=")</f>
        <v>#REF!</v>
      </c>
      <c r="FM135" t="e">
        <f>AND(#REF!,"AAAAAG3Hfqg=")</f>
        <v>#REF!</v>
      </c>
      <c r="FN135" t="e">
        <f>AND(#REF!,"AAAAAG3Hfqk=")</f>
        <v>#REF!</v>
      </c>
      <c r="FO135" t="e">
        <f>AND(#REF!,"AAAAAG3Hfqo=")</f>
        <v>#REF!</v>
      </c>
      <c r="FP135" t="e">
        <f>AND(#REF!,"AAAAAG3Hfqs=")</f>
        <v>#REF!</v>
      </c>
      <c r="FQ135" t="e">
        <f>AND(#REF!,"AAAAAG3Hfqw=")</f>
        <v>#REF!</v>
      </c>
      <c r="FR135" t="e">
        <f>AND(#REF!,"AAAAAG3Hfq0=")</f>
        <v>#REF!</v>
      </c>
      <c r="FS135" t="e">
        <f>AND(#REF!,"AAAAAG3Hfq4=")</f>
        <v>#REF!</v>
      </c>
      <c r="FT135" t="e">
        <f>AND(#REF!,"AAAAAG3Hfq8=")</f>
        <v>#REF!</v>
      </c>
      <c r="FU135" t="e">
        <f>AND(#REF!,"AAAAAG3HfrA=")</f>
        <v>#REF!</v>
      </c>
      <c r="FV135" t="e">
        <f>AND(#REF!,"AAAAAG3HfrE=")</f>
        <v>#REF!</v>
      </c>
      <c r="FW135" t="e">
        <f>AND(#REF!,"AAAAAG3HfrI=")</f>
        <v>#REF!</v>
      </c>
      <c r="FX135" t="e">
        <f>AND(#REF!,"AAAAAG3HfrM=")</f>
        <v>#REF!</v>
      </c>
      <c r="FY135" t="e">
        <f>AND(#REF!,"AAAAAG3HfrQ=")</f>
        <v>#REF!</v>
      </c>
      <c r="FZ135" t="e">
        <f>AND(#REF!,"AAAAAG3HfrU=")</f>
        <v>#REF!</v>
      </c>
      <c r="GA135" t="e">
        <f>AND(#REF!,"AAAAAG3HfrY=")</f>
        <v>#REF!</v>
      </c>
      <c r="GB135" t="e">
        <f>AND(#REF!,"AAAAAG3Hfrc=")</f>
        <v>#REF!</v>
      </c>
      <c r="GC135" t="e">
        <f>AND(#REF!,"AAAAAG3Hfrg=")</f>
        <v>#REF!</v>
      </c>
      <c r="GD135" t="e">
        <f>AND(#REF!,"AAAAAG3Hfrk=")</f>
        <v>#REF!</v>
      </c>
      <c r="GE135" t="e">
        <f>AND(#REF!,"AAAAAG3Hfro=")</f>
        <v>#REF!</v>
      </c>
      <c r="GF135" t="e">
        <f>AND(#REF!,"AAAAAG3Hfrs=")</f>
        <v>#REF!</v>
      </c>
      <c r="GG135" t="e">
        <f>AND(#REF!,"AAAAAG3Hfrw=")</f>
        <v>#REF!</v>
      </c>
      <c r="GH135" t="e">
        <f>AND(#REF!,"AAAAAG3Hfr0=")</f>
        <v>#REF!</v>
      </c>
      <c r="GI135" t="e">
        <f>AND(#REF!,"AAAAAG3Hfr4=")</f>
        <v>#REF!</v>
      </c>
      <c r="GJ135" t="e">
        <f>AND(#REF!,"AAAAAG3Hfr8=")</f>
        <v>#REF!</v>
      </c>
      <c r="GK135" t="e">
        <f>AND(#REF!,"AAAAAG3HfsA=")</f>
        <v>#REF!</v>
      </c>
      <c r="GL135" t="e">
        <f>AND(#REF!,"AAAAAG3HfsE=")</f>
        <v>#REF!</v>
      </c>
      <c r="GM135" t="e">
        <f>AND(#REF!,"AAAAAG3HfsI=")</f>
        <v>#REF!</v>
      </c>
      <c r="GN135" t="e">
        <f>AND(#REF!,"AAAAAG3HfsM=")</f>
        <v>#REF!</v>
      </c>
      <c r="GO135" t="e">
        <f>AND(#REF!,"AAAAAG3HfsQ=")</f>
        <v>#REF!</v>
      </c>
      <c r="GP135" t="e">
        <f>AND(#REF!,"AAAAAG3HfsU=")</f>
        <v>#REF!</v>
      </c>
      <c r="GQ135" t="e">
        <f>AND(#REF!,"AAAAAG3HfsY=")</f>
        <v>#REF!</v>
      </c>
      <c r="GR135" t="e">
        <f>AND(#REF!,"AAAAAG3Hfsc=")</f>
        <v>#REF!</v>
      </c>
      <c r="GS135" t="e">
        <f>AND(#REF!,"AAAAAG3Hfsg=")</f>
        <v>#REF!</v>
      </c>
      <c r="GT135" t="e">
        <f>AND(#REF!,"AAAAAG3Hfsk=")</f>
        <v>#REF!</v>
      </c>
      <c r="GU135" t="e">
        <f>AND(#REF!,"AAAAAG3Hfso=")</f>
        <v>#REF!</v>
      </c>
      <c r="GV135" t="e">
        <f>AND(#REF!,"AAAAAG3Hfss=")</f>
        <v>#REF!</v>
      </c>
      <c r="GW135" t="e">
        <f>AND(#REF!,"AAAAAG3Hfsw=")</f>
        <v>#REF!</v>
      </c>
      <c r="GX135" t="e">
        <f>AND(#REF!,"AAAAAG3Hfs0=")</f>
        <v>#REF!</v>
      </c>
      <c r="GY135" t="e">
        <f>AND(#REF!,"AAAAAG3Hfs4=")</f>
        <v>#REF!</v>
      </c>
      <c r="GZ135" t="e">
        <f>AND(#REF!,"AAAAAG3Hfs8=")</f>
        <v>#REF!</v>
      </c>
      <c r="HA135" t="e">
        <f>AND(#REF!,"AAAAAG3HftA=")</f>
        <v>#REF!</v>
      </c>
      <c r="HB135" t="e">
        <f>AND(#REF!,"AAAAAG3HftE=")</f>
        <v>#REF!</v>
      </c>
      <c r="HC135" t="e">
        <f>AND(#REF!,"AAAAAG3HftI=")</f>
        <v>#REF!</v>
      </c>
      <c r="HD135" t="e">
        <f>AND(#REF!,"AAAAAG3HftM=")</f>
        <v>#REF!</v>
      </c>
      <c r="HE135" t="e">
        <f>AND(#REF!,"AAAAAG3HftQ=")</f>
        <v>#REF!</v>
      </c>
      <c r="HF135" t="e">
        <f>AND(#REF!,"AAAAAG3HftU=")</f>
        <v>#REF!</v>
      </c>
      <c r="HG135" t="e">
        <f>AND(#REF!,"AAAAAG3HftY=")</f>
        <v>#REF!</v>
      </c>
      <c r="HH135" t="e">
        <f>AND(#REF!,"AAAAAG3Hftc=")</f>
        <v>#REF!</v>
      </c>
      <c r="HI135" t="e">
        <f>AND(#REF!,"AAAAAG3Hftg=")</f>
        <v>#REF!</v>
      </c>
      <c r="HJ135" t="e">
        <f>AND(#REF!,"AAAAAG3Hftk=")</f>
        <v>#REF!</v>
      </c>
      <c r="HK135" t="e">
        <f>AND(#REF!,"AAAAAG3Hfto=")</f>
        <v>#REF!</v>
      </c>
      <c r="HL135" t="e">
        <f>AND(#REF!,"AAAAAG3Hfts=")</f>
        <v>#REF!</v>
      </c>
      <c r="HM135" t="e">
        <f>AND(#REF!,"AAAAAG3Hftw=")</f>
        <v>#REF!</v>
      </c>
      <c r="HN135" t="e">
        <f>AND(#REF!,"AAAAAG3Hft0=")</f>
        <v>#REF!</v>
      </c>
      <c r="HO135" t="e">
        <f>AND(#REF!,"AAAAAG3Hft4=")</f>
        <v>#REF!</v>
      </c>
      <c r="HP135" t="e">
        <f>AND(#REF!,"AAAAAG3Hft8=")</f>
        <v>#REF!</v>
      </c>
      <c r="HQ135" t="e">
        <f>AND(#REF!,"AAAAAG3HfuA=")</f>
        <v>#REF!</v>
      </c>
      <c r="HR135" t="e">
        <f>AND(#REF!,"AAAAAG3HfuE=")</f>
        <v>#REF!</v>
      </c>
      <c r="HS135" t="e">
        <f>AND(#REF!,"AAAAAG3HfuI=")</f>
        <v>#REF!</v>
      </c>
      <c r="HT135" t="e">
        <f>AND(#REF!,"AAAAAG3HfuM=")</f>
        <v>#REF!</v>
      </c>
      <c r="HU135" t="e">
        <f>AND(#REF!,"AAAAAG3HfuQ=")</f>
        <v>#REF!</v>
      </c>
      <c r="HV135" t="e">
        <f>AND(#REF!,"AAAAAG3HfuU=")</f>
        <v>#REF!</v>
      </c>
      <c r="HW135" t="e">
        <f>AND(#REF!,"AAAAAG3HfuY=")</f>
        <v>#REF!</v>
      </c>
      <c r="HX135" t="e">
        <f>AND(#REF!,"AAAAAG3Hfuc=")</f>
        <v>#REF!</v>
      </c>
      <c r="HY135" t="e">
        <f>AND(#REF!,"AAAAAG3Hfug=")</f>
        <v>#REF!</v>
      </c>
      <c r="HZ135" t="e">
        <f>AND(#REF!,"AAAAAG3Hfuk=")</f>
        <v>#REF!</v>
      </c>
      <c r="IA135" t="e">
        <f>AND(#REF!,"AAAAAG3Hfuo=")</f>
        <v>#REF!</v>
      </c>
      <c r="IB135" t="e">
        <f>AND(#REF!,"AAAAAG3Hfus=")</f>
        <v>#REF!</v>
      </c>
      <c r="IC135" t="e">
        <f>AND(#REF!,"AAAAAG3Hfuw=")</f>
        <v>#REF!</v>
      </c>
      <c r="ID135" t="e">
        <f>AND(#REF!,"AAAAAG3Hfu0=")</f>
        <v>#REF!</v>
      </c>
      <c r="IE135" t="e">
        <f>AND(#REF!,"AAAAAG3Hfu4=")</f>
        <v>#REF!</v>
      </c>
      <c r="IF135" t="e">
        <f>AND(#REF!,"AAAAAG3Hfu8=")</f>
        <v>#REF!</v>
      </c>
      <c r="IG135" t="e">
        <f>AND(#REF!,"AAAAAG3HfvA=")</f>
        <v>#REF!</v>
      </c>
      <c r="IH135" t="e">
        <f>AND(#REF!,"AAAAAG3HfvE=")</f>
        <v>#REF!</v>
      </c>
      <c r="II135" t="e">
        <f>AND(#REF!,"AAAAAG3HfvI=")</f>
        <v>#REF!</v>
      </c>
      <c r="IJ135" t="e">
        <f>AND(#REF!,"AAAAAG3HfvM=")</f>
        <v>#REF!</v>
      </c>
      <c r="IK135" t="e">
        <f>AND(#REF!,"AAAAAG3HfvQ=")</f>
        <v>#REF!</v>
      </c>
      <c r="IL135" t="e">
        <f>AND(#REF!,"AAAAAG3HfvU=")</f>
        <v>#REF!</v>
      </c>
      <c r="IM135" t="e">
        <f>AND(#REF!,"AAAAAG3HfvY=")</f>
        <v>#REF!</v>
      </c>
      <c r="IN135" t="e">
        <f>AND(#REF!,"AAAAAG3Hfvc=")</f>
        <v>#REF!</v>
      </c>
      <c r="IO135" t="e">
        <f>IF(#REF!,"AAAAAG3Hfvg=",0)</f>
        <v>#REF!</v>
      </c>
      <c r="IP135" t="e">
        <f>AND(#REF!,"AAAAAG3Hfvk=")</f>
        <v>#REF!</v>
      </c>
      <c r="IQ135" t="e">
        <f>AND(#REF!,"AAAAAG3Hfvo=")</f>
        <v>#REF!</v>
      </c>
      <c r="IR135" t="e">
        <f>AND(#REF!,"AAAAAG3Hfvs=")</f>
        <v>#REF!</v>
      </c>
      <c r="IS135" t="e">
        <f>AND(#REF!,"AAAAAG3Hfvw=")</f>
        <v>#REF!</v>
      </c>
      <c r="IT135" t="e">
        <f>AND(#REF!,"AAAAAG3Hfv0=")</f>
        <v>#REF!</v>
      </c>
      <c r="IU135" t="e">
        <f>AND(#REF!,"AAAAAG3Hfv4=")</f>
        <v>#REF!</v>
      </c>
      <c r="IV135" t="e">
        <f>AND(#REF!,"AAAAAG3Hfv8=")</f>
        <v>#REF!</v>
      </c>
    </row>
    <row r="136" spans="1:256" x14ac:dyDescent="0.25">
      <c r="A136" t="e">
        <f>AND(#REF!,"AAAAAH693wA=")</f>
        <v>#REF!</v>
      </c>
      <c r="B136" t="e">
        <f>AND(#REF!,"AAAAAH693wE=")</f>
        <v>#REF!</v>
      </c>
      <c r="C136" t="e">
        <f>AND(#REF!,"AAAAAH693wI=")</f>
        <v>#REF!</v>
      </c>
      <c r="D136" t="e">
        <f>AND(#REF!,"AAAAAH693wM=")</f>
        <v>#REF!</v>
      </c>
      <c r="E136" t="e">
        <f>AND(#REF!,"AAAAAH693wQ=")</f>
        <v>#REF!</v>
      </c>
      <c r="F136" t="e">
        <f>AND(#REF!,"AAAAAH693wU=")</f>
        <v>#REF!</v>
      </c>
      <c r="G136" t="e">
        <f>AND(#REF!,"AAAAAH693wY=")</f>
        <v>#REF!</v>
      </c>
      <c r="H136" t="e">
        <f>AND(#REF!,"AAAAAH693wc=")</f>
        <v>#REF!</v>
      </c>
      <c r="I136" t="e">
        <f>AND(#REF!,"AAAAAH693wg=")</f>
        <v>#REF!</v>
      </c>
      <c r="J136" t="e">
        <f>AND(#REF!,"AAAAAH693wk=")</f>
        <v>#REF!</v>
      </c>
      <c r="K136" t="e">
        <f>AND(#REF!,"AAAAAH693wo=")</f>
        <v>#REF!</v>
      </c>
      <c r="L136" t="e">
        <f>AND(#REF!,"AAAAAH693ws=")</f>
        <v>#REF!</v>
      </c>
      <c r="M136" t="e">
        <f>AND(#REF!,"AAAAAH693ww=")</f>
        <v>#REF!</v>
      </c>
      <c r="N136" t="e">
        <f>AND(#REF!,"AAAAAH693w0=")</f>
        <v>#REF!</v>
      </c>
      <c r="O136" t="e">
        <f>AND(#REF!,"AAAAAH693w4=")</f>
        <v>#REF!</v>
      </c>
      <c r="P136" t="e">
        <f>AND(#REF!,"AAAAAH693w8=")</f>
        <v>#REF!</v>
      </c>
      <c r="Q136" t="e">
        <f>AND(#REF!,"AAAAAH693xA=")</f>
        <v>#REF!</v>
      </c>
      <c r="R136" t="e">
        <f>AND(#REF!,"AAAAAH693xE=")</f>
        <v>#REF!</v>
      </c>
      <c r="S136" t="e">
        <f>AND(#REF!,"AAAAAH693xI=")</f>
        <v>#REF!</v>
      </c>
      <c r="T136" t="e">
        <f>AND(#REF!,"AAAAAH693xM=")</f>
        <v>#REF!</v>
      </c>
      <c r="U136" t="e">
        <f>AND(#REF!,"AAAAAH693xQ=")</f>
        <v>#REF!</v>
      </c>
      <c r="V136" t="e">
        <f>AND(#REF!,"AAAAAH693xU=")</f>
        <v>#REF!</v>
      </c>
      <c r="W136" t="e">
        <f>AND(#REF!,"AAAAAH693xY=")</f>
        <v>#REF!</v>
      </c>
      <c r="X136" t="e">
        <f>AND(#REF!,"AAAAAH693xc=")</f>
        <v>#REF!</v>
      </c>
      <c r="Y136" t="e">
        <f>AND(#REF!,"AAAAAH693xg=")</f>
        <v>#REF!</v>
      </c>
      <c r="Z136" t="e">
        <f>AND(#REF!,"AAAAAH693xk=")</f>
        <v>#REF!</v>
      </c>
      <c r="AA136" t="e">
        <f>AND(#REF!,"AAAAAH693xo=")</f>
        <v>#REF!</v>
      </c>
      <c r="AB136" t="e">
        <f>AND(#REF!,"AAAAAH693xs=")</f>
        <v>#REF!</v>
      </c>
      <c r="AC136" t="e">
        <f>AND(#REF!,"AAAAAH693xw=")</f>
        <v>#REF!</v>
      </c>
      <c r="AD136" t="e">
        <f>AND(#REF!,"AAAAAH693x0=")</f>
        <v>#REF!</v>
      </c>
      <c r="AE136" t="e">
        <f>AND(#REF!,"AAAAAH693x4=")</f>
        <v>#REF!</v>
      </c>
      <c r="AF136" t="e">
        <f>AND(#REF!,"AAAAAH693x8=")</f>
        <v>#REF!</v>
      </c>
      <c r="AG136" t="e">
        <f>AND(#REF!,"AAAAAH693yA=")</f>
        <v>#REF!</v>
      </c>
      <c r="AH136" t="e">
        <f>AND(#REF!,"AAAAAH693yE=")</f>
        <v>#REF!</v>
      </c>
      <c r="AI136" t="e">
        <f>AND(#REF!,"AAAAAH693yI=")</f>
        <v>#REF!</v>
      </c>
      <c r="AJ136" t="e">
        <f>AND(#REF!,"AAAAAH693yM=")</f>
        <v>#REF!</v>
      </c>
      <c r="AK136" t="e">
        <f>AND(#REF!,"AAAAAH693yQ=")</f>
        <v>#REF!</v>
      </c>
      <c r="AL136" t="e">
        <f>AND(#REF!,"AAAAAH693yU=")</f>
        <v>#REF!</v>
      </c>
      <c r="AM136" t="e">
        <f>AND(#REF!,"AAAAAH693yY=")</f>
        <v>#REF!</v>
      </c>
      <c r="AN136" t="e">
        <f>AND(#REF!,"AAAAAH693yc=")</f>
        <v>#REF!</v>
      </c>
      <c r="AO136" t="e">
        <f>AND(#REF!,"AAAAAH693yg=")</f>
        <v>#REF!</v>
      </c>
      <c r="AP136" t="e">
        <f>AND(#REF!,"AAAAAH693yk=")</f>
        <v>#REF!</v>
      </c>
      <c r="AQ136" t="e">
        <f>AND(#REF!,"AAAAAH693yo=")</f>
        <v>#REF!</v>
      </c>
      <c r="AR136" t="e">
        <f>AND(#REF!,"AAAAAH693ys=")</f>
        <v>#REF!</v>
      </c>
      <c r="AS136" t="e">
        <f>AND(#REF!,"AAAAAH693yw=")</f>
        <v>#REF!</v>
      </c>
      <c r="AT136" t="e">
        <f>AND(#REF!,"AAAAAH693y0=")</f>
        <v>#REF!</v>
      </c>
      <c r="AU136" t="e">
        <f>AND(#REF!,"AAAAAH693y4=")</f>
        <v>#REF!</v>
      </c>
      <c r="AV136" t="e">
        <f>AND(#REF!,"AAAAAH693y8=")</f>
        <v>#REF!</v>
      </c>
      <c r="AW136" t="e">
        <f>AND(#REF!,"AAAAAH693zA=")</f>
        <v>#REF!</v>
      </c>
      <c r="AX136" t="e">
        <f>AND(#REF!,"AAAAAH693zE=")</f>
        <v>#REF!</v>
      </c>
      <c r="AY136" t="e">
        <f>AND(#REF!,"AAAAAH693zI=")</f>
        <v>#REF!</v>
      </c>
      <c r="AZ136" t="e">
        <f>AND(#REF!,"AAAAAH693zM=")</f>
        <v>#REF!</v>
      </c>
      <c r="BA136" t="e">
        <f>AND(#REF!,"AAAAAH693zQ=")</f>
        <v>#REF!</v>
      </c>
      <c r="BB136" t="e">
        <f>AND(#REF!,"AAAAAH693zU=")</f>
        <v>#REF!</v>
      </c>
      <c r="BC136" t="e">
        <f>AND(#REF!,"AAAAAH693zY=")</f>
        <v>#REF!</v>
      </c>
      <c r="BD136" t="e">
        <f>AND(#REF!,"AAAAAH693zc=")</f>
        <v>#REF!</v>
      </c>
      <c r="BE136" t="e">
        <f>AND(#REF!,"AAAAAH693zg=")</f>
        <v>#REF!</v>
      </c>
      <c r="BF136" t="e">
        <f>AND(#REF!,"AAAAAH693zk=")</f>
        <v>#REF!</v>
      </c>
      <c r="BG136" t="e">
        <f>AND(#REF!,"AAAAAH693zo=")</f>
        <v>#REF!</v>
      </c>
      <c r="BH136" t="e">
        <f>AND(#REF!,"AAAAAH693zs=")</f>
        <v>#REF!</v>
      </c>
      <c r="BI136" t="e">
        <f>AND(#REF!,"AAAAAH693zw=")</f>
        <v>#REF!</v>
      </c>
      <c r="BJ136" t="e">
        <f>AND(#REF!,"AAAAAH693z0=")</f>
        <v>#REF!</v>
      </c>
      <c r="BK136" t="e">
        <f>AND(#REF!,"AAAAAH693z4=")</f>
        <v>#REF!</v>
      </c>
      <c r="BL136" t="e">
        <f>AND(#REF!,"AAAAAH693z8=")</f>
        <v>#REF!</v>
      </c>
      <c r="BM136" t="e">
        <f>AND(#REF!,"AAAAAH6930A=")</f>
        <v>#REF!</v>
      </c>
      <c r="BN136" t="e">
        <f>AND(#REF!,"AAAAAH6930E=")</f>
        <v>#REF!</v>
      </c>
      <c r="BO136" t="e">
        <f>AND(#REF!,"AAAAAH6930I=")</f>
        <v>#REF!</v>
      </c>
      <c r="BP136" t="e">
        <f>AND(#REF!,"AAAAAH6930M=")</f>
        <v>#REF!</v>
      </c>
      <c r="BQ136" t="e">
        <f>AND(#REF!,"AAAAAH6930Q=")</f>
        <v>#REF!</v>
      </c>
      <c r="BR136" t="e">
        <f>AND(#REF!,"AAAAAH6930U=")</f>
        <v>#REF!</v>
      </c>
      <c r="BS136" t="e">
        <f>AND(#REF!,"AAAAAH6930Y=")</f>
        <v>#REF!</v>
      </c>
      <c r="BT136" t="e">
        <f>AND(#REF!,"AAAAAH6930c=")</f>
        <v>#REF!</v>
      </c>
      <c r="BU136" t="e">
        <f>AND(#REF!,"AAAAAH6930g=")</f>
        <v>#REF!</v>
      </c>
      <c r="BV136" t="e">
        <f>AND(#REF!,"AAAAAH6930k=")</f>
        <v>#REF!</v>
      </c>
      <c r="BW136" t="e">
        <f>AND(#REF!,"AAAAAH6930o=")</f>
        <v>#REF!</v>
      </c>
      <c r="BX136" t="e">
        <f>AND(#REF!,"AAAAAH6930s=")</f>
        <v>#REF!</v>
      </c>
      <c r="BY136" t="e">
        <f>AND(#REF!,"AAAAAH6930w=")</f>
        <v>#REF!</v>
      </c>
      <c r="BZ136" t="e">
        <f>AND(#REF!,"AAAAAH69300=")</f>
        <v>#REF!</v>
      </c>
      <c r="CA136" t="e">
        <f>AND(#REF!,"AAAAAH69304=")</f>
        <v>#REF!</v>
      </c>
      <c r="CB136" t="e">
        <f>AND(#REF!,"AAAAAH69308=")</f>
        <v>#REF!</v>
      </c>
      <c r="CC136" t="e">
        <f>AND(#REF!,"AAAAAH6931A=")</f>
        <v>#REF!</v>
      </c>
      <c r="CD136" t="e">
        <f>AND(#REF!,"AAAAAH6931E=")</f>
        <v>#REF!</v>
      </c>
      <c r="CE136" t="e">
        <f>AND(#REF!,"AAAAAH6931I=")</f>
        <v>#REF!</v>
      </c>
      <c r="CF136" t="e">
        <f>AND(#REF!,"AAAAAH6931M=")</f>
        <v>#REF!</v>
      </c>
      <c r="CG136" t="e">
        <f>AND(#REF!,"AAAAAH6931Q=")</f>
        <v>#REF!</v>
      </c>
      <c r="CH136" t="e">
        <f>AND(#REF!,"AAAAAH6931U=")</f>
        <v>#REF!</v>
      </c>
      <c r="CI136" t="e">
        <f>AND(#REF!,"AAAAAH6931Y=")</f>
        <v>#REF!</v>
      </c>
      <c r="CJ136" t="e">
        <f>AND(#REF!,"AAAAAH6931c=")</f>
        <v>#REF!</v>
      </c>
      <c r="CK136" t="e">
        <f>AND(#REF!,"AAAAAH6931g=")</f>
        <v>#REF!</v>
      </c>
      <c r="CL136" t="e">
        <f>AND(#REF!,"AAAAAH6931k=")</f>
        <v>#REF!</v>
      </c>
      <c r="CM136" t="e">
        <f>AND(#REF!,"AAAAAH6931o=")</f>
        <v>#REF!</v>
      </c>
      <c r="CN136" t="e">
        <f>AND(#REF!,"AAAAAH6931s=")</f>
        <v>#REF!</v>
      </c>
      <c r="CO136" t="e">
        <f>AND(#REF!,"AAAAAH6931w=")</f>
        <v>#REF!</v>
      </c>
      <c r="CP136" t="e">
        <f>AND(#REF!,"AAAAAH69310=")</f>
        <v>#REF!</v>
      </c>
      <c r="CQ136" t="e">
        <f>AND(#REF!,"AAAAAH69314=")</f>
        <v>#REF!</v>
      </c>
      <c r="CR136" t="e">
        <f>AND(#REF!,"AAAAAH69318=")</f>
        <v>#REF!</v>
      </c>
      <c r="CS136" t="e">
        <f>AND(#REF!,"AAAAAH6932A=")</f>
        <v>#REF!</v>
      </c>
      <c r="CT136" t="e">
        <f>AND(#REF!,"AAAAAH6932E=")</f>
        <v>#REF!</v>
      </c>
      <c r="CU136" t="e">
        <f>AND(#REF!,"AAAAAH6932I=")</f>
        <v>#REF!</v>
      </c>
      <c r="CV136" t="e">
        <f>AND(#REF!,"AAAAAH6932M=")</f>
        <v>#REF!</v>
      </c>
      <c r="CW136" t="e">
        <f>AND(#REF!,"AAAAAH6932Q=")</f>
        <v>#REF!</v>
      </c>
      <c r="CX136" t="e">
        <f>AND(#REF!,"AAAAAH6932U=")</f>
        <v>#REF!</v>
      </c>
      <c r="CY136" t="e">
        <f>AND(#REF!,"AAAAAH6932Y=")</f>
        <v>#REF!</v>
      </c>
      <c r="CZ136" t="e">
        <f>AND(#REF!,"AAAAAH6932c=")</f>
        <v>#REF!</v>
      </c>
      <c r="DA136" t="e">
        <f>AND(#REF!,"AAAAAH6932g=")</f>
        <v>#REF!</v>
      </c>
      <c r="DB136" t="e">
        <f>AND(#REF!,"AAAAAH6932k=")</f>
        <v>#REF!</v>
      </c>
      <c r="DC136" t="e">
        <f>AND(#REF!,"AAAAAH6932o=")</f>
        <v>#REF!</v>
      </c>
      <c r="DD136" t="e">
        <f>AND(#REF!,"AAAAAH6932s=")</f>
        <v>#REF!</v>
      </c>
      <c r="DE136" t="e">
        <f>AND(#REF!,"AAAAAH6932w=")</f>
        <v>#REF!</v>
      </c>
      <c r="DF136" t="e">
        <f>AND(#REF!,"AAAAAH69320=")</f>
        <v>#REF!</v>
      </c>
      <c r="DG136" t="e">
        <f>AND(#REF!,"AAAAAH69324=")</f>
        <v>#REF!</v>
      </c>
      <c r="DH136" t="e">
        <f>AND(#REF!,"AAAAAH69328=")</f>
        <v>#REF!</v>
      </c>
      <c r="DI136" t="e">
        <f>AND(#REF!,"AAAAAH6933A=")</f>
        <v>#REF!</v>
      </c>
      <c r="DJ136" t="e">
        <f>AND(#REF!,"AAAAAH6933E=")</f>
        <v>#REF!</v>
      </c>
      <c r="DK136" t="e">
        <f>AND(#REF!,"AAAAAH6933I=")</f>
        <v>#REF!</v>
      </c>
      <c r="DL136" t="e">
        <f>AND(#REF!,"AAAAAH6933M=")</f>
        <v>#REF!</v>
      </c>
      <c r="DM136" t="e">
        <f>AND(#REF!,"AAAAAH6933Q=")</f>
        <v>#REF!</v>
      </c>
      <c r="DN136" t="e">
        <f>AND(#REF!,"AAAAAH6933U=")</f>
        <v>#REF!</v>
      </c>
      <c r="DO136" t="e">
        <f>AND(#REF!,"AAAAAH6933Y=")</f>
        <v>#REF!</v>
      </c>
      <c r="DP136" t="e">
        <f>AND(#REF!,"AAAAAH6933c=")</f>
        <v>#REF!</v>
      </c>
      <c r="DQ136" t="e">
        <f>AND(#REF!,"AAAAAH6933g=")</f>
        <v>#REF!</v>
      </c>
      <c r="DR136" t="e">
        <f>AND(#REF!,"AAAAAH6933k=")</f>
        <v>#REF!</v>
      </c>
      <c r="DS136" t="e">
        <f>AND(#REF!,"AAAAAH6933o=")</f>
        <v>#REF!</v>
      </c>
      <c r="DT136" t="e">
        <f>AND(#REF!,"AAAAAH6933s=")</f>
        <v>#REF!</v>
      </c>
      <c r="DU136" t="e">
        <f>AND(#REF!,"AAAAAH6933w=")</f>
        <v>#REF!</v>
      </c>
      <c r="DV136" t="e">
        <f>AND(#REF!,"AAAAAH69330=")</f>
        <v>#REF!</v>
      </c>
      <c r="DW136" t="e">
        <f>AND(#REF!,"AAAAAH69334=")</f>
        <v>#REF!</v>
      </c>
      <c r="DX136" t="e">
        <f>AND(#REF!,"AAAAAH69338=")</f>
        <v>#REF!</v>
      </c>
      <c r="DY136" t="e">
        <f>AND(#REF!,"AAAAAH6934A=")</f>
        <v>#REF!</v>
      </c>
      <c r="DZ136" t="e">
        <f>AND(#REF!,"AAAAAH6934E=")</f>
        <v>#REF!</v>
      </c>
      <c r="EA136" t="e">
        <f>AND(#REF!,"AAAAAH6934I=")</f>
        <v>#REF!</v>
      </c>
      <c r="EB136" t="e">
        <f>AND(#REF!,"AAAAAH6934M=")</f>
        <v>#REF!</v>
      </c>
      <c r="EC136" t="e">
        <f>AND(#REF!,"AAAAAH6934Q=")</f>
        <v>#REF!</v>
      </c>
      <c r="ED136" t="e">
        <f>AND(#REF!,"AAAAAH6934U=")</f>
        <v>#REF!</v>
      </c>
      <c r="EE136" t="e">
        <f>AND(#REF!,"AAAAAH6934Y=")</f>
        <v>#REF!</v>
      </c>
      <c r="EF136" t="e">
        <f>AND(#REF!,"AAAAAH6934c=")</f>
        <v>#REF!</v>
      </c>
      <c r="EG136" t="e">
        <f>AND(#REF!,"AAAAAH6934g=")</f>
        <v>#REF!</v>
      </c>
      <c r="EH136" t="e">
        <f>AND(#REF!,"AAAAAH6934k=")</f>
        <v>#REF!</v>
      </c>
      <c r="EI136" t="e">
        <f>AND(#REF!,"AAAAAH6934o=")</f>
        <v>#REF!</v>
      </c>
      <c r="EJ136" t="e">
        <f>AND(#REF!,"AAAAAH6934s=")</f>
        <v>#REF!</v>
      </c>
      <c r="EK136" t="e">
        <f>AND(#REF!,"AAAAAH6934w=")</f>
        <v>#REF!</v>
      </c>
      <c r="EL136" t="e">
        <f>AND(#REF!,"AAAAAH69340=")</f>
        <v>#REF!</v>
      </c>
      <c r="EM136" t="e">
        <f>AND(#REF!,"AAAAAH69344=")</f>
        <v>#REF!</v>
      </c>
      <c r="EN136" t="e">
        <f>AND(#REF!,"AAAAAH69348=")</f>
        <v>#REF!</v>
      </c>
      <c r="EO136" t="e">
        <f>AND(#REF!,"AAAAAH6935A=")</f>
        <v>#REF!</v>
      </c>
      <c r="EP136" t="e">
        <f>AND(#REF!,"AAAAAH6935E=")</f>
        <v>#REF!</v>
      </c>
      <c r="EQ136" t="e">
        <f>AND(#REF!,"AAAAAH6935I=")</f>
        <v>#REF!</v>
      </c>
      <c r="ER136" t="e">
        <f>AND(#REF!,"AAAAAH6935M=")</f>
        <v>#REF!</v>
      </c>
      <c r="ES136" t="e">
        <f>AND(#REF!,"AAAAAH6935Q=")</f>
        <v>#REF!</v>
      </c>
      <c r="ET136" t="e">
        <f>AND(#REF!,"AAAAAH6935U=")</f>
        <v>#REF!</v>
      </c>
      <c r="EU136" t="e">
        <f>AND(#REF!,"AAAAAH6935Y=")</f>
        <v>#REF!</v>
      </c>
      <c r="EV136" t="e">
        <f>AND(#REF!,"AAAAAH6935c=")</f>
        <v>#REF!</v>
      </c>
      <c r="EW136" t="e">
        <f>AND(#REF!,"AAAAAH6935g=")</f>
        <v>#REF!</v>
      </c>
      <c r="EX136" t="e">
        <f>AND(#REF!,"AAAAAH6935k=")</f>
        <v>#REF!</v>
      </c>
      <c r="EY136" t="e">
        <f>AND(#REF!,"AAAAAH6935o=")</f>
        <v>#REF!</v>
      </c>
      <c r="EZ136" t="e">
        <f>AND(#REF!,"AAAAAH6935s=")</f>
        <v>#REF!</v>
      </c>
      <c r="FA136" t="e">
        <f>AND(#REF!,"AAAAAH6935w=")</f>
        <v>#REF!</v>
      </c>
      <c r="FB136" t="e">
        <f>AND(#REF!,"AAAAAH69350=")</f>
        <v>#REF!</v>
      </c>
      <c r="FC136" t="e">
        <f>AND(#REF!,"AAAAAH69354=")</f>
        <v>#REF!</v>
      </c>
      <c r="FD136" t="e">
        <f>AND(#REF!,"AAAAAH69358=")</f>
        <v>#REF!</v>
      </c>
      <c r="FE136" t="e">
        <f>AND(#REF!,"AAAAAH6936A=")</f>
        <v>#REF!</v>
      </c>
      <c r="FF136" t="e">
        <f>AND(#REF!,"AAAAAH6936E=")</f>
        <v>#REF!</v>
      </c>
      <c r="FG136" t="e">
        <f>AND(#REF!,"AAAAAH6936I=")</f>
        <v>#REF!</v>
      </c>
      <c r="FH136" t="e">
        <f>AND(#REF!,"AAAAAH6936M=")</f>
        <v>#REF!</v>
      </c>
      <c r="FI136" t="e">
        <f>AND(#REF!,"AAAAAH6936Q=")</f>
        <v>#REF!</v>
      </c>
      <c r="FJ136" t="e">
        <f>AND(#REF!,"AAAAAH6936U=")</f>
        <v>#REF!</v>
      </c>
      <c r="FK136" t="e">
        <f>AND(#REF!,"AAAAAH6936Y=")</f>
        <v>#REF!</v>
      </c>
      <c r="FL136" t="e">
        <f>AND(#REF!,"AAAAAH6936c=")</f>
        <v>#REF!</v>
      </c>
      <c r="FM136" t="e">
        <f>AND(#REF!,"AAAAAH6936g=")</f>
        <v>#REF!</v>
      </c>
      <c r="FN136" t="e">
        <f>AND(#REF!,"AAAAAH6936k=")</f>
        <v>#REF!</v>
      </c>
      <c r="FO136" t="e">
        <f>AND(#REF!,"AAAAAH6936o=")</f>
        <v>#REF!</v>
      </c>
      <c r="FP136" t="e">
        <f>AND(#REF!,"AAAAAH6936s=")</f>
        <v>#REF!</v>
      </c>
      <c r="FQ136" t="e">
        <f>AND(#REF!,"AAAAAH6936w=")</f>
        <v>#REF!</v>
      </c>
      <c r="FR136" t="e">
        <f>AND(#REF!,"AAAAAH69360=")</f>
        <v>#REF!</v>
      </c>
      <c r="FS136" t="e">
        <f>AND(#REF!,"AAAAAH69364=")</f>
        <v>#REF!</v>
      </c>
      <c r="FT136" t="e">
        <f>AND(#REF!,"AAAAAH69368=")</f>
        <v>#REF!</v>
      </c>
      <c r="FU136" t="e">
        <f>AND(#REF!,"AAAAAH6937A=")</f>
        <v>#REF!</v>
      </c>
      <c r="FV136" t="e">
        <f>AND(#REF!,"AAAAAH6937E=")</f>
        <v>#REF!</v>
      </c>
      <c r="FW136" t="e">
        <f>AND(#REF!,"AAAAAH6937I=")</f>
        <v>#REF!</v>
      </c>
      <c r="FX136" t="e">
        <f>AND(#REF!,"AAAAAH6937M=")</f>
        <v>#REF!</v>
      </c>
      <c r="FY136" t="e">
        <f>AND(#REF!,"AAAAAH6937Q=")</f>
        <v>#REF!</v>
      </c>
      <c r="FZ136" t="e">
        <f>IF(#REF!,"AAAAAH6937U=",0)</f>
        <v>#REF!</v>
      </c>
      <c r="GA136" t="e">
        <f>AND(#REF!,"AAAAAH6937Y=")</f>
        <v>#REF!</v>
      </c>
      <c r="GB136" t="e">
        <f>AND(#REF!,"AAAAAH6937c=")</f>
        <v>#REF!</v>
      </c>
      <c r="GC136" t="e">
        <f>AND(#REF!,"AAAAAH6937g=")</f>
        <v>#REF!</v>
      </c>
      <c r="GD136" t="e">
        <f>AND(#REF!,"AAAAAH6937k=")</f>
        <v>#REF!</v>
      </c>
      <c r="GE136" t="e">
        <f>AND(#REF!,"AAAAAH6937o=")</f>
        <v>#REF!</v>
      </c>
      <c r="GF136" t="e">
        <f>AND(#REF!,"AAAAAH6937s=")</f>
        <v>#REF!</v>
      </c>
      <c r="GG136" t="e">
        <f>AND(#REF!,"AAAAAH6937w=")</f>
        <v>#REF!</v>
      </c>
      <c r="GH136" t="e">
        <f>AND(#REF!,"AAAAAH69370=")</f>
        <v>#REF!</v>
      </c>
      <c r="GI136" t="e">
        <f>AND(#REF!,"AAAAAH69374=")</f>
        <v>#REF!</v>
      </c>
      <c r="GJ136" t="e">
        <f>AND(#REF!,"AAAAAH69378=")</f>
        <v>#REF!</v>
      </c>
      <c r="GK136" t="e">
        <f>AND(#REF!,"AAAAAH6938A=")</f>
        <v>#REF!</v>
      </c>
      <c r="GL136" t="e">
        <f>AND(#REF!,"AAAAAH6938E=")</f>
        <v>#REF!</v>
      </c>
      <c r="GM136" t="e">
        <f>AND(#REF!,"AAAAAH6938I=")</f>
        <v>#REF!</v>
      </c>
      <c r="GN136" t="e">
        <f>AND(#REF!,"AAAAAH6938M=")</f>
        <v>#REF!</v>
      </c>
      <c r="GO136" t="e">
        <f>AND(#REF!,"AAAAAH6938Q=")</f>
        <v>#REF!</v>
      </c>
      <c r="GP136" t="e">
        <f>AND(#REF!,"AAAAAH6938U=")</f>
        <v>#REF!</v>
      </c>
      <c r="GQ136" t="e">
        <f>AND(#REF!,"AAAAAH6938Y=")</f>
        <v>#REF!</v>
      </c>
      <c r="GR136" t="e">
        <f>AND(#REF!,"AAAAAH6938c=")</f>
        <v>#REF!</v>
      </c>
      <c r="GS136" t="e">
        <f>AND(#REF!,"AAAAAH6938g=")</f>
        <v>#REF!</v>
      </c>
      <c r="GT136" t="e">
        <f>AND(#REF!,"AAAAAH6938k=")</f>
        <v>#REF!</v>
      </c>
      <c r="GU136" t="e">
        <f>AND(#REF!,"AAAAAH6938o=")</f>
        <v>#REF!</v>
      </c>
      <c r="GV136" t="e">
        <f>AND(#REF!,"AAAAAH6938s=")</f>
        <v>#REF!</v>
      </c>
      <c r="GW136" t="e">
        <f>AND(#REF!,"AAAAAH6938w=")</f>
        <v>#REF!</v>
      </c>
      <c r="GX136" t="e">
        <f>AND(#REF!,"AAAAAH69380=")</f>
        <v>#REF!</v>
      </c>
      <c r="GY136" t="e">
        <f>AND(#REF!,"AAAAAH69384=")</f>
        <v>#REF!</v>
      </c>
      <c r="GZ136" t="e">
        <f>AND(#REF!,"AAAAAH69388=")</f>
        <v>#REF!</v>
      </c>
      <c r="HA136" t="e">
        <f>AND(#REF!,"AAAAAH6939A=")</f>
        <v>#REF!</v>
      </c>
      <c r="HB136" t="e">
        <f>AND(#REF!,"AAAAAH6939E=")</f>
        <v>#REF!</v>
      </c>
      <c r="HC136" t="e">
        <f>AND(#REF!,"AAAAAH6939I=")</f>
        <v>#REF!</v>
      </c>
      <c r="HD136" t="e">
        <f>AND(#REF!,"AAAAAH6939M=")</f>
        <v>#REF!</v>
      </c>
      <c r="HE136" t="e">
        <f>AND(#REF!,"AAAAAH6939Q=")</f>
        <v>#REF!</v>
      </c>
      <c r="HF136" t="e">
        <f>AND(#REF!,"AAAAAH6939U=")</f>
        <v>#REF!</v>
      </c>
      <c r="HG136" t="e">
        <f>AND(#REF!,"AAAAAH6939Y=")</f>
        <v>#REF!</v>
      </c>
      <c r="HH136" t="e">
        <f>AND(#REF!,"AAAAAH6939c=")</f>
        <v>#REF!</v>
      </c>
      <c r="HI136" t="e">
        <f>AND(#REF!,"AAAAAH6939g=")</f>
        <v>#REF!</v>
      </c>
      <c r="HJ136" t="e">
        <f>AND(#REF!,"AAAAAH6939k=")</f>
        <v>#REF!</v>
      </c>
      <c r="HK136" t="e">
        <f>AND(#REF!,"AAAAAH6939o=")</f>
        <v>#REF!</v>
      </c>
      <c r="HL136" t="e">
        <f>AND(#REF!,"AAAAAH6939s=")</f>
        <v>#REF!</v>
      </c>
      <c r="HM136" t="e">
        <f>AND(#REF!,"AAAAAH6939w=")</f>
        <v>#REF!</v>
      </c>
      <c r="HN136" t="e">
        <f>AND(#REF!,"AAAAAH69390=")</f>
        <v>#REF!</v>
      </c>
      <c r="HO136" t="e">
        <f>AND(#REF!,"AAAAAH69394=")</f>
        <v>#REF!</v>
      </c>
      <c r="HP136" t="e">
        <f>AND(#REF!,"AAAAAH69398=")</f>
        <v>#REF!</v>
      </c>
      <c r="HQ136" t="e">
        <f>AND(#REF!,"AAAAAH693+A=")</f>
        <v>#REF!</v>
      </c>
      <c r="HR136" t="e">
        <f>AND(#REF!,"AAAAAH693+E=")</f>
        <v>#REF!</v>
      </c>
      <c r="HS136" t="e">
        <f>AND(#REF!,"AAAAAH693+I=")</f>
        <v>#REF!</v>
      </c>
      <c r="HT136" t="e">
        <f>AND(#REF!,"AAAAAH693+M=")</f>
        <v>#REF!</v>
      </c>
      <c r="HU136" t="e">
        <f>AND(#REF!,"AAAAAH693+Q=")</f>
        <v>#REF!</v>
      </c>
      <c r="HV136" t="e">
        <f>AND(#REF!,"AAAAAH693+U=")</f>
        <v>#REF!</v>
      </c>
      <c r="HW136" t="e">
        <f>AND(#REF!,"AAAAAH693+Y=")</f>
        <v>#REF!</v>
      </c>
      <c r="HX136" t="e">
        <f>AND(#REF!,"AAAAAH693+c=")</f>
        <v>#REF!</v>
      </c>
      <c r="HY136" t="e">
        <f>AND(#REF!,"AAAAAH693+g=")</f>
        <v>#REF!</v>
      </c>
      <c r="HZ136" t="e">
        <f>AND(#REF!,"AAAAAH693+k=")</f>
        <v>#REF!</v>
      </c>
      <c r="IA136" t="e">
        <f>AND(#REF!,"AAAAAH693+o=")</f>
        <v>#REF!</v>
      </c>
      <c r="IB136" t="e">
        <f>AND(#REF!,"AAAAAH693+s=")</f>
        <v>#REF!</v>
      </c>
      <c r="IC136" t="e">
        <f>AND(#REF!,"AAAAAH693+w=")</f>
        <v>#REF!</v>
      </c>
      <c r="ID136" t="e">
        <f>AND(#REF!,"AAAAAH693+0=")</f>
        <v>#REF!</v>
      </c>
      <c r="IE136" t="e">
        <f>AND(#REF!,"AAAAAH693+4=")</f>
        <v>#REF!</v>
      </c>
      <c r="IF136" t="e">
        <f>AND(#REF!,"AAAAAH693+8=")</f>
        <v>#REF!</v>
      </c>
      <c r="IG136" t="e">
        <f>AND(#REF!,"AAAAAH693/A=")</f>
        <v>#REF!</v>
      </c>
      <c r="IH136" t="e">
        <f>AND(#REF!,"AAAAAH693/E=")</f>
        <v>#REF!</v>
      </c>
      <c r="II136" t="e">
        <f>AND(#REF!,"AAAAAH693/I=")</f>
        <v>#REF!</v>
      </c>
      <c r="IJ136" t="e">
        <f>AND(#REF!,"AAAAAH693/M=")</f>
        <v>#REF!</v>
      </c>
      <c r="IK136" t="e">
        <f>AND(#REF!,"AAAAAH693/Q=")</f>
        <v>#REF!</v>
      </c>
      <c r="IL136" t="e">
        <f>AND(#REF!,"AAAAAH693/U=")</f>
        <v>#REF!</v>
      </c>
      <c r="IM136" t="e">
        <f>AND(#REF!,"AAAAAH693/Y=")</f>
        <v>#REF!</v>
      </c>
      <c r="IN136" t="e">
        <f>AND(#REF!,"AAAAAH693/c=")</f>
        <v>#REF!</v>
      </c>
      <c r="IO136" t="e">
        <f>AND(#REF!,"AAAAAH693/g=")</f>
        <v>#REF!</v>
      </c>
      <c r="IP136" t="e">
        <f>AND(#REF!,"AAAAAH693/k=")</f>
        <v>#REF!</v>
      </c>
      <c r="IQ136" t="e">
        <f>AND(#REF!,"AAAAAH693/o=")</f>
        <v>#REF!</v>
      </c>
      <c r="IR136" t="e">
        <f>AND(#REF!,"AAAAAH693/s=")</f>
        <v>#REF!</v>
      </c>
      <c r="IS136" t="e">
        <f>AND(#REF!,"AAAAAH693/w=")</f>
        <v>#REF!</v>
      </c>
      <c r="IT136" t="e">
        <f>AND(#REF!,"AAAAAH693/0=")</f>
        <v>#REF!</v>
      </c>
      <c r="IU136" t="e">
        <f>AND(#REF!,"AAAAAH693/4=")</f>
        <v>#REF!</v>
      </c>
      <c r="IV136" t="e">
        <f>AND(#REF!,"AAAAAH693/8=")</f>
        <v>#REF!</v>
      </c>
    </row>
    <row r="137" spans="1:256" x14ac:dyDescent="0.25">
      <c r="A137" t="e">
        <f>AND(#REF!,"AAAAAHae/wA=")</f>
        <v>#REF!</v>
      </c>
      <c r="B137" t="e">
        <f>AND(#REF!,"AAAAAHae/wE=")</f>
        <v>#REF!</v>
      </c>
      <c r="C137" t="e">
        <f>AND(#REF!,"AAAAAHae/wI=")</f>
        <v>#REF!</v>
      </c>
      <c r="D137" t="e">
        <f>AND(#REF!,"AAAAAHae/wM=")</f>
        <v>#REF!</v>
      </c>
      <c r="E137" t="e">
        <f>AND(#REF!,"AAAAAHae/wQ=")</f>
        <v>#REF!</v>
      </c>
      <c r="F137" t="e">
        <f>AND(#REF!,"AAAAAHae/wU=")</f>
        <v>#REF!</v>
      </c>
      <c r="G137" t="e">
        <f>AND(#REF!,"AAAAAHae/wY=")</f>
        <v>#REF!</v>
      </c>
      <c r="H137" t="e">
        <f>AND(#REF!,"AAAAAHae/wc=")</f>
        <v>#REF!</v>
      </c>
      <c r="I137" t="e">
        <f>AND(#REF!,"AAAAAHae/wg=")</f>
        <v>#REF!</v>
      </c>
      <c r="J137" t="e">
        <f>AND(#REF!,"AAAAAHae/wk=")</f>
        <v>#REF!</v>
      </c>
      <c r="K137" t="e">
        <f>AND(#REF!,"AAAAAHae/wo=")</f>
        <v>#REF!</v>
      </c>
      <c r="L137" t="e">
        <f>AND(#REF!,"AAAAAHae/ws=")</f>
        <v>#REF!</v>
      </c>
      <c r="M137" t="e">
        <f>AND(#REF!,"AAAAAHae/ww=")</f>
        <v>#REF!</v>
      </c>
      <c r="N137" t="e">
        <f>AND(#REF!,"AAAAAHae/w0=")</f>
        <v>#REF!</v>
      </c>
      <c r="O137" t="e">
        <f>AND(#REF!,"AAAAAHae/w4=")</f>
        <v>#REF!</v>
      </c>
      <c r="P137" t="e">
        <f>AND(#REF!,"AAAAAHae/w8=")</f>
        <v>#REF!</v>
      </c>
      <c r="Q137" t="e">
        <f>AND(#REF!,"AAAAAHae/xA=")</f>
        <v>#REF!</v>
      </c>
      <c r="R137" t="e">
        <f>AND(#REF!,"AAAAAHae/xE=")</f>
        <v>#REF!</v>
      </c>
      <c r="S137" t="e">
        <f>AND(#REF!,"AAAAAHae/xI=")</f>
        <v>#REF!</v>
      </c>
      <c r="T137" t="e">
        <f>AND(#REF!,"AAAAAHae/xM=")</f>
        <v>#REF!</v>
      </c>
      <c r="U137" t="e">
        <f>AND(#REF!,"AAAAAHae/xQ=")</f>
        <v>#REF!</v>
      </c>
      <c r="V137" t="e">
        <f>AND(#REF!,"AAAAAHae/xU=")</f>
        <v>#REF!</v>
      </c>
      <c r="W137" t="e">
        <f>AND(#REF!,"AAAAAHae/xY=")</f>
        <v>#REF!</v>
      </c>
      <c r="X137" t="e">
        <f>AND(#REF!,"AAAAAHae/xc=")</f>
        <v>#REF!</v>
      </c>
      <c r="Y137" t="e">
        <f>AND(#REF!,"AAAAAHae/xg=")</f>
        <v>#REF!</v>
      </c>
      <c r="Z137" t="e">
        <f>AND(#REF!,"AAAAAHae/xk=")</f>
        <v>#REF!</v>
      </c>
      <c r="AA137" t="e">
        <f>AND(#REF!,"AAAAAHae/xo=")</f>
        <v>#REF!</v>
      </c>
      <c r="AB137" t="e">
        <f>AND(#REF!,"AAAAAHae/xs=")</f>
        <v>#REF!</v>
      </c>
      <c r="AC137" t="e">
        <f>AND(#REF!,"AAAAAHae/xw=")</f>
        <v>#REF!</v>
      </c>
      <c r="AD137" t="e">
        <f>AND(#REF!,"AAAAAHae/x0=")</f>
        <v>#REF!</v>
      </c>
      <c r="AE137" t="e">
        <f>AND(#REF!,"AAAAAHae/x4=")</f>
        <v>#REF!</v>
      </c>
      <c r="AF137" t="e">
        <f>AND(#REF!,"AAAAAHae/x8=")</f>
        <v>#REF!</v>
      </c>
      <c r="AG137" t="e">
        <f>AND(#REF!,"AAAAAHae/yA=")</f>
        <v>#REF!</v>
      </c>
      <c r="AH137" t="e">
        <f>AND(#REF!,"AAAAAHae/yE=")</f>
        <v>#REF!</v>
      </c>
      <c r="AI137" t="e">
        <f>AND(#REF!,"AAAAAHae/yI=")</f>
        <v>#REF!</v>
      </c>
      <c r="AJ137" t="e">
        <f>AND(#REF!,"AAAAAHae/yM=")</f>
        <v>#REF!</v>
      </c>
      <c r="AK137" t="e">
        <f>AND(#REF!,"AAAAAHae/yQ=")</f>
        <v>#REF!</v>
      </c>
      <c r="AL137" t="e">
        <f>AND(#REF!,"AAAAAHae/yU=")</f>
        <v>#REF!</v>
      </c>
      <c r="AM137" t="e">
        <f>AND(#REF!,"AAAAAHae/yY=")</f>
        <v>#REF!</v>
      </c>
      <c r="AN137" t="e">
        <f>AND(#REF!,"AAAAAHae/yc=")</f>
        <v>#REF!</v>
      </c>
      <c r="AO137" t="e">
        <f>AND(#REF!,"AAAAAHae/yg=")</f>
        <v>#REF!</v>
      </c>
      <c r="AP137" t="e">
        <f>AND(#REF!,"AAAAAHae/yk=")</f>
        <v>#REF!</v>
      </c>
      <c r="AQ137" t="e">
        <f>AND(#REF!,"AAAAAHae/yo=")</f>
        <v>#REF!</v>
      </c>
      <c r="AR137" t="e">
        <f>AND(#REF!,"AAAAAHae/ys=")</f>
        <v>#REF!</v>
      </c>
      <c r="AS137" t="e">
        <f>AND(#REF!,"AAAAAHae/yw=")</f>
        <v>#REF!</v>
      </c>
      <c r="AT137" t="e">
        <f>AND(#REF!,"AAAAAHae/y0=")</f>
        <v>#REF!</v>
      </c>
      <c r="AU137" t="e">
        <f>AND(#REF!,"AAAAAHae/y4=")</f>
        <v>#REF!</v>
      </c>
      <c r="AV137" t="e">
        <f>AND(#REF!,"AAAAAHae/y8=")</f>
        <v>#REF!</v>
      </c>
      <c r="AW137" t="e">
        <f>AND(#REF!,"AAAAAHae/zA=")</f>
        <v>#REF!</v>
      </c>
      <c r="AX137" t="e">
        <f>AND(#REF!,"AAAAAHae/zE=")</f>
        <v>#REF!</v>
      </c>
      <c r="AY137" t="e">
        <f>AND(#REF!,"AAAAAHae/zI=")</f>
        <v>#REF!</v>
      </c>
      <c r="AZ137" t="e">
        <f>AND(#REF!,"AAAAAHae/zM=")</f>
        <v>#REF!</v>
      </c>
      <c r="BA137" t="e">
        <f>AND(#REF!,"AAAAAHae/zQ=")</f>
        <v>#REF!</v>
      </c>
      <c r="BB137" t="e">
        <f>AND(#REF!,"AAAAAHae/zU=")</f>
        <v>#REF!</v>
      </c>
      <c r="BC137" t="e">
        <f>AND(#REF!,"AAAAAHae/zY=")</f>
        <v>#REF!</v>
      </c>
      <c r="BD137" t="e">
        <f>AND(#REF!,"AAAAAHae/zc=")</f>
        <v>#REF!</v>
      </c>
      <c r="BE137" t="e">
        <f>AND(#REF!,"AAAAAHae/zg=")</f>
        <v>#REF!</v>
      </c>
      <c r="BF137" t="e">
        <f>AND(#REF!,"AAAAAHae/zk=")</f>
        <v>#REF!</v>
      </c>
      <c r="BG137" t="e">
        <f>AND(#REF!,"AAAAAHae/zo=")</f>
        <v>#REF!</v>
      </c>
      <c r="BH137" t="e">
        <f>AND(#REF!,"AAAAAHae/zs=")</f>
        <v>#REF!</v>
      </c>
      <c r="BI137" t="e">
        <f>AND(#REF!,"AAAAAHae/zw=")</f>
        <v>#REF!</v>
      </c>
      <c r="BJ137" t="e">
        <f>AND(#REF!,"AAAAAHae/z0=")</f>
        <v>#REF!</v>
      </c>
      <c r="BK137" t="e">
        <f>AND(#REF!,"AAAAAHae/z4=")</f>
        <v>#REF!</v>
      </c>
      <c r="BL137" t="e">
        <f>AND(#REF!,"AAAAAHae/z8=")</f>
        <v>#REF!</v>
      </c>
      <c r="BM137" t="e">
        <f>AND(#REF!,"AAAAAHae/0A=")</f>
        <v>#REF!</v>
      </c>
      <c r="BN137" t="e">
        <f>AND(#REF!,"AAAAAHae/0E=")</f>
        <v>#REF!</v>
      </c>
      <c r="BO137" t="e">
        <f>AND(#REF!,"AAAAAHae/0I=")</f>
        <v>#REF!</v>
      </c>
      <c r="BP137" t="e">
        <f>AND(#REF!,"AAAAAHae/0M=")</f>
        <v>#REF!</v>
      </c>
      <c r="BQ137" t="e">
        <f>AND(#REF!,"AAAAAHae/0Q=")</f>
        <v>#REF!</v>
      </c>
      <c r="BR137" t="e">
        <f>AND(#REF!,"AAAAAHae/0U=")</f>
        <v>#REF!</v>
      </c>
      <c r="BS137" t="e">
        <f>AND(#REF!,"AAAAAHae/0Y=")</f>
        <v>#REF!</v>
      </c>
      <c r="BT137" t="e">
        <f>AND(#REF!,"AAAAAHae/0c=")</f>
        <v>#REF!</v>
      </c>
      <c r="BU137" t="e">
        <f>AND(#REF!,"AAAAAHae/0g=")</f>
        <v>#REF!</v>
      </c>
      <c r="BV137" t="e">
        <f>AND(#REF!,"AAAAAHae/0k=")</f>
        <v>#REF!</v>
      </c>
      <c r="BW137" t="e">
        <f>AND(#REF!,"AAAAAHae/0o=")</f>
        <v>#REF!</v>
      </c>
      <c r="BX137" t="e">
        <f>AND(#REF!,"AAAAAHae/0s=")</f>
        <v>#REF!</v>
      </c>
      <c r="BY137" t="e">
        <f>AND(#REF!,"AAAAAHae/0w=")</f>
        <v>#REF!</v>
      </c>
      <c r="BZ137" t="e">
        <f>AND(#REF!,"AAAAAHae/00=")</f>
        <v>#REF!</v>
      </c>
      <c r="CA137" t="e">
        <f>AND(#REF!,"AAAAAHae/04=")</f>
        <v>#REF!</v>
      </c>
      <c r="CB137" t="e">
        <f>AND(#REF!,"AAAAAHae/08=")</f>
        <v>#REF!</v>
      </c>
      <c r="CC137" t="e">
        <f>AND(#REF!,"AAAAAHae/1A=")</f>
        <v>#REF!</v>
      </c>
      <c r="CD137" t="e">
        <f>AND(#REF!,"AAAAAHae/1E=")</f>
        <v>#REF!</v>
      </c>
      <c r="CE137" t="e">
        <f>AND(#REF!,"AAAAAHae/1I=")</f>
        <v>#REF!</v>
      </c>
      <c r="CF137" t="e">
        <f>AND(#REF!,"AAAAAHae/1M=")</f>
        <v>#REF!</v>
      </c>
      <c r="CG137" t="e">
        <f>AND(#REF!,"AAAAAHae/1Q=")</f>
        <v>#REF!</v>
      </c>
      <c r="CH137" t="e">
        <f>AND(#REF!,"AAAAAHae/1U=")</f>
        <v>#REF!</v>
      </c>
      <c r="CI137" t="e">
        <f>AND(#REF!,"AAAAAHae/1Y=")</f>
        <v>#REF!</v>
      </c>
      <c r="CJ137" t="e">
        <f>AND(#REF!,"AAAAAHae/1c=")</f>
        <v>#REF!</v>
      </c>
      <c r="CK137" t="e">
        <f>AND(#REF!,"AAAAAHae/1g=")</f>
        <v>#REF!</v>
      </c>
      <c r="CL137" t="e">
        <f>AND(#REF!,"AAAAAHae/1k=")</f>
        <v>#REF!</v>
      </c>
      <c r="CM137" t="e">
        <f>AND(#REF!,"AAAAAHae/1o=")</f>
        <v>#REF!</v>
      </c>
      <c r="CN137" t="e">
        <f>AND(#REF!,"AAAAAHae/1s=")</f>
        <v>#REF!</v>
      </c>
      <c r="CO137" t="e">
        <f>AND(#REF!,"AAAAAHae/1w=")</f>
        <v>#REF!</v>
      </c>
      <c r="CP137" t="e">
        <f>AND(#REF!,"AAAAAHae/10=")</f>
        <v>#REF!</v>
      </c>
      <c r="CQ137" t="e">
        <f>AND(#REF!,"AAAAAHae/14=")</f>
        <v>#REF!</v>
      </c>
      <c r="CR137" t="e">
        <f>AND(#REF!,"AAAAAHae/18=")</f>
        <v>#REF!</v>
      </c>
      <c r="CS137" t="e">
        <f>AND(#REF!,"AAAAAHae/2A=")</f>
        <v>#REF!</v>
      </c>
      <c r="CT137" t="e">
        <f>AND(#REF!,"AAAAAHae/2E=")</f>
        <v>#REF!</v>
      </c>
      <c r="CU137" t="e">
        <f>AND(#REF!,"AAAAAHae/2I=")</f>
        <v>#REF!</v>
      </c>
      <c r="CV137" t="e">
        <f>AND(#REF!,"AAAAAHae/2M=")</f>
        <v>#REF!</v>
      </c>
      <c r="CW137" t="e">
        <f>AND(#REF!,"AAAAAHae/2Q=")</f>
        <v>#REF!</v>
      </c>
      <c r="CX137" t="e">
        <f>AND(#REF!,"AAAAAHae/2U=")</f>
        <v>#REF!</v>
      </c>
      <c r="CY137" t="e">
        <f>AND(#REF!,"AAAAAHae/2Y=")</f>
        <v>#REF!</v>
      </c>
      <c r="CZ137" t="e">
        <f>AND(#REF!,"AAAAAHae/2c=")</f>
        <v>#REF!</v>
      </c>
      <c r="DA137" t="e">
        <f>AND(#REF!,"AAAAAHae/2g=")</f>
        <v>#REF!</v>
      </c>
      <c r="DB137" t="e">
        <f>AND(#REF!,"AAAAAHae/2k=")</f>
        <v>#REF!</v>
      </c>
      <c r="DC137" t="e">
        <f>AND(#REF!,"AAAAAHae/2o=")</f>
        <v>#REF!</v>
      </c>
      <c r="DD137" t="e">
        <f>AND(#REF!,"AAAAAHae/2s=")</f>
        <v>#REF!</v>
      </c>
      <c r="DE137" t="e">
        <f>AND(#REF!,"AAAAAHae/2w=")</f>
        <v>#REF!</v>
      </c>
      <c r="DF137" t="e">
        <f>AND(#REF!,"AAAAAHae/20=")</f>
        <v>#REF!</v>
      </c>
      <c r="DG137" t="e">
        <f>AND(#REF!,"AAAAAHae/24=")</f>
        <v>#REF!</v>
      </c>
      <c r="DH137" t="e">
        <f>AND(#REF!,"AAAAAHae/28=")</f>
        <v>#REF!</v>
      </c>
      <c r="DI137" t="e">
        <f>AND(#REF!,"AAAAAHae/3A=")</f>
        <v>#REF!</v>
      </c>
      <c r="DJ137" t="e">
        <f>AND(#REF!,"AAAAAHae/3E=")</f>
        <v>#REF!</v>
      </c>
      <c r="DK137" t="e">
        <f>IF(#REF!,"AAAAAHae/3I=",0)</f>
        <v>#REF!</v>
      </c>
      <c r="DL137" t="e">
        <f>AND(#REF!,"AAAAAHae/3M=")</f>
        <v>#REF!</v>
      </c>
      <c r="DM137" t="e">
        <f>AND(#REF!,"AAAAAHae/3Q=")</f>
        <v>#REF!</v>
      </c>
      <c r="DN137" t="e">
        <f>AND(#REF!,"AAAAAHae/3U=")</f>
        <v>#REF!</v>
      </c>
      <c r="DO137" t="e">
        <f>AND(#REF!,"AAAAAHae/3Y=")</f>
        <v>#REF!</v>
      </c>
      <c r="DP137" t="e">
        <f>AND(#REF!,"AAAAAHae/3c=")</f>
        <v>#REF!</v>
      </c>
      <c r="DQ137" t="e">
        <f>AND(#REF!,"AAAAAHae/3g=")</f>
        <v>#REF!</v>
      </c>
      <c r="DR137" t="e">
        <f>AND(#REF!,"AAAAAHae/3k=")</f>
        <v>#REF!</v>
      </c>
      <c r="DS137" t="e">
        <f>AND(#REF!,"AAAAAHae/3o=")</f>
        <v>#REF!</v>
      </c>
      <c r="DT137" t="e">
        <f>AND(#REF!,"AAAAAHae/3s=")</f>
        <v>#REF!</v>
      </c>
      <c r="DU137" t="e">
        <f>AND(#REF!,"AAAAAHae/3w=")</f>
        <v>#REF!</v>
      </c>
      <c r="DV137" t="e">
        <f>AND(#REF!,"AAAAAHae/30=")</f>
        <v>#REF!</v>
      </c>
      <c r="DW137" t="e">
        <f>AND(#REF!,"AAAAAHae/34=")</f>
        <v>#REF!</v>
      </c>
      <c r="DX137" t="e">
        <f>AND(#REF!,"AAAAAHae/38=")</f>
        <v>#REF!</v>
      </c>
      <c r="DY137" t="e">
        <f>AND(#REF!,"AAAAAHae/4A=")</f>
        <v>#REF!</v>
      </c>
      <c r="DZ137" t="e">
        <f>AND(#REF!,"AAAAAHae/4E=")</f>
        <v>#REF!</v>
      </c>
      <c r="EA137" t="e">
        <f>AND(#REF!,"AAAAAHae/4I=")</f>
        <v>#REF!</v>
      </c>
      <c r="EB137" t="e">
        <f>AND(#REF!,"AAAAAHae/4M=")</f>
        <v>#REF!</v>
      </c>
      <c r="EC137" t="e">
        <f>AND(#REF!,"AAAAAHae/4Q=")</f>
        <v>#REF!</v>
      </c>
      <c r="ED137" t="e">
        <f>AND(#REF!,"AAAAAHae/4U=")</f>
        <v>#REF!</v>
      </c>
      <c r="EE137" t="e">
        <f>AND(#REF!,"AAAAAHae/4Y=")</f>
        <v>#REF!</v>
      </c>
      <c r="EF137" t="e">
        <f>AND(#REF!,"AAAAAHae/4c=")</f>
        <v>#REF!</v>
      </c>
      <c r="EG137" t="e">
        <f>AND(#REF!,"AAAAAHae/4g=")</f>
        <v>#REF!</v>
      </c>
      <c r="EH137" t="e">
        <f>AND(#REF!,"AAAAAHae/4k=")</f>
        <v>#REF!</v>
      </c>
      <c r="EI137" t="e">
        <f>AND(#REF!,"AAAAAHae/4o=")</f>
        <v>#REF!</v>
      </c>
      <c r="EJ137" t="e">
        <f>AND(#REF!,"AAAAAHae/4s=")</f>
        <v>#REF!</v>
      </c>
      <c r="EK137" t="e">
        <f>AND(#REF!,"AAAAAHae/4w=")</f>
        <v>#REF!</v>
      </c>
      <c r="EL137" t="e">
        <f>AND(#REF!,"AAAAAHae/40=")</f>
        <v>#REF!</v>
      </c>
      <c r="EM137" t="e">
        <f>AND(#REF!,"AAAAAHae/44=")</f>
        <v>#REF!</v>
      </c>
      <c r="EN137" t="e">
        <f>AND(#REF!,"AAAAAHae/48=")</f>
        <v>#REF!</v>
      </c>
      <c r="EO137" t="e">
        <f>AND(#REF!,"AAAAAHae/5A=")</f>
        <v>#REF!</v>
      </c>
      <c r="EP137" t="e">
        <f>AND(#REF!,"AAAAAHae/5E=")</f>
        <v>#REF!</v>
      </c>
      <c r="EQ137" t="e">
        <f>AND(#REF!,"AAAAAHae/5I=")</f>
        <v>#REF!</v>
      </c>
      <c r="ER137" t="e">
        <f>AND(#REF!,"AAAAAHae/5M=")</f>
        <v>#REF!</v>
      </c>
      <c r="ES137" t="e">
        <f>AND(#REF!,"AAAAAHae/5Q=")</f>
        <v>#REF!</v>
      </c>
      <c r="ET137" t="e">
        <f>AND(#REF!,"AAAAAHae/5U=")</f>
        <v>#REF!</v>
      </c>
      <c r="EU137" t="e">
        <f>AND(#REF!,"AAAAAHae/5Y=")</f>
        <v>#REF!</v>
      </c>
      <c r="EV137" t="e">
        <f>AND(#REF!,"AAAAAHae/5c=")</f>
        <v>#REF!</v>
      </c>
      <c r="EW137" t="e">
        <f>AND(#REF!,"AAAAAHae/5g=")</f>
        <v>#REF!</v>
      </c>
      <c r="EX137" t="e">
        <f>AND(#REF!,"AAAAAHae/5k=")</f>
        <v>#REF!</v>
      </c>
      <c r="EY137" t="e">
        <f>AND(#REF!,"AAAAAHae/5o=")</f>
        <v>#REF!</v>
      </c>
      <c r="EZ137" t="e">
        <f>AND(#REF!,"AAAAAHae/5s=")</f>
        <v>#REF!</v>
      </c>
      <c r="FA137" t="e">
        <f>AND(#REF!,"AAAAAHae/5w=")</f>
        <v>#REF!</v>
      </c>
      <c r="FB137" t="e">
        <f>AND(#REF!,"AAAAAHae/50=")</f>
        <v>#REF!</v>
      </c>
      <c r="FC137" t="e">
        <f>AND(#REF!,"AAAAAHae/54=")</f>
        <v>#REF!</v>
      </c>
      <c r="FD137" t="e">
        <f>AND(#REF!,"AAAAAHae/58=")</f>
        <v>#REF!</v>
      </c>
      <c r="FE137" t="e">
        <f>AND(#REF!,"AAAAAHae/6A=")</f>
        <v>#REF!</v>
      </c>
      <c r="FF137" t="e">
        <f>AND(#REF!,"AAAAAHae/6E=")</f>
        <v>#REF!</v>
      </c>
      <c r="FG137" t="e">
        <f>AND(#REF!,"AAAAAHae/6I=")</f>
        <v>#REF!</v>
      </c>
      <c r="FH137" t="e">
        <f>AND(#REF!,"AAAAAHae/6M=")</f>
        <v>#REF!</v>
      </c>
      <c r="FI137" t="e">
        <f>AND(#REF!,"AAAAAHae/6Q=")</f>
        <v>#REF!</v>
      </c>
      <c r="FJ137" t="e">
        <f>AND(#REF!,"AAAAAHae/6U=")</f>
        <v>#REF!</v>
      </c>
      <c r="FK137" t="e">
        <f>AND(#REF!,"AAAAAHae/6Y=")</f>
        <v>#REF!</v>
      </c>
      <c r="FL137" t="e">
        <f>AND(#REF!,"AAAAAHae/6c=")</f>
        <v>#REF!</v>
      </c>
      <c r="FM137" t="e">
        <f>AND(#REF!,"AAAAAHae/6g=")</f>
        <v>#REF!</v>
      </c>
      <c r="FN137" t="e">
        <f>AND(#REF!,"AAAAAHae/6k=")</f>
        <v>#REF!</v>
      </c>
      <c r="FO137" t="e">
        <f>AND(#REF!,"AAAAAHae/6o=")</f>
        <v>#REF!</v>
      </c>
      <c r="FP137" t="e">
        <f>AND(#REF!,"AAAAAHae/6s=")</f>
        <v>#REF!</v>
      </c>
      <c r="FQ137" t="e">
        <f>AND(#REF!,"AAAAAHae/6w=")</f>
        <v>#REF!</v>
      </c>
      <c r="FR137" t="e">
        <f>AND(#REF!,"AAAAAHae/60=")</f>
        <v>#REF!</v>
      </c>
      <c r="FS137" t="e">
        <f>AND(#REF!,"AAAAAHae/64=")</f>
        <v>#REF!</v>
      </c>
      <c r="FT137" t="e">
        <f>AND(#REF!,"AAAAAHae/68=")</f>
        <v>#REF!</v>
      </c>
      <c r="FU137" t="e">
        <f>AND(#REF!,"AAAAAHae/7A=")</f>
        <v>#REF!</v>
      </c>
      <c r="FV137" t="e">
        <f>AND(#REF!,"AAAAAHae/7E=")</f>
        <v>#REF!</v>
      </c>
      <c r="FW137" t="e">
        <f>AND(#REF!,"AAAAAHae/7I=")</f>
        <v>#REF!</v>
      </c>
      <c r="FX137" t="e">
        <f>AND(#REF!,"AAAAAHae/7M=")</f>
        <v>#REF!</v>
      </c>
      <c r="FY137" t="e">
        <f>AND(#REF!,"AAAAAHae/7Q=")</f>
        <v>#REF!</v>
      </c>
      <c r="FZ137" t="e">
        <f>AND(#REF!,"AAAAAHae/7U=")</f>
        <v>#REF!</v>
      </c>
      <c r="GA137" t="e">
        <f>AND(#REF!,"AAAAAHae/7Y=")</f>
        <v>#REF!</v>
      </c>
      <c r="GB137" t="e">
        <f>AND(#REF!,"AAAAAHae/7c=")</f>
        <v>#REF!</v>
      </c>
      <c r="GC137" t="e">
        <f>AND(#REF!,"AAAAAHae/7g=")</f>
        <v>#REF!</v>
      </c>
      <c r="GD137" t="e">
        <f>AND(#REF!,"AAAAAHae/7k=")</f>
        <v>#REF!</v>
      </c>
      <c r="GE137" t="e">
        <f>AND(#REF!,"AAAAAHae/7o=")</f>
        <v>#REF!</v>
      </c>
      <c r="GF137" t="e">
        <f>AND(#REF!,"AAAAAHae/7s=")</f>
        <v>#REF!</v>
      </c>
      <c r="GG137" t="e">
        <f>AND(#REF!,"AAAAAHae/7w=")</f>
        <v>#REF!</v>
      </c>
      <c r="GH137" t="e">
        <f>AND(#REF!,"AAAAAHae/70=")</f>
        <v>#REF!</v>
      </c>
      <c r="GI137" t="e">
        <f>AND(#REF!,"AAAAAHae/74=")</f>
        <v>#REF!</v>
      </c>
      <c r="GJ137" t="e">
        <f>AND(#REF!,"AAAAAHae/78=")</f>
        <v>#REF!</v>
      </c>
      <c r="GK137" t="e">
        <f>AND(#REF!,"AAAAAHae/8A=")</f>
        <v>#REF!</v>
      </c>
      <c r="GL137" t="e">
        <f>AND(#REF!,"AAAAAHae/8E=")</f>
        <v>#REF!</v>
      </c>
      <c r="GM137" t="e">
        <f>AND(#REF!,"AAAAAHae/8I=")</f>
        <v>#REF!</v>
      </c>
      <c r="GN137" t="e">
        <f>AND(#REF!,"AAAAAHae/8M=")</f>
        <v>#REF!</v>
      </c>
      <c r="GO137" t="e">
        <f>AND(#REF!,"AAAAAHae/8Q=")</f>
        <v>#REF!</v>
      </c>
      <c r="GP137" t="e">
        <f>AND(#REF!,"AAAAAHae/8U=")</f>
        <v>#REF!</v>
      </c>
      <c r="GQ137" t="e">
        <f>AND(#REF!,"AAAAAHae/8Y=")</f>
        <v>#REF!</v>
      </c>
      <c r="GR137" t="e">
        <f>AND(#REF!,"AAAAAHae/8c=")</f>
        <v>#REF!</v>
      </c>
      <c r="GS137" t="e">
        <f>AND(#REF!,"AAAAAHae/8g=")</f>
        <v>#REF!</v>
      </c>
      <c r="GT137" t="e">
        <f>AND(#REF!,"AAAAAHae/8k=")</f>
        <v>#REF!</v>
      </c>
      <c r="GU137" t="e">
        <f>AND(#REF!,"AAAAAHae/8o=")</f>
        <v>#REF!</v>
      </c>
      <c r="GV137" t="e">
        <f>AND(#REF!,"AAAAAHae/8s=")</f>
        <v>#REF!</v>
      </c>
      <c r="GW137" t="e">
        <f>AND(#REF!,"AAAAAHae/8w=")</f>
        <v>#REF!</v>
      </c>
      <c r="GX137" t="e">
        <f>AND(#REF!,"AAAAAHae/80=")</f>
        <v>#REF!</v>
      </c>
      <c r="GY137" t="e">
        <f>AND(#REF!,"AAAAAHae/84=")</f>
        <v>#REF!</v>
      </c>
      <c r="GZ137" t="e">
        <f>AND(#REF!,"AAAAAHae/88=")</f>
        <v>#REF!</v>
      </c>
      <c r="HA137" t="e">
        <f>AND(#REF!,"AAAAAHae/9A=")</f>
        <v>#REF!</v>
      </c>
      <c r="HB137" t="e">
        <f>AND(#REF!,"AAAAAHae/9E=")</f>
        <v>#REF!</v>
      </c>
      <c r="HC137" t="e">
        <f>AND(#REF!,"AAAAAHae/9I=")</f>
        <v>#REF!</v>
      </c>
      <c r="HD137" t="e">
        <f>AND(#REF!,"AAAAAHae/9M=")</f>
        <v>#REF!</v>
      </c>
      <c r="HE137" t="e">
        <f>AND(#REF!,"AAAAAHae/9Q=")</f>
        <v>#REF!</v>
      </c>
      <c r="HF137" t="e">
        <f>AND(#REF!,"AAAAAHae/9U=")</f>
        <v>#REF!</v>
      </c>
      <c r="HG137" t="e">
        <f>AND(#REF!,"AAAAAHae/9Y=")</f>
        <v>#REF!</v>
      </c>
      <c r="HH137" t="e">
        <f>AND(#REF!,"AAAAAHae/9c=")</f>
        <v>#REF!</v>
      </c>
      <c r="HI137" t="e">
        <f>AND(#REF!,"AAAAAHae/9g=")</f>
        <v>#REF!</v>
      </c>
      <c r="HJ137" t="e">
        <f>AND(#REF!,"AAAAAHae/9k=")</f>
        <v>#REF!</v>
      </c>
      <c r="HK137" t="e">
        <f>AND(#REF!,"AAAAAHae/9o=")</f>
        <v>#REF!</v>
      </c>
      <c r="HL137" t="e">
        <f>AND(#REF!,"AAAAAHae/9s=")</f>
        <v>#REF!</v>
      </c>
      <c r="HM137" t="e">
        <f>AND(#REF!,"AAAAAHae/9w=")</f>
        <v>#REF!</v>
      </c>
      <c r="HN137" t="e">
        <f>AND(#REF!,"AAAAAHae/90=")</f>
        <v>#REF!</v>
      </c>
      <c r="HO137" t="e">
        <f>AND(#REF!,"AAAAAHae/94=")</f>
        <v>#REF!</v>
      </c>
      <c r="HP137" t="e">
        <f>AND(#REF!,"AAAAAHae/98=")</f>
        <v>#REF!</v>
      </c>
      <c r="HQ137" t="e">
        <f>AND(#REF!,"AAAAAHae/+A=")</f>
        <v>#REF!</v>
      </c>
      <c r="HR137" t="e">
        <f>AND(#REF!,"AAAAAHae/+E=")</f>
        <v>#REF!</v>
      </c>
      <c r="HS137" t="e">
        <f>AND(#REF!,"AAAAAHae/+I=")</f>
        <v>#REF!</v>
      </c>
      <c r="HT137" t="e">
        <f>AND(#REF!,"AAAAAHae/+M=")</f>
        <v>#REF!</v>
      </c>
      <c r="HU137" t="e">
        <f>AND(#REF!,"AAAAAHae/+Q=")</f>
        <v>#REF!</v>
      </c>
      <c r="HV137" t="e">
        <f>AND(#REF!,"AAAAAHae/+U=")</f>
        <v>#REF!</v>
      </c>
      <c r="HW137" t="e">
        <f>AND(#REF!,"AAAAAHae/+Y=")</f>
        <v>#REF!</v>
      </c>
      <c r="HX137" t="e">
        <f>AND(#REF!,"AAAAAHae/+c=")</f>
        <v>#REF!</v>
      </c>
      <c r="HY137" t="e">
        <f>AND(#REF!,"AAAAAHae/+g=")</f>
        <v>#REF!</v>
      </c>
      <c r="HZ137" t="e">
        <f>AND(#REF!,"AAAAAHae/+k=")</f>
        <v>#REF!</v>
      </c>
      <c r="IA137" t="e">
        <f>AND(#REF!,"AAAAAHae/+o=")</f>
        <v>#REF!</v>
      </c>
      <c r="IB137" t="e">
        <f>AND(#REF!,"AAAAAHae/+s=")</f>
        <v>#REF!</v>
      </c>
      <c r="IC137" t="e">
        <f>AND(#REF!,"AAAAAHae/+w=")</f>
        <v>#REF!</v>
      </c>
      <c r="ID137" t="e">
        <f>AND(#REF!,"AAAAAHae/+0=")</f>
        <v>#REF!</v>
      </c>
      <c r="IE137" t="e">
        <f>AND(#REF!,"AAAAAHae/+4=")</f>
        <v>#REF!</v>
      </c>
      <c r="IF137" t="e">
        <f>AND(#REF!,"AAAAAHae/+8=")</f>
        <v>#REF!</v>
      </c>
      <c r="IG137" t="e">
        <f>AND(#REF!,"AAAAAHae//A=")</f>
        <v>#REF!</v>
      </c>
      <c r="IH137" t="e">
        <f>AND(#REF!,"AAAAAHae//E=")</f>
        <v>#REF!</v>
      </c>
      <c r="II137" t="e">
        <f>AND(#REF!,"AAAAAHae//I=")</f>
        <v>#REF!</v>
      </c>
      <c r="IJ137" t="e">
        <f>AND(#REF!,"AAAAAHae//M=")</f>
        <v>#REF!</v>
      </c>
      <c r="IK137" t="e">
        <f>AND(#REF!,"AAAAAHae//Q=")</f>
        <v>#REF!</v>
      </c>
      <c r="IL137" t="e">
        <f>AND(#REF!,"AAAAAHae//U=")</f>
        <v>#REF!</v>
      </c>
      <c r="IM137" t="e">
        <f>AND(#REF!,"AAAAAHae//Y=")</f>
        <v>#REF!</v>
      </c>
      <c r="IN137" t="e">
        <f>AND(#REF!,"AAAAAHae//c=")</f>
        <v>#REF!</v>
      </c>
      <c r="IO137" t="e">
        <f>AND(#REF!,"AAAAAHae//g=")</f>
        <v>#REF!</v>
      </c>
      <c r="IP137" t="e">
        <f>AND(#REF!,"AAAAAHae//k=")</f>
        <v>#REF!</v>
      </c>
      <c r="IQ137" t="e">
        <f>AND(#REF!,"AAAAAHae//o=")</f>
        <v>#REF!</v>
      </c>
      <c r="IR137" t="e">
        <f>AND(#REF!,"AAAAAHae//s=")</f>
        <v>#REF!</v>
      </c>
      <c r="IS137" t="e">
        <f>AND(#REF!,"AAAAAHae//w=")</f>
        <v>#REF!</v>
      </c>
      <c r="IT137" t="e">
        <f>AND(#REF!,"AAAAAHae//0=")</f>
        <v>#REF!</v>
      </c>
      <c r="IU137" t="e">
        <f>AND(#REF!,"AAAAAHae//4=")</f>
        <v>#REF!</v>
      </c>
      <c r="IV137" t="e">
        <f>AND(#REF!,"AAAAAHae//8=")</f>
        <v>#REF!</v>
      </c>
    </row>
    <row r="138" spans="1:256" x14ac:dyDescent="0.25">
      <c r="A138" t="e">
        <f>AND(#REF!,"AAAAAGef/AA=")</f>
        <v>#REF!</v>
      </c>
      <c r="B138" t="e">
        <f>AND(#REF!,"AAAAAGef/AE=")</f>
        <v>#REF!</v>
      </c>
      <c r="C138" t="e">
        <f>AND(#REF!,"AAAAAGef/AI=")</f>
        <v>#REF!</v>
      </c>
      <c r="D138" t="e">
        <f>AND(#REF!,"AAAAAGef/AM=")</f>
        <v>#REF!</v>
      </c>
      <c r="E138" t="e">
        <f>AND(#REF!,"AAAAAGef/AQ=")</f>
        <v>#REF!</v>
      </c>
      <c r="F138" t="e">
        <f>AND(#REF!,"AAAAAGef/AU=")</f>
        <v>#REF!</v>
      </c>
      <c r="G138" t="e">
        <f>AND(#REF!,"AAAAAGef/AY=")</f>
        <v>#REF!</v>
      </c>
      <c r="H138" t="e">
        <f>AND(#REF!,"AAAAAGef/Ac=")</f>
        <v>#REF!</v>
      </c>
      <c r="I138" t="e">
        <f>AND(#REF!,"AAAAAGef/Ag=")</f>
        <v>#REF!</v>
      </c>
      <c r="J138" t="e">
        <f>AND(#REF!,"AAAAAGef/Ak=")</f>
        <v>#REF!</v>
      </c>
      <c r="K138" t="e">
        <f>AND(#REF!,"AAAAAGef/Ao=")</f>
        <v>#REF!</v>
      </c>
      <c r="L138" t="e">
        <f>AND(#REF!,"AAAAAGef/As=")</f>
        <v>#REF!</v>
      </c>
      <c r="M138" t="e">
        <f>AND(#REF!,"AAAAAGef/Aw=")</f>
        <v>#REF!</v>
      </c>
      <c r="N138" t="e">
        <f>AND(#REF!,"AAAAAGef/A0=")</f>
        <v>#REF!</v>
      </c>
      <c r="O138" t="e">
        <f>AND(#REF!,"AAAAAGef/A4=")</f>
        <v>#REF!</v>
      </c>
      <c r="P138" t="e">
        <f>AND(#REF!,"AAAAAGef/A8=")</f>
        <v>#REF!</v>
      </c>
      <c r="Q138" t="e">
        <f>AND(#REF!,"AAAAAGef/BA=")</f>
        <v>#REF!</v>
      </c>
      <c r="R138" t="e">
        <f>AND(#REF!,"AAAAAGef/BE=")</f>
        <v>#REF!</v>
      </c>
      <c r="S138" t="e">
        <f>AND(#REF!,"AAAAAGef/BI=")</f>
        <v>#REF!</v>
      </c>
      <c r="T138" t="e">
        <f>AND(#REF!,"AAAAAGef/BM=")</f>
        <v>#REF!</v>
      </c>
      <c r="U138" t="e">
        <f>AND(#REF!,"AAAAAGef/BQ=")</f>
        <v>#REF!</v>
      </c>
      <c r="V138" t="e">
        <f>AND(#REF!,"AAAAAGef/BU=")</f>
        <v>#REF!</v>
      </c>
      <c r="W138" t="e">
        <f>AND(#REF!,"AAAAAGef/BY=")</f>
        <v>#REF!</v>
      </c>
      <c r="X138" t="e">
        <f>AND(#REF!,"AAAAAGef/Bc=")</f>
        <v>#REF!</v>
      </c>
      <c r="Y138" t="e">
        <f>AND(#REF!,"AAAAAGef/Bg=")</f>
        <v>#REF!</v>
      </c>
      <c r="Z138" t="e">
        <f>AND(#REF!,"AAAAAGef/Bk=")</f>
        <v>#REF!</v>
      </c>
      <c r="AA138" t="e">
        <f>AND(#REF!,"AAAAAGef/Bo=")</f>
        <v>#REF!</v>
      </c>
      <c r="AB138" t="e">
        <f>AND(#REF!,"AAAAAGef/Bs=")</f>
        <v>#REF!</v>
      </c>
      <c r="AC138" t="e">
        <f>AND(#REF!,"AAAAAGef/Bw=")</f>
        <v>#REF!</v>
      </c>
      <c r="AD138" t="e">
        <f>AND(#REF!,"AAAAAGef/B0=")</f>
        <v>#REF!</v>
      </c>
      <c r="AE138" t="e">
        <f>AND(#REF!,"AAAAAGef/B4=")</f>
        <v>#REF!</v>
      </c>
      <c r="AF138" t="e">
        <f>AND(#REF!,"AAAAAGef/B8=")</f>
        <v>#REF!</v>
      </c>
      <c r="AG138" t="e">
        <f>AND(#REF!,"AAAAAGef/CA=")</f>
        <v>#REF!</v>
      </c>
      <c r="AH138" t="e">
        <f>AND(#REF!,"AAAAAGef/CE=")</f>
        <v>#REF!</v>
      </c>
      <c r="AI138" t="e">
        <f>AND(#REF!,"AAAAAGef/CI=")</f>
        <v>#REF!</v>
      </c>
      <c r="AJ138" t="e">
        <f>AND(#REF!,"AAAAAGef/CM=")</f>
        <v>#REF!</v>
      </c>
      <c r="AK138" t="e">
        <f>AND(#REF!,"AAAAAGef/CQ=")</f>
        <v>#REF!</v>
      </c>
      <c r="AL138" t="e">
        <f>AND(#REF!,"AAAAAGef/CU=")</f>
        <v>#REF!</v>
      </c>
      <c r="AM138" t="e">
        <f>AND(#REF!,"AAAAAGef/CY=")</f>
        <v>#REF!</v>
      </c>
      <c r="AN138" t="e">
        <f>AND(#REF!,"AAAAAGef/Cc=")</f>
        <v>#REF!</v>
      </c>
      <c r="AO138" t="e">
        <f>AND(#REF!,"AAAAAGef/Cg=")</f>
        <v>#REF!</v>
      </c>
      <c r="AP138" t="e">
        <f>AND(#REF!,"AAAAAGef/Ck=")</f>
        <v>#REF!</v>
      </c>
      <c r="AQ138" t="e">
        <f>AND(#REF!,"AAAAAGef/Co=")</f>
        <v>#REF!</v>
      </c>
      <c r="AR138" t="e">
        <f>AND(#REF!,"AAAAAGef/Cs=")</f>
        <v>#REF!</v>
      </c>
      <c r="AS138" t="e">
        <f>AND(#REF!,"AAAAAGef/Cw=")</f>
        <v>#REF!</v>
      </c>
      <c r="AT138" t="e">
        <f>AND(#REF!,"AAAAAGef/C0=")</f>
        <v>#REF!</v>
      </c>
      <c r="AU138" t="e">
        <f>AND(#REF!,"AAAAAGef/C4=")</f>
        <v>#REF!</v>
      </c>
      <c r="AV138" t="e">
        <f>IF(#REF!,"AAAAAGef/C8=",0)</f>
        <v>#REF!</v>
      </c>
      <c r="AW138" t="e">
        <f>AND(#REF!,"AAAAAGef/DA=")</f>
        <v>#REF!</v>
      </c>
      <c r="AX138" t="e">
        <f>AND(#REF!,"AAAAAGef/DE=")</f>
        <v>#REF!</v>
      </c>
      <c r="AY138" t="e">
        <f>AND(#REF!,"AAAAAGef/DI=")</f>
        <v>#REF!</v>
      </c>
      <c r="AZ138" t="e">
        <f>AND(#REF!,"AAAAAGef/DM=")</f>
        <v>#REF!</v>
      </c>
      <c r="BA138" t="e">
        <f>AND(#REF!,"AAAAAGef/DQ=")</f>
        <v>#REF!</v>
      </c>
      <c r="BB138" t="e">
        <f>AND(#REF!,"AAAAAGef/DU=")</f>
        <v>#REF!</v>
      </c>
      <c r="BC138" t="e">
        <f>AND(#REF!,"AAAAAGef/DY=")</f>
        <v>#REF!</v>
      </c>
      <c r="BD138" t="e">
        <f>AND(#REF!,"AAAAAGef/Dc=")</f>
        <v>#REF!</v>
      </c>
      <c r="BE138" t="e">
        <f>AND(#REF!,"AAAAAGef/Dg=")</f>
        <v>#REF!</v>
      </c>
      <c r="BF138" t="e">
        <f>AND(#REF!,"AAAAAGef/Dk=")</f>
        <v>#REF!</v>
      </c>
      <c r="BG138" t="e">
        <f>AND(#REF!,"AAAAAGef/Do=")</f>
        <v>#REF!</v>
      </c>
      <c r="BH138" t="e">
        <f>AND(#REF!,"AAAAAGef/Ds=")</f>
        <v>#REF!</v>
      </c>
      <c r="BI138" t="e">
        <f>AND(#REF!,"AAAAAGef/Dw=")</f>
        <v>#REF!</v>
      </c>
      <c r="BJ138" t="e">
        <f>AND(#REF!,"AAAAAGef/D0=")</f>
        <v>#REF!</v>
      </c>
      <c r="BK138" t="e">
        <f>AND(#REF!,"AAAAAGef/D4=")</f>
        <v>#REF!</v>
      </c>
      <c r="BL138" t="e">
        <f>AND(#REF!,"AAAAAGef/D8=")</f>
        <v>#REF!</v>
      </c>
      <c r="BM138" t="e">
        <f>AND(#REF!,"AAAAAGef/EA=")</f>
        <v>#REF!</v>
      </c>
      <c r="BN138" t="e">
        <f>AND(#REF!,"AAAAAGef/EE=")</f>
        <v>#REF!</v>
      </c>
      <c r="BO138" t="e">
        <f>AND(#REF!,"AAAAAGef/EI=")</f>
        <v>#REF!</v>
      </c>
      <c r="BP138" t="e">
        <f>AND(#REF!,"AAAAAGef/EM=")</f>
        <v>#REF!</v>
      </c>
      <c r="BQ138" t="e">
        <f>AND(#REF!,"AAAAAGef/EQ=")</f>
        <v>#REF!</v>
      </c>
      <c r="BR138" t="e">
        <f>AND(#REF!,"AAAAAGef/EU=")</f>
        <v>#REF!</v>
      </c>
      <c r="BS138" t="e">
        <f>AND(#REF!,"AAAAAGef/EY=")</f>
        <v>#REF!</v>
      </c>
      <c r="BT138" t="e">
        <f>AND(#REF!,"AAAAAGef/Ec=")</f>
        <v>#REF!</v>
      </c>
      <c r="BU138" t="e">
        <f>AND(#REF!,"AAAAAGef/Eg=")</f>
        <v>#REF!</v>
      </c>
      <c r="BV138" t="e">
        <f>AND(#REF!,"AAAAAGef/Ek=")</f>
        <v>#REF!</v>
      </c>
      <c r="BW138" t="e">
        <f>AND(#REF!,"AAAAAGef/Eo=")</f>
        <v>#REF!</v>
      </c>
      <c r="BX138" t="e">
        <f>AND(#REF!,"AAAAAGef/Es=")</f>
        <v>#REF!</v>
      </c>
      <c r="BY138" t="e">
        <f>AND(#REF!,"AAAAAGef/Ew=")</f>
        <v>#REF!</v>
      </c>
      <c r="BZ138" t="e">
        <f>AND(#REF!,"AAAAAGef/E0=")</f>
        <v>#REF!</v>
      </c>
      <c r="CA138" t="e">
        <f>AND(#REF!,"AAAAAGef/E4=")</f>
        <v>#REF!</v>
      </c>
      <c r="CB138" t="e">
        <f>AND(#REF!,"AAAAAGef/E8=")</f>
        <v>#REF!</v>
      </c>
      <c r="CC138" t="e">
        <f>AND(#REF!,"AAAAAGef/FA=")</f>
        <v>#REF!</v>
      </c>
      <c r="CD138" t="e">
        <f>AND(#REF!,"AAAAAGef/FE=")</f>
        <v>#REF!</v>
      </c>
      <c r="CE138" t="e">
        <f>AND(#REF!,"AAAAAGef/FI=")</f>
        <v>#REF!</v>
      </c>
      <c r="CF138" t="e">
        <f>AND(#REF!,"AAAAAGef/FM=")</f>
        <v>#REF!</v>
      </c>
      <c r="CG138" t="e">
        <f>AND(#REF!,"AAAAAGef/FQ=")</f>
        <v>#REF!</v>
      </c>
      <c r="CH138" t="e">
        <f>AND(#REF!,"AAAAAGef/FU=")</f>
        <v>#REF!</v>
      </c>
      <c r="CI138" t="e">
        <f>AND(#REF!,"AAAAAGef/FY=")</f>
        <v>#REF!</v>
      </c>
      <c r="CJ138" t="e">
        <f>AND(#REF!,"AAAAAGef/Fc=")</f>
        <v>#REF!</v>
      </c>
      <c r="CK138" t="e">
        <f>AND(#REF!,"AAAAAGef/Fg=")</f>
        <v>#REF!</v>
      </c>
      <c r="CL138" t="e">
        <f>AND(#REF!,"AAAAAGef/Fk=")</f>
        <v>#REF!</v>
      </c>
      <c r="CM138" t="e">
        <f>AND(#REF!,"AAAAAGef/Fo=")</f>
        <v>#REF!</v>
      </c>
      <c r="CN138" t="e">
        <f>AND(#REF!,"AAAAAGef/Fs=")</f>
        <v>#REF!</v>
      </c>
      <c r="CO138" t="e">
        <f>AND(#REF!,"AAAAAGef/Fw=")</f>
        <v>#REF!</v>
      </c>
      <c r="CP138" t="e">
        <f>AND(#REF!,"AAAAAGef/F0=")</f>
        <v>#REF!</v>
      </c>
      <c r="CQ138" t="e">
        <f>AND(#REF!,"AAAAAGef/F4=")</f>
        <v>#REF!</v>
      </c>
      <c r="CR138" t="e">
        <f>AND(#REF!,"AAAAAGef/F8=")</f>
        <v>#REF!</v>
      </c>
      <c r="CS138" t="e">
        <f>AND(#REF!,"AAAAAGef/GA=")</f>
        <v>#REF!</v>
      </c>
      <c r="CT138" t="e">
        <f>AND(#REF!,"AAAAAGef/GE=")</f>
        <v>#REF!</v>
      </c>
      <c r="CU138" t="e">
        <f>AND(#REF!,"AAAAAGef/GI=")</f>
        <v>#REF!</v>
      </c>
      <c r="CV138" t="e">
        <f>AND(#REF!,"AAAAAGef/GM=")</f>
        <v>#REF!</v>
      </c>
      <c r="CW138" t="e">
        <f>AND(#REF!,"AAAAAGef/GQ=")</f>
        <v>#REF!</v>
      </c>
      <c r="CX138" t="e">
        <f>AND(#REF!,"AAAAAGef/GU=")</f>
        <v>#REF!</v>
      </c>
      <c r="CY138" t="e">
        <f>AND(#REF!,"AAAAAGef/GY=")</f>
        <v>#REF!</v>
      </c>
      <c r="CZ138" t="e">
        <f>AND(#REF!,"AAAAAGef/Gc=")</f>
        <v>#REF!</v>
      </c>
      <c r="DA138" t="e">
        <f>AND(#REF!,"AAAAAGef/Gg=")</f>
        <v>#REF!</v>
      </c>
      <c r="DB138" t="e">
        <f>AND(#REF!,"AAAAAGef/Gk=")</f>
        <v>#REF!</v>
      </c>
      <c r="DC138" t="e">
        <f>AND(#REF!,"AAAAAGef/Go=")</f>
        <v>#REF!</v>
      </c>
      <c r="DD138" t="e">
        <f>AND(#REF!,"AAAAAGef/Gs=")</f>
        <v>#REF!</v>
      </c>
      <c r="DE138" t="e">
        <f>AND(#REF!,"AAAAAGef/Gw=")</f>
        <v>#REF!</v>
      </c>
      <c r="DF138" t="e">
        <f>AND(#REF!,"AAAAAGef/G0=")</f>
        <v>#REF!</v>
      </c>
      <c r="DG138" t="e">
        <f>AND(#REF!,"AAAAAGef/G4=")</f>
        <v>#REF!</v>
      </c>
      <c r="DH138" t="e">
        <f>AND(#REF!,"AAAAAGef/G8=")</f>
        <v>#REF!</v>
      </c>
      <c r="DI138" t="e">
        <f>AND(#REF!,"AAAAAGef/HA=")</f>
        <v>#REF!</v>
      </c>
      <c r="DJ138" t="e">
        <f>AND(#REF!,"AAAAAGef/HE=")</f>
        <v>#REF!</v>
      </c>
      <c r="DK138" t="e">
        <f>AND(#REF!,"AAAAAGef/HI=")</f>
        <v>#REF!</v>
      </c>
      <c r="DL138" t="e">
        <f>AND(#REF!,"AAAAAGef/HM=")</f>
        <v>#REF!</v>
      </c>
      <c r="DM138" t="e">
        <f>AND(#REF!,"AAAAAGef/HQ=")</f>
        <v>#REF!</v>
      </c>
      <c r="DN138" t="e">
        <f>AND(#REF!,"AAAAAGef/HU=")</f>
        <v>#REF!</v>
      </c>
      <c r="DO138" t="e">
        <f>AND(#REF!,"AAAAAGef/HY=")</f>
        <v>#REF!</v>
      </c>
      <c r="DP138" t="e">
        <f>AND(#REF!,"AAAAAGef/Hc=")</f>
        <v>#REF!</v>
      </c>
      <c r="DQ138" t="e">
        <f>AND(#REF!,"AAAAAGef/Hg=")</f>
        <v>#REF!</v>
      </c>
      <c r="DR138" t="e">
        <f>AND(#REF!,"AAAAAGef/Hk=")</f>
        <v>#REF!</v>
      </c>
      <c r="DS138" t="e">
        <f>AND(#REF!,"AAAAAGef/Ho=")</f>
        <v>#REF!</v>
      </c>
      <c r="DT138" t="e">
        <f>AND(#REF!,"AAAAAGef/Hs=")</f>
        <v>#REF!</v>
      </c>
      <c r="DU138" t="e">
        <f>AND(#REF!,"AAAAAGef/Hw=")</f>
        <v>#REF!</v>
      </c>
      <c r="DV138" t="e">
        <f>AND(#REF!,"AAAAAGef/H0=")</f>
        <v>#REF!</v>
      </c>
      <c r="DW138" t="e">
        <f>AND(#REF!,"AAAAAGef/H4=")</f>
        <v>#REF!</v>
      </c>
      <c r="DX138" t="e">
        <f>AND(#REF!,"AAAAAGef/H8=")</f>
        <v>#REF!</v>
      </c>
      <c r="DY138" t="e">
        <f>AND(#REF!,"AAAAAGef/IA=")</f>
        <v>#REF!</v>
      </c>
      <c r="DZ138" t="e">
        <f>AND(#REF!,"AAAAAGef/IE=")</f>
        <v>#REF!</v>
      </c>
      <c r="EA138" t="e">
        <f>AND(#REF!,"AAAAAGef/II=")</f>
        <v>#REF!</v>
      </c>
      <c r="EB138" t="e">
        <f>AND(#REF!,"AAAAAGef/IM=")</f>
        <v>#REF!</v>
      </c>
      <c r="EC138" t="e">
        <f>AND(#REF!,"AAAAAGef/IQ=")</f>
        <v>#REF!</v>
      </c>
      <c r="ED138" t="e">
        <f>AND(#REF!,"AAAAAGef/IU=")</f>
        <v>#REF!</v>
      </c>
      <c r="EE138" t="e">
        <f>AND(#REF!,"AAAAAGef/IY=")</f>
        <v>#REF!</v>
      </c>
      <c r="EF138" t="e">
        <f>AND(#REF!,"AAAAAGef/Ic=")</f>
        <v>#REF!</v>
      </c>
      <c r="EG138" t="e">
        <f>AND(#REF!,"AAAAAGef/Ig=")</f>
        <v>#REF!</v>
      </c>
      <c r="EH138" t="e">
        <f>AND(#REF!,"AAAAAGef/Ik=")</f>
        <v>#REF!</v>
      </c>
      <c r="EI138" t="e">
        <f>AND(#REF!,"AAAAAGef/Io=")</f>
        <v>#REF!</v>
      </c>
      <c r="EJ138" t="e">
        <f>AND(#REF!,"AAAAAGef/Is=")</f>
        <v>#REF!</v>
      </c>
      <c r="EK138" t="e">
        <f>AND(#REF!,"AAAAAGef/Iw=")</f>
        <v>#REF!</v>
      </c>
      <c r="EL138" t="e">
        <f>AND(#REF!,"AAAAAGef/I0=")</f>
        <v>#REF!</v>
      </c>
      <c r="EM138" t="e">
        <f>AND(#REF!,"AAAAAGef/I4=")</f>
        <v>#REF!</v>
      </c>
      <c r="EN138" t="e">
        <f>AND(#REF!,"AAAAAGef/I8=")</f>
        <v>#REF!</v>
      </c>
      <c r="EO138" t="e">
        <f>AND(#REF!,"AAAAAGef/JA=")</f>
        <v>#REF!</v>
      </c>
      <c r="EP138" t="e">
        <f>AND(#REF!,"AAAAAGef/JE=")</f>
        <v>#REF!</v>
      </c>
      <c r="EQ138" t="e">
        <f>AND(#REF!,"AAAAAGef/JI=")</f>
        <v>#REF!</v>
      </c>
      <c r="ER138" t="e">
        <f>AND(#REF!,"AAAAAGef/JM=")</f>
        <v>#REF!</v>
      </c>
      <c r="ES138" t="e">
        <f>AND(#REF!,"AAAAAGef/JQ=")</f>
        <v>#REF!</v>
      </c>
      <c r="ET138" t="e">
        <f>AND(#REF!,"AAAAAGef/JU=")</f>
        <v>#REF!</v>
      </c>
      <c r="EU138" t="e">
        <f>AND(#REF!,"AAAAAGef/JY=")</f>
        <v>#REF!</v>
      </c>
      <c r="EV138" t="e">
        <f>AND(#REF!,"AAAAAGef/Jc=")</f>
        <v>#REF!</v>
      </c>
      <c r="EW138" t="e">
        <f>AND(#REF!,"AAAAAGef/Jg=")</f>
        <v>#REF!</v>
      </c>
      <c r="EX138" t="e">
        <f>AND(#REF!,"AAAAAGef/Jk=")</f>
        <v>#REF!</v>
      </c>
      <c r="EY138" t="e">
        <f>AND(#REF!,"AAAAAGef/Jo=")</f>
        <v>#REF!</v>
      </c>
      <c r="EZ138" t="e">
        <f>AND(#REF!,"AAAAAGef/Js=")</f>
        <v>#REF!</v>
      </c>
      <c r="FA138" t="e">
        <f>AND(#REF!,"AAAAAGef/Jw=")</f>
        <v>#REF!</v>
      </c>
      <c r="FB138" t="e">
        <f>AND(#REF!,"AAAAAGef/J0=")</f>
        <v>#REF!</v>
      </c>
      <c r="FC138" t="e">
        <f>AND(#REF!,"AAAAAGef/J4=")</f>
        <v>#REF!</v>
      </c>
      <c r="FD138" t="e">
        <f>AND(#REF!,"AAAAAGef/J8=")</f>
        <v>#REF!</v>
      </c>
      <c r="FE138" t="e">
        <f>AND(#REF!,"AAAAAGef/KA=")</f>
        <v>#REF!</v>
      </c>
      <c r="FF138" t="e">
        <f>AND(#REF!,"AAAAAGef/KE=")</f>
        <v>#REF!</v>
      </c>
      <c r="FG138" t="e">
        <f>AND(#REF!,"AAAAAGef/KI=")</f>
        <v>#REF!</v>
      </c>
      <c r="FH138" t="e">
        <f>AND(#REF!,"AAAAAGef/KM=")</f>
        <v>#REF!</v>
      </c>
      <c r="FI138" t="e">
        <f>AND(#REF!,"AAAAAGef/KQ=")</f>
        <v>#REF!</v>
      </c>
      <c r="FJ138" t="e">
        <f>AND(#REF!,"AAAAAGef/KU=")</f>
        <v>#REF!</v>
      </c>
      <c r="FK138" t="e">
        <f>AND(#REF!,"AAAAAGef/KY=")</f>
        <v>#REF!</v>
      </c>
      <c r="FL138" t="e">
        <f>AND(#REF!,"AAAAAGef/Kc=")</f>
        <v>#REF!</v>
      </c>
      <c r="FM138" t="e">
        <f>AND(#REF!,"AAAAAGef/Kg=")</f>
        <v>#REF!</v>
      </c>
      <c r="FN138" t="e">
        <f>AND(#REF!,"AAAAAGef/Kk=")</f>
        <v>#REF!</v>
      </c>
      <c r="FO138" t="e">
        <f>AND(#REF!,"AAAAAGef/Ko=")</f>
        <v>#REF!</v>
      </c>
      <c r="FP138" t="e">
        <f>AND(#REF!,"AAAAAGef/Ks=")</f>
        <v>#REF!</v>
      </c>
      <c r="FQ138" t="e">
        <f>AND(#REF!,"AAAAAGef/Kw=")</f>
        <v>#REF!</v>
      </c>
      <c r="FR138" t="e">
        <f>AND(#REF!,"AAAAAGef/K0=")</f>
        <v>#REF!</v>
      </c>
      <c r="FS138" t="e">
        <f>AND(#REF!,"AAAAAGef/K4=")</f>
        <v>#REF!</v>
      </c>
      <c r="FT138" t="e">
        <f>AND(#REF!,"AAAAAGef/K8=")</f>
        <v>#REF!</v>
      </c>
      <c r="FU138" t="e">
        <f>AND(#REF!,"AAAAAGef/LA=")</f>
        <v>#REF!</v>
      </c>
      <c r="FV138" t="e">
        <f>AND(#REF!,"AAAAAGef/LE=")</f>
        <v>#REF!</v>
      </c>
      <c r="FW138" t="e">
        <f>AND(#REF!,"AAAAAGef/LI=")</f>
        <v>#REF!</v>
      </c>
      <c r="FX138" t="e">
        <f>AND(#REF!,"AAAAAGef/LM=")</f>
        <v>#REF!</v>
      </c>
      <c r="FY138" t="e">
        <f>AND(#REF!,"AAAAAGef/LQ=")</f>
        <v>#REF!</v>
      </c>
      <c r="FZ138" t="e">
        <f>AND(#REF!,"AAAAAGef/LU=")</f>
        <v>#REF!</v>
      </c>
      <c r="GA138" t="e">
        <f>AND(#REF!,"AAAAAGef/LY=")</f>
        <v>#REF!</v>
      </c>
      <c r="GB138" t="e">
        <f>AND(#REF!,"AAAAAGef/Lc=")</f>
        <v>#REF!</v>
      </c>
      <c r="GC138" t="e">
        <f>AND(#REF!,"AAAAAGef/Lg=")</f>
        <v>#REF!</v>
      </c>
      <c r="GD138" t="e">
        <f>AND(#REF!,"AAAAAGef/Lk=")</f>
        <v>#REF!</v>
      </c>
      <c r="GE138" t="e">
        <f>AND(#REF!,"AAAAAGef/Lo=")</f>
        <v>#REF!</v>
      </c>
      <c r="GF138" t="e">
        <f>AND(#REF!,"AAAAAGef/Ls=")</f>
        <v>#REF!</v>
      </c>
      <c r="GG138" t="e">
        <f>AND(#REF!,"AAAAAGef/Lw=")</f>
        <v>#REF!</v>
      </c>
      <c r="GH138" t="e">
        <f>AND(#REF!,"AAAAAGef/L0=")</f>
        <v>#REF!</v>
      </c>
      <c r="GI138" t="e">
        <f>AND(#REF!,"AAAAAGef/L4=")</f>
        <v>#REF!</v>
      </c>
      <c r="GJ138" t="e">
        <f>AND(#REF!,"AAAAAGef/L8=")</f>
        <v>#REF!</v>
      </c>
      <c r="GK138" t="e">
        <f>AND(#REF!,"AAAAAGef/MA=")</f>
        <v>#REF!</v>
      </c>
      <c r="GL138" t="e">
        <f>AND(#REF!,"AAAAAGef/ME=")</f>
        <v>#REF!</v>
      </c>
      <c r="GM138" t="e">
        <f>AND(#REF!,"AAAAAGef/MI=")</f>
        <v>#REF!</v>
      </c>
      <c r="GN138" t="e">
        <f>AND(#REF!,"AAAAAGef/MM=")</f>
        <v>#REF!</v>
      </c>
      <c r="GO138" t="e">
        <f>AND(#REF!,"AAAAAGef/MQ=")</f>
        <v>#REF!</v>
      </c>
      <c r="GP138" t="e">
        <f>AND(#REF!,"AAAAAGef/MU=")</f>
        <v>#REF!</v>
      </c>
      <c r="GQ138" t="e">
        <f>AND(#REF!,"AAAAAGef/MY=")</f>
        <v>#REF!</v>
      </c>
      <c r="GR138" t="e">
        <f>AND(#REF!,"AAAAAGef/Mc=")</f>
        <v>#REF!</v>
      </c>
      <c r="GS138" t="e">
        <f>AND(#REF!,"AAAAAGef/Mg=")</f>
        <v>#REF!</v>
      </c>
      <c r="GT138" t="e">
        <f>AND(#REF!,"AAAAAGef/Mk=")</f>
        <v>#REF!</v>
      </c>
      <c r="GU138" t="e">
        <f>AND(#REF!,"AAAAAGef/Mo=")</f>
        <v>#REF!</v>
      </c>
      <c r="GV138" t="e">
        <f>AND(#REF!,"AAAAAGef/Ms=")</f>
        <v>#REF!</v>
      </c>
      <c r="GW138" t="e">
        <f>AND(#REF!,"AAAAAGef/Mw=")</f>
        <v>#REF!</v>
      </c>
      <c r="GX138" t="e">
        <f>AND(#REF!,"AAAAAGef/M0=")</f>
        <v>#REF!</v>
      </c>
      <c r="GY138" t="e">
        <f>AND(#REF!,"AAAAAGef/M4=")</f>
        <v>#REF!</v>
      </c>
      <c r="GZ138" t="e">
        <f>AND(#REF!,"AAAAAGef/M8=")</f>
        <v>#REF!</v>
      </c>
      <c r="HA138" t="e">
        <f>AND(#REF!,"AAAAAGef/NA=")</f>
        <v>#REF!</v>
      </c>
      <c r="HB138" t="e">
        <f>AND(#REF!,"AAAAAGef/NE=")</f>
        <v>#REF!</v>
      </c>
      <c r="HC138" t="e">
        <f>AND(#REF!,"AAAAAGef/NI=")</f>
        <v>#REF!</v>
      </c>
      <c r="HD138" t="e">
        <f>AND(#REF!,"AAAAAGef/NM=")</f>
        <v>#REF!</v>
      </c>
      <c r="HE138" t="e">
        <f>AND(#REF!,"AAAAAGef/NQ=")</f>
        <v>#REF!</v>
      </c>
      <c r="HF138" t="e">
        <f>AND(#REF!,"AAAAAGef/NU=")</f>
        <v>#REF!</v>
      </c>
      <c r="HG138" t="e">
        <f>AND(#REF!,"AAAAAGef/NY=")</f>
        <v>#REF!</v>
      </c>
      <c r="HH138" t="e">
        <f>AND(#REF!,"AAAAAGef/Nc=")</f>
        <v>#REF!</v>
      </c>
      <c r="HI138" t="e">
        <f>AND(#REF!,"AAAAAGef/Ng=")</f>
        <v>#REF!</v>
      </c>
      <c r="HJ138" t="e">
        <f>AND(#REF!,"AAAAAGef/Nk=")</f>
        <v>#REF!</v>
      </c>
      <c r="HK138" t="e">
        <f>AND(#REF!,"AAAAAGef/No=")</f>
        <v>#REF!</v>
      </c>
      <c r="HL138" t="e">
        <f>AND(#REF!,"AAAAAGef/Ns=")</f>
        <v>#REF!</v>
      </c>
      <c r="HM138" t="e">
        <f>AND(#REF!,"AAAAAGef/Nw=")</f>
        <v>#REF!</v>
      </c>
      <c r="HN138" t="e">
        <f>AND(#REF!,"AAAAAGef/N0=")</f>
        <v>#REF!</v>
      </c>
      <c r="HO138" t="e">
        <f>AND(#REF!,"AAAAAGef/N4=")</f>
        <v>#REF!</v>
      </c>
      <c r="HP138" t="e">
        <f>AND(#REF!,"AAAAAGef/N8=")</f>
        <v>#REF!</v>
      </c>
      <c r="HQ138" t="e">
        <f>AND(#REF!,"AAAAAGef/OA=")</f>
        <v>#REF!</v>
      </c>
      <c r="HR138" t="e">
        <f>AND(#REF!,"AAAAAGef/OE=")</f>
        <v>#REF!</v>
      </c>
      <c r="HS138" t="e">
        <f>AND(#REF!,"AAAAAGef/OI=")</f>
        <v>#REF!</v>
      </c>
      <c r="HT138" t="e">
        <f>AND(#REF!,"AAAAAGef/OM=")</f>
        <v>#REF!</v>
      </c>
      <c r="HU138" t="e">
        <f>AND(#REF!,"AAAAAGef/OQ=")</f>
        <v>#REF!</v>
      </c>
      <c r="HV138" t="e">
        <f>AND(#REF!,"AAAAAGef/OU=")</f>
        <v>#REF!</v>
      </c>
      <c r="HW138" t="e">
        <f>AND(#REF!,"AAAAAGef/OY=")</f>
        <v>#REF!</v>
      </c>
      <c r="HX138" t="e">
        <f>AND(#REF!,"AAAAAGef/Oc=")</f>
        <v>#REF!</v>
      </c>
      <c r="HY138" t="e">
        <f>AND(#REF!,"AAAAAGef/Og=")</f>
        <v>#REF!</v>
      </c>
      <c r="HZ138" t="e">
        <f>AND(#REF!,"AAAAAGef/Ok=")</f>
        <v>#REF!</v>
      </c>
      <c r="IA138" t="e">
        <f>AND(#REF!,"AAAAAGef/Oo=")</f>
        <v>#REF!</v>
      </c>
      <c r="IB138" t="e">
        <f>AND(#REF!,"AAAAAGef/Os=")</f>
        <v>#REF!</v>
      </c>
      <c r="IC138" t="e">
        <f>IF(#REF!,"AAAAAGef/Ow=",0)</f>
        <v>#REF!</v>
      </c>
      <c r="ID138" t="e">
        <f>AND(#REF!,"AAAAAGef/O0=")</f>
        <v>#REF!</v>
      </c>
      <c r="IE138" t="e">
        <f>AND(#REF!,"AAAAAGef/O4=")</f>
        <v>#REF!</v>
      </c>
      <c r="IF138" t="e">
        <f>AND(#REF!,"AAAAAGef/O8=")</f>
        <v>#REF!</v>
      </c>
      <c r="IG138" t="e">
        <f>AND(#REF!,"AAAAAGef/PA=")</f>
        <v>#REF!</v>
      </c>
      <c r="IH138" t="e">
        <f>AND(#REF!,"AAAAAGef/PE=")</f>
        <v>#REF!</v>
      </c>
      <c r="II138" t="e">
        <f>AND(#REF!,"AAAAAGef/PI=")</f>
        <v>#REF!</v>
      </c>
      <c r="IJ138" t="e">
        <f>AND(#REF!,"AAAAAGef/PM=")</f>
        <v>#REF!</v>
      </c>
      <c r="IK138" t="e">
        <f>AND(#REF!,"AAAAAGef/PQ=")</f>
        <v>#REF!</v>
      </c>
      <c r="IL138" t="e">
        <f>AND(#REF!,"AAAAAGef/PU=")</f>
        <v>#REF!</v>
      </c>
      <c r="IM138" t="e">
        <f>AND(#REF!,"AAAAAGef/PY=")</f>
        <v>#REF!</v>
      </c>
      <c r="IN138" t="e">
        <f>AND(#REF!,"AAAAAGef/Pc=")</f>
        <v>#REF!</v>
      </c>
      <c r="IO138" t="e">
        <f>AND(#REF!,"AAAAAGef/Pg=")</f>
        <v>#REF!</v>
      </c>
      <c r="IP138" t="e">
        <f>AND(#REF!,"AAAAAGef/Pk=")</f>
        <v>#REF!</v>
      </c>
      <c r="IQ138" t="e">
        <f>AND(#REF!,"AAAAAGef/Po=")</f>
        <v>#REF!</v>
      </c>
      <c r="IR138" t="e">
        <f>AND(#REF!,"AAAAAGef/Ps=")</f>
        <v>#REF!</v>
      </c>
      <c r="IS138" t="e">
        <f>AND(#REF!,"AAAAAGef/Pw=")</f>
        <v>#REF!</v>
      </c>
      <c r="IT138" t="e">
        <f>AND(#REF!,"AAAAAGef/P0=")</f>
        <v>#REF!</v>
      </c>
      <c r="IU138" t="e">
        <f>AND(#REF!,"AAAAAGef/P4=")</f>
        <v>#REF!</v>
      </c>
      <c r="IV138" t="e">
        <f>AND(#REF!,"AAAAAGef/P8=")</f>
        <v>#REF!</v>
      </c>
    </row>
    <row r="139" spans="1:256" x14ac:dyDescent="0.25">
      <c r="A139" t="e">
        <f>AND(#REF!,"AAAAAD3vewA=")</f>
        <v>#REF!</v>
      </c>
      <c r="B139" t="e">
        <f>AND(#REF!,"AAAAAD3vewE=")</f>
        <v>#REF!</v>
      </c>
      <c r="C139" t="e">
        <f>AND(#REF!,"AAAAAD3vewI=")</f>
        <v>#REF!</v>
      </c>
      <c r="D139" t="e">
        <f>AND(#REF!,"AAAAAD3vewM=")</f>
        <v>#REF!</v>
      </c>
      <c r="E139" t="e">
        <f>AND(#REF!,"AAAAAD3vewQ=")</f>
        <v>#REF!</v>
      </c>
      <c r="F139" t="e">
        <f>AND(#REF!,"AAAAAD3vewU=")</f>
        <v>#REF!</v>
      </c>
      <c r="G139" t="e">
        <f>AND(#REF!,"AAAAAD3vewY=")</f>
        <v>#REF!</v>
      </c>
      <c r="H139" t="e">
        <f>AND(#REF!,"AAAAAD3vewc=")</f>
        <v>#REF!</v>
      </c>
      <c r="I139" t="e">
        <f>AND(#REF!,"AAAAAD3vewg=")</f>
        <v>#REF!</v>
      </c>
      <c r="J139" t="e">
        <f>AND(#REF!,"AAAAAD3vewk=")</f>
        <v>#REF!</v>
      </c>
      <c r="K139" t="e">
        <f>AND(#REF!,"AAAAAD3vewo=")</f>
        <v>#REF!</v>
      </c>
      <c r="L139" t="e">
        <f>AND(#REF!,"AAAAAD3vews=")</f>
        <v>#REF!</v>
      </c>
      <c r="M139" t="e">
        <f>AND(#REF!,"AAAAAD3veww=")</f>
        <v>#REF!</v>
      </c>
      <c r="N139" t="e">
        <f>AND(#REF!,"AAAAAD3vew0=")</f>
        <v>#REF!</v>
      </c>
      <c r="O139" t="e">
        <f>AND(#REF!,"AAAAAD3vew4=")</f>
        <v>#REF!</v>
      </c>
      <c r="P139" t="e">
        <f>AND(#REF!,"AAAAAD3vew8=")</f>
        <v>#REF!</v>
      </c>
      <c r="Q139" t="e">
        <f>AND(#REF!,"AAAAAD3vexA=")</f>
        <v>#REF!</v>
      </c>
      <c r="R139" t="e">
        <f>AND(#REF!,"AAAAAD3vexE=")</f>
        <v>#REF!</v>
      </c>
      <c r="S139" t="e">
        <f>AND(#REF!,"AAAAAD3vexI=")</f>
        <v>#REF!</v>
      </c>
      <c r="T139" t="e">
        <f>AND(#REF!,"AAAAAD3vexM=")</f>
        <v>#REF!</v>
      </c>
      <c r="U139" t="e">
        <f>AND(#REF!,"AAAAAD3vexQ=")</f>
        <v>#REF!</v>
      </c>
      <c r="V139" t="e">
        <f>AND(#REF!,"AAAAAD3vexU=")</f>
        <v>#REF!</v>
      </c>
      <c r="W139" t="e">
        <f>AND(#REF!,"AAAAAD3vexY=")</f>
        <v>#REF!</v>
      </c>
      <c r="X139" t="e">
        <f>AND(#REF!,"AAAAAD3vexc=")</f>
        <v>#REF!</v>
      </c>
      <c r="Y139" t="e">
        <f>AND(#REF!,"AAAAAD3vexg=")</f>
        <v>#REF!</v>
      </c>
      <c r="Z139" t="e">
        <f>AND(#REF!,"AAAAAD3vexk=")</f>
        <v>#REF!</v>
      </c>
      <c r="AA139" t="e">
        <f>AND(#REF!,"AAAAAD3vexo=")</f>
        <v>#REF!</v>
      </c>
      <c r="AB139" t="e">
        <f>AND(#REF!,"AAAAAD3vexs=")</f>
        <v>#REF!</v>
      </c>
      <c r="AC139" t="e">
        <f>AND(#REF!,"AAAAAD3vexw=")</f>
        <v>#REF!</v>
      </c>
      <c r="AD139" t="e">
        <f>AND(#REF!,"AAAAAD3vex0=")</f>
        <v>#REF!</v>
      </c>
      <c r="AE139" t="e">
        <f>AND(#REF!,"AAAAAD3vex4=")</f>
        <v>#REF!</v>
      </c>
      <c r="AF139" t="e">
        <f>AND(#REF!,"AAAAAD3vex8=")</f>
        <v>#REF!</v>
      </c>
      <c r="AG139" t="e">
        <f>AND(#REF!,"AAAAAD3veyA=")</f>
        <v>#REF!</v>
      </c>
      <c r="AH139" t="e">
        <f>AND(#REF!,"AAAAAD3veyE=")</f>
        <v>#REF!</v>
      </c>
      <c r="AI139" t="e">
        <f>AND(#REF!,"AAAAAD3veyI=")</f>
        <v>#REF!</v>
      </c>
      <c r="AJ139" t="e">
        <f>AND(#REF!,"AAAAAD3veyM=")</f>
        <v>#REF!</v>
      </c>
      <c r="AK139" t="e">
        <f>AND(#REF!,"AAAAAD3veyQ=")</f>
        <v>#REF!</v>
      </c>
      <c r="AL139" t="e">
        <f>AND(#REF!,"AAAAAD3veyU=")</f>
        <v>#REF!</v>
      </c>
      <c r="AM139" t="e">
        <f>AND(#REF!,"AAAAAD3veyY=")</f>
        <v>#REF!</v>
      </c>
      <c r="AN139" t="e">
        <f>AND(#REF!,"AAAAAD3veyc=")</f>
        <v>#REF!</v>
      </c>
      <c r="AO139" t="e">
        <f>AND(#REF!,"AAAAAD3veyg=")</f>
        <v>#REF!</v>
      </c>
      <c r="AP139" t="e">
        <f>AND(#REF!,"AAAAAD3veyk=")</f>
        <v>#REF!</v>
      </c>
      <c r="AQ139" t="e">
        <f>AND(#REF!,"AAAAAD3veyo=")</f>
        <v>#REF!</v>
      </c>
      <c r="AR139" t="e">
        <f>AND(#REF!,"AAAAAD3veys=")</f>
        <v>#REF!</v>
      </c>
      <c r="AS139" t="e">
        <f>AND(#REF!,"AAAAAD3veyw=")</f>
        <v>#REF!</v>
      </c>
      <c r="AT139" t="e">
        <f>AND(#REF!,"AAAAAD3vey0=")</f>
        <v>#REF!</v>
      </c>
      <c r="AU139" t="e">
        <f>AND(#REF!,"AAAAAD3vey4=")</f>
        <v>#REF!</v>
      </c>
      <c r="AV139" t="e">
        <f>AND(#REF!,"AAAAAD3vey8=")</f>
        <v>#REF!</v>
      </c>
      <c r="AW139" t="e">
        <f>AND(#REF!,"AAAAAD3vezA=")</f>
        <v>#REF!</v>
      </c>
      <c r="AX139" t="e">
        <f>AND(#REF!,"AAAAAD3vezE=")</f>
        <v>#REF!</v>
      </c>
      <c r="AY139" t="e">
        <f>AND(#REF!,"AAAAAD3vezI=")</f>
        <v>#REF!</v>
      </c>
      <c r="AZ139" t="e">
        <f>AND(#REF!,"AAAAAD3vezM=")</f>
        <v>#REF!</v>
      </c>
      <c r="BA139" t="e">
        <f>AND(#REF!,"AAAAAD3vezQ=")</f>
        <v>#REF!</v>
      </c>
      <c r="BB139" t="e">
        <f>AND(#REF!,"AAAAAD3vezU=")</f>
        <v>#REF!</v>
      </c>
      <c r="BC139" t="e">
        <f>AND(#REF!,"AAAAAD3vezY=")</f>
        <v>#REF!</v>
      </c>
      <c r="BD139" t="e">
        <f>AND(#REF!,"AAAAAD3vezc=")</f>
        <v>#REF!</v>
      </c>
      <c r="BE139" t="e">
        <f>AND(#REF!,"AAAAAD3vezg=")</f>
        <v>#REF!</v>
      </c>
      <c r="BF139" t="e">
        <f>AND(#REF!,"AAAAAD3vezk=")</f>
        <v>#REF!</v>
      </c>
      <c r="BG139" t="e">
        <f>AND(#REF!,"AAAAAD3vezo=")</f>
        <v>#REF!</v>
      </c>
      <c r="BH139" t="e">
        <f>AND(#REF!,"AAAAAD3vezs=")</f>
        <v>#REF!</v>
      </c>
      <c r="BI139" t="e">
        <f>AND(#REF!,"AAAAAD3vezw=")</f>
        <v>#REF!</v>
      </c>
      <c r="BJ139" t="e">
        <f>AND(#REF!,"AAAAAD3vez0=")</f>
        <v>#REF!</v>
      </c>
      <c r="BK139" t="e">
        <f>AND(#REF!,"AAAAAD3vez4=")</f>
        <v>#REF!</v>
      </c>
      <c r="BL139" t="e">
        <f>AND(#REF!,"AAAAAD3vez8=")</f>
        <v>#REF!</v>
      </c>
      <c r="BM139" t="e">
        <f>AND(#REF!,"AAAAAD3ve0A=")</f>
        <v>#REF!</v>
      </c>
      <c r="BN139" t="e">
        <f>AND(#REF!,"AAAAAD3ve0E=")</f>
        <v>#REF!</v>
      </c>
      <c r="BO139" t="e">
        <f>AND(#REF!,"AAAAAD3ve0I=")</f>
        <v>#REF!</v>
      </c>
      <c r="BP139" t="e">
        <f>AND(#REF!,"AAAAAD3ve0M=")</f>
        <v>#REF!</v>
      </c>
      <c r="BQ139" t="e">
        <f>AND(#REF!,"AAAAAD3ve0Q=")</f>
        <v>#REF!</v>
      </c>
      <c r="BR139" t="e">
        <f>AND(#REF!,"AAAAAD3ve0U=")</f>
        <v>#REF!</v>
      </c>
      <c r="BS139" t="e">
        <f>AND(#REF!,"AAAAAD3ve0Y=")</f>
        <v>#REF!</v>
      </c>
      <c r="BT139" t="e">
        <f>AND(#REF!,"AAAAAD3ve0c=")</f>
        <v>#REF!</v>
      </c>
      <c r="BU139" t="e">
        <f>AND(#REF!,"AAAAAD3ve0g=")</f>
        <v>#REF!</v>
      </c>
      <c r="BV139" t="e">
        <f>AND(#REF!,"AAAAAD3ve0k=")</f>
        <v>#REF!</v>
      </c>
      <c r="BW139" t="e">
        <f>AND(#REF!,"AAAAAD3ve0o=")</f>
        <v>#REF!</v>
      </c>
      <c r="BX139" t="e">
        <f>AND(#REF!,"AAAAAD3ve0s=")</f>
        <v>#REF!</v>
      </c>
      <c r="BY139" t="e">
        <f>AND(#REF!,"AAAAAD3ve0w=")</f>
        <v>#REF!</v>
      </c>
      <c r="BZ139" t="e">
        <f>AND(#REF!,"AAAAAD3ve00=")</f>
        <v>#REF!</v>
      </c>
      <c r="CA139" t="e">
        <f>AND(#REF!,"AAAAAD3ve04=")</f>
        <v>#REF!</v>
      </c>
      <c r="CB139" t="e">
        <f>AND(#REF!,"AAAAAD3ve08=")</f>
        <v>#REF!</v>
      </c>
      <c r="CC139" t="e">
        <f>AND(#REF!,"AAAAAD3ve1A=")</f>
        <v>#REF!</v>
      </c>
      <c r="CD139" t="e">
        <f>AND(#REF!,"AAAAAD3ve1E=")</f>
        <v>#REF!</v>
      </c>
      <c r="CE139" t="e">
        <f>AND(#REF!,"AAAAAD3ve1I=")</f>
        <v>#REF!</v>
      </c>
      <c r="CF139" t="e">
        <f>AND(#REF!,"AAAAAD3ve1M=")</f>
        <v>#REF!</v>
      </c>
      <c r="CG139" t="e">
        <f>AND(#REF!,"AAAAAD3ve1Q=")</f>
        <v>#REF!</v>
      </c>
      <c r="CH139" t="e">
        <f>AND(#REF!,"AAAAAD3ve1U=")</f>
        <v>#REF!</v>
      </c>
      <c r="CI139" t="e">
        <f>AND(#REF!,"AAAAAD3ve1Y=")</f>
        <v>#REF!</v>
      </c>
      <c r="CJ139" t="e">
        <f>AND(#REF!,"AAAAAD3ve1c=")</f>
        <v>#REF!</v>
      </c>
      <c r="CK139" t="e">
        <f>AND(#REF!,"AAAAAD3ve1g=")</f>
        <v>#REF!</v>
      </c>
      <c r="CL139" t="e">
        <f>AND(#REF!,"AAAAAD3ve1k=")</f>
        <v>#REF!</v>
      </c>
      <c r="CM139" t="e">
        <f>AND(#REF!,"AAAAAD3ve1o=")</f>
        <v>#REF!</v>
      </c>
      <c r="CN139" t="e">
        <f>AND(#REF!,"AAAAAD3ve1s=")</f>
        <v>#REF!</v>
      </c>
      <c r="CO139" t="e">
        <f>AND(#REF!,"AAAAAD3ve1w=")</f>
        <v>#REF!</v>
      </c>
      <c r="CP139" t="e">
        <f>AND(#REF!,"AAAAAD3ve10=")</f>
        <v>#REF!</v>
      </c>
      <c r="CQ139" t="e">
        <f>AND(#REF!,"AAAAAD3ve14=")</f>
        <v>#REF!</v>
      </c>
      <c r="CR139" t="e">
        <f>AND(#REF!,"AAAAAD3ve18=")</f>
        <v>#REF!</v>
      </c>
      <c r="CS139" t="e">
        <f>AND(#REF!,"AAAAAD3ve2A=")</f>
        <v>#REF!</v>
      </c>
      <c r="CT139" t="e">
        <f>AND(#REF!,"AAAAAD3ve2E=")</f>
        <v>#REF!</v>
      </c>
      <c r="CU139" t="e">
        <f>AND(#REF!,"AAAAAD3ve2I=")</f>
        <v>#REF!</v>
      </c>
      <c r="CV139" t="e">
        <f>AND(#REF!,"AAAAAD3ve2M=")</f>
        <v>#REF!</v>
      </c>
      <c r="CW139" t="e">
        <f>AND(#REF!,"AAAAAD3ve2Q=")</f>
        <v>#REF!</v>
      </c>
      <c r="CX139" t="e">
        <f>AND(#REF!,"AAAAAD3ve2U=")</f>
        <v>#REF!</v>
      </c>
      <c r="CY139" t="e">
        <f>AND(#REF!,"AAAAAD3ve2Y=")</f>
        <v>#REF!</v>
      </c>
      <c r="CZ139" t="e">
        <f>AND(#REF!,"AAAAAD3ve2c=")</f>
        <v>#REF!</v>
      </c>
      <c r="DA139" t="e">
        <f>AND(#REF!,"AAAAAD3ve2g=")</f>
        <v>#REF!</v>
      </c>
      <c r="DB139" t="e">
        <f>AND(#REF!,"AAAAAD3ve2k=")</f>
        <v>#REF!</v>
      </c>
      <c r="DC139" t="e">
        <f>AND(#REF!,"AAAAAD3ve2o=")</f>
        <v>#REF!</v>
      </c>
      <c r="DD139" t="e">
        <f>AND(#REF!,"AAAAAD3ve2s=")</f>
        <v>#REF!</v>
      </c>
      <c r="DE139" t="e">
        <f>AND(#REF!,"AAAAAD3ve2w=")</f>
        <v>#REF!</v>
      </c>
      <c r="DF139" t="e">
        <f>AND(#REF!,"AAAAAD3ve20=")</f>
        <v>#REF!</v>
      </c>
      <c r="DG139" t="e">
        <f>AND(#REF!,"AAAAAD3ve24=")</f>
        <v>#REF!</v>
      </c>
      <c r="DH139" t="e">
        <f>AND(#REF!,"AAAAAD3ve28=")</f>
        <v>#REF!</v>
      </c>
      <c r="DI139" t="e">
        <f>AND(#REF!,"AAAAAD3ve3A=")</f>
        <v>#REF!</v>
      </c>
      <c r="DJ139" t="e">
        <f>AND(#REF!,"AAAAAD3ve3E=")</f>
        <v>#REF!</v>
      </c>
      <c r="DK139" t="e">
        <f>AND(#REF!,"AAAAAD3ve3I=")</f>
        <v>#REF!</v>
      </c>
      <c r="DL139" t="e">
        <f>AND(#REF!,"AAAAAD3ve3M=")</f>
        <v>#REF!</v>
      </c>
      <c r="DM139" t="e">
        <f>AND(#REF!,"AAAAAD3ve3Q=")</f>
        <v>#REF!</v>
      </c>
      <c r="DN139" t="e">
        <f>AND(#REF!,"AAAAAD3ve3U=")</f>
        <v>#REF!</v>
      </c>
      <c r="DO139" t="e">
        <f>AND(#REF!,"AAAAAD3ve3Y=")</f>
        <v>#REF!</v>
      </c>
      <c r="DP139" t="e">
        <f>AND(#REF!,"AAAAAD3ve3c=")</f>
        <v>#REF!</v>
      </c>
      <c r="DQ139" t="e">
        <f>AND(#REF!,"AAAAAD3ve3g=")</f>
        <v>#REF!</v>
      </c>
      <c r="DR139" t="e">
        <f>AND(#REF!,"AAAAAD3ve3k=")</f>
        <v>#REF!</v>
      </c>
      <c r="DS139" t="e">
        <f>AND(#REF!,"AAAAAD3ve3o=")</f>
        <v>#REF!</v>
      </c>
      <c r="DT139" t="e">
        <f>AND(#REF!,"AAAAAD3ve3s=")</f>
        <v>#REF!</v>
      </c>
      <c r="DU139" t="e">
        <f>AND(#REF!,"AAAAAD3ve3w=")</f>
        <v>#REF!</v>
      </c>
      <c r="DV139" t="e">
        <f>AND(#REF!,"AAAAAD3ve30=")</f>
        <v>#REF!</v>
      </c>
      <c r="DW139" t="e">
        <f>AND(#REF!,"AAAAAD3ve34=")</f>
        <v>#REF!</v>
      </c>
      <c r="DX139" t="e">
        <f>AND(#REF!,"AAAAAD3ve38=")</f>
        <v>#REF!</v>
      </c>
      <c r="DY139" t="e">
        <f>AND(#REF!,"AAAAAD3ve4A=")</f>
        <v>#REF!</v>
      </c>
      <c r="DZ139" t="e">
        <f>AND(#REF!,"AAAAAD3ve4E=")</f>
        <v>#REF!</v>
      </c>
      <c r="EA139" t="e">
        <f>AND(#REF!,"AAAAAD3ve4I=")</f>
        <v>#REF!</v>
      </c>
      <c r="EB139" t="e">
        <f>AND(#REF!,"AAAAAD3ve4M=")</f>
        <v>#REF!</v>
      </c>
      <c r="EC139" t="e">
        <f>AND(#REF!,"AAAAAD3ve4Q=")</f>
        <v>#REF!</v>
      </c>
      <c r="ED139" t="e">
        <f>AND(#REF!,"AAAAAD3ve4U=")</f>
        <v>#REF!</v>
      </c>
      <c r="EE139" t="e">
        <f>AND(#REF!,"AAAAAD3ve4Y=")</f>
        <v>#REF!</v>
      </c>
      <c r="EF139" t="e">
        <f>AND(#REF!,"AAAAAD3ve4c=")</f>
        <v>#REF!</v>
      </c>
      <c r="EG139" t="e">
        <f>AND(#REF!,"AAAAAD3ve4g=")</f>
        <v>#REF!</v>
      </c>
      <c r="EH139" t="e">
        <f>AND(#REF!,"AAAAAD3ve4k=")</f>
        <v>#REF!</v>
      </c>
      <c r="EI139" t="e">
        <f>AND(#REF!,"AAAAAD3ve4o=")</f>
        <v>#REF!</v>
      </c>
      <c r="EJ139" t="e">
        <f>AND(#REF!,"AAAAAD3ve4s=")</f>
        <v>#REF!</v>
      </c>
      <c r="EK139" t="e">
        <f>AND(#REF!,"AAAAAD3ve4w=")</f>
        <v>#REF!</v>
      </c>
      <c r="EL139" t="e">
        <f>AND(#REF!,"AAAAAD3ve40=")</f>
        <v>#REF!</v>
      </c>
      <c r="EM139" t="e">
        <f>AND(#REF!,"AAAAAD3ve44=")</f>
        <v>#REF!</v>
      </c>
      <c r="EN139" t="e">
        <f>AND(#REF!,"AAAAAD3ve48=")</f>
        <v>#REF!</v>
      </c>
      <c r="EO139" t="e">
        <f>AND(#REF!,"AAAAAD3ve5A=")</f>
        <v>#REF!</v>
      </c>
      <c r="EP139" t="e">
        <f>AND(#REF!,"AAAAAD3ve5E=")</f>
        <v>#REF!</v>
      </c>
      <c r="EQ139" t="e">
        <f>AND(#REF!,"AAAAAD3ve5I=")</f>
        <v>#REF!</v>
      </c>
      <c r="ER139" t="e">
        <f>AND(#REF!,"AAAAAD3ve5M=")</f>
        <v>#REF!</v>
      </c>
      <c r="ES139" t="e">
        <f>AND(#REF!,"AAAAAD3ve5Q=")</f>
        <v>#REF!</v>
      </c>
      <c r="ET139" t="e">
        <f>AND(#REF!,"AAAAAD3ve5U=")</f>
        <v>#REF!</v>
      </c>
      <c r="EU139" t="e">
        <f>AND(#REF!,"AAAAAD3ve5Y=")</f>
        <v>#REF!</v>
      </c>
      <c r="EV139" t="e">
        <f>AND(#REF!,"AAAAAD3ve5c=")</f>
        <v>#REF!</v>
      </c>
      <c r="EW139" t="e">
        <f>AND(#REF!,"AAAAAD3ve5g=")</f>
        <v>#REF!</v>
      </c>
      <c r="EX139" t="e">
        <f>AND(#REF!,"AAAAAD3ve5k=")</f>
        <v>#REF!</v>
      </c>
      <c r="EY139" t="e">
        <f>AND(#REF!,"AAAAAD3ve5o=")</f>
        <v>#REF!</v>
      </c>
      <c r="EZ139" t="e">
        <f>AND(#REF!,"AAAAAD3ve5s=")</f>
        <v>#REF!</v>
      </c>
      <c r="FA139" t="e">
        <f>AND(#REF!,"AAAAAD3ve5w=")</f>
        <v>#REF!</v>
      </c>
      <c r="FB139" t="e">
        <f>AND(#REF!,"AAAAAD3ve50=")</f>
        <v>#REF!</v>
      </c>
      <c r="FC139" t="e">
        <f>AND(#REF!,"AAAAAD3ve54=")</f>
        <v>#REF!</v>
      </c>
      <c r="FD139" t="e">
        <f>AND(#REF!,"AAAAAD3ve58=")</f>
        <v>#REF!</v>
      </c>
      <c r="FE139" t="e">
        <f>AND(#REF!,"AAAAAD3ve6A=")</f>
        <v>#REF!</v>
      </c>
      <c r="FF139" t="e">
        <f>AND(#REF!,"AAAAAD3ve6E=")</f>
        <v>#REF!</v>
      </c>
      <c r="FG139" t="e">
        <f>AND(#REF!,"AAAAAD3ve6I=")</f>
        <v>#REF!</v>
      </c>
      <c r="FH139" t="e">
        <f>AND(#REF!,"AAAAAD3ve6M=")</f>
        <v>#REF!</v>
      </c>
      <c r="FI139" t="e">
        <f>AND(#REF!,"AAAAAD3ve6Q=")</f>
        <v>#REF!</v>
      </c>
      <c r="FJ139" t="e">
        <f>AND(#REF!,"AAAAAD3ve6U=")</f>
        <v>#REF!</v>
      </c>
      <c r="FK139" t="e">
        <f>AND(#REF!,"AAAAAD3ve6Y=")</f>
        <v>#REF!</v>
      </c>
      <c r="FL139" t="e">
        <f>AND(#REF!,"AAAAAD3ve6c=")</f>
        <v>#REF!</v>
      </c>
      <c r="FM139" t="e">
        <f>AND(#REF!,"AAAAAD3ve6g=")</f>
        <v>#REF!</v>
      </c>
      <c r="FN139" t="e">
        <f>IF(#REF!,"AAAAAD3ve6k=",0)</f>
        <v>#REF!</v>
      </c>
      <c r="FO139" t="e">
        <f>AND(#REF!,"AAAAAD3ve6o=")</f>
        <v>#REF!</v>
      </c>
      <c r="FP139" t="e">
        <f>AND(#REF!,"AAAAAD3ve6s=")</f>
        <v>#REF!</v>
      </c>
      <c r="FQ139" t="e">
        <f>AND(#REF!,"AAAAAD3ve6w=")</f>
        <v>#REF!</v>
      </c>
      <c r="FR139" t="e">
        <f>AND(#REF!,"AAAAAD3ve60=")</f>
        <v>#REF!</v>
      </c>
      <c r="FS139" t="e">
        <f>AND(#REF!,"AAAAAD3ve64=")</f>
        <v>#REF!</v>
      </c>
      <c r="FT139" t="e">
        <f>AND(#REF!,"AAAAAD3ve68=")</f>
        <v>#REF!</v>
      </c>
      <c r="FU139" t="e">
        <f>AND(#REF!,"AAAAAD3ve7A=")</f>
        <v>#REF!</v>
      </c>
      <c r="FV139" t="e">
        <f>AND(#REF!,"AAAAAD3ve7E=")</f>
        <v>#REF!</v>
      </c>
      <c r="FW139" t="e">
        <f>AND(#REF!,"AAAAAD3ve7I=")</f>
        <v>#REF!</v>
      </c>
      <c r="FX139" t="e">
        <f>AND(#REF!,"AAAAAD3ve7M=")</f>
        <v>#REF!</v>
      </c>
      <c r="FY139" t="e">
        <f>AND(#REF!,"AAAAAD3ve7Q=")</f>
        <v>#REF!</v>
      </c>
      <c r="FZ139" t="e">
        <f>AND(#REF!,"AAAAAD3ve7U=")</f>
        <v>#REF!</v>
      </c>
      <c r="GA139" t="e">
        <f>AND(#REF!,"AAAAAD3ve7Y=")</f>
        <v>#REF!</v>
      </c>
      <c r="GB139" t="e">
        <f>AND(#REF!,"AAAAAD3ve7c=")</f>
        <v>#REF!</v>
      </c>
      <c r="GC139" t="e">
        <f>AND(#REF!,"AAAAAD3ve7g=")</f>
        <v>#REF!</v>
      </c>
      <c r="GD139" t="e">
        <f>AND(#REF!,"AAAAAD3ve7k=")</f>
        <v>#REF!</v>
      </c>
      <c r="GE139" t="e">
        <f>AND(#REF!,"AAAAAD3ve7o=")</f>
        <v>#REF!</v>
      </c>
      <c r="GF139" t="e">
        <f>AND(#REF!,"AAAAAD3ve7s=")</f>
        <v>#REF!</v>
      </c>
      <c r="GG139" t="e">
        <f>AND(#REF!,"AAAAAD3ve7w=")</f>
        <v>#REF!</v>
      </c>
      <c r="GH139" t="e">
        <f>AND(#REF!,"AAAAAD3ve70=")</f>
        <v>#REF!</v>
      </c>
      <c r="GI139" t="e">
        <f>AND(#REF!,"AAAAAD3ve74=")</f>
        <v>#REF!</v>
      </c>
      <c r="GJ139" t="e">
        <f>AND(#REF!,"AAAAAD3ve78=")</f>
        <v>#REF!</v>
      </c>
      <c r="GK139" t="e">
        <f>AND(#REF!,"AAAAAD3ve8A=")</f>
        <v>#REF!</v>
      </c>
      <c r="GL139" t="e">
        <f>AND(#REF!,"AAAAAD3ve8E=")</f>
        <v>#REF!</v>
      </c>
      <c r="GM139" t="e">
        <f>AND(#REF!,"AAAAAD3ve8I=")</f>
        <v>#REF!</v>
      </c>
      <c r="GN139" t="e">
        <f>AND(#REF!,"AAAAAD3ve8M=")</f>
        <v>#REF!</v>
      </c>
      <c r="GO139" t="e">
        <f>AND(#REF!,"AAAAAD3ve8Q=")</f>
        <v>#REF!</v>
      </c>
      <c r="GP139" t="e">
        <f>AND(#REF!,"AAAAAD3ve8U=")</f>
        <v>#REF!</v>
      </c>
      <c r="GQ139" t="e">
        <f>AND(#REF!,"AAAAAD3ve8Y=")</f>
        <v>#REF!</v>
      </c>
      <c r="GR139" t="e">
        <f>AND(#REF!,"AAAAAD3ve8c=")</f>
        <v>#REF!</v>
      </c>
      <c r="GS139" t="e">
        <f>AND(#REF!,"AAAAAD3ve8g=")</f>
        <v>#REF!</v>
      </c>
      <c r="GT139" t="e">
        <f>AND(#REF!,"AAAAAD3ve8k=")</f>
        <v>#REF!</v>
      </c>
      <c r="GU139" t="e">
        <f>AND(#REF!,"AAAAAD3ve8o=")</f>
        <v>#REF!</v>
      </c>
      <c r="GV139" t="e">
        <f>AND(#REF!,"AAAAAD3ve8s=")</f>
        <v>#REF!</v>
      </c>
      <c r="GW139" t="e">
        <f>AND(#REF!,"AAAAAD3ve8w=")</f>
        <v>#REF!</v>
      </c>
      <c r="GX139" t="e">
        <f>AND(#REF!,"AAAAAD3ve80=")</f>
        <v>#REF!</v>
      </c>
      <c r="GY139" t="e">
        <f>AND(#REF!,"AAAAAD3ve84=")</f>
        <v>#REF!</v>
      </c>
      <c r="GZ139" t="e">
        <f>AND(#REF!,"AAAAAD3ve88=")</f>
        <v>#REF!</v>
      </c>
      <c r="HA139" t="e">
        <f>AND(#REF!,"AAAAAD3ve9A=")</f>
        <v>#REF!</v>
      </c>
      <c r="HB139" t="e">
        <f>AND(#REF!,"AAAAAD3ve9E=")</f>
        <v>#REF!</v>
      </c>
      <c r="HC139" t="e">
        <f>AND(#REF!,"AAAAAD3ve9I=")</f>
        <v>#REF!</v>
      </c>
      <c r="HD139" t="e">
        <f>AND(#REF!,"AAAAAD3ve9M=")</f>
        <v>#REF!</v>
      </c>
      <c r="HE139" t="e">
        <f>AND(#REF!,"AAAAAD3ve9Q=")</f>
        <v>#REF!</v>
      </c>
      <c r="HF139" t="e">
        <f>AND(#REF!,"AAAAAD3ve9U=")</f>
        <v>#REF!</v>
      </c>
      <c r="HG139" t="e">
        <f>AND(#REF!,"AAAAAD3ve9Y=")</f>
        <v>#REF!</v>
      </c>
      <c r="HH139" t="e">
        <f>AND(#REF!,"AAAAAD3ve9c=")</f>
        <v>#REF!</v>
      </c>
      <c r="HI139" t="e">
        <f>AND(#REF!,"AAAAAD3ve9g=")</f>
        <v>#REF!</v>
      </c>
      <c r="HJ139" t="e">
        <f>AND(#REF!,"AAAAAD3ve9k=")</f>
        <v>#REF!</v>
      </c>
      <c r="HK139" t="e">
        <f>AND(#REF!,"AAAAAD3ve9o=")</f>
        <v>#REF!</v>
      </c>
      <c r="HL139" t="e">
        <f>AND(#REF!,"AAAAAD3ve9s=")</f>
        <v>#REF!</v>
      </c>
      <c r="HM139" t="e">
        <f>AND(#REF!,"AAAAAD3ve9w=")</f>
        <v>#REF!</v>
      </c>
      <c r="HN139" t="e">
        <f>AND(#REF!,"AAAAAD3ve90=")</f>
        <v>#REF!</v>
      </c>
      <c r="HO139" t="e">
        <f>AND(#REF!,"AAAAAD3ve94=")</f>
        <v>#REF!</v>
      </c>
      <c r="HP139" t="e">
        <f>AND(#REF!,"AAAAAD3ve98=")</f>
        <v>#REF!</v>
      </c>
      <c r="HQ139" t="e">
        <f>AND(#REF!,"AAAAAD3ve+A=")</f>
        <v>#REF!</v>
      </c>
      <c r="HR139" t="e">
        <f>AND(#REF!,"AAAAAD3ve+E=")</f>
        <v>#REF!</v>
      </c>
      <c r="HS139" t="e">
        <f>AND(#REF!,"AAAAAD3ve+I=")</f>
        <v>#REF!</v>
      </c>
      <c r="HT139" t="e">
        <f>AND(#REF!,"AAAAAD3ve+M=")</f>
        <v>#REF!</v>
      </c>
      <c r="HU139" t="e">
        <f>AND(#REF!,"AAAAAD3ve+Q=")</f>
        <v>#REF!</v>
      </c>
      <c r="HV139" t="e">
        <f>AND(#REF!,"AAAAAD3ve+U=")</f>
        <v>#REF!</v>
      </c>
      <c r="HW139" t="e">
        <f>AND(#REF!,"AAAAAD3ve+Y=")</f>
        <v>#REF!</v>
      </c>
      <c r="HX139" t="e">
        <f>AND(#REF!,"AAAAAD3ve+c=")</f>
        <v>#REF!</v>
      </c>
      <c r="HY139" t="e">
        <f>AND(#REF!,"AAAAAD3ve+g=")</f>
        <v>#REF!</v>
      </c>
      <c r="HZ139" t="e">
        <f>AND(#REF!,"AAAAAD3ve+k=")</f>
        <v>#REF!</v>
      </c>
      <c r="IA139" t="e">
        <f>AND(#REF!,"AAAAAD3ve+o=")</f>
        <v>#REF!</v>
      </c>
      <c r="IB139" t="e">
        <f>AND(#REF!,"AAAAAD3ve+s=")</f>
        <v>#REF!</v>
      </c>
      <c r="IC139" t="e">
        <f>AND(#REF!,"AAAAAD3ve+w=")</f>
        <v>#REF!</v>
      </c>
      <c r="ID139" t="e">
        <f>AND(#REF!,"AAAAAD3ve+0=")</f>
        <v>#REF!</v>
      </c>
      <c r="IE139" t="e">
        <f>AND(#REF!,"AAAAAD3ve+4=")</f>
        <v>#REF!</v>
      </c>
      <c r="IF139" t="e">
        <f>AND(#REF!,"AAAAAD3ve+8=")</f>
        <v>#REF!</v>
      </c>
      <c r="IG139" t="e">
        <f>AND(#REF!,"AAAAAD3ve/A=")</f>
        <v>#REF!</v>
      </c>
      <c r="IH139" t="e">
        <f>AND(#REF!,"AAAAAD3ve/E=")</f>
        <v>#REF!</v>
      </c>
      <c r="II139" t="e">
        <f>AND(#REF!,"AAAAAD3ve/I=")</f>
        <v>#REF!</v>
      </c>
      <c r="IJ139" t="e">
        <f>AND(#REF!,"AAAAAD3ve/M=")</f>
        <v>#REF!</v>
      </c>
      <c r="IK139" t="e">
        <f>AND(#REF!,"AAAAAD3ve/Q=")</f>
        <v>#REF!</v>
      </c>
      <c r="IL139" t="e">
        <f>AND(#REF!,"AAAAAD3ve/U=")</f>
        <v>#REF!</v>
      </c>
      <c r="IM139" t="e">
        <f>AND(#REF!,"AAAAAD3ve/Y=")</f>
        <v>#REF!</v>
      </c>
      <c r="IN139" t="e">
        <f>AND(#REF!,"AAAAAD3ve/c=")</f>
        <v>#REF!</v>
      </c>
      <c r="IO139" t="e">
        <f>AND(#REF!,"AAAAAD3ve/g=")</f>
        <v>#REF!</v>
      </c>
      <c r="IP139" t="e">
        <f>AND(#REF!,"AAAAAD3ve/k=")</f>
        <v>#REF!</v>
      </c>
      <c r="IQ139" t="e">
        <f>AND(#REF!,"AAAAAD3ve/o=")</f>
        <v>#REF!</v>
      </c>
      <c r="IR139" t="e">
        <f>AND(#REF!,"AAAAAD3ve/s=")</f>
        <v>#REF!</v>
      </c>
      <c r="IS139" t="e">
        <f>AND(#REF!,"AAAAAD3ve/w=")</f>
        <v>#REF!</v>
      </c>
      <c r="IT139" t="e">
        <f>AND(#REF!,"AAAAAD3ve/0=")</f>
        <v>#REF!</v>
      </c>
      <c r="IU139" t="e">
        <f>AND(#REF!,"AAAAAD3ve/4=")</f>
        <v>#REF!</v>
      </c>
      <c r="IV139" t="e">
        <f>AND(#REF!,"AAAAAD3ve/8=")</f>
        <v>#REF!</v>
      </c>
    </row>
    <row r="140" spans="1:256" x14ac:dyDescent="0.25">
      <c r="A140" t="e">
        <f>AND(#REF!,"AAAAAD2v/QA=")</f>
        <v>#REF!</v>
      </c>
      <c r="B140" t="e">
        <f>AND(#REF!,"AAAAAD2v/QE=")</f>
        <v>#REF!</v>
      </c>
      <c r="C140" t="e">
        <f>AND(#REF!,"AAAAAD2v/QI=")</f>
        <v>#REF!</v>
      </c>
      <c r="D140" t="e">
        <f>AND(#REF!,"AAAAAD2v/QM=")</f>
        <v>#REF!</v>
      </c>
      <c r="E140" t="e">
        <f>AND(#REF!,"AAAAAD2v/QQ=")</f>
        <v>#REF!</v>
      </c>
      <c r="F140" t="e">
        <f>AND(#REF!,"AAAAAD2v/QU=")</f>
        <v>#REF!</v>
      </c>
      <c r="G140" t="e">
        <f>AND(#REF!,"AAAAAD2v/QY=")</f>
        <v>#REF!</v>
      </c>
      <c r="H140" t="e">
        <f>AND(#REF!,"AAAAAD2v/Qc=")</f>
        <v>#REF!</v>
      </c>
      <c r="I140" t="e">
        <f>AND(#REF!,"AAAAAD2v/Qg=")</f>
        <v>#REF!</v>
      </c>
      <c r="J140" t="e">
        <f>AND(#REF!,"AAAAAD2v/Qk=")</f>
        <v>#REF!</v>
      </c>
      <c r="K140" t="e">
        <f>AND(#REF!,"AAAAAD2v/Qo=")</f>
        <v>#REF!</v>
      </c>
      <c r="L140" t="e">
        <f>AND(#REF!,"AAAAAD2v/Qs=")</f>
        <v>#REF!</v>
      </c>
      <c r="M140" t="e">
        <f>AND(#REF!,"AAAAAD2v/Qw=")</f>
        <v>#REF!</v>
      </c>
      <c r="N140" t="e">
        <f>AND(#REF!,"AAAAAD2v/Q0=")</f>
        <v>#REF!</v>
      </c>
      <c r="O140" t="e">
        <f>AND(#REF!,"AAAAAD2v/Q4=")</f>
        <v>#REF!</v>
      </c>
      <c r="P140" t="e">
        <f>AND(#REF!,"AAAAAD2v/Q8=")</f>
        <v>#REF!</v>
      </c>
      <c r="Q140" t="e">
        <f>AND(#REF!,"AAAAAD2v/RA=")</f>
        <v>#REF!</v>
      </c>
      <c r="R140" t="e">
        <f>AND(#REF!,"AAAAAD2v/RE=")</f>
        <v>#REF!</v>
      </c>
      <c r="S140" t="e">
        <f>AND(#REF!,"AAAAAD2v/RI=")</f>
        <v>#REF!</v>
      </c>
      <c r="T140" t="e">
        <f>AND(#REF!,"AAAAAD2v/RM=")</f>
        <v>#REF!</v>
      </c>
      <c r="U140" t="e">
        <f>AND(#REF!,"AAAAAD2v/RQ=")</f>
        <v>#REF!</v>
      </c>
      <c r="V140" t="e">
        <f>AND(#REF!,"AAAAAD2v/RU=")</f>
        <v>#REF!</v>
      </c>
      <c r="W140" t="e">
        <f>AND(#REF!,"AAAAAD2v/RY=")</f>
        <v>#REF!</v>
      </c>
      <c r="X140" t="e">
        <f>AND(#REF!,"AAAAAD2v/Rc=")</f>
        <v>#REF!</v>
      </c>
      <c r="Y140" t="e">
        <f>AND(#REF!,"AAAAAD2v/Rg=")</f>
        <v>#REF!</v>
      </c>
      <c r="Z140" t="e">
        <f>AND(#REF!,"AAAAAD2v/Rk=")</f>
        <v>#REF!</v>
      </c>
      <c r="AA140" t="e">
        <f>AND(#REF!,"AAAAAD2v/Ro=")</f>
        <v>#REF!</v>
      </c>
      <c r="AB140" t="e">
        <f>AND(#REF!,"AAAAAD2v/Rs=")</f>
        <v>#REF!</v>
      </c>
      <c r="AC140" t="e">
        <f>AND(#REF!,"AAAAAD2v/Rw=")</f>
        <v>#REF!</v>
      </c>
      <c r="AD140" t="e">
        <f>AND(#REF!,"AAAAAD2v/R0=")</f>
        <v>#REF!</v>
      </c>
      <c r="AE140" t="e">
        <f>AND(#REF!,"AAAAAD2v/R4=")</f>
        <v>#REF!</v>
      </c>
      <c r="AF140" t="e">
        <f>AND(#REF!,"AAAAAD2v/R8=")</f>
        <v>#REF!</v>
      </c>
      <c r="AG140" t="e">
        <f>AND(#REF!,"AAAAAD2v/SA=")</f>
        <v>#REF!</v>
      </c>
      <c r="AH140" t="e">
        <f>AND(#REF!,"AAAAAD2v/SE=")</f>
        <v>#REF!</v>
      </c>
      <c r="AI140" t="e">
        <f>AND(#REF!,"AAAAAD2v/SI=")</f>
        <v>#REF!</v>
      </c>
      <c r="AJ140" t="e">
        <f>AND(#REF!,"AAAAAD2v/SM=")</f>
        <v>#REF!</v>
      </c>
      <c r="AK140" t="e">
        <f>AND(#REF!,"AAAAAD2v/SQ=")</f>
        <v>#REF!</v>
      </c>
      <c r="AL140" t="e">
        <f>AND(#REF!,"AAAAAD2v/SU=")</f>
        <v>#REF!</v>
      </c>
      <c r="AM140" t="e">
        <f>AND(#REF!,"AAAAAD2v/SY=")</f>
        <v>#REF!</v>
      </c>
      <c r="AN140" t="e">
        <f>AND(#REF!,"AAAAAD2v/Sc=")</f>
        <v>#REF!</v>
      </c>
      <c r="AO140" t="e">
        <f>AND(#REF!,"AAAAAD2v/Sg=")</f>
        <v>#REF!</v>
      </c>
      <c r="AP140" t="e">
        <f>AND(#REF!,"AAAAAD2v/Sk=")</f>
        <v>#REF!</v>
      </c>
      <c r="AQ140" t="e">
        <f>AND(#REF!,"AAAAAD2v/So=")</f>
        <v>#REF!</v>
      </c>
      <c r="AR140" t="e">
        <f>AND(#REF!,"AAAAAD2v/Ss=")</f>
        <v>#REF!</v>
      </c>
      <c r="AS140" t="e">
        <f>AND(#REF!,"AAAAAD2v/Sw=")</f>
        <v>#REF!</v>
      </c>
      <c r="AT140" t="e">
        <f>AND(#REF!,"AAAAAD2v/S0=")</f>
        <v>#REF!</v>
      </c>
      <c r="AU140" t="e">
        <f>AND(#REF!,"AAAAAD2v/S4=")</f>
        <v>#REF!</v>
      </c>
      <c r="AV140" t="e">
        <f>AND(#REF!,"AAAAAD2v/S8=")</f>
        <v>#REF!</v>
      </c>
      <c r="AW140" t="e">
        <f>AND(#REF!,"AAAAAD2v/TA=")</f>
        <v>#REF!</v>
      </c>
      <c r="AX140" t="e">
        <f>AND(#REF!,"AAAAAD2v/TE=")</f>
        <v>#REF!</v>
      </c>
      <c r="AY140" t="e">
        <f>AND(#REF!,"AAAAAD2v/TI=")</f>
        <v>#REF!</v>
      </c>
      <c r="AZ140" t="e">
        <f>AND(#REF!,"AAAAAD2v/TM=")</f>
        <v>#REF!</v>
      </c>
      <c r="BA140" t="e">
        <f>AND(#REF!,"AAAAAD2v/TQ=")</f>
        <v>#REF!</v>
      </c>
      <c r="BB140" t="e">
        <f>AND(#REF!,"AAAAAD2v/TU=")</f>
        <v>#REF!</v>
      </c>
      <c r="BC140" t="e">
        <f>AND(#REF!,"AAAAAD2v/TY=")</f>
        <v>#REF!</v>
      </c>
      <c r="BD140" t="e">
        <f>AND(#REF!,"AAAAAD2v/Tc=")</f>
        <v>#REF!</v>
      </c>
      <c r="BE140" t="e">
        <f>AND(#REF!,"AAAAAD2v/Tg=")</f>
        <v>#REF!</v>
      </c>
      <c r="BF140" t="e">
        <f>AND(#REF!,"AAAAAD2v/Tk=")</f>
        <v>#REF!</v>
      </c>
      <c r="BG140" t="e">
        <f>AND(#REF!,"AAAAAD2v/To=")</f>
        <v>#REF!</v>
      </c>
      <c r="BH140" t="e">
        <f>AND(#REF!,"AAAAAD2v/Ts=")</f>
        <v>#REF!</v>
      </c>
      <c r="BI140" t="e">
        <f>AND(#REF!,"AAAAAD2v/Tw=")</f>
        <v>#REF!</v>
      </c>
      <c r="BJ140" t="e">
        <f>AND(#REF!,"AAAAAD2v/T0=")</f>
        <v>#REF!</v>
      </c>
      <c r="BK140" t="e">
        <f>AND(#REF!,"AAAAAD2v/T4=")</f>
        <v>#REF!</v>
      </c>
      <c r="BL140" t="e">
        <f>AND(#REF!,"AAAAAD2v/T8=")</f>
        <v>#REF!</v>
      </c>
      <c r="BM140" t="e">
        <f>AND(#REF!,"AAAAAD2v/UA=")</f>
        <v>#REF!</v>
      </c>
      <c r="BN140" t="e">
        <f>AND(#REF!,"AAAAAD2v/UE=")</f>
        <v>#REF!</v>
      </c>
      <c r="BO140" t="e">
        <f>AND(#REF!,"AAAAAD2v/UI=")</f>
        <v>#REF!</v>
      </c>
      <c r="BP140" t="e">
        <f>AND(#REF!,"AAAAAD2v/UM=")</f>
        <v>#REF!</v>
      </c>
      <c r="BQ140" t="e">
        <f>AND(#REF!,"AAAAAD2v/UQ=")</f>
        <v>#REF!</v>
      </c>
      <c r="BR140" t="e">
        <f>AND(#REF!,"AAAAAD2v/UU=")</f>
        <v>#REF!</v>
      </c>
      <c r="BS140" t="e">
        <f>AND(#REF!,"AAAAAD2v/UY=")</f>
        <v>#REF!</v>
      </c>
      <c r="BT140" t="e">
        <f>AND(#REF!,"AAAAAD2v/Uc=")</f>
        <v>#REF!</v>
      </c>
      <c r="BU140" t="e">
        <f>AND(#REF!,"AAAAAD2v/Ug=")</f>
        <v>#REF!</v>
      </c>
      <c r="BV140" t="e">
        <f>AND(#REF!,"AAAAAD2v/Uk=")</f>
        <v>#REF!</v>
      </c>
      <c r="BW140" t="e">
        <f>AND(#REF!,"AAAAAD2v/Uo=")</f>
        <v>#REF!</v>
      </c>
      <c r="BX140" t="e">
        <f>AND(#REF!,"AAAAAD2v/Us=")</f>
        <v>#REF!</v>
      </c>
      <c r="BY140" t="e">
        <f>AND(#REF!,"AAAAAD2v/Uw=")</f>
        <v>#REF!</v>
      </c>
      <c r="BZ140" t="e">
        <f>AND(#REF!,"AAAAAD2v/U0=")</f>
        <v>#REF!</v>
      </c>
      <c r="CA140" t="e">
        <f>AND(#REF!,"AAAAAD2v/U4=")</f>
        <v>#REF!</v>
      </c>
      <c r="CB140" t="e">
        <f>AND(#REF!,"AAAAAD2v/U8=")</f>
        <v>#REF!</v>
      </c>
      <c r="CC140" t="e">
        <f>AND(#REF!,"AAAAAD2v/VA=")</f>
        <v>#REF!</v>
      </c>
      <c r="CD140" t="e">
        <f>AND(#REF!,"AAAAAD2v/VE=")</f>
        <v>#REF!</v>
      </c>
      <c r="CE140" t="e">
        <f>AND(#REF!,"AAAAAD2v/VI=")</f>
        <v>#REF!</v>
      </c>
      <c r="CF140" t="e">
        <f>AND(#REF!,"AAAAAD2v/VM=")</f>
        <v>#REF!</v>
      </c>
      <c r="CG140" t="e">
        <f>AND(#REF!,"AAAAAD2v/VQ=")</f>
        <v>#REF!</v>
      </c>
      <c r="CH140" t="e">
        <f>AND(#REF!,"AAAAAD2v/VU=")</f>
        <v>#REF!</v>
      </c>
      <c r="CI140" t="e">
        <f>AND(#REF!,"AAAAAD2v/VY=")</f>
        <v>#REF!</v>
      </c>
      <c r="CJ140" t="e">
        <f>AND(#REF!,"AAAAAD2v/Vc=")</f>
        <v>#REF!</v>
      </c>
      <c r="CK140" t="e">
        <f>AND(#REF!,"AAAAAD2v/Vg=")</f>
        <v>#REF!</v>
      </c>
      <c r="CL140" t="e">
        <f>AND(#REF!,"AAAAAD2v/Vk=")</f>
        <v>#REF!</v>
      </c>
      <c r="CM140" t="e">
        <f>AND(#REF!,"AAAAAD2v/Vo=")</f>
        <v>#REF!</v>
      </c>
      <c r="CN140" t="e">
        <f>AND(#REF!,"AAAAAD2v/Vs=")</f>
        <v>#REF!</v>
      </c>
      <c r="CO140" t="e">
        <f>AND(#REF!,"AAAAAD2v/Vw=")</f>
        <v>#REF!</v>
      </c>
      <c r="CP140" t="e">
        <f>AND(#REF!,"AAAAAD2v/V0=")</f>
        <v>#REF!</v>
      </c>
      <c r="CQ140" t="e">
        <f>AND(#REF!,"AAAAAD2v/V4=")</f>
        <v>#REF!</v>
      </c>
      <c r="CR140" t="e">
        <f>AND(#REF!,"AAAAAD2v/V8=")</f>
        <v>#REF!</v>
      </c>
      <c r="CS140" t="e">
        <f>AND(#REF!,"AAAAAD2v/WA=")</f>
        <v>#REF!</v>
      </c>
      <c r="CT140" t="e">
        <f>AND(#REF!,"AAAAAD2v/WE=")</f>
        <v>#REF!</v>
      </c>
      <c r="CU140" t="e">
        <f>AND(#REF!,"AAAAAD2v/WI=")</f>
        <v>#REF!</v>
      </c>
      <c r="CV140" t="e">
        <f>AND(#REF!,"AAAAAD2v/WM=")</f>
        <v>#REF!</v>
      </c>
      <c r="CW140" t="e">
        <f>AND(#REF!,"AAAAAD2v/WQ=")</f>
        <v>#REF!</v>
      </c>
      <c r="CX140" t="e">
        <f>AND(#REF!,"AAAAAD2v/WU=")</f>
        <v>#REF!</v>
      </c>
      <c r="CY140" t="e">
        <f>IF(#REF!,"AAAAAD2v/WY=",0)</f>
        <v>#REF!</v>
      </c>
      <c r="CZ140" t="e">
        <f>AND(#REF!,"AAAAAD2v/Wc=")</f>
        <v>#REF!</v>
      </c>
      <c r="DA140" t="e">
        <f>AND(#REF!,"AAAAAD2v/Wg=")</f>
        <v>#REF!</v>
      </c>
      <c r="DB140" t="e">
        <f>AND(#REF!,"AAAAAD2v/Wk=")</f>
        <v>#REF!</v>
      </c>
      <c r="DC140" t="e">
        <f>AND(#REF!,"AAAAAD2v/Wo=")</f>
        <v>#REF!</v>
      </c>
      <c r="DD140" t="e">
        <f>AND(#REF!,"AAAAAD2v/Ws=")</f>
        <v>#REF!</v>
      </c>
      <c r="DE140" t="e">
        <f>AND(#REF!,"AAAAAD2v/Ww=")</f>
        <v>#REF!</v>
      </c>
      <c r="DF140" t="e">
        <f>AND(#REF!,"AAAAAD2v/W0=")</f>
        <v>#REF!</v>
      </c>
      <c r="DG140" t="e">
        <f>AND(#REF!,"AAAAAD2v/W4=")</f>
        <v>#REF!</v>
      </c>
      <c r="DH140" t="e">
        <f>AND(#REF!,"AAAAAD2v/W8=")</f>
        <v>#REF!</v>
      </c>
      <c r="DI140" t="e">
        <f>AND(#REF!,"AAAAAD2v/XA=")</f>
        <v>#REF!</v>
      </c>
      <c r="DJ140" t="e">
        <f>AND(#REF!,"AAAAAD2v/XE=")</f>
        <v>#REF!</v>
      </c>
      <c r="DK140" t="e">
        <f>AND(#REF!,"AAAAAD2v/XI=")</f>
        <v>#REF!</v>
      </c>
      <c r="DL140" t="e">
        <f>AND(#REF!,"AAAAAD2v/XM=")</f>
        <v>#REF!</v>
      </c>
      <c r="DM140" t="e">
        <f>AND(#REF!,"AAAAAD2v/XQ=")</f>
        <v>#REF!</v>
      </c>
      <c r="DN140" t="e">
        <f>AND(#REF!,"AAAAAD2v/XU=")</f>
        <v>#REF!</v>
      </c>
      <c r="DO140" t="e">
        <f>AND(#REF!,"AAAAAD2v/XY=")</f>
        <v>#REF!</v>
      </c>
      <c r="DP140" t="e">
        <f>AND(#REF!,"AAAAAD2v/Xc=")</f>
        <v>#REF!</v>
      </c>
      <c r="DQ140" t="e">
        <f>AND(#REF!,"AAAAAD2v/Xg=")</f>
        <v>#REF!</v>
      </c>
      <c r="DR140" t="e">
        <f>AND(#REF!,"AAAAAD2v/Xk=")</f>
        <v>#REF!</v>
      </c>
      <c r="DS140" t="e">
        <f>AND(#REF!,"AAAAAD2v/Xo=")</f>
        <v>#REF!</v>
      </c>
      <c r="DT140" t="e">
        <f>AND(#REF!,"AAAAAD2v/Xs=")</f>
        <v>#REF!</v>
      </c>
      <c r="DU140" t="e">
        <f>AND(#REF!,"AAAAAD2v/Xw=")</f>
        <v>#REF!</v>
      </c>
      <c r="DV140" t="e">
        <f>AND(#REF!,"AAAAAD2v/X0=")</f>
        <v>#REF!</v>
      </c>
      <c r="DW140" t="e">
        <f>AND(#REF!,"AAAAAD2v/X4=")</f>
        <v>#REF!</v>
      </c>
      <c r="DX140" t="e">
        <f>AND(#REF!,"AAAAAD2v/X8=")</f>
        <v>#REF!</v>
      </c>
      <c r="DY140" t="e">
        <f>AND(#REF!,"AAAAAD2v/YA=")</f>
        <v>#REF!</v>
      </c>
      <c r="DZ140" t="e">
        <f>AND(#REF!,"AAAAAD2v/YE=")</f>
        <v>#REF!</v>
      </c>
      <c r="EA140" t="e">
        <f>AND(#REF!,"AAAAAD2v/YI=")</f>
        <v>#REF!</v>
      </c>
      <c r="EB140" t="e">
        <f>AND(#REF!,"AAAAAD2v/YM=")</f>
        <v>#REF!</v>
      </c>
      <c r="EC140" t="e">
        <f>AND(#REF!,"AAAAAD2v/YQ=")</f>
        <v>#REF!</v>
      </c>
      <c r="ED140" t="e">
        <f>AND(#REF!,"AAAAAD2v/YU=")</f>
        <v>#REF!</v>
      </c>
      <c r="EE140" t="e">
        <f>AND(#REF!,"AAAAAD2v/YY=")</f>
        <v>#REF!</v>
      </c>
      <c r="EF140" t="e">
        <f>AND(#REF!,"AAAAAD2v/Yc=")</f>
        <v>#REF!</v>
      </c>
      <c r="EG140" t="e">
        <f>AND(#REF!,"AAAAAD2v/Yg=")</f>
        <v>#REF!</v>
      </c>
      <c r="EH140" t="e">
        <f>AND(#REF!,"AAAAAD2v/Yk=")</f>
        <v>#REF!</v>
      </c>
      <c r="EI140" t="e">
        <f>AND(#REF!,"AAAAAD2v/Yo=")</f>
        <v>#REF!</v>
      </c>
      <c r="EJ140" t="e">
        <f>AND(#REF!,"AAAAAD2v/Ys=")</f>
        <v>#REF!</v>
      </c>
      <c r="EK140" t="e">
        <f>AND(#REF!,"AAAAAD2v/Yw=")</f>
        <v>#REF!</v>
      </c>
      <c r="EL140" t="e">
        <f>AND(#REF!,"AAAAAD2v/Y0=")</f>
        <v>#REF!</v>
      </c>
      <c r="EM140" t="e">
        <f>AND(#REF!,"AAAAAD2v/Y4=")</f>
        <v>#REF!</v>
      </c>
      <c r="EN140" t="e">
        <f>AND(#REF!,"AAAAAD2v/Y8=")</f>
        <v>#REF!</v>
      </c>
      <c r="EO140" t="e">
        <f>AND(#REF!,"AAAAAD2v/ZA=")</f>
        <v>#REF!</v>
      </c>
      <c r="EP140" t="e">
        <f>AND(#REF!,"AAAAAD2v/ZE=")</f>
        <v>#REF!</v>
      </c>
      <c r="EQ140" t="e">
        <f>AND(#REF!,"AAAAAD2v/ZI=")</f>
        <v>#REF!</v>
      </c>
      <c r="ER140" t="e">
        <f>AND(#REF!,"AAAAAD2v/ZM=")</f>
        <v>#REF!</v>
      </c>
      <c r="ES140" t="e">
        <f>AND(#REF!,"AAAAAD2v/ZQ=")</f>
        <v>#REF!</v>
      </c>
      <c r="ET140" t="e">
        <f>AND(#REF!,"AAAAAD2v/ZU=")</f>
        <v>#REF!</v>
      </c>
      <c r="EU140" t="e">
        <f>AND(#REF!,"AAAAAD2v/ZY=")</f>
        <v>#REF!</v>
      </c>
      <c r="EV140" t="e">
        <f>AND(#REF!,"AAAAAD2v/Zc=")</f>
        <v>#REF!</v>
      </c>
      <c r="EW140" t="e">
        <f>AND(#REF!,"AAAAAD2v/Zg=")</f>
        <v>#REF!</v>
      </c>
      <c r="EX140" t="e">
        <f>AND(#REF!,"AAAAAD2v/Zk=")</f>
        <v>#REF!</v>
      </c>
      <c r="EY140" t="e">
        <f>AND(#REF!,"AAAAAD2v/Zo=")</f>
        <v>#REF!</v>
      </c>
      <c r="EZ140" t="e">
        <f>AND(#REF!,"AAAAAD2v/Zs=")</f>
        <v>#REF!</v>
      </c>
      <c r="FA140" t="e">
        <f>AND(#REF!,"AAAAAD2v/Zw=")</f>
        <v>#REF!</v>
      </c>
      <c r="FB140" t="e">
        <f>AND(#REF!,"AAAAAD2v/Z0=")</f>
        <v>#REF!</v>
      </c>
      <c r="FC140" t="e">
        <f>AND(#REF!,"AAAAAD2v/Z4=")</f>
        <v>#REF!</v>
      </c>
      <c r="FD140" t="e">
        <f>AND(#REF!,"AAAAAD2v/Z8=")</f>
        <v>#REF!</v>
      </c>
      <c r="FE140" t="e">
        <f>AND(#REF!,"AAAAAD2v/aA=")</f>
        <v>#REF!</v>
      </c>
      <c r="FF140" t="e">
        <f>AND(#REF!,"AAAAAD2v/aE=")</f>
        <v>#REF!</v>
      </c>
      <c r="FG140" t="e">
        <f>AND(#REF!,"AAAAAD2v/aI=")</f>
        <v>#REF!</v>
      </c>
      <c r="FH140" t="e">
        <f>AND(#REF!,"AAAAAD2v/aM=")</f>
        <v>#REF!</v>
      </c>
      <c r="FI140" t="e">
        <f>AND(#REF!,"AAAAAD2v/aQ=")</f>
        <v>#REF!</v>
      </c>
      <c r="FJ140" t="e">
        <f>AND(#REF!,"AAAAAD2v/aU=")</f>
        <v>#REF!</v>
      </c>
      <c r="FK140" t="e">
        <f>AND(#REF!,"AAAAAD2v/aY=")</f>
        <v>#REF!</v>
      </c>
      <c r="FL140" t="e">
        <f>AND(#REF!,"AAAAAD2v/ac=")</f>
        <v>#REF!</v>
      </c>
      <c r="FM140" t="e">
        <f>AND(#REF!,"AAAAAD2v/ag=")</f>
        <v>#REF!</v>
      </c>
      <c r="FN140" t="e">
        <f>AND(#REF!,"AAAAAD2v/ak=")</f>
        <v>#REF!</v>
      </c>
      <c r="FO140" t="e">
        <f>AND(#REF!,"AAAAAD2v/ao=")</f>
        <v>#REF!</v>
      </c>
      <c r="FP140" t="e">
        <f>AND(#REF!,"AAAAAD2v/as=")</f>
        <v>#REF!</v>
      </c>
      <c r="FQ140" t="e">
        <f>AND(#REF!,"AAAAAD2v/aw=")</f>
        <v>#REF!</v>
      </c>
      <c r="FR140" t="e">
        <f>AND(#REF!,"AAAAAD2v/a0=")</f>
        <v>#REF!</v>
      </c>
      <c r="FS140" t="e">
        <f>AND(#REF!,"AAAAAD2v/a4=")</f>
        <v>#REF!</v>
      </c>
      <c r="FT140" t="e">
        <f>AND(#REF!,"AAAAAD2v/a8=")</f>
        <v>#REF!</v>
      </c>
      <c r="FU140" t="e">
        <f>AND(#REF!,"AAAAAD2v/bA=")</f>
        <v>#REF!</v>
      </c>
      <c r="FV140" t="e">
        <f>AND(#REF!,"AAAAAD2v/bE=")</f>
        <v>#REF!</v>
      </c>
      <c r="FW140" t="e">
        <f>AND(#REF!,"AAAAAD2v/bI=")</f>
        <v>#REF!</v>
      </c>
      <c r="FX140" t="e">
        <f>AND(#REF!,"AAAAAD2v/bM=")</f>
        <v>#REF!</v>
      </c>
      <c r="FY140" t="e">
        <f>AND(#REF!,"AAAAAD2v/bQ=")</f>
        <v>#REF!</v>
      </c>
      <c r="FZ140" t="e">
        <f>AND(#REF!,"AAAAAD2v/bU=")</f>
        <v>#REF!</v>
      </c>
      <c r="GA140" t="e">
        <f>AND(#REF!,"AAAAAD2v/bY=")</f>
        <v>#REF!</v>
      </c>
      <c r="GB140" t="e">
        <f>AND(#REF!,"AAAAAD2v/bc=")</f>
        <v>#REF!</v>
      </c>
      <c r="GC140" t="e">
        <f>AND(#REF!,"AAAAAD2v/bg=")</f>
        <v>#REF!</v>
      </c>
      <c r="GD140" t="e">
        <f>AND(#REF!,"AAAAAD2v/bk=")</f>
        <v>#REF!</v>
      </c>
      <c r="GE140" t="e">
        <f>AND(#REF!,"AAAAAD2v/bo=")</f>
        <v>#REF!</v>
      </c>
      <c r="GF140" t="e">
        <f>AND(#REF!,"AAAAAD2v/bs=")</f>
        <v>#REF!</v>
      </c>
      <c r="GG140" t="e">
        <f>AND(#REF!,"AAAAAD2v/bw=")</f>
        <v>#REF!</v>
      </c>
      <c r="GH140" t="e">
        <f>AND(#REF!,"AAAAAD2v/b0=")</f>
        <v>#REF!</v>
      </c>
      <c r="GI140" t="e">
        <f>AND(#REF!,"AAAAAD2v/b4=")</f>
        <v>#REF!</v>
      </c>
      <c r="GJ140" t="e">
        <f>AND(#REF!,"AAAAAD2v/b8=")</f>
        <v>#REF!</v>
      </c>
      <c r="GK140" t="e">
        <f>AND(#REF!,"AAAAAD2v/cA=")</f>
        <v>#REF!</v>
      </c>
      <c r="GL140" t="e">
        <f>AND(#REF!,"AAAAAD2v/cE=")</f>
        <v>#REF!</v>
      </c>
      <c r="GM140" t="e">
        <f>AND(#REF!,"AAAAAD2v/cI=")</f>
        <v>#REF!</v>
      </c>
      <c r="GN140" t="e">
        <f>AND(#REF!,"AAAAAD2v/cM=")</f>
        <v>#REF!</v>
      </c>
      <c r="GO140" t="e">
        <f>AND(#REF!,"AAAAAD2v/cQ=")</f>
        <v>#REF!</v>
      </c>
      <c r="GP140" t="e">
        <f>AND(#REF!,"AAAAAD2v/cU=")</f>
        <v>#REF!</v>
      </c>
      <c r="GQ140" t="e">
        <f>AND(#REF!,"AAAAAD2v/cY=")</f>
        <v>#REF!</v>
      </c>
      <c r="GR140" t="e">
        <f>AND(#REF!,"AAAAAD2v/cc=")</f>
        <v>#REF!</v>
      </c>
      <c r="GS140" t="e">
        <f>AND(#REF!,"AAAAAD2v/cg=")</f>
        <v>#REF!</v>
      </c>
      <c r="GT140" t="e">
        <f>AND(#REF!,"AAAAAD2v/ck=")</f>
        <v>#REF!</v>
      </c>
      <c r="GU140" t="e">
        <f>AND(#REF!,"AAAAAD2v/co=")</f>
        <v>#REF!</v>
      </c>
      <c r="GV140" t="e">
        <f>AND(#REF!,"AAAAAD2v/cs=")</f>
        <v>#REF!</v>
      </c>
      <c r="GW140" t="e">
        <f>AND(#REF!,"AAAAAD2v/cw=")</f>
        <v>#REF!</v>
      </c>
      <c r="GX140" t="e">
        <f>AND(#REF!,"AAAAAD2v/c0=")</f>
        <v>#REF!</v>
      </c>
      <c r="GY140" t="e">
        <f>AND(#REF!,"AAAAAD2v/c4=")</f>
        <v>#REF!</v>
      </c>
      <c r="GZ140" t="e">
        <f>AND(#REF!,"AAAAAD2v/c8=")</f>
        <v>#REF!</v>
      </c>
      <c r="HA140" t="e">
        <f>AND(#REF!,"AAAAAD2v/dA=")</f>
        <v>#REF!</v>
      </c>
      <c r="HB140" t="e">
        <f>AND(#REF!,"AAAAAD2v/dE=")</f>
        <v>#REF!</v>
      </c>
      <c r="HC140" t="e">
        <f>AND(#REF!,"AAAAAD2v/dI=")</f>
        <v>#REF!</v>
      </c>
      <c r="HD140" t="e">
        <f>AND(#REF!,"AAAAAD2v/dM=")</f>
        <v>#REF!</v>
      </c>
      <c r="HE140" t="e">
        <f>AND(#REF!,"AAAAAD2v/dQ=")</f>
        <v>#REF!</v>
      </c>
      <c r="HF140" t="e">
        <f>AND(#REF!,"AAAAAD2v/dU=")</f>
        <v>#REF!</v>
      </c>
      <c r="HG140" t="e">
        <f>AND(#REF!,"AAAAAD2v/dY=")</f>
        <v>#REF!</v>
      </c>
      <c r="HH140" t="e">
        <f>AND(#REF!,"AAAAAD2v/dc=")</f>
        <v>#REF!</v>
      </c>
      <c r="HI140" t="e">
        <f>AND(#REF!,"AAAAAD2v/dg=")</f>
        <v>#REF!</v>
      </c>
      <c r="HJ140" t="e">
        <f>AND(#REF!,"AAAAAD2v/dk=")</f>
        <v>#REF!</v>
      </c>
      <c r="HK140" t="e">
        <f>AND(#REF!,"AAAAAD2v/do=")</f>
        <v>#REF!</v>
      </c>
      <c r="HL140" t="e">
        <f>AND(#REF!,"AAAAAD2v/ds=")</f>
        <v>#REF!</v>
      </c>
      <c r="HM140" t="e">
        <f>AND(#REF!,"AAAAAD2v/dw=")</f>
        <v>#REF!</v>
      </c>
      <c r="HN140" t="e">
        <f>AND(#REF!,"AAAAAD2v/d0=")</f>
        <v>#REF!</v>
      </c>
      <c r="HO140" t="e">
        <f>AND(#REF!,"AAAAAD2v/d4=")</f>
        <v>#REF!</v>
      </c>
      <c r="HP140" t="e">
        <f>AND(#REF!,"AAAAAD2v/d8=")</f>
        <v>#REF!</v>
      </c>
      <c r="HQ140" t="e">
        <f>AND(#REF!,"AAAAAD2v/eA=")</f>
        <v>#REF!</v>
      </c>
      <c r="HR140" t="e">
        <f>AND(#REF!,"AAAAAD2v/eE=")</f>
        <v>#REF!</v>
      </c>
      <c r="HS140" t="e">
        <f>AND(#REF!,"AAAAAD2v/eI=")</f>
        <v>#REF!</v>
      </c>
      <c r="HT140" t="e">
        <f>AND(#REF!,"AAAAAD2v/eM=")</f>
        <v>#REF!</v>
      </c>
      <c r="HU140" t="e">
        <f>AND(#REF!,"AAAAAD2v/eQ=")</f>
        <v>#REF!</v>
      </c>
      <c r="HV140" t="e">
        <f>AND(#REF!,"AAAAAD2v/eU=")</f>
        <v>#REF!</v>
      </c>
      <c r="HW140" t="e">
        <f>AND(#REF!,"AAAAAD2v/eY=")</f>
        <v>#REF!</v>
      </c>
      <c r="HX140" t="e">
        <f>AND(#REF!,"AAAAAD2v/ec=")</f>
        <v>#REF!</v>
      </c>
      <c r="HY140" t="e">
        <f>AND(#REF!,"AAAAAD2v/eg=")</f>
        <v>#REF!</v>
      </c>
      <c r="HZ140" t="e">
        <f>AND(#REF!,"AAAAAD2v/ek=")</f>
        <v>#REF!</v>
      </c>
      <c r="IA140" t="e">
        <f>AND(#REF!,"AAAAAD2v/eo=")</f>
        <v>#REF!</v>
      </c>
      <c r="IB140" t="e">
        <f>AND(#REF!,"AAAAAD2v/es=")</f>
        <v>#REF!</v>
      </c>
      <c r="IC140" t="e">
        <f>AND(#REF!,"AAAAAD2v/ew=")</f>
        <v>#REF!</v>
      </c>
      <c r="ID140" t="e">
        <f>AND(#REF!,"AAAAAD2v/e0=")</f>
        <v>#REF!</v>
      </c>
      <c r="IE140" t="e">
        <f>AND(#REF!,"AAAAAD2v/e4=")</f>
        <v>#REF!</v>
      </c>
      <c r="IF140" t="e">
        <f>AND(#REF!,"AAAAAD2v/e8=")</f>
        <v>#REF!</v>
      </c>
      <c r="IG140" t="e">
        <f>AND(#REF!,"AAAAAD2v/fA=")</f>
        <v>#REF!</v>
      </c>
      <c r="IH140" t="e">
        <f>AND(#REF!,"AAAAAD2v/fE=")</f>
        <v>#REF!</v>
      </c>
      <c r="II140" t="e">
        <f>AND(#REF!,"AAAAAD2v/fI=")</f>
        <v>#REF!</v>
      </c>
      <c r="IJ140" t="e">
        <f>AND(#REF!,"AAAAAD2v/fM=")</f>
        <v>#REF!</v>
      </c>
      <c r="IK140" t="e">
        <f>AND(#REF!,"AAAAAD2v/fQ=")</f>
        <v>#REF!</v>
      </c>
      <c r="IL140" t="e">
        <f>AND(#REF!,"AAAAAD2v/fU=")</f>
        <v>#REF!</v>
      </c>
      <c r="IM140" t="e">
        <f>AND(#REF!,"AAAAAD2v/fY=")</f>
        <v>#REF!</v>
      </c>
      <c r="IN140" t="e">
        <f>AND(#REF!,"AAAAAD2v/fc=")</f>
        <v>#REF!</v>
      </c>
      <c r="IO140" t="e">
        <f>AND(#REF!,"AAAAAD2v/fg=")</f>
        <v>#REF!</v>
      </c>
      <c r="IP140" t="e">
        <f>AND(#REF!,"AAAAAD2v/fk=")</f>
        <v>#REF!</v>
      </c>
      <c r="IQ140" t="e">
        <f>AND(#REF!,"AAAAAD2v/fo=")</f>
        <v>#REF!</v>
      </c>
      <c r="IR140" t="e">
        <f>AND(#REF!,"AAAAAD2v/fs=")</f>
        <v>#REF!</v>
      </c>
      <c r="IS140" t="e">
        <f>AND(#REF!,"AAAAAD2v/fw=")</f>
        <v>#REF!</v>
      </c>
      <c r="IT140" t="e">
        <f>AND(#REF!,"AAAAAD2v/f0=")</f>
        <v>#REF!</v>
      </c>
      <c r="IU140" t="e">
        <f>AND(#REF!,"AAAAAD2v/f4=")</f>
        <v>#REF!</v>
      </c>
      <c r="IV140" t="e">
        <f>AND(#REF!,"AAAAAD2v/f8=")</f>
        <v>#REF!</v>
      </c>
    </row>
    <row r="141" spans="1:256" x14ac:dyDescent="0.25">
      <c r="A141" t="e">
        <f>AND(#REF!,"AAAAAH0+xwA=")</f>
        <v>#REF!</v>
      </c>
      <c r="B141" t="e">
        <f>AND(#REF!,"AAAAAH0+xwE=")</f>
        <v>#REF!</v>
      </c>
      <c r="C141" t="e">
        <f>AND(#REF!,"AAAAAH0+xwI=")</f>
        <v>#REF!</v>
      </c>
      <c r="D141" t="e">
        <f>AND(#REF!,"AAAAAH0+xwM=")</f>
        <v>#REF!</v>
      </c>
      <c r="E141" t="e">
        <f>AND(#REF!,"AAAAAH0+xwQ=")</f>
        <v>#REF!</v>
      </c>
      <c r="F141" t="e">
        <f>AND(#REF!,"AAAAAH0+xwU=")</f>
        <v>#REF!</v>
      </c>
      <c r="G141" t="e">
        <f>AND(#REF!,"AAAAAH0+xwY=")</f>
        <v>#REF!</v>
      </c>
      <c r="H141" t="e">
        <f>AND(#REF!,"AAAAAH0+xwc=")</f>
        <v>#REF!</v>
      </c>
      <c r="I141" t="e">
        <f>AND(#REF!,"AAAAAH0+xwg=")</f>
        <v>#REF!</v>
      </c>
      <c r="J141" t="e">
        <f>AND(#REF!,"AAAAAH0+xwk=")</f>
        <v>#REF!</v>
      </c>
      <c r="K141" t="e">
        <f>AND(#REF!,"AAAAAH0+xwo=")</f>
        <v>#REF!</v>
      </c>
      <c r="L141" t="e">
        <f>AND(#REF!,"AAAAAH0+xws=")</f>
        <v>#REF!</v>
      </c>
      <c r="M141" t="e">
        <f>AND(#REF!,"AAAAAH0+xww=")</f>
        <v>#REF!</v>
      </c>
      <c r="N141" t="e">
        <f>AND(#REF!,"AAAAAH0+xw0=")</f>
        <v>#REF!</v>
      </c>
      <c r="O141" t="e">
        <f>AND(#REF!,"AAAAAH0+xw4=")</f>
        <v>#REF!</v>
      </c>
      <c r="P141" t="e">
        <f>AND(#REF!,"AAAAAH0+xw8=")</f>
        <v>#REF!</v>
      </c>
      <c r="Q141" t="e">
        <f>AND(#REF!,"AAAAAH0+xxA=")</f>
        <v>#REF!</v>
      </c>
      <c r="R141" t="e">
        <f>AND(#REF!,"AAAAAH0+xxE=")</f>
        <v>#REF!</v>
      </c>
      <c r="S141" t="e">
        <f>AND(#REF!,"AAAAAH0+xxI=")</f>
        <v>#REF!</v>
      </c>
      <c r="T141" t="e">
        <f>AND(#REF!,"AAAAAH0+xxM=")</f>
        <v>#REF!</v>
      </c>
      <c r="U141" t="e">
        <f>AND(#REF!,"AAAAAH0+xxQ=")</f>
        <v>#REF!</v>
      </c>
      <c r="V141" t="e">
        <f>AND(#REF!,"AAAAAH0+xxU=")</f>
        <v>#REF!</v>
      </c>
      <c r="W141" t="e">
        <f>AND(#REF!,"AAAAAH0+xxY=")</f>
        <v>#REF!</v>
      </c>
      <c r="X141" t="e">
        <f>AND(#REF!,"AAAAAH0+xxc=")</f>
        <v>#REF!</v>
      </c>
      <c r="Y141" t="e">
        <f>AND(#REF!,"AAAAAH0+xxg=")</f>
        <v>#REF!</v>
      </c>
      <c r="Z141" t="e">
        <f>AND(#REF!,"AAAAAH0+xxk=")</f>
        <v>#REF!</v>
      </c>
      <c r="AA141" t="e">
        <f>AND(#REF!,"AAAAAH0+xxo=")</f>
        <v>#REF!</v>
      </c>
      <c r="AB141" t="e">
        <f>AND(#REF!,"AAAAAH0+xxs=")</f>
        <v>#REF!</v>
      </c>
      <c r="AC141" t="e">
        <f>AND(#REF!,"AAAAAH0+xxw=")</f>
        <v>#REF!</v>
      </c>
      <c r="AD141" t="e">
        <f>AND(#REF!,"AAAAAH0+xx0=")</f>
        <v>#REF!</v>
      </c>
      <c r="AE141" t="e">
        <f>AND(#REF!,"AAAAAH0+xx4=")</f>
        <v>#REF!</v>
      </c>
      <c r="AF141" t="e">
        <f>AND(#REF!,"AAAAAH0+xx8=")</f>
        <v>#REF!</v>
      </c>
      <c r="AG141" t="e">
        <f>AND(#REF!,"AAAAAH0+xyA=")</f>
        <v>#REF!</v>
      </c>
      <c r="AH141" t="e">
        <f>AND(#REF!,"AAAAAH0+xyE=")</f>
        <v>#REF!</v>
      </c>
      <c r="AI141" t="e">
        <f>AND(#REF!,"AAAAAH0+xyI=")</f>
        <v>#REF!</v>
      </c>
      <c r="AJ141" t="e">
        <f>IF(#REF!,"AAAAAH0+xyM=",0)</f>
        <v>#REF!</v>
      </c>
      <c r="AK141" t="e">
        <f>AND(#REF!,"AAAAAH0+xyQ=")</f>
        <v>#REF!</v>
      </c>
      <c r="AL141" t="e">
        <f>AND(#REF!,"AAAAAH0+xyU=")</f>
        <v>#REF!</v>
      </c>
      <c r="AM141" t="e">
        <f>AND(#REF!,"AAAAAH0+xyY=")</f>
        <v>#REF!</v>
      </c>
      <c r="AN141" t="e">
        <f>AND(#REF!,"AAAAAH0+xyc=")</f>
        <v>#REF!</v>
      </c>
      <c r="AO141" t="e">
        <f>AND(#REF!,"AAAAAH0+xyg=")</f>
        <v>#REF!</v>
      </c>
      <c r="AP141" t="e">
        <f>AND(#REF!,"AAAAAH0+xyk=")</f>
        <v>#REF!</v>
      </c>
      <c r="AQ141" t="e">
        <f>AND(#REF!,"AAAAAH0+xyo=")</f>
        <v>#REF!</v>
      </c>
      <c r="AR141" t="e">
        <f>AND(#REF!,"AAAAAH0+xys=")</f>
        <v>#REF!</v>
      </c>
      <c r="AS141" t="e">
        <f>AND(#REF!,"AAAAAH0+xyw=")</f>
        <v>#REF!</v>
      </c>
      <c r="AT141" t="e">
        <f>AND(#REF!,"AAAAAH0+xy0=")</f>
        <v>#REF!</v>
      </c>
      <c r="AU141" t="e">
        <f>AND(#REF!,"AAAAAH0+xy4=")</f>
        <v>#REF!</v>
      </c>
      <c r="AV141" t="e">
        <f>AND(#REF!,"AAAAAH0+xy8=")</f>
        <v>#REF!</v>
      </c>
      <c r="AW141" t="e">
        <f>AND(#REF!,"AAAAAH0+xzA=")</f>
        <v>#REF!</v>
      </c>
      <c r="AX141" t="e">
        <f>AND(#REF!,"AAAAAH0+xzE=")</f>
        <v>#REF!</v>
      </c>
      <c r="AY141" t="e">
        <f>AND(#REF!,"AAAAAH0+xzI=")</f>
        <v>#REF!</v>
      </c>
      <c r="AZ141" t="e">
        <f>AND(#REF!,"AAAAAH0+xzM=")</f>
        <v>#REF!</v>
      </c>
      <c r="BA141" t="e">
        <f>AND(#REF!,"AAAAAH0+xzQ=")</f>
        <v>#REF!</v>
      </c>
      <c r="BB141" t="e">
        <f>AND(#REF!,"AAAAAH0+xzU=")</f>
        <v>#REF!</v>
      </c>
      <c r="BC141" t="e">
        <f>AND(#REF!,"AAAAAH0+xzY=")</f>
        <v>#REF!</v>
      </c>
      <c r="BD141" t="e">
        <f>AND(#REF!,"AAAAAH0+xzc=")</f>
        <v>#REF!</v>
      </c>
      <c r="BE141" t="e">
        <f>AND(#REF!,"AAAAAH0+xzg=")</f>
        <v>#REF!</v>
      </c>
      <c r="BF141" t="e">
        <f>AND(#REF!,"AAAAAH0+xzk=")</f>
        <v>#REF!</v>
      </c>
      <c r="BG141" t="e">
        <f>AND(#REF!,"AAAAAH0+xzo=")</f>
        <v>#REF!</v>
      </c>
      <c r="BH141" t="e">
        <f>AND(#REF!,"AAAAAH0+xzs=")</f>
        <v>#REF!</v>
      </c>
      <c r="BI141" t="e">
        <f>AND(#REF!,"AAAAAH0+xzw=")</f>
        <v>#REF!</v>
      </c>
      <c r="BJ141" t="e">
        <f>AND(#REF!,"AAAAAH0+xz0=")</f>
        <v>#REF!</v>
      </c>
      <c r="BK141" t="e">
        <f>AND(#REF!,"AAAAAH0+xz4=")</f>
        <v>#REF!</v>
      </c>
      <c r="BL141" t="e">
        <f>AND(#REF!,"AAAAAH0+xz8=")</f>
        <v>#REF!</v>
      </c>
      <c r="BM141" t="e">
        <f>AND(#REF!,"AAAAAH0+x0A=")</f>
        <v>#REF!</v>
      </c>
      <c r="BN141" t="e">
        <f>AND(#REF!,"AAAAAH0+x0E=")</f>
        <v>#REF!</v>
      </c>
      <c r="BO141" t="e">
        <f>AND(#REF!,"AAAAAH0+x0I=")</f>
        <v>#REF!</v>
      </c>
      <c r="BP141" t="e">
        <f>AND(#REF!,"AAAAAH0+x0M=")</f>
        <v>#REF!</v>
      </c>
      <c r="BQ141" t="e">
        <f>AND(#REF!,"AAAAAH0+x0Q=")</f>
        <v>#REF!</v>
      </c>
      <c r="BR141" t="e">
        <f>AND(#REF!,"AAAAAH0+x0U=")</f>
        <v>#REF!</v>
      </c>
      <c r="BS141" t="e">
        <f>AND(#REF!,"AAAAAH0+x0Y=")</f>
        <v>#REF!</v>
      </c>
      <c r="BT141" t="e">
        <f>AND(#REF!,"AAAAAH0+x0c=")</f>
        <v>#REF!</v>
      </c>
      <c r="BU141" t="e">
        <f>AND(#REF!,"AAAAAH0+x0g=")</f>
        <v>#REF!</v>
      </c>
      <c r="BV141" t="e">
        <f>AND(#REF!,"AAAAAH0+x0k=")</f>
        <v>#REF!</v>
      </c>
      <c r="BW141" t="e">
        <f>AND(#REF!,"AAAAAH0+x0o=")</f>
        <v>#REF!</v>
      </c>
      <c r="BX141" t="e">
        <f>AND(#REF!,"AAAAAH0+x0s=")</f>
        <v>#REF!</v>
      </c>
      <c r="BY141" t="e">
        <f>AND(#REF!,"AAAAAH0+x0w=")</f>
        <v>#REF!</v>
      </c>
      <c r="BZ141" t="e">
        <f>AND(#REF!,"AAAAAH0+x00=")</f>
        <v>#REF!</v>
      </c>
      <c r="CA141" t="e">
        <f>AND(#REF!,"AAAAAH0+x04=")</f>
        <v>#REF!</v>
      </c>
      <c r="CB141" t="e">
        <f>AND(#REF!,"AAAAAH0+x08=")</f>
        <v>#REF!</v>
      </c>
      <c r="CC141" t="e">
        <f>AND(#REF!,"AAAAAH0+x1A=")</f>
        <v>#REF!</v>
      </c>
      <c r="CD141" t="e">
        <f>AND(#REF!,"AAAAAH0+x1E=")</f>
        <v>#REF!</v>
      </c>
      <c r="CE141" t="e">
        <f>AND(#REF!,"AAAAAH0+x1I=")</f>
        <v>#REF!</v>
      </c>
      <c r="CF141" t="e">
        <f>AND(#REF!,"AAAAAH0+x1M=")</f>
        <v>#REF!</v>
      </c>
      <c r="CG141" t="e">
        <f>AND(#REF!,"AAAAAH0+x1Q=")</f>
        <v>#REF!</v>
      </c>
      <c r="CH141" t="e">
        <f>AND(#REF!,"AAAAAH0+x1U=")</f>
        <v>#REF!</v>
      </c>
      <c r="CI141" t="e">
        <f>AND(#REF!,"AAAAAH0+x1Y=")</f>
        <v>#REF!</v>
      </c>
      <c r="CJ141" t="e">
        <f>AND(#REF!,"AAAAAH0+x1c=")</f>
        <v>#REF!</v>
      </c>
      <c r="CK141" t="e">
        <f>AND(#REF!,"AAAAAH0+x1g=")</f>
        <v>#REF!</v>
      </c>
      <c r="CL141" t="e">
        <f>AND(#REF!,"AAAAAH0+x1k=")</f>
        <v>#REF!</v>
      </c>
      <c r="CM141" t="e">
        <f>AND(#REF!,"AAAAAH0+x1o=")</f>
        <v>#REF!</v>
      </c>
      <c r="CN141" t="e">
        <f>AND(#REF!,"AAAAAH0+x1s=")</f>
        <v>#REF!</v>
      </c>
      <c r="CO141" t="e">
        <f>AND(#REF!,"AAAAAH0+x1w=")</f>
        <v>#REF!</v>
      </c>
      <c r="CP141" t="e">
        <f>AND(#REF!,"AAAAAH0+x10=")</f>
        <v>#REF!</v>
      </c>
      <c r="CQ141" t="e">
        <f>AND(#REF!,"AAAAAH0+x14=")</f>
        <v>#REF!</v>
      </c>
      <c r="CR141" t="e">
        <f>AND(#REF!,"AAAAAH0+x18=")</f>
        <v>#REF!</v>
      </c>
      <c r="CS141" t="e">
        <f>AND(#REF!,"AAAAAH0+x2A=")</f>
        <v>#REF!</v>
      </c>
      <c r="CT141" t="e">
        <f>AND(#REF!,"AAAAAH0+x2E=")</f>
        <v>#REF!</v>
      </c>
      <c r="CU141" t="e">
        <f>AND(#REF!,"AAAAAH0+x2I=")</f>
        <v>#REF!</v>
      </c>
      <c r="CV141" t="e">
        <f>AND(#REF!,"AAAAAH0+x2M=")</f>
        <v>#REF!</v>
      </c>
      <c r="CW141" t="e">
        <f>AND(#REF!,"AAAAAH0+x2Q=")</f>
        <v>#REF!</v>
      </c>
      <c r="CX141" t="e">
        <f>AND(#REF!,"AAAAAH0+x2U=")</f>
        <v>#REF!</v>
      </c>
      <c r="CY141" t="e">
        <f>AND(#REF!,"AAAAAH0+x2Y=")</f>
        <v>#REF!</v>
      </c>
      <c r="CZ141" t="e">
        <f>AND(#REF!,"AAAAAH0+x2c=")</f>
        <v>#REF!</v>
      </c>
      <c r="DA141" t="e">
        <f>AND(#REF!,"AAAAAH0+x2g=")</f>
        <v>#REF!</v>
      </c>
      <c r="DB141" t="e">
        <f>AND(#REF!,"AAAAAH0+x2k=")</f>
        <v>#REF!</v>
      </c>
      <c r="DC141" t="e">
        <f>AND(#REF!,"AAAAAH0+x2o=")</f>
        <v>#REF!</v>
      </c>
      <c r="DD141" t="e">
        <f>AND(#REF!,"AAAAAH0+x2s=")</f>
        <v>#REF!</v>
      </c>
      <c r="DE141" t="e">
        <f>AND(#REF!,"AAAAAH0+x2w=")</f>
        <v>#REF!</v>
      </c>
      <c r="DF141" t="e">
        <f>AND(#REF!,"AAAAAH0+x20=")</f>
        <v>#REF!</v>
      </c>
      <c r="DG141" t="e">
        <f>AND(#REF!,"AAAAAH0+x24=")</f>
        <v>#REF!</v>
      </c>
      <c r="DH141" t="e">
        <f>AND(#REF!,"AAAAAH0+x28=")</f>
        <v>#REF!</v>
      </c>
      <c r="DI141" t="e">
        <f>AND(#REF!,"AAAAAH0+x3A=")</f>
        <v>#REF!</v>
      </c>
      <c r="DJ141" t="e">
        <f>AND(#REF!,"AAAAAH0+x3E=")</f>
        <v>#REF!</v>
      </c>
      <c r="DK141" t="e">
        <f>AND(#REF!,"AAAAAH0+x3I=")</f>
        <v>#REF!</v>
      </c>
      <c r="DL141" t="e">
        <f>AND(#REF!,"AAAAAH0+x3M=")</f>
        <v>#REF!</v>
      </c>
      <c r="DM141" t="e">
        <f>AND(#REF!,"AAAAAH0+x3Q=")</f>
        <v>#REF!</v>
      </c>
      <c r="DN141" t="e">
        <f>AND(#REF!,"AAAAAH0+x3U=")</f>
        <v>#REF!</v>
      </c>
      <c r="DO141" t="e">
        <f>AND(#REF!,"AAAAAH0+x3Y=")</f>
        <v>#REF!</v>
      </c>
      <c r="DP141" t="e">
        <f>AND(#REF!,"AAAAAH0+x3c=")</f>
        <v>#REF!</v>
      </c>
      <c r="DQ141" t="e">
        <f>AND(#REF!,"AAAAAH0+x3g=")</f>
        <v>#REF!</v>
      </c>
      <c r="DR141" t="e">
        <f>AND(#REF!,"AAAAAH0+x3k=")</f>
        <v>#REF!</v>
      </c>
      <c r="DS141" t="e">
        <f>AND(#REF!,"AAAAAH0+x3o=")</f>
        <v>#REF!</v>
      </c>
      <c r="DT141" t="e">
        <f>AND(#REF!,"AAAAAH0+x3s=")</f>
        <v>#REF!</v>
      </c>
      <c r="DU141" t="e">
        <f>AND(#REF!,"AAAAAH0+x3w=")</f>
        <v>#REF!</v>
      </c>
      <c r="DV141" t="e">
        <f>AND(#REF!,"AAAAAH0+x30=")</f>
        <v>#REF!</v>
      </c>
      <c r="DW141" t="e">
        <f>AND(#REF!,"AAAAAH0+x34=")</f>
        <v>#REF!</v>
      </c>
      <c r="DX141" t="e">
        <f>AND(#REF!,"AAAAAH0+x38=")</f>
        <v>#REF!</v>
      </c>
      <c r="DY141" t="e">
        <f>AND(#REF!,"AAAAAH0+x4A=")</f>
        <v>#REF!</v>
      </c>
      <c r="DZ141" t="e">
        <f>AND(#REF!,"AAAAAH0+x4E=")</f>
        <v>#REF!</v>
      </c>
      <c r="EA141" t="e">
        <f>AND(#REF!,"AAAAAH0+x4I=")</f>
        <v>#REF!</v>
      </c>
      <c r="EB141" t="e">
        <f>AND(#REF!,"AAAAAH0+x4M=")</f>
        <v>#REF!</v>
      </c>
      <c r="EC141" t="e">
        <f>AND(#REF!,"AAAAAH0+x4Q=")</f>
        <v>#REF!</v>
      </c>
      <c r="ED141" t="e">
        <f>AND(#REF!,"AAAAAH0+x4U=")</f>
        <v>#REF!</v>
      </c>
      <c r="EE141" t="e">
        <f>AND(#REF!,"AAAAAH0+x4Y=")</f>
        <v>#REF!</v>
      </c>
      <c r="EF141" t="e">
        <f>AND(#REF!,"AAAAAH0+x4c=")</f>
        <v>#REF!</v>
      </c>
      <c r="EG141" t="e">
        <f>AND(#REF!,"AAAAAH0+x4g=")</f>
        <v>#REF!</v>
      </c>
      <c r="EH141" t="e">
        <f>AND(#REF!,"AAAAAH0+x4k=")</f>
        <v>#REF!</v>
      </c>
      <c r="EI141" t="e">
        <f>AND(#REF!,"AAAAAH0+x4o=")</f>
        <v>#REF!</v>
      </c>
      <c r="EJ141" t="e">
        <f>AND(#REF!,"AAAAAH0+x4s=")</f>
        <v>#REF!</v>
      </c>
      <c r="EK141" t="e">
        <f>AND(#REF!,"AAAAAH0+x4w=")</f>
        <v>#REF!</v>
      </c>
      <c r="EL141" t="e">
        <f>AND(#REF!,"AAAAAH0+x40=")</f>
        <v>#REF!</v>
      </c>
      <c r="EM141" t="e">
        <f>AND(#REF!,"AAAAAH0+x44=")</f>
        <v>#REF!</v>
      </c>
      <c r="EN141" t="e">
        <f>AND(#REF!,"AAAAAH0+x48=")</f>
        <v>#REF!</v>
      </c>
      <c r="EO141" t="e">
        <f>AND(#REF!,"AAAAAH0+x5A=")</f>
        <v>#REF!</v>
      </c>
      <c r="EP141" t="e">
        <f>AND(#REF!,"AAAAAH0+x5E=")</f>
        <v>#REF!</v>
      </c>
      <c r="EQ141" t="e">
        <f>AND(#REF!,"AAAAAH0+x5I=")</f>
        <v>#REF!</v>
      </c>
      <c r="ER141" t="e">
        <f>AND(#REF!,"AAAAAH0+x5M=")</f>
        <v>#REF!</v>
      </c>
      <c r="ES141" t="e">
        <f>AND(#REF!,"AAAAAH0+x5Q=")</f>
        <v>#REF!</v>
      </c>
      <c r="ET141" t="e">
        <f>AND(#REF!,"AAAAAH0+x5U=")</f>
        <v>#REF!</v>
      </c>
      <c r="EU141" t="e">
        <f>AND(#REF!,"AAAAAH0+x5Y=")</f>
        <v>#REF!</v>
      </c>
      <c r="EV141" t="e">
        <f>AND(#REF!,"AAAAAH0+x5c=")</f>
        <v>#REF!</v>
      </c>
      <c r="EW141" t="e">
        <f>AND(#REF!,"AAAAAH0+x5g=")</f>
        <v>#REF!</v>
      </c>
      <c r="EX141" t="e">
        <f>AND(#REF!,"AAAAAH0+x5k=")</f>
        <v>#REF!</v>
      </c>
      <c r="EY141" t="e">
        <f>AND(#REF!,"AAAAAH0+x5o=")</f>
        <v>#REF!</v>
      </c>
      <c r="EZ141" t="e">
        <f>AND(#REF!,"AAAAAH0+x5s=")</f>
        <v>#REF!</v>
      </c>
      <c r="FA141" t="e">
        <f>AND(#REF!,"AAAAAH0+x5w=")</f>
        <v>#REF!</v>
      </c>
      <c r="FB141" t="e">
        <f>AND(#REF!,"AAAAAH0+x50=")</f>
        <v>#REF!</v>
      </c>
      <c r="FC141" t="e">
        <f>AND(#REF!,"AAAAAH0+x54=")</f>
        <v>#REF!</v>
      </c>
      <c r="FD141" t="e">
        <f>AND(#REF!,"AAAAAH0+x58=")</f>
        <v>#REF!</v>
      </c>
      <c r="FE141" t="e">
        <f>AND(#REF!,"AAAAAH0+x6A=")</f>
        <v>#REF!</v>
      </c>
      <c r="FF141" t="e">
        <f>AND(#REF!,"AAAAAH0+x6E=")</f>
        <v>#REF!</v>
      </c>
      <c r="FG141" t="e">
        <f>AND(#REF!,"AAAAAH0+x6I=")</f>
        <v>#REF!</v>
      </c>
      <c r="FH141" t="e">
        <f>AND(#REF!,"AAAAAH0+x6M=")</f>
        <v>#REF!</v>
      </c>
      <c r="FI141" t="e">
        <f>AND(#REF!,"AAAAAH0+x6Q=")</f>
        <v>#REF!</v>
      </c>
      <c r="FJ141" t="e">
        <f>AND(#REF!,"AAAAAH0+x6U=")</f>
        <v>#REF!</v>
      </c>
      <c r="FK141" t="e">
        <f>AND(#REF!,"AAAAAH0+x6Y=")</f>
        <v>#REF!</v>
      </c>
      <c r="FL141" t="e">
        <f>AND(#REF!,"AAAAAH0+x6c=")</f>
        <v>#REF!</v>
      </c>
      <c r="FM141" t="e">
        <f>AND(#REF!,"AAAAAH0+x6g=")</f>
        <v>#REF!</v>
      </c>
      <c r="FN141" t="e">
        <f>AND(#REF!,"AAAAAH0+x6k=")</f>
        <v>#REF!</v>
      </c>
      <c r="FO141" t="e">
        <f>AND(#REF!,"AAAAAH0+x6o=")</f>
        <v>#REF!</v>
      </c>
      <c r="FP141" t="e">
        <f>AND(#REF!,"AAAAAH0+x6s=")</f>
        <v>#REF!</v>
      </c>
      <c r="FQ141" t="e">
        <f>AND(#REF!,"AAAAAH0+x6w=")</f>
        <v>#REF!</v>
      </c>
      <c r="FR141" t="e">
        <f>AND(#REF!,"AAAAAH0+x60=")</f>
        <v>#REF!</v>
      </c>
      <c r="FS141" t="e">
        <f>AND(#REF!,"AAAAAH0+x64=")</f>
        <v>#REF!</v>
      </c>
      <c r="FT141" t="e">
        <f>AND(#REF!,"AAAAAH0+x68=")</f>
        <v>#REF!</v>
      </c>
      <c r="FU141" t="e">
        <f>AND(#REF!,"AAAAAH0+x7A=")</f>
        <v>#REF!</v>
      </c>
      <c r="FV141" t="e">
        <f>AND(#REF!,"AAAAAH0+x7E=")</f>
        <v>#REF!</v>
      </c>
      <c r="FW141" t="e">
        <f>AND(#REF!,"AAAAAH0+x7I=")</f>
        <v>#REF!</v>
      </c>
      <c r="FX141" t="e">
        <f>AND(#REF!,"AAAAAH0+x7M=")</f>
        <v>#REF!</v>
      </c>
      <c r="FY141" t="e">
        <f>AND(#REF!,"AAAAAH0+x7Q=")</f>
        <v>#REF!</v>
      </c>
      <c r="FZ141" t="e">
        <f>AND(#REF!,"AAAAAH0+x7U=")</f>
        <v>#REF!</v>
      </c>
      <c r="GA141" t="e">
        <f>AND(#REF!,"AAAAAH0+x7Y=")</f>
        <v>#REF!</v>
      </c>
      <c r="GB141" t="e">
        <f>AND(#REF!,"AAAAAH0+x7c=")</f>
        <v>#REF!</v>
      </c>
      <c r="GC141" t="e">
        <f>AND(#REF!,"AAAAAH0+x7g=")</f>
        <v>#REF!</v>
      </c>
      <c r="GD141" t="e">
        <f>AND(#REF!,"AAAAAH0+x7k=")</f>
        <v>#REF!</v>
      </c>
      <c r="GE141" t="e">
        <f>AND(#REF!,"AAAAAH0+x7o=")</f>
        <v>#REF!</v>
      </c>
      <c r="GF141" t="e">
        <f>AND(#REF!,"AAAAAH0+x7s=")</f>
        <v>#REF!</v>
      </c>
      <c r="GG141" t="e">
        <f>AND(#REF!,"AAAAAH0+x7w=")</f>
        <v>#REF!</v>
      </c>
      <c r="GH141" t="e">
        <f>AND(#REF!,"AAAAAH0+x70=")</f>
        <v>#REF!</v>
      </c>
      <c r="GI141" t="e">
        <f>AND(#REF!,"AAAAAH0+x74=")</f>
        <v>#REF!</v>
      </c>
      <c r="GJ141" t="e">
        <f>AND(#REF!,"AAAAAH0+x78=")</f>
        <v>#REF!</v>
      </c>
      <c r="GK141" t="e">
        <f>AND(#REF!,"AAAAAH0+x8A=")</f>
        <v>#REF!</v>
      </c>
      <c r="GL141" t="e">
        <f>AND(#REF!,"AAAAAH0+x8E=")</f>
        <v>#REF!</v>
      </c>
      <c r="GM141" t="e">
        <f>AND(#REF!,"AAAAAH0+x8I=")</f>
        <v>#REF!</v>
      </c>
      <c r="GN141" t="e">
        <f>AND(#REF!,"AAAAAH0+x8M=")</f>
        <v>#REF!</v>
      </c>
      <c r="GO141" t="e">
        <f>AND(#REF!,"AAAAAH0+x8Q=")</f>
        <v>#REF!</v>
      </c>
      <c r="GP141" t="e">
        <f>AND(#REF!,"AAAAAH0+x8U=")</f>
        <v>#REF!</v>
      </c>
      <c r="GQ141" t="e">
        <f>AND(#REF!,"AAAAAH0+x8Y=")</f>
        <v>#REF!</v>
      </c>
      <c r="GR141" t="e">
        <f>AND(#REF!,"AAAAAH0+x8c=")</f>
        <v>#REF!</v>
      </c>
      <c r="GS141" t="e">
        <f>AND(#REF!,"AAAAAH0+x8g=")</f>
        <v>#REF!</v>
      </c>
      <c r="GT141" t="e">
        <f>AND(#REF!,"AAAAAH0+x8k=")</f>
        <v>#REF!</v>
      </c>
      <c r="GU141" t="e">
        <f>AND(#REF!,"AAAAAH0+x8o=")</f>
        <v>#REF!</v>
      </c>
      <c r="GV141" t="e">
        <f>AND(#REF!,"AAAAAH0+x8s=")</f>
        <v>#REF!</v>
      </c>
      <c r="GW141" t="e">
        <f>AND(#REF!,"AAAAAH0+x8w=")</f>
        <v>#REF!</v>
      </c>
      <c r="GX141" t="e">
        <f>AND(#REF!,"AAAAAH0+x80=")</f>
        <v>#REF!</v>
      </c>
      <c r="GY141" t="e">
        <f>AND(#REF!,"AAAAAH0+x84=")</f>
        <v>#REF!</v>
      </c>
      <c r="GZ141" t="e">
        <f>AND(#REF!,"AAAAAH0+x88=")</f>
        <v>#REF!</v>
      </c>
      <c r="HA141" t="e">
        <f>AND(#REF!,"AAAAAH0+x9A=")</f>
        <v>#REF!</v>
      </c>
      <c r="HB141" t="e">
        <f>AND(#REF!,"AAAAAH0+x9E=")</f>
        <v>#REF!</v>
      </c>
      <c r="HC141" t="e">
        <f>AND(#REF!,"AAAAAH0+x9I=")</f>
        <v>#REF!</v>
      </c>
      <c r="HD141" t="e">
        <f>AND(#REF!,"AAAAAH0+x9M=")</f>
        <v>#REF!</v>
      </c>
      <c r="HE141" t="e">
        <f>AND(#REF!,"AAAAAH0+x9Q=")</f>
        <v>#REF!</v>
      </c>
      <c r="HF141" t="e">
        <f>AND(#REF!,"AAAAAH0+x9U=")</f>
        <v>#REF!</v>
      </c>
      <c r="HG141" t="e">
        <f>AND(#REF!,"AAAAAH0+x9Y=")</f>
        <v>#REF!</v>
      </c>
      <c r="HH141" t="e">
        <f>AND(#REF!,"AAAAAH0+x9c=")</f>
        <v>#REF!</v>
      </c>
      <c r="HI141" t="e">
        <f>AND(#REF!,"AAAAAH0+x9g=")</f>
        <v>#REF!</v>
      </c>
      <c r="HJ141" t="e">
        <f>AND(#REF!,"AAAAAH0+x9k=")</f>
        <v>#REF!</v>
      </c>
      <c r="HK141" t="e">
        <f>AND(#REF!,"AAAAAH0+x9o=")</f>
        <v>#REF!</v>
      </c>
      <c r="HL141" t="e">
        <f>AND(#REF!,"AAAAAH0+x9s=")</f>
        <v>#REF!</v>
      </c>
      <c r="HM141" t="e">
        <f>AND(#REF!,"AAAAAH0+x9w=")</f>
        <v>#REF!</v>
      </c>
      <c r="HN141" t="e">
        <f>AND(#REF!,"AAAAAH0+x90=")</f>
        <v>#REF!</v>
      </c>
      <c r="HO141" t="e">
        <f>AND(#REF!,"AAAAAH0+x94=")</f>
        <v>#REF!</v>
      </c>
      <c r="HP141" t="e">
        <f>AND(#REF!,"AAAAAH0+x98=")</f>
        <v>#REF!</v>
      </c>
      <c r="HQ141" t="e">
        <f>IF(#REF!,"AAAAAH0+x+A=",0)</f>
        <v>#REF!</v>
      </c>
      <c r="HR141" t="e">
        <f>AND(#REF!,"AAAAAH0+x+E=")</f>
        <v>#REF!</v>
      </c>
      <c r="HS141" t="e">
        <f>AND(#REF!,"AAAAAH0+x+I=")</f>
        <v>#REF!</v>
      </c>
      <c r="HT141" t="e">
        <f>AND(#REF!,"AAAAAH0+x+M=")</f>
        <v>#REF!</v>
      </c>
      <c r="HU141" t="e">
        <f>AND(#REF!,"AAAAAH0+x+Q=")</f>
        <v>#REF!</v>
      </c>
      <c r="HV141" t="e">
        <f>AND(#REF!,"AAAAAH0+x+U=")</f>
        <v>#REF!</v>
      </c>
      <c r="HW141" t="e">
        <f>AND(#REF!,"AAAAAH0+x+Y=")</f>
        <v>#REF!</v>
      </c>
      <c r="HX141" t="e">
        <f>AND(#REF!,"AAAAAH0+x+c=")</f>
        <v>#REF!</v>
      </c>
      <c r="HY141" t="e">
        <f>AND(#REF!,"AAAAAH0+x+g=")</f>
        <v>#REF!</v>
      </c>
      <c r="HZ141" t="e">
        <f>AND(#REF!,"AAAAAH0+x+k=")</f>
        <v>#REF!</v>
      </c>
      <c r="IA141" t="e">
        <f>AND(#REF!,"AAAAAH0+x+o=")</f>
        <v>#REF!</v>
      </c>
      <c r="IB141" t="e">
        <f>AND(#REF!,"AAAAAH0+x+s=")</f>
        <v>#REF!</v>
      </c>
      <c r="IC141" t="e">
        <f>AND(#REF!,"AAAAAH0+x+w=")</f>
        <v>#REF!</v>
      </c>
      <c r="ID141" t="e">
        <f>AND(#REF!,"AAAAAH0+x+0=")</f>
        <v>#REF!</v>
      </c>
      <c r="IE141" t="e">
        <f>AND(#REF!,"AAAAAH0+x+4=")</f>
        <v>#REF!</v>
      </c>
      <c r="IF141" t="e">
        <f>AND(#REF!,"AAAAAH0+x+8=")</f>
        <v>#REF!</v>
      </c>
      <c r="IG141" t="e">
        <f>AND(#REF!,"AAAAAH0+x/A=")</f>
        <v>#REF!</v>
      </c>
      <c r="IH141" t="e">
        <f>AND(#REF!,"AAAAAH0+x/E=")</f>
        <v>#REF!</v>
      </c>
      <c r="II141" t="e">
        <f>AND(#REF!,"AAAAAH0+x/I=")</f>
        <v>#REF!</v>
      </c>
      <c r="IJ141" t="e">
        <f>AND(#REF!,"AAAAAH0+x/M=")</f>
        <v>#REF!</v>
      </c>
      <c r="IK141" t="e">
        <f>AND(#REF!,"AAAAAH0+x/Q=")</f>
        <v>#REF!</v>
      </c>
      <c r="IL141" t="e">
        <f>AND(#REF!,"AAAAAH0+x/U=")</f>
        <v>#REF!</v>
      </c>
      <c r="IM141" t="e">
        <f>AND(#REF!,"AAAAAH0+x/Y=")</f>
        <v>#REF!</v>
      </c>
      <c r="IN141" t="e">
        <f>AND(#REF!,"AAAAAH0+x/c=")</f>
        <v>#REF!</v>
      </c>
      <c r="IO141" t="e">
        <f>AND(#REF!,"AAAAAH0+x/g=")</f>
        <v>#REF!</v>
      </c>
      <c r="IP141" t="e">
        <f>AND(#REF!,"AAAAAH0+x/k=")</f>
        <v>#REF!</v>
      </c>
      <c r="IQ141" t="e">
        <f>AND(#REF!,"AAAAAH0+x/o=")</f>
        <v>#REF!</v>
      </c>
      <c r="IR141" t="e">
        <f>AND(#REF!,"AAAAAH0+x/s=")</f>
        <v>#REF!</v>
      </c>
      <c r="IS141" t="e">
        <f>AND(#REF!,"AAAAAH0+x/w=")</f>
        <v>#REF!</v>
      </c>
      <c r="IT141" t="e">
        <f>AND(#REF!,"AAAAAH0+x/0=")</f>
        <v>#REF!</v>
      </c>
      <c r="IU141" t="e">
        <f>AND(#REF!,"AAAAAH0+x/4=")</f>
        <v>#REF!</v>
      </c>
      <c r="IV141" t="e">
        <f>AND(#REF!,"AAAAAH0+x/8=")</f>
        <v>#REF!</v>
      </c>
    </row>
    <row r="142" spans="1:256" x14ac:dyDescent="0.25">
      <c r="A142" t="e">
        <f>AND(#REF!,"AAAAAE+jvgA=")</f>
        <v>#REF!</v>
      </c>
      <c r="B142" t="e">
        <f>AND(#REF!,"AAAAAE+jvgE=")</f>
        <v>#REF!</v>
      </c>
      <c r="C142" t="e">
        <f>AND(#REF!,"AAAAAE+jvgI=")</f>
        <v>#REF!</v>
      </c>
      <c r="D142" t="e">
        <f>AND(#REF!,"AAAAAE+jvgM=")</f>
        <v>#REF!</v>
      </c>
      <c r="E142" t="e">
        <f>AND(#REF!,"AAAAAE+jvgQ=")</f>
        <v>#REF!</v>
      </c>
      <c r="F142" t="e">
        <f>AND(#REF!,"AAAAAE+jvgU=")</f>
        <v>#REF!</v>
      </c>
      <c r="G142" t="e">
        <f>AND(#REF!,"AAAAAE+jvgY=")</f>
        <v>#REF!</v>
      </c>
      <c r="H142" t="e">
        <f>AND(#REF!,"AAAAAE+jvgc=")</f>
        <v>#REF!</v>
      </c>
      <c r="I142" t="e">
        <f>AND(#REF!,"AAAAAE+jvgg=")</f>
        <v>#REF!</v>
      </c>
      <c r="J142" t="e">
        <f>AND(#REF!,"AAAAAE+jvgk=")</f>
        <v>#REF!</v>
      </c>
      <c r="K142" t="e">
        <f>AND(#REF!,"AAAAAE+jvgo=")</f>
        <v>#REF!</v>
      </c>
      <c r="L142" t="e">
        <f>AND(#REF!,"AAAAAE+jvgs=")</f>
        <v>#REF!</v>
      </c>
      <c r="M142" t="e">
        <f>AND(#REF!,"AAAAAE+jvgw=")</f>
        <v>#REF!</v>
      </c>
      <c r="N142" t="e">
        <f>AND(#REF!,"AAAAAE+jvg0=")</f>
        <v>#REF!</v>
      </c>
      <c r="O142" t="e">
        <f>AND(#REF!,"AAAAAE+jvg4=")</f>
        <v>#REF!</v>
      </c>
      <c r="P142" t="e">
        <f>AND(#REF!,"AAAAAE+jvg8=")</f>
        <v>#REF!</v>
      </c>
      <c r="Q142" t="e">
        <f>AND(#REF!,"AAAAAE+jvhA=")</f>
        <v>#REF!</v>
      </c>
      <c r="R142" t="e">
        <f>AND(#REF!,"AAAAAE+jvhE=")</f>
        <v>#REF!</v>
      </c>
      <c r="S142" t="e">
        <f>AND(#REF!,"AAAAAE+jvhI=")</f>
        <v>#REF!</v>
      </c>
      <c r="T142" t="e">
        <f>AND(#REF!,"AAAAAE+jvhM=")</f>
        <v>#REF!</v>
      </c>
      <c r="U142" t="e">
        <f>AND(#REF!,"AAAAAE+jvhQ=")</f>
        <v>#REF!</v>
      </c>
      <c r="V142" t="e">
        <f>AND(#REF!,"AAAAAE+jvhU=")</f>
        <v>#REF!</v>
      </c>
      <c r="W142" t="e">
        <f>AND(#REF!,"AAAAAE+jvhY=")</f>
        <v>#REF!</v>
      </c>
      <c r="X142" t="e">
        <f>AND(#REF!,"AAAAAE+jvhc=")</f>
        <v>#REF!</v>
      </c>
      <c r="Y142" t="e">
        <f>AND(#REF!,"AAAAAE+jvhg=")</f>
        <v>#REF!</v>
      </c>
      <c r="Z142" t="e">
        <f>AND(#REF!,"AAAAAE+jvhk=")</f>
        <v>#REF!</v>
      </c>
      <c r="AA142" t="e">
        <f>AND(#REF!,"AAAAAE+jvho=")</f>
        <v>#REF!</v>
      </c>
      <c r="AB142" t="e">
        <f>AND(#REF!,"AAAAAE+jvhs=")</f>
        <v>#REF!</v>
      </c>
      <c r="AC142" t="e">
        <f>AND(#REF!,"AAAAAE+jvhw=")</f>
        <v>#REF!</v>
      </c>
      <c r="AD142" t="e">
        <f>AND(#REF!,"AAAAAE+jvh0=")</f>
        <v>#REF!</v>
      </c>
      <c r="AE142" t="e">
        <f>AND(#REF!,"AAAAAE+jvh4=")</f>
        <v>#REF!</v>
      </c>
      <c r="AF142" t="e">
        <f>AND(#REF!,"AAAAAE+jvh8=")</f>
        <v>#REF!</v>
      </c>
      <c r="AG142" t="e">
        <f>AND(#REF!,"AAAAAE+jviA=")</f>
        <v>#REF!</v>
      </c>
      <c r="AH142" t="e">
        <f>AND(#REF!,"AAAAAE+jviE=")</f>
        <v>#REF!</v>
      </c>
      <c r="AI142" t="e">
        <f>AND(#REF!,"AAAAAE+jviI=")</f>
        <v>#REF!</v>
      </c>
      <c r="AJ142" t="e">
        <f>AND(#REF!,"AAAAAE+jviM=")</f>
        <v>#REF!</v>
      </c>
      <c r="AK142" t="e">
        <f>AND(#REF!,"AAAAAE+jviQ=")</f>
        <v>#REF!</v>
      </c>
      <c r="AL142" t="e">
        <f>AND(#REF!,"AAAAAE+jviU=")</f>
        <v>#REF!</v>
      </c>
      <c r="AM142" t="e">
        <f>AND(#REF!,"AAAAAE+jviY=")</f>
        <v>#REF!</v>
      </c>
      <c r="AN142" t="e">
        <f>AND(#REF!,"AAAAAE+jvic=")</f>
        <v>#REF!</v>
      </c>
      <c r="AO142" t="e">
        <f>AND(#REF!,"AAAAAE+jvig=")</f>
        <v>#REF!</v>
      </c>
      <c r="AP142" t="e">
        <f>AND(#REF!,"AAAAAE+jvik=")</f>
        <v>#REF!</v>
      </c>
      <c r="AQ142" t="e">
        <f>AND(#REF!,"AAAAAE+jvio=")</f>
        <v>#REF!</v>
      </c>
      <c r="AR142" t="e">
        <f>AND(#REF!,"AAAAAE+jvis=")</f>
        <v>#REF!</v>
      </c>
      <c r="AS142" t="e">
        <f>AND(#REF!,"AAAAAE+jviw=")</f>
        <v>#REF!</v>
      </c>
      <c r="AT142" t="e">
        <f>AND(#REF!,"AAAAAE+jvi0=")</f>
        <v>#REF!</v>
      </c>
      <c r="AU142" t="e">
        <f>AND(#REF!,"AAAAAE+jvi4=")</f>
        <v>#REF!</v>
      </c>
      <c r="AV142" t="e">
        <f>AND(#REF!,"AAAAAE+jvi8=")</f>
        <v>#REF!</v>
      </c>
      <c r="AW142" t="e">
        <f>AND(#REF!,"AAAAAE+jvjA=")</f>
        <v>#REF!</v>
      </c>
      <c r="AX142" t="e">
        <f>AND(#REF!,"AAAAAE+jvjE=")</f>
        <v>#REF!</v>
      </c>
      <c r="AY142" t="e">
        <f>AND(#REF!,"AAAAAE+jvjI=")</f>
        <v>#REF!</v>
      </c>
      <c r="AZ142" t="e">
        <f>AND(#REF!,"AAAAAE+jvjM=")</f>
        <v>#REF!</v>
      </c>
      <c r="BA142" t="e">
        <f>AND(#REF!,"AAAAAE+jvjQ=")</f>
        <v>#REF!</v>
      </c>
      <c r="BB142" t="e">
        <f>AND(#REF!,"AAAAAE+jvjU=")</f>
        <v>#REF!</v>
      </c>
      <c r="BC142" t="e">
        <f>AND(#REF!,"AAAAAE+jvjY=")</f>
        <v>#REF!</v>
      </c>
      <c r="BD142" t="e">
        <f>AND(#REF!,"AAAAAE+jvjc=")</f>
        <v>#REF!</v>
      </c>
      <c r="BE142" t="e">
        <f>AND(#REF!,"AAAAAE+jvjg=")</f>
        <v>#REF!</v>
      </c>
      <c r="BF142" t="e">
        <f>AND(#REF!,"AAAAAE+jvjk=")</f>
        <v>#REF!</v>
      </c>
      <c r="BG142" t="e">
        <f>AND(#REF!,"AAAAAE+jvjo=")</f>
        <v>#REF!</v>
      </c>
      <c r="BH142" t="e">
        <f>AND(#REF!,"AAAAAE+jvjs=")</f>
        <v>#REF!</v>
      </c>
      <c r="BI142" t="e">
        <f>AND(#REF!,"AAAAAE+jvjw=")</f>
        <v>#REF!</v>
      </c>
      <c r="BJ142" t="e">
        <f>AND(#REF!,"AAAAAE+jvj0=")</f>
        <v>#REF!</v>
      </c>
      <c r="BK142" t="e">
        <f>AND(#REF!,"AAAAAE+jvj4=")</f>
        <v>#REF!</v>
      </c>
      <c r="BL142" t="e">
        <f>AND(#REF!,"AAAAAE+jvj8=")</f>
        <v>#REF!</v>
      </c>
      <c r="BM142" t="e">
        <f>AND(#REF!,"AAAAAE+jvkA=")</f>
        <v>#REF!</v>
      </c>
      <c r="BN142" t="e">
        <f>AND(#REF!,"AAAAAE+jvkE=")</f>
        <v>#REF!</v>
      </c>
      <c r="BO142" t="e">
        <f>AND(#REF!,"AAAAAE+jvkI=")</f>
        <v>#REF!</v>
      </c>
      <c r="BP142" t="e">
        <f>AND(#REF!,"AAAAAE+jvkM=")</f>
        <v>#REF!</v>
      </c>
      <c r="BQ142" t="e">
        <f>AND(#REF!,"AAAAAE+jvkQ=")</f>
        <v>#REF!</v>
      </c>
      <c r="BR142" t="e">
        <f>AND(#REF!,"AAAAAE+jvkU=")</f>
        <v>#REF!</v>
      </c>
      <c r="BS142" t="e">
        <f>AND(#REF!,"AAAAAE+jvkY=")</f>
        <v>#REF!</v>
      </c>
      <c r="BT142" t="e">
        <f>AND(#REF!,"AAAAAE+jvkc=")</f>
        <v>#REF!</v>
      </c>
      <c r="BU142" t="e">
        <f>AND(#REF!,"AAAAAE+jvkg=")</f>
        <v>#REF!</v>
      </c>
      <c r="BV142" t="e">
        <f>AND(#REF!,"AAAAAE+jvkk=")</f>
        <v>#REF!</v>
      </c>
      <c r="BW142" t="e">
        <f>AND(#REF!,"AAAAAE+jvko=")</f>
        <v>#REF!</v>
      </c>
      <c r="BX142" t="e">
        <f>AND(#REF!,"AAAAAE+jvks=")</f>
        <v>#REF!</v>
      </c>
      <c r="BY142" t="e">
        <f>AND(#REF!,"AAAAAE+jvkw=")</f>
        <v>#REF!</v>
      </c>
      <c r="BZ142" t="e">
        <f>AND(#REF!,"AAAAAE+jvk0=")</f>
        <v>#REF!</v>
      </c>
      <c r="CA142" t="e">
        <f>AND(#REF!,"AAAAAE+jvk4=")</f>
        <v>#REF!</v>
      </c>
      <c r="CB142" t="e">
        <f>AND(#REF!,"AAAAAE+jvk8=")</f>
        <v>#REF!</v>
      </c>
      <c r="CC142" t="e">
        <f>AND(#REF!,"AAAAAE+jvlA=")</f>
        <v>#REF!</v>
      </c>
      <c r="CD142" t="e">
        <f>AND(#REF!,"AAAAAE+jvlE=")</f>
        <v>#REF!</v>
      </c>
      <c r="CE142" t="e">
        <f>AND(#REF!,"AAAAAE+jvlI=")</f>
        <v>#REF!</v>
      </c>
      <c r="CF142" t="e">
        <f>AND(#REF!,"AAAAAE+jvlM=")</f>
        <v>#REF!</v>
      </c>
      <c r="CG142" t="e">
        <f>AND(#REF!,"AAAAAE+jvlQ=")</f>
        <v>#REF!</v>
      </c>
      <c r="CH142" t="e">
        <f>AND(#REF!,"AAAAAE+jvlU=")</f>
        <v>#REF!</v>
      </c>
      <c r="CI142" t="e">
        <f>AND(#REF!,"AAAAAE+jvlY=")</f>
        <v>#REF!</v>
      </c>
      <c r="CJ142" t="e">
        <f>AND(#REF!,"AAAAAE+jvlc=")</f>
        <v>#REF!</v>
      </c>
      <c r="CK142" t="e">
        <f>AND(#REF!,"AAAAAE+jvlg=")</f>
        <v>#REF!</v>
      </c>
      <c r="CL142" t="e">
        <f>AND(#REF!,"AAAAAE+jvlk=")</f>
        <v>#REF!</v>
      </c>
      <c r="CM142" t="e">
        <f>AND(#REF!,"AAAAAE+jvlo=")</f>
        <v>#REF!</v>
      </c>
      <c r="CN142" t="e">
        <f>AND(#REF!,"AAAAAE+jvls=")</f>
        <v>#REF!</v>
      </c>
      <c r="CO142" t="e">
        <f>AND(#REF!,"AAAAAE+jvlw=")</f>
        <v>#REF!</v>
      </c>
      <c r="CP142" t="e">
        <f>AND(#REF!,"AAAAAE+jvl0=")</f>
        <v>#REF!</v>
      </c>
      <c r="CQ142" t="e">
        <f>AND(#REF!,"AAAAAE+jvl4=")</f>
        <v>#REF!</v>
      </c>
      <c r="CR142" t="e">
        <f>AND(#REF!,"AAAAAE+jvl8=")</f>
        <v>#REF!</v>
      </c>
      <c r="CS142" t="e">
        <f>AND(#REF!,"AAAAAE+jvmA=")</f>
        <v>#REF!</v>
      </c>
      <c r="CT142" t="e">
        <f>AND(#REF!,"AAAAAE+jvmE=")</f>
        <v>#REF!</v>
      </c>
      <c r="CU142" t="e">
        <f>AND(#REF!,"AAAAAE+jvmI=")</f>
        <v>#REF!</v>
      </c>
      <c r="CV142" t="e">
        <f>AND(#REF!,"AAAAAE+jvmM=")</f>
        <v>#REF!</v>
      </c>
      <c r="CW142" t="e">
        <f>AND(#REF!,"AAAAAE+jvmQ=")</f>
        <v>#REF!</v>
      </c>
      <c r="CX142" t="e">
        <f>AND(#REF!,"AAAAAE+jvmU=")</f>
        <v>#REF!</v>
      </c>
      <c r="CY142" t="e">
        <f>AND(#REF!,"AAAAAE+jvmY=")</f>
        <v>#REF!</v>
      </c>
      <c r="CZ142" t="e">
        <f>AND(#REF!,"AAAAAE+jvmc=")</f>
        <v>#REF!</v>
      </c>
      <c r="DA142" t="e">
        <f>AND(#REF!,"AAAAAE+jvmg=")</f>
        <v>#REF!</v>
      </c>
      <c r="DB142" t="e">
        <f>AND(#REF!,"AAAAAE+jvmk=")</f>
        <v>#REF!</v>
      </c>
      <c r="DC142" t="e">
        <f>AND(#REF!,"AAAAAE+jvmo=")</f>
        <v>#REF!</v>
      </c>
      <c r="DD142" t="e">
        <f>AND(#REF!,"AAAAAE+jvms=")</f>
        <v>#REF!</v>
      </c>
      <c r="DE142" t="e">
        <f>AND(#REF!,"AAAAAE+jvmw=")</f>
        <v>#REF!</v>
      </c>
      <c r="DF142" t="e">
        <f>AND(#REF!,"AAAAAE+jvm0=")</f>
        <v>#REF!</v>
      </c>
      <c r="DG142" t="e">
        <f>AND(#REF!,"AAAAAE+jvm4=")</f>
        <v>#REF!</v>
      </c>
      <c r="DH142" t="e">
        <f>AND(#REF!,"AAAAAE+jvm8=")</f>
        <v>#REF!</v>
      </c>
      <c r="DI142" t="e">
        <f>AND(#REF!,"AAAAAE+jvnA=")</f>
        <v>#REF!</v>
      </c>
      <c r="DJ142" t="e">
        <f>AND(#REF!,"AAAAAE+jvnE=")</f>
        <v>#REF!</v>
      </c>
      <c r="DK142" t="e">
        <f>AND(#REF!,"AAAAAE+jvnI=")</f>
        <v>#REF!</v>
      </c>
      <c r="DL142" t="e">
        <f>AND(#REF!,"AAAAAE+jvnM=")</f>
        <v>#REF!</v>
      </c>
      <c r="DM142" t="e">
        <f>AND(#REF!,"AAAAAE+jvnQ=")</f>
        <v>#REF!</v>
      </c>
      <c r="DN142" t="e">
        <f>AND(#REF!,"AAAAAE+jvnU=")</f>
        <v>#REF!</v>
      </c>
      <c r="DO142" t="e">
        <f>AND(#REF!,"AAAAAE+jvnY=")</f>
        <v>#REF!</v>
      </c>
      <c r="DP142" t="e">
        <f>AND(#REF!,"AAAAAE+jvnc=")</f>
        <v>#REF!</v>
      </c>
      <c r="DQ142" t="e">
        <f>AND(#REF!,"AAAAAE+jvng=")</f>
        <v>#REF!</v>
      </c>
      <c r="DR142" t="e">
        <f>AND(#REF!,"AAAAAE+jvnk=")</f>
        <v>#REF!</v>
      </c>
      <c r="DS142" t="e">
        <f>AND(#REF!,"AAAAAE+jvno=")</f>
        <v>#REF!</v>
      </c>
      <c r="DT142" t="e">
        <f>AND(#REF!,"AAAAAE+jvns=")</f>
        <v>#REF!</v>
      </c>
      <c r="DU142" t="e">
        <f>AND(#REF!,"AAAAAE+jvnw=")</f>
        <v>#REF!</v>
      </c>
      <c r="DV142" t="e">
        <f>AND(#REF!,"AAAAAE+jvn0=")</f>
        <v>#REF!</v>
      </c>
      <c r="DW142" t="e">
        <f>AND(#REF!,"AAAAAE+jvn4=")</f>
        <v>#REF!</v>
      </c>
      <c r="DX142" t="e">
        <f>AND(#REF!,"AAAAAE+jvn8=")</f>
        <v>#REF!</v>
      </c>
      <c r="DY142" t="e">
        <f>AND(#REF!,"AAAAAE+jvoA=")</f>
        <v>#REF!</v>
      </c>
      <c r="DZ142" t="e">
        <f>AND(#REF!,"AAAAAE+jvoE=")</f>
        <v>#REF!</v>
      </c>
      <c r="EA142" t="e">
        <f>AND(#REF!,"AAAAAE+jvoI=")</f>
        <v>#REF!</v>
      </c>
      <c r="EB142" t="e">
        <f>AND(#REF!,"AAAAAE+jvoM=")</f>
        <v>#REF!</v>
      </c>
      <c r="EC142" t="e">
        <f>AND(#REF!,"AAAAAE+jvoQ=")</f>
        <v>#REF!</v>
      </c>
      <c r="ED142" t="e">
        <f>AND(#REF!,"AAAAAE+jvoU=")</f>
        <v>#REF!</v>
      </c>
      <c r="EE142" t="e">
        <f>AND(#REF!,"AAAAAE+jvoY=")</f>
        <v>#REF!</v>
      </c>
      <c r="EF142" t="e">
        <f>AND(#REF!,"AAAAAE+jvoc=")</f>
        <v>#REF!</v>
      </c>
      <c r="EG142" t="e">
        <f>AND(#REF!,"AAAAAE+jvog=")</f>
        <v>#REF!</v>
      </c>
      <c r="EH142" t="e">
        <f>AND(#REF!,"AAAAAE+jvok=")</f>
        <v>#REF!</v>
      </c>
      <c r="EI142" t="e">
        <f>AND(#REF!,"AAAAAE+jvoo=")</f>
        <v>#REF!</v>
      </c>
      <c r="EJ142" t="e">
        <f>AND(#REF!,"AAAAAE+jvos=")</f>
        <v>#REF!</v>
      </c>
      <c r="EK142" t="e">
        <f>AND(#REF!,"AAAAAE+jvow=")</f>
        <v>#REF!</v>
      </c>
      <c r="EL142" t="e">
        <f>AND(#REF!,"AAAAAE+jvo0=")</f>
        <v>#REF!</v>
      </c>
      <c r="EM142" t="e">
        <f>AND(#REF!,"AAAAAE+jvo4=")</f>
        <v>#REF!</v>
      </c>
      <c r="EN142" t="e">
        <f>AND(#REF!,"AAAAAE+jvo8=")</f>
        <v>#REF!</v>
      </c>
      <c r="EO142" t="e">
        <f>AND(#REF!,"AAAAAE+jvpA=")</f>
        <v>#REF!</v>
      </c>
      <c r="EP142" t="e">
        <f>AND(#REF!,"AAAAAE+jvpE=")</f>
        <v>#REF!</v>
      </c>
      <c r="EQ142" t="e">
        <f>AND(#REF!,"AAAAAE+jvpI=")</f>
        <v>#REF!</v>
      </c>
      <c r="ER142" t="e">
        <f>AND(#REF!,"AAAAAE+jvpM=")</f>
        <v>#REF!</v>
      </c>
      <c r="ES142" t="e">
        <f>AND(#REF!,"AAAAAE+jvpQ=")</f>
        <v>#REF!</v>
      </c>
      <c r="ET142" t="e">
        <f>AND(#REF!,"AAAAAE+jvpU=")</f>
        <v>#REF!</v>
      </c>
      <c r="EU142" t="e">
        <f>AND(#REF!,"AAAAAE+jvpY=")</f>
        <v>#REF!</v>
      </c>
      <c r="EV142" t="e">
        <f>AND(#REF!,"AAAAAE+jvpc=")</f>
        <v>#REF!</v>
      </c>
      <c r="EW142" t="e">
        <f>AND(#REF!,"AAAAAE+jvpg=")</f>
        <v>#REF!</v>
      </c>
      <c r="EX142" t="e">
        <f>AND(#REF!,"AAAAAE+jvpk=")</f>
        <v>#REF!</v>
      </c>
      <c r="EY142" t="e">
        <f>AND(#REF!,"AAAAAE+jvpo=")</f>
        <v>#REF!</v>
      </c>
      <c r="EZ142" t="e">
        <f>AND(#REF!,"AAAAAE+jvps=")</f>
        <v>#REF!</v>
      </c>
      <c r="FA142" t="e">
        <f>AND(#REF!,"AAAAAE+jvpw=")</f>
        <v>#REF!</v>
      </c>
      <c r="FB142" t="e">
        <f>IF(#REF!,"AAAAAE+jvp0=",0)</f>
        <v>#REF!</v>
      </c>
      <c r="FC142" t="e">
        <f>AND(#REF!,"AAAAAE+jvp4=")</f>
        <v>#REF!</v>
      </c>
      <c r="FD142" t="e">
        <f>AND(#REF!,"AAAAAE+jvp8=")</f>
        <v>#REF!</v>
      </c>
      <c r="FE142" t="e">
        <f>AND(#REF!,"AAAAAE+jvqA=")</f>
        <v>#REF!</v>
      </c>
      <c r="FF142" t="e">
        <f>AND(#REF!,"AAAAAE+jvqE=")</f>
        <v>#REF!</v>
      </c>
      <c r="FG142" t="e">
        <f>AND(#REF!,"AAAAAE+jvqI=")</f>
        <v>#REF!</v>
      </c>
      <c r="FH142" t="e">
        <f>AND(#REF!,"AAAAAE+jvqM=")</f>
        <v>#REF!</v>
      </c>
      <c r="FI142" t="e">
        <f>AND(#REF!,"AAAAAE+jvqQ=")</f>
        <v>#REF!</v>
      </c>
      <c r="FJ142" t="e">
        <f>AND(#REF!,"AAAAAE+jvqU=")</f>
        <v>#REF!</v>
      </c>
      <c r="FK142" t="e">
        <f>AND(#REF!,"AAAAAE+jvqY=")</f>
        <v>#REF!</v>
      </c>
      <c r="FL142" t="e">
        <f>AND(#REF!,"AAAAAE+jvqc=")</f>
        <v>#REF!</v>
      </c>
      <c r="FM142" t="e">
        <f>AND(#REF!,"AAAAAE+jvqg=")</f>
        <v>#REF!</v>
      </c>
      <c r="FN142" t="e">
        <f>AND(#REF!,"AAAAAE+jvqk=")</f>
        <v>#REF!</v>
      </c>
      <c r="FO142" t="e">
        <f>AND(#REF!,"AAAAAE+jvqo=")</f>
        <v>#REF!</v>
      </c>
      <c r="FP142" t="e">
        <f>AND(#REF!,"AAAAAE+jvqs=")</f>
        <v>#REF!</v>
      </c>
      <c r="FQ142" t="e">
        <f>AND(#REF!,"AAAAAE+jvqw=")</f>
        <v>#REF!</v>
      </c>
      <c r="FR142" t="e">
        <f>AND(#REF!,"AAAAAE+jvq0=")</f>
        <v>#REF!</v>
      </c>
      <c r="FS142" t="e">
        <f>AND(#REF!,"AAAAAE+jvq4=")</f>
        <v>#REF!</v>
      </c>
      <c r="FT142" t="e">
        <f>AND(#REF!,"AAAAAE+jvq8=")</f>
        <v>#REF!</v>
      </c>
      <c r="FU142" t="e">
        <f>AND(#REF!,"AAAAAE+jvrA=")</f>
        <v>#REF!</v>
      </c>
      <c r="FV142" t="e">
        <f>AND(#REF!,"AAAAAE+jvrE=")</f>
        <v>#REF!</v>
      </c>
      <c r="FW142" t="e">
        <f>AND(#REF!,"AAAAAE+jvrI=")</f>
        <v>#REF!</v>
      </c>
      <c r="FX142" t="e">
        <f>AND(#REF!,"AAAAAE+jvrM=")</f>
        <v>#REF!</v>
      </c>
      <c r="FY142" t="e">
        <f>AND(#REF!,"AAAAAE+jvrQ=")</f>
        <v>#REF!</v>
      </c>
      <c r="FZ142" t="e">
        <f>AND(#REF!,"AAAAAE+jvrU=")</f>
        <v>#REF!</v>
      </c>
      <c r="GA142" t="e">
        <f>AND(#REF!,"AAAAAE+jvrY=")</f>
        <v>#REF!</v>
      </c>
      <c r="GB142" t="e">
        <f>AND(#REF!,"AAAAAE+jvrc=")</f>
        <v>#REF!</v>
      </c>
      <c r="GC142" t="e">
        <f>AND(#REF!,"AAAAAE+jvrg=")</f>
        <v>#REF!</v>
      </c>
      <c r="GD142" t="e">
        <f>AND(#REF!,"AAAAAE+jvrk=")</f>
        <v>#REF!</v>
      </c>
      <c r="GE142" t="e">
        <f>AND(#REF!,"AAAAAE+jvro=")</f>
        <v>#REF!</v>
      </c>
      <c r="GF142" t="e">
        <f>AND(#REF!,"AAAAAE+jvrs=")</f>
        <v>#REF!</v>
      </c>
      <c r="GG142" t="e">
        <f>AND(#REF!,"AAAAAE+jvrw=")</f>
        <v>#REF!</v>
      </c>
      <c r="GH142" t="e">
        <f>AND(#REF!,"AAAAAE+jvr0=")</f>
        <v>#REF!</v>
      </c>
      <c r="GI142" t="e">
        <f>AND(#REF!,"AAAAAE+jvr4=")</f>
        <v>#REF!</v>
      </c>
      <c r="GJ142" t="e">
        <f>AND(#REF!,"AAAAAE+jvr8=")</f>
        <v>#REF!</v>
      </c>
      <c r="GK142" t="e">
        <f>AND(#REF!,"AAAAAE+jvsA=")</f>
        <v>#REF!</v>
      </c>
      <c r="GL142" t="e">
        <f>AND(#REF!,"AAAAAE+jvsE=")</f>
        <v>#REF!</v>
      </c>
      <c r="GM142" t="e">
        <f>AND(#REF!,"AAAAAE+jvsI=")</f>
        <v>#REF!</v>
      </c>
      <c r="GN142" t="e">
        <f>AND(#REF!,"AAAAAE+jvsM=")</f>
        <v>#REF!</v>
      </c>
      <c r="GO142" t="e">
        <f>AND(#REF!,"AAAAAE+jvsQ=")</f>
        <v>#REF!</v>
      </c>
      <c r="GP142" t="e">
        <f>AND(#REF!,"AAAAAE+jvsU=")</f>
        <v>#REF!</v>
      </c>
      <c r="GQ142" t="e">
        <f>AND(#REF!,"AAAAAE+jvsY=")</f>
        <v>#REF!</v>
      </c>
      <c r="GR142" t="e">
        <f>AND(#REF!,"AAAAAE+jvsc=")</f>
        <v>#REF!</v>
      </c>
      <c r="GS142" t="e">
        <f>AND(#REF!,"AAAAAE+jvsg=")</f>
        <v>#REF!</v>
      </c>
      <c r="GT142" t="e">
        <f>AND(#REF!,"AAAAAE+jvsk=")</f>
        <v>#REF!</v>
      </c>
      <c r="GU142" t="e">
        <f>AND(#REF!,"AAAAAE+jvso=")</f>
        <v>#REF!</v>
      </c>
      <c r="GV142" t="e">
        <f>AND(#REF!,"AAAAAE+jvss=")</f>
        <v>#REF!</v>
      </c>
      <c r="GW142" t="e">
        <f>AND(#REF!,"AAAAAE+jvsw=")</f>
        <v>#REF!</v>
      </c>
      <c r="GX142" t="e">
        <f>AND(#REF!,"AAAAAE+jvs0=")</f>
        <v>#REF!</v>
      </c>
      <c r="GY142" t="e">
        <f>AND(#REF!,"AAAAAE+jvs4=")</f>
        <v>#REF!</v>
      </c>
      <c r="GZ142" t="e">
        <f>AND(#REF!,"AAAAAE+jvs8=")</f>
        <v>#REF!</v>
      </c>
      <c r="HA142" t="e">
        <f>AND(#REF!,"AAAAAE+jvtA=")</f>
        <v>#REF!</v>
      </c>
      <c r="HB142" t="e">
        <f>AND(#REF!,"AAAAAE+jvtE=")</f>
        <v>#REF!</v>
      </c>
      <c r="HC142" t="e">
        <f>AND(#REF!,"AAAAAE+jvtI=")</f>
        <v>#REF!</v>
      </c>
      <c r="HD142" t="e">
        <f>AND(#REF!,"AAAAAE+jvtM=")</f>
        <v>#REF!</v>
      </c>
      <c r="HE142" t="e">
        <f>AND(#REF!,"AAAAAE+jvtQ=")</f>
        <v>#REF!</v>
      </c>
      <c r="HF142" t="e">
        <f>AND(#REF!,"AAAAAE+jvtU=")</f>
        <v>#REF!</v>
      </c>
      <c r="HG142" t="e">
        <f>AND(#REF!,"AAAAAE+jvtY=")</f>
        <v>#REF!</v>
      </c>
      <c r="HH142" t="e">
        <f>AND(#REF!,"AAAAAE+jvtc=")</f>
        <v>#REF!</v>
      </c>
      <c r="HI142" t="e">
        <f>AND(#REF!,"AAAAAE+jvtg=")</f>
        <v>#REF!</v>
      </c>
      <c r="HJ142" t="e">
        <f>AND(#REF!,"AAAAAE+jvtk=")</f>
        <v>#REF!</v>
      </c>
      <c r="HK142" t="e">
        <f>AND(#REF!,"AAAAAE+jvto=")</f>
        <v>#REF!</v>
      </c>
      <c r="HL142" t="e">
        <f>AND(#REF!,"AAAAAE+jvts=")</f>
        <v>#REF!</v>
      </c>
      <c r="HM142" t="e">
        <f>AND(#REF!,"AAAAAE+jvtw=")</f>
        <v>#REF!</v>
      </c>
      <c r="HN142" t="e">
        <f>AND(#REF!,"AAAAAE+jvt0=")</f>
        <v>#REF!</v>
      </c>
      <c r="HO142" t="e">
        <f>AND(#REF!,"AAAAAE+jvt4=")</f>
        <v>#REF!</v>
      </c>
      <c r="HP142" t="e">
        <f>AND(#REF!,"AAAAAE+jvt8=")</f>
        <v>#REF!</v>
      </c>
      <c r="HQ142" t="e">
        <f>AND(#REF!,"AAAAAE+jvuA=")</f>
        <v>#REF!</v>
      </c>
      <c r="HR142" t="e">
        <f>AND(#REF!,"AAAAAE+jvuE=")</f>
        <v>#REF!</v>
      </c>
      <c r="HS142" t="e">
        <f>AND(#REF!,"AAAAAE+jvuI=")</f>
        <v>#REF!</v>
      </c>
      <c r="HT142" t="e">
        <f>AND(#REF!,"AAAAAE+jvuM=")</f>
        <v>#REF!</v>
      </c>
      <c r="HU142" t="e">
        <f>AND(#REF!,"AAAAAE+jvuQ=")</f>
        <v>#REF!</v>
      </c>
      <c r="HV142" t="e">
        <f>AND(#REF!,"AAAAAE+jvuU=")</f>
        <v>#REF!</v>
      </c>
      <c r="HW142" t="e">
        <f>AND(#REF!,"AAAAAE+jvuY=")</f>
        <v>#REF!</v>
      </c>
      <c r="HX142" t="e">
        <f>AND(#REF!,"AAAAAE+jvuc=")</f>
        <v>#REF!</v>
      </c>
      <c r="HY142" t="e">
        <f>AND(#REF!,"AAAAAE+jvug=")</f>
        <v>#REF!</v>
      </c>
      <c r="HZ142" t="e">
        <f>AND(#REF!,"AAAAAE+jvuk=")</f>
        <v>#REF!</v>
      </c>
      <c r="IA142" t="e">
        <f>AND(#REF!,"AAAAAE+jvuo=")</f>
        <v>#REF!</v>
      </c>
      <c r="IB142" t="e">
        <f>AND(#REF!,"AAAAAE+jvus=")</f>
        <v>#REF!</v>
      </c>
      <c r="IC142" t="e">
        <f>AND(#REF!,"AAAAAE+jvuw=")</f>
        <v>#REF!</v>
      </c>
      <c r="ID142" t="e">
        <f>AND(#REF!,"AAAAAE+jvu0=")</f>
        <v>#REF!</v>
      </c>
      <c r="IE142" t="e">
        <f>AND(#REF!,"AAAAAE+jvu4=")</f>
        <v>#REF!</v>
      </c>
      <c r="IF142" t="e">
        <f>AND(#REF!,"AAAAAE+jvu8=")</f>
        <v>#REF!</v>
      </c>
      <c r="IG142" t="e">
        <f>AND(#REF!,"AAAAAE+jvvA=")</f>
        <v>#REF!</v>
      </c>
      <c r="IH142" t="e">
        <f>AND(#REF!,"AAAAAE+jvvE=")</f>
        <v>#REF!</v>
      </c>
      <c r="II142" t="e">
        <f>AND(#REF!,"AAAAAE+jvvI=")</f>
        <v>#REF!</v>
      </c>
      <c r="IJ142" t="e">
        <f>AND(#REF!,"AAAAAE+jvvM=")</f>
        <v>#REF!</v>
      </c>
      <c r="IK142" t="e">
        <f>AND(#REF!,"AAAAAE+jvvQ=")</f>
        <v>#REF!</v>
      </c>
      <c r="IL142" t="e">
        <f>AND(#REF!,"AAAAAE+jvvU=")</f>
        <v>#REF!</v>
      </c>
      <c r="IM142" t="e">
        <f>AND(#REF!,"AAAAAE+jvvY=")</f>
        <v>#REF!</v>
      </c>
      <c r="IN142" t="e">
        <f>AND(#REF!,"AAAAAE+jvvc=")</f>
        <v>#REF!</v>
      </c>
      <c r="IO142" t="e">
        <f>AND(#REF!,"AAAAAE+jvvg=")</f>
        <v>#REF!</v>
      </c>
      <c r="IP142" t="e">
        <f>AND(#REF!,"AAAAAE+jvvk=")</f>
        <v>#REF!</v>
      </c>
      <c r="IQ142" t="e">
        <f>AND(#REF!,"AAAAAE+jvvo=")</f>
        <v>#REF!</v>
      </c>
      <c r="IR142" t="e">
        <f>AND(#REF!,"AAAAAE+jvvs=")</f>
        <v>#REF!</v>
      </c>
      <c r="IS142" t="e">
        <f>AND(#REF!,"AAAAAE+jvvw=")</f>
        <v>#REF!</v>
      </c>
      <c r="IT142" t="e">
        <f>AND(#REF!,"AAAAAE+jvv0=")</f>
        <v>#REF!</v>
      </c>
      <c r="IU142" t="e">
        <f>AND(#REF!,"AAAAAE+jvv4=")</f>
        <v>#REF!</v>
      </c>
      <c r="IV142" t="e">
        <f>AND(#REF!,"AAAAAE+jvv8=")</f>
        <v>#REF!</v>
      </c>
    </row>
    <row r="143" spans="1:256" x14ac:dyDescent="0.25">
      <c r="A143" t="e">
        <f>AND(#REF!,"AAAAAH7/vwA=")</f>
        <v>#REF!</v>
      </c>
      <c r="B143" t="e">
        <f>AND(#REF!,"AAAAAH7/vwE=")</f>
        <v>#REF!</v>
      </c>
      <c r="C143" t="e">
        <f>AND(#REF!,"AAAAAH7/vwI=")</f>
        <v>#REF!</v>
      </c>
      <c r="D143" t="e">
        <f>AND(#REF!,"AAAAAH7/vwM=")</f>
        <v>#REF!</v>
      </c>
      <c r="E143" t="e">
        <f>AND(#REF!,"AAAAAH7/vwQ=")</f>
        <v>#REF!</v>
      </c>
      <c r="F143" t="e">
        <f>AND(#REF!,"AAAAAH7/vwU=")</f>
        <v>#REF!</v>
      </c>
      <c r="G143" t="e">
        <f>AND(#REF!,"AAAAAH7/vwY=")</f>
        <v>#REF!</v>
      </c>
      <c r="H143" t="e">
        <f>AND(#REF!,"AAAAAH7/vwc=")</f>
        <v>#REF!</v>
      </c>
      <c r="I143" t="e">
        <f>AND(#REF!,"AAAAAH7/vwg=")</f>
        <v>#REF!</v>
      </c>
      <c r="J143" t="e">
        <f>AND(#REF!,"AAAAAH7/vwk=")</f>
        <v>#REF!</v>
      </c>
      <c r="K143" t="e">
        <f>AND(#REF!,"AAAAAH7/vwo=")</f>
        <v>#REF!</v>
      </c>
      <c r="L143" t="e">
        <f>AND(#REF!,"AAAAAH7/vws=")</f>
        <v>#REF!</v>
      </c>
      <c r="M143" t="e">
        <f>AND(#REF!,"AAAAAH7/vww=")</f>
        <v>#REF!</v>
      </c>
      <c r="N143" t="e">
        <f>AND(#REF!,"AAAAAH7/vw0=")</f>
        <v>#REF!</v>
      </c>
      <c r="O143" t="e">
        <f>AND(#REF!,"AAAAAH7/vw4=")</f>
        <v>#REF!</v>
      </c>
      <c r="P143" t="e">
        <f>AND(#REF!,"AAAAAH7/vw8=")</f>
        <v>#REF!</v>
      </c>
      <c r="Q143" t="e">
        <f>AND(#REF!,"AAAAAH7/vxA=")</f>
        <v>#REF!</v>
      </c>
      <c r="R143" t="e">
        <f>AND(#REF!,"AAAAAH7/vxE=")</f>
        <v>#REF!</v>
      </c>
      <c r="S143" t="e">
        <f>AND(#REF!,"AAAAAH7/vxI=")</f>
        <v>#REF!</v>
      </c>
      <c r="T143" t="e">
        <f>AND(#REF!,"AAAAAH7/vxM=")</f>
        <v>#REF!</v>
      </c>
      <c r="U143" t="e">
        <f>AND(#REF!,"AAAAAH7/vxQ=")</f>
        <v>#REF!</v>
      </c>
      <c r="V143" t="e">
        <f>AND(#REF!,"AAAAAH7/vxU=")</f>
        <v>#REF!</v>
      </c>
      <c r="W143" t="e">
        <f>AND(#REF!,"AAAAAH7/vxY=")</f>
        <v>#REF!</v>
      </c>
      <c r="X143" t="e">
        <f>AND(#REF!,"AAAAAH7/vxc=")</f>
        <v>#REF!</v>
      </c>
      <c r="Y143" t="e">
        <f>AND(#REF!,"AAAAAH7/vxg=")</f>
        <v>#REF!</v>
      </c>
      <c r="Z143" t="e">
        <f>AND(#REF!,"AAAAAH7/vxk=")</f>
        <v>#REF!</v>
      </c>
      <c r="AA143" t="e">
        <f>AND(#REF!,"AAAAAH7/vxo=")</f>
        <v>#REF!</v>
      </c>
      <c r="AB143" t="e">
        <f>AND(#REF!,"AAAAAH7/vxs=")</f>
        <v>#REF!</v>
      </c>
      <c r="AC143" t="e">
        <f>AND(#REF!,"AAAAAH7/vxw=")</f>
        <v>#REF!</v>
      </c>
      <c r="AD143" t="e">
        <f>AND(#REF!,"AAAAAH7/vx0=")</f>
        <v>#REF!</v>
      </c>
      <c r="AE143" t="e">
        <f>AND(#REF!,"AAAAAH7/vx4=")</f>
        <v>#REF!</v>
      </c>
      <c r="AF143" t="e">
        <f>AND(#REF!,"AAAAAH7/vx8=")</f>
        <v>#REF!</v>
      </c>
      <c r="AG143" t="e">
        <f>AND(#REF!,"AAAAAH7/vyA=")</f>
        <v>#REF!</v>
      </c>
      <c r="AH143" t="e">
        <f>AND(#REF!,"AAAAAH7/vyE=")</f>
        <v>#REF!</v>
      </c>
      <c r="AI143" t="e">
        <f>AND(#REF!,"AAAAAH7/vyI=")</f>
        <v>#REF!</v>
      </c>
      <c r="AJ143" t="e">
        <f>AND(#REF!,"AAAAAH7/vyM=")</f>
        <v>#REF!</v>
      </c>
      <c r="AK143" t="e">
        <f>AND(#REF!,"AAAAAH7/vyQ=")</f>
        <v>#REF!</v>
      </c>
      <c r="AL143" t="e">
        <f>AND(#REF!,"AAAAAH7/vyU=")</f>
        <v>#REF!</v>
      </c>
      <c r="AM143" t="e">
        <f>AND(#REF!,"AAAAAH7/vyY=")</f>
        <v>#REF!</v>
      </c>
      <c r="AN143" t="e">
        <f>AND(#REF!,"AAAAAH7/vyc=")</f>
        <v>#REF!</v>
      </c>
      <c r="AO143" t="e">
        <f>AND(#REF!,"AAAAAH7/vyg=")</f>
        <v>#REF!</v>
      </c>
      <c r="AP143" t="e">
        <f>AND(#REF!,"AAAAAH7/vyk=")</f>
        <v>#REF!</v>
      </c>
      <c r="AQ143" t="e">
        <f>AND(#REF!,"AAAAAH7/vyo=")</f>
        <v>#REF!</v>
      </c>
      <c r="AR143" t="e">
        <f>AND(#REF!,"AAAAAH7/vys=")</f>
        <v>#REF!</v>
      </c>
      <c r="AS143" t="e">
        <f>AND(#REF!,"AAAAAH7/vyw=")</f>
        <v>#REF!</v>
      </c>
      <c r="AT143" t="e">
        <f>AND(#REF!,"AAAAAH7/vy0=")</f>
        <v>#REF!</v>
      </c>
      <c r="AU143" t="e">
        <f>AND(#REF!,"AAAAAH7/vy4=")</f>
        <v>#REF!</v>
      </c>
      <c r="AV143" t="e">
        <f>AND(#REF!,"AAAAAH7/vy8=")</f>
        <v>#REF!</v>
      </c>
      <c r="AW143" t="e">
        <f>AND(#REF!,"AAAAAH7/vzA=")</f>
        <v>#REF!</v>
      </c>
      <c r="AX143" t="e">
        <f>AND(#REF!,"AAAAAH7/vzE=")</f>
        <v>#REF!</v>
      </c>
      <c r="AY143" t="e">
        <f>AND(#REF!,"AAAAAH7/vzI=")</f>
        <v>#REF!</v>
      </c>
      <c r="AZ143" t="e">
        <f>AND(#REF!,"AAAAAH7/vzM=")</f>
        <v>#REF!</v>
      </c>
      <c r="BA143" t="e">
        <f>AND(#REF!,"AAAAAH7/vzQ=")</f>
        <v>#REF!</v>
      </c>
      <c r="BB143" t="e">
        <f>AND(#REF!,"AAAAAH7/vzU=")</f>
        <v>#REF!</v>
      </c>
      <c r="BC143" t="e">
        <f>AND(#REF!,"AAAAAH7/vzY=")</f>
        <v>#REF!</v>
      </c>
      <c r="BD143" t="e">
        <f>AND(#REF!,"AAAAAH7/vzc=")</f>
        <v>#REF!</v>
      </c>
      <c r="BE143" t="e">
        <f>AND(#REF!,"AAAAAH7/vzg=")</f>
        <v>#REF!</v>
      </c>
      <c r="BF143" t="e">
        <f>AND(#REF!,"AAAAAH7/vzk=")</f>
        <v>#REF!</v>
      </c>
      <c r="BG143" t="e">
        <f>AND(#REF!,"AAAAAH7/vzo=")</f>
        <v>#REF!</v>
      </c>
      <c r="BH143" t="e">
        <f>AND(#REF!,"AAAAAH7/vzs=")</f>
        <v>#REF!</v>
      </c>
      <c r="BI143" t="e">
        <f>AND(#REF!,"AAAAAH7/vzw=")</f>
        <v>#REF!</v>
      </c>
      <c r="BJ143" t="e">
        <f>AND(#REF!,"AAAAAH7/vz0=")</f>
        <v>#REF!</v>
      </c>
      <c r="BK143" t="e">
        <f>AND(#REF!,"AAAAAH7/vz4=")</f>
        <v>#REF!</v>
      </c>
      <c r="BL143" t="e">
        <f>AND(#REF!,"AAAAAH7/vz8=")</f>
        <v>#REF!</v>
      </c>
      <c r="BM143" t="e">
        <f>AND(#REF!,"AAAAAH7/v0A=")</f>
        <v>#REF!</v>
      </c>
      <c r="BN143" t="e">
        <f>AND(#REF!,"AAAAAH7/v0E=")</f>
        <v>#REF!</v>
      </c>
      <c r="BO143" t="e">
        <f>AND(#REF!,"AAAAAH7/v0I=")</f>
        <v>#REF!</v>
      </c>
      <c r="BP143" t="e">
        <f>AND(#REF!,"AAAAAH7/v0M=")</f>
        <v>#REF!</v>
      </c>
      <c r="BQ143" t="e">
        <f>AND(#REF!,"AAAAAH7/v0Q=")</f>
        <v>#REF!</v>
      </c>
      <c r="BR143" t="e">
        <f>AND(#REF!,"AAAAAH7/v0U=")</f>
        <v>#REF!</v>
      </c>
      <c r="BS143" t="e">
        <f>AND(#REF!,"AAAAAH7/v0Y=")</f>
        <v>#REF!</v>
      </c>
      <c r="BT143" t="e">
        <f>AND(#REF!,"AAAAAH7/v0c=")</f>
        <v>#REF!</v>
      </c>
      <c r="BU143" t="e">
        <f>AND(#REF!,"AAAAAH7/v0g=")</f>
        <v>#REF!</v>
      </c>
      <c r="BV143" t="e">
        <f>AND(#REF!,"AAAAAH7/v0k=")</f>
        <v>#REF!</v>
      </c>
      <c r="BW143" t="e">
        <f>AND(#REF!,"AAAAAH7/v0o=")</f>
        <v>#REF!</v>
      </c>
      <c r="BX143" t="e">
        <f>AND(#REF!,"AAAAAH7/v0s=")</f>
        <v>#REF!</v>
      </c>
      <c r="BY143" t="e">
        <f>AND(#REF!,"AAAAAH7/v0w=")</f>
        <v>#REF!</v>
      </c>
      <c r="BZ143" t="e">
        <f>AND(#REF!,"AAAAAH7/v00=")</f>
        <v>#REF!</v>
      </c>
      <c r="CA143" t="e">
        <f>AND(#REF!,"AAAAAH7/v04=")</f>
        <v>#REF!</v>
      </c>
      <c r="CB143" t="e">
        <f>AND(#REF!,"AAAAAH7/v08=")</f>
        <v>#REF!</v>
      </c>
      <c r="CC143" t="e">
        <f>AND(#REF!,"AAAAAH7/v1A=")</f>
        <v>#REF!</v>
      </c>
      <c r="CD143" t="e">
        <f>AND(#REF!,"AAAAAH7/v1E=")</f>
        <v>#REF!</v>
      </c>
      <c r="CE143" t="e">
        <f>AND(#REF!,"AAAAAH7/v1I=")</f>
        <v>#REF!</v>
      </c>
      <c r="CF143" t="e">
        <f>AND(#REF!,"AAAAAH7/v1M=")</f>
        <v>#REF!</v>
      </c>
      <c r="CG143" t="e">
        <f>AND(#REF!,"AAAAAH7/v1Q=")</f>
        <v>#REF!</v>
      </c>
      <c r="CH143" t="e">
        <f>AND(#REF!,"AAAAAH7/v1U=")</f>
        <v>#REF!</v>
      </c>
      <c r="CI143" t="e">
        <f>AND(#REF!,"AAAAAH7/v1Y=")</f>
        <v>#REF!</v>
      </c>
      <c r="CJ143" t="e">
        <f>AND(#REF!,"AAAAAH7/v1c=")</f>
        <v>#REF!</v>
      </c>
      <c r="CK143" t="e">
        <f>AND(#REF!,"AAAAAH7/v1g=")</f>
        <v>#REF!</v>
      </c>
      <c r="CL143" t="e">
        <f>AND(#REF!,"AAAAAH7/v1k=")</f>
        <v>#REF!</v>
      </c>
      <c r="CM143" t="e">
        <f>IF(#REF!,"AAAAAH7/v1o=",0)</f>
        <v>#REF!</v>
      </c>
      <c r="CN143" t="e">
        <f>AND(#REF!,"AAAAAH7/v1s=")</f>
        <v>#REF!</v>
      </c>
      <c r="CO143" t="e">
        <f>AND(#REF!,"AAAAAH7/v1w=")</f>
        <v>#REF!</v>
      </c>
      <c r="CP143" t="e">
        <f>AND(#REF!,"AAAAAH7/v10=")</f>
        <v>#REF!</v>
      </c>
      <c r="CQ143" t="e">
        <f>AND(#REF!,"AAAAAH7/v14=")</f>
        <v>#REF!</v>
      </c>
      <c r="CR143" t="e">
        <f>AND(#REF!,"AAAAAH7/v18=")</f>
        <v>#REF!</v>
      </c>
      <c r="CS143" t="e">
        <f>AND(#REF!,"AAAAAH7/v2A=")</f>
        <v>#REF!</v>
      </c>
      <c r="CT143" t="e">
        <f>AND(#REF!,"AAAAAH7/v2E=")</f>
        <v>#REF!</v>
      </c>
      <c r="CU143" t="e">
        <f>AND(#REF!,"AAAAAH7/v2I=")</f>
        <v>#REF!</v>
      </c>
      <c r="CV143" t="e">
        <f>AND(#REF!,"AAAAAH7/v2M=")</f>
        <v>#REF!</v>
      </c>
      <c r="CW143" t="e">
        <f>AND(#REF!,"AAAAAH7/v2Q=")</f>
        <v>#REF!</v>
      </c>
      <c r="CX143" t="e">
        <f>AND(#REF!,"AAAAAH7/v2U=")</f>
        <v>#REF!</v>
      </c>
      <c r="CY143" t="e">
        <f>AND(#REF!,"AAAAAH7/v2Y=")</f>
        <v>#REF!</v>
      </c>
      <c r="CZ143" t="e">
        <f>AND(#REF!,"AAAAAH7/v2c=")</f>
        <v>#REF!</v>
      </c>
      <c r="DA143" t="e">
        <f>AND(#REF!,"AAAAAH7/v2g=")</f>
        <v>#REF!</v>
      </c>
      <c r="DB143" t="e">
        <f>AND(#REF!,"AAAAAH7/v2k=")</f>
        <v>#REF!</v>
      </c>
      <c r="DC143" t="e">
        <f>AND(#REF!,"AAAAAH7/v2o=")</f>
        <v>#REF!</v>
      </c>
      <c r="DD143" t="e">
        <f>AND(#REF!,"AAAAAH7/v2s=")</f>
        <v>#REF!</v>
      </c>
      <c r="DE143" t="e">
        <f>AND(#REF!,"AAAAAH7/v2w=")</f>
        <v>#REF!</v>
      </c>
      <c r="DF143" t="e">
        <f>AND(#REF!,"AAAAAH7/v20=")</f>
        <v>#REF!</v>
      </c>
      <c r="DG143" t="e">
        <f>AND(#REF!,"AAAAAH7/v24=")</f>
        <v>#REF!</v>
      </c>
      <c r="DH143" t="e">
        <f>AND(#REF!,"AAAAAH7/v28=")</f>
        <v>#REF!</v>
      </c>
      <c r="DI143" t="e">
        <f>AND(#REF!,"AAAAAH7/v3A=")</f>
        <v>#REF!</v>
      </c>
      <c r="DJ143" t="e">
        <f>AND(#REF!,"AAAAAH7/v3E=")</f>
        <v>#REF!</v>
      </c>
      <c r="DK143" t="e">
        <f>AND(#REF!,"AAAAAH7/v3I=")</f>
        <v>#REF!</v>
      </c>
      <c r="DL143" t="e">
        <f>AND(#REF!,"AAAAAH7/v3M=")</f>
        <v>#REF!</v>
      </c>
      <c r="DM143" t="e">
        <f>AND(#REF!,"AAAAAH7/v3Q=")</f>
        <v>#REF!</v>
      </c>
      <c r="DN143" t="e">
        <f>AND(#REF!,"AAAAAH7/v3U=")</f>
        <v>#REF!</v>
      </c>
      <c r="DO143" t="e">
        <f>AND(#REF!,"AAAAAH7/v3Y=")</f>
        <v>#REF!</v>
      </c>
      <c r="DP143" t="e">
        <f>AND(#REF!,"AAAAAH7/v3c=")</f>
        <v>#REF!</v>
      </c>
      <c r="DQ143" t="e">
        <f>AND(#REF!,"AAAAAH7/v3g=")</f>
        <v>#REF!</v>
      </c>
      <c r="DR143" t="e">
        <f>AND(#REF!,"AAAAAH7/v3k=")</f>
        <v>#REF!</v>
      </c>
      <c r="DS143" t="e">
        <f>AND(#REF!,"AAAAAH7/v3o=")</f>
        <v>#REF!</v>
      </c>
      <c r="DT143" t="e">
        <f>AND(#REF!,"AAAAAH7/v3s=")</f>
        <v>#REF!</v>
      </c>
      <c r="DU143" t="e">
        <f>AND(#REF!,"AAAAAH7/v3w=")</f>
        <v>#REF!</v>
      </c>
      <c r="DV143" t="e">
        <f>AND(#REF!,"AAAAAH7/v30=")</f>
        <v>#REF!</v>
      </c>
      <c r="DW143" t="e">
        <f>AND(#REF!,"AAAAAH7/v34=")</f>
        <v>#REF!</v>
      </c>
      <c r="DX143" t="e">
        <f>AND(#REF!,"AAAAAH7/v38=")</f>
        <v>#REF!</v>
      </c>
      <c r="DY143" t="e">
        <f>AND(#REF!,"AAAAAH7/v4A=")</f>
        <v>#REF!</v>
      </c>
      <c r="DZ143" t="e">
        <f>AND(#REF!,"AAAAAH7/v4E=")</f>
        <v>#REF!</v>
      </c>
      <c r="EA143" t="e">
        <f>AND(#REF!,"AAAAAH7/v4I=")</f>
        <v>#REF!</v>
      </c>
      <c r="EB143" t="e">
        <f>AND(#REF!,"AAAAAH7/v4M=")</f>
        <v>#REF!</v>
      </c>
      <c r="EC143" t="e">
        <f>AND(#REF!,"AAAAAH7/v4Q=")</f>
        <v>#REF!</v>
      </c>
      <c r="ED143" t="e">
        <f>AND(#REF!,"AAAAAH7/v4U=")</f>
        <v>#REF!</v>
      </c>
      <c r="EE143" t="e">
        <f>AND(#REF!,"AAAAAH7/v4Y=")</f>
        <v>#REF!</v>
      </c>
      <c r="EF143" t="e">
        <f>AND(#REF!,"AAAAAH7/v4c=")</f>
        <v>#REF!</v>
      </c>
      <c r="EG143" t="e">
        <f>AND(#REF!,"AAAAAH7/v4g=")</f>
        <v>#REF!</v>
      </c>
      <c r="EH143" t="e">
        <f>AND(#REF!,"AAAAAH7/v4k=")</f>
        <v>#REF!</v>
      </c>
      <c r="EI143" t="e">
        <f>AND(#REF!,"AAAAAH7/v4o=")</f>
        <v>#REF!</v>
      </c>
      <c r="EJ143" t="e">
        <f>AND(#REF!,"AAAAAH7/v4s=")</f>
        <v>#REF!</v>
      </c>
      <c r="EK143" t="e">
        <f>AND(#REF!,"AAAAAH7/v4w=")</f>
        <v>#REF!</v>
      </c>
      <c r="EL143" t="e">
        <f>AND(#REF!,"AAAAAH7/v40=")</f>
        <v>#REF!</v>
      </c>
      <c r="EM143" t="e">
        <f>AND(#REF!,"AAAAAH7/v44=")</f>
        <v>#REF!</v>
      </c>
      <c r="EN143" t="e">
        <f>AND(#REF!,"AAAAAH7/v48=")</f>
        <v>#REF!</v>
      </c>
      <c r="EO143" t="e">
        <f>AND(#REF!,"AAAAAH7/v5A=")</f>
        <v>#REF!</v>
      </c>
      <c r="EP143" t="e">
        <f>AND(#REF!,"AAAAAH7/v5E=")</f>
        <v>#REF!</v>
      </c>
      <c r="EQ143" t="e">
        <f>AND(#REF!,"AAAAAH7/v5I=")</f>
        <v>#REF!</v>
      </c>
      <c r="ER143" t="e">
        <f>AND(#REF!,"AAAAAH7/v5M=")</f>
        <v>#REF!</v>
      </c>
      <c r="ES143" t="e">
        <f>AND(#REF!,"AAAAAH7/v5Q=")</f>
        <v>#REF!</v>
      </c>
      <c r="ET143" t="e">
        <f>AND(#REF!,"AAAAAH7/v5U=")</f>
        <v>#REF!</v>
      </c>
      <c r="EU143" t="e">
        <f>AND(#REF!,"AAAAAH7/v5Y=")</f>
        <v>#REF!</v>
      </c>
      <c r="EV143" t="e">
        <f>AND(#REF!,"AAAAAH7/v5c=")</f>
        <v>#REF!</v>
      </c>
      <c r="EW143" t="e">
        <f>AND(#REF!,"AAAAAH7/v5g=")</f>
        <v>#REF!</v>
      </c>
      <c r="EX143" t="e">
        <f>AND(#REF!,"AAAAAH7/v5k=")</f>
        <v>#REF!</v>
      </c>
      <c r="EY143" t="e">
        <f>AND(#REF!,"AAAAAH7/v5o=")</f>
        <v>#REF!</v>
      </c>
      <c r="EZ143" t="e">
        <f>AND(#REF!,"AAAAAH7/v5s=")</f>
        <v>#REF!</v>
      </c>
      <c r="FA143" t="e">
        <f>AND(#REF!,"AAAAAH7/v5w=")</f>
        <v>#REF!</v>
      </c>
      <c r="FB143" t="e">
        <f>AND(#REF!,"AAAAAH7/v50=")</f>
        <v>#REF!</v>
      </c>
      <c r="FC143" t="e">
        <f>AND(#REF!,"AAAAAH7/v54=")</f>
        <v>#REF!</v>
      </c>
      <c r="FD143" t="e">
        <f>AND(#REF!,"AAAAAH7/v58=")</f>
        <v>#REF!</v>
      </c>
      <c r="FE143" t="e">
        <f>AND(#REF!,"AAAAAH7/v6A=")</f>
        <v>#REF!</v>
      </c>
      <c r="FF143" t="e">
        <f>AND(#REF!,"AAAAAH7/v6E=")</f>
        <v>#REF!</v>
      </c>
      <c r="FG143" t="e">
        <f>AND(#REF!,"AAAAAH7/v6I=")</f>
        <v>#REF!</v>
      </c>
      <c r="FH143" t="e">
        <f>AND(#REF!,"AAAAAH7/v6M=")</f>
        <v>#REF!</v>
      </c>
      <c r="FI143" t="e">
        <f>AND(#REF!,"AAAAAH7/v6Q=")</f>
        <v>#REF!</v>
      </c>
      <c r="FJ143" t="e">
        <f>AND(#REF!,"AAAAAH7/v6U=")</f>
        <v>#REF!</v>
      </c>
      <c r="FK143" t="e">
        <f>AND(#REF!,"AAAAAH7/v6Y=")</f>
        <v>#REF!</v>
      </c>
      <c r="FL143" t="e">
        <f>AND(#REF!,"AAAAAH7/v6c=")</f>
        <v>#REF!</v>
      </c>
      <c r="FM143" t="e">
        <f>AND(#REF!,"AAAAAH7/v6g=")</f>
        <v>#REF!</v>
      </c>
      <c r="FN143" t="e">
        <f>AND(#REF!,"AAAAAH7/v6k=")</f>
        <v>#REF!</v>
      </c>
      <c r="FO143" t="e">
        <f>AND(#REF!,"AAAAAH7/v6o=")</f>
        <v>#REF!</v>
      </c>
      <c r="FP143" t="e">
        <f>AND(#REF!,"AAAAAH7/v6s=")</f>
        <v>#REF!</v>
      </c>
      <c r="FQ143" t="e">
        <f>AND(#REF!,"AAAAAH7/v6w=")</f>
        <v>#REF!</v>
      </c>
      <c r="FR143" t="e">
        <f>AND(#REF!,"AAAAAH7/v60=")</f>
        <v>#REF!</v>
      </c>
      <c r="FS143" t="e">
        <f>AND(#REF!,"AAAAAH7/v64=")</f>
        <v>#REF!</v>
      </c>
      <c r="FT143" t="e">
        <f>AND(#REF!,"AAAAAH7/v68=")</f>
        <v>#REF!</v>
      </c>
      <c r="FU143" t="e">
        <f>AND(#REF!,"AAAAAH7/v7A=")</f>
        <v>#REF!</v>
      </c>
      <c r="FV143" t="e">
        <f>AND(#REF!,"AAAAAH7/v7E=")</f>
        <v>#REF!</v>
      </c>
      <c r="FW143" t="e">
        <f>AND(#REF!,"AAAAAH7/v7I=")</f>
        <v>#REF!</v>
      </c>
      <c r="FX143" t="e">
        <f>AND(#REF!,"AAAAAH7/v7M=")</f>
        <v>#REF!</v>
      </c>
      <c r="FY143" t="e">
        <f>AND(#REF!,"AAAAAH7/v7Q=")</f>
        <v>#REF!</v>
      </c>
      <c r="FZ143" t="e">
        <f>AND(#REF!,"AAAAAH7/v7U=")</f>
        <v>#REF!</v>
      </c>
      <c r="GA143" t="e">
        <f>AND(#REF!,"AAAAAH7/v7Y=")</f>
        <v>#REF!</v>
      </c>
      <c r="GB143" t="e">
        <f>AND(#REF!,"AAAAAH7/v7c=")</f>
        <v>#REF!</v>
      </c>
      <c r="GC143" t="e">
        <f>AND(#REF!,"AAAAAH7/v7g=")</f>
        <v>#REF!</v>
      </c>
      <c r="GD143" t="e">
        <f>AND(#REF!,"AAAAAH7/v7k=")</f>
        <v>#REF!</v>
      </c>
      <c r="GE143" t="e">
        <f>AND(#REF!,"AAAAAH7/v7o=")</f>
        <v>#REF!</v>
      </c>
      <c r="GF143" t="e">
        <f>AND(#REF!,"AAAAAH7/v7s=")</f>
        <v>#REF!</v>
      </c>
      <c r="GG143" t="e">
        <f>AND(#REF!,"AAAAAH7/v7w=")</f>
        <v>#REF!</v>
      </c>
      <c r="GH143" t="e">
        <f>AND(#REF!,"AAAAAH7/v70=")</f>
        <v>#REF!</v>
      </c>
      <c r="GI143" t="e">
        <f>AND(#REF!,"AAAAAH7/v74=")</f>
        <v>#REF!</v>
      </c>
      <c r="GJ143" t="e">
        <f>AND(#REF!,"AAAAAH7/v78=")</f>
        <v>#REF!</v>
      </c>
      <c r="GK143" t="e">
        <f>AND(#REF!,"AAAAAH7/v8A=")</f>
        <v>#REF!</v>
      </c>
      <c r="GL143" t="e">
        <f>AND(#REF!,"AAAAAH7/v8E=")</f>
        <v>#REF!</v>
      </c>
      <c r="GM143" t="e">
        <f>AND(#REF!,"AAAAAH7/v8I=")</f>
        <v>#REF!</v>
      </c>
      <c r="GN143" t="e">
        <f>AND(#REF!,"AAAAAH7/v8M=")</f>
        <v>#REF!</v>
      </c>
      <c r="GO143" t="e">
        <f>AND(#REF!,"AAAAAH7/v8Q=")</f>
        <v>#REF!</v>
      </c>
      <c r="GP143" t="e">
        <f>AND(#REF!,"AAAAAH7/v8U=")</f>
        <v>#REF!</v>
      </c>
      <c r="GQ143" t="e">
        <f>AND(#REF!,"AAAAAH7/v8Y=")</f>
        <v>#REF!</v>
      </c>
      <c r="GR143" t="e">
        <f>AND(#REF!,"AAAAAH7/v8c=")</f>
        <v>#REF!</v>
      </c>
      <c r="GS143" t="e">
        <f>AND(#REF!,"AAAAAH7/v8g=")</f>
        <v>#REF!</v>
      </c>
      <c r="GT143" t="e">
        <f>AND(#REF!,"AAAAAH7/v8k=")</f>
        <v>#REF!</v>
      </c>
      <c r="GU143" t="e">
        <f>AND(#REF!,"AAAAAH7/v8o=")</f>
        <v>#REF!</v>
      </c>
      <c r="GV143" t="e">
        <f>AND(#REF!,"AAAAAH7/v8s=")</f>
        <v>#REF!</v>
      </c>
      <c r="GW143" t="e">
        <f>AND(#REF!,"AAAAAH7/v8w=")</f>
        <v>#REF!</v>
      </c>
      <c r="GX143" t="e">
        <f>AND(#REF!,"AAAAAH7/v80=")</f>
        <v>#REF!</v>
      </c>
      <c r="GY143" t="e">
        <f>AND(#REF!,"AAAAAH7/v84=")</f>
        <v>#REF!</v>
      </c>
      <c r="GZ143" t="e">
        <f>AND(#REF!,"AAAAAH7/v88=")</f>
        <v>#REF!</v>
      </c>
      <c r="HA143" t="e">
        <f>AND(#REF!,"AAAAAH7/v9A=")</f>
        <v>#REF!</v>
      </c>
      <c r="HB143" t="e">
        <f>AND(#REF!,"AAAAAH7/v9E=")</f>
        <v>#REF!</v>
      </c>
      <c r="HC143" t="e">
        <f>AND(#REF!,"AAAAAH7/v9I=")</f>
        <v>#REF!</v>
      </c>
      <c r="HD143" t="e">
        <f>AND(#REF!,"AAAAAH7/v9M=")</f>
        <v>#REF!</v>
      </c>
      <c r="HE143" t="e">
        <f>AND(#REF!,"AAAAAH7/v9Q=")</f>
        <v>#REF!</v>
      </c>
      <c r="HF143" t="e">
        <f>AND(#REF!,"AAAAAH7/v9U=")</f>
        <v>#REF!</v>
      </c>
      <c r="HG143" t="e">
        <f>AND(#REF!,"AAAAAH7/v9Y=")</f>
        <v>#REF!</v>
      </c>
      <c r="HH143" t="e">
        <f>AND(#REF!,"AAAAAH7/v9c=")</f>
        <v>#REF!</v>
      </c>
      <c r="HI143" t="e">
        <f>AND(#REF!,"AAAAAH7/v9g=")</f>
        <v>#REF!</v>
      </c>
      <c r="HJ143" t="e">
        <f>AND(#REF!,"AAAAAH7/v9k=")</f>
        <v>#REF!</v>
      </c>
      <c r="HK143" t="e">
        <f>AND(#REF!,"AAAAAH7/v9o=")</f>
        <v>#REF!</v>
      </c>
      <c r="HL143" t="e">
        <f>AND(#REF!,"AAAAAH7/v9s=")</f>
        <v>#REF!</v>
      </c>
      <c r="HM143" t="e">
        <f>AND(#REF!,"AAAAAH7/v9w=")</f>
        <v>#REF!</v>
      </c>
      <c r="HN143" t="e">
        <f>AND(#REF!,"AAAAAH7/v90=")</f>
        <v>#REF!</v>
      </c>
      <c r="HO143" t="e">
        <f>AND(#REF!,"AAAAAH7/v94=")</f>
        <v>#REF!</v>
      </c>
      <c r="HP143" t="e">
        <f>AND(#REF!,"AAAAAH7/v98=")</f>
        <v>#REF!</v>
      </c>
      <c r="HQ143" t="e">
        <f>AND(#REF!,"AAAAAH7/v+A=")</f>
        <v>#REF!</v>
      </c>
      <c r="HR143" t="e">
        <f>AND(#REF!,"AAAAAH7/v+E=")</f>
        <v>#REF!</v>
      </c>
      <c r="HS143" t="e">
        <f>AND(#REF!,"AAAAAH7/v+I=")</f>
        <v>#REF!</v>
      </c>
      <c r="HT143" t="e">
        <f>AND(#REF!,"AAAAAH7/v+M=")</f>
        <v>#REF!</v>
      </c>
      <c r="HU143" t="e">
        <f>AND(#REF!,"AAAAAH7/v+Q=")</f>
        <v>#REF!</v>
      </c>
      <c r="HV143" t="e">
        <f>AND(#REF!,"AAAAAH7/v+U=")</f>
        <v>#REF!</v>
      </c>
      <c r="HW143" t="e">
        <f>AND(#REF!,"AAAAAH7/v+Y=")</f>
        <v>#REF!</v>
      </c>
      <c r="HX143" t="e">
        <f>AND(#REF!,"AAAAAH7/v+c=")</f>
        <v>#REF!</v>
      </c>
      <c r="HY143" t="e">
        <f>AND(#REF!,"AAAAAH7/v+g=")</f>
        <v>#REF!</v>
      </c>
      <c r="HZ143" t="e">
        <f>AND(#REF!,"AAAAAH7/v+k=")</f>
        <v>#REF!</v>
      </c>
      <c r="IA143" t="e">
        <f>AND(#REF!,"AAAAAH7/v+o=")</f>
        <v>#REF!</v>
      </c>
      <c r="IB143" t="e">
        <f>AND(#REF!,"AAAAAH7/v+s=")</f>
        <v>#REF!</v>
      </c>
      <c r="IC143" t="e">
        <f>AND(#REF!,"AAAAAH7/v+w=")</f>
        <v>#REF!</v>
      </c>
      <c r="ID143" t="e">
        <f>AND(#REF!,"AAAAAH7/v+0=")</f>
        <v>#REF!</v>
      </c>
      <c r="IE143" t="e">
        <f>AND(#REF!,"AAAAAH7/v+4=")</f>
        <v>#REF!</v>
      </c>
      <c r="IF143" t="e">
        <f>AND(#REF!,"AAAAAH7/v+8=")</f>
        <v>#REF!</v>
      </c>
      <c r="IG143" t="e">
        <f>AND(#REF!,"AAAAAH7/v/A=")</f>
        <v>#REF!</v>
      </c>
      <c r="IH143" t="e">
        <f>AND(#REF!,"AAAAAH7/v/E=")</f>
        <v>#REF!</v>
      </c>
      <c r="II143" t="e">
        <f>AND(#REF!,"AAAAAH7/v/I=")</f>
        <v>#REF!</v>
      </c>
      <c r="IJ143" t="e">
        <f>AND(#REF!,"AAAAAH7/v/M=")</f>
        <v>#REF!</v>
      </c>
      <c r="IK143" t="e">
        <f>AND(#REF!,"AAAAAH7/v/Q=")</f>
        <v>#REF!</v>
      </c>
      <c r="IL143" t="e">
        <f>AND(#REF!,"AAAAAH7/v/U=")</f>
        <v>#REF!</v>
      </c>
      <c r="IM143" t="e">
        <f>AND(#REF!,"AAAAAH7/v/Y=")</f>
        <v>#REF!</v>
      </c>
      <c r="IN143" t="e">
        <f>AND(#REF!,"AAAAAH7/v/c=")</f>
        <v>#REF!</v>
      </c>
      <c r="IO143" t="e">
        <f>AND(#REF!,"AAAAAH7/v/g=")</f>
        <v>#REF!</v>
      </c>
      <c r="IP143" t="e">
        <f>AND(#REF!,"AAAAAH7/v/k=")</f>
        <v>#REF!</v>
      </c>
      <c r="IQ143" t="e">
        <f>AND(#REF!,"AAAAAH7/v/o=")</f>
        <v>#REF!</v>
      </c>
      <c r="IR143" t="e">
        <f>AND(#REF!,"AAAAAH7/v/s=")</f>
        <v>#REF!</v>
      </c>
      <c r="IS143" t="e">
        <f>AND(#REF!,"AAAAAH7/v/w=")</f>
        <v>#REF!</v>
      </c>
      <c r="IT143" t="e">
        <f>AND(#REF!,"AAAAAH7/v/0=")</f>
        <v>#REF!</v>
      </c>
      <c r="IU143" t="e">
        <f>AND(#REF!,"AAAAAH7/v/4=")</f>
        <v>#REF!</v>
      </c>
      <c r="IV143" t="e">
        <f>AND(#REF!,"AAAAAH7/v/8=")</f>
        <v>#REF!</v>
      </c>
    </row>
    <row r="144" spans="1:256" x14ac:dyDescent="0.25">
      <c r="A144" t="e">
        <f>AND(#REF!,"AAAAADUffAA=")</f>
        <v>#REF!</v>
      </c>
      <c r="B144" t="e">
        <f>AND(#REF!,"AAAAADUffAE=")</f>
        <v>#REF!</v>
      </c>
      <c r="C144" t="e">
        <f>AND(#REF!,"AAAAADUffAI=")</f>
        <v>#REF!</v>
      </c>
      <c r="D144" t="e">
        <f>AND(#REF!,"AAAAADUffAM=")</f>
        <v>#REF!</v>
      </c>
      <c r="E144" t="e">
        <f>AND(#REF!,"AAAAADUffAQ=")</f>
        <v>#REF!</v>
      </c>
      <c r="F144" t="e">
        <f>AND(#REF!,"AAAAADUffAU=")</f>
        <v>#REF!</v>
      </c>
      <c r="G144" t="e">
        <f>AND(#REF!,"AAAAADUffAY=")</f>
        <v>#REF!</v>
      </c>
      <c r="H144" t="e">
        <f>AND(#REF!,"AAAAADUffAc=")</f>
        <v>#REF!</v>
      </c>
      <c r="I144" t="e">
        <f>AND(#REF!,"AAAAADUffAg=")</f>
        <v>#REF!</v>
      </c>
      <c r="J144" t="e">
        <f>AND(#REF!,"AAAAADUffAk=")</f>
        <v>#REF!</v>
      </c>
      <c r="K144" t="e">
        <f>AND(#REF!,"AAAAADUffAo=")</f>
        <v>#REF!</v>
      </c>
      <c r="L144" t="e">
        <f>AND(#REF!,"AAAAADUffAs=")</f>
        <v>#REF!</v>
      </c>
      <c r="M144" t="e">
        <f>AND(#REF!,"AAAAADUffAw=")</f>
        <v>#REF!</v>
      </c>
      <c r="N144" t="e">
        <f>AND(#REF!,"AAAAADUffA0=")</f>
        <v>#REF!</v>
      </c>
      <c r="O144" t="e">
        <f>AND(#REF!,"AAAAADUffA4=")</f>
        <v>#REF!</v>
      </c>
      <c r="P144" t="e">
        <f>AND(#REF!,"AAAAADUffA8=")</f>
        <v>#REF!</v>
      </c>
      <c r="Q144" t="e">
        <f>AND(#REF!,"AAAAADUffBA=")</f>
        <v>#REF!</v>
      </c>
      <c r="R144" t="e">
        <f>AND(#REF!,"AAAAADUffBE=")</f>
        <v>#REF!</v>
      </c>
      <c r="S144" t="e">
        <f>AND(#REF!,"AAAAADUffBI=")</f>
        <v>#REF!</v>
      </c>
      <c r="T144" t="e">
        <f>AND(#REF!,"AAAAADUffBM=")</f>
        <v>#REF!</v>
      </c>
      <c r="U144" t="e">
        <f>AND(#REF!,"AAAAADUffBQ=")</f>
        <v>#REF!</v>
      </c>
      <c r="V144" t="e">
        <f>AND(#REF!,"AAAAADUffBU=")</f>
        <v>#REF!</v>
      </c>
      <c r="W144" t="e">
        <f>AND(#REF!,"AAAAADUffBY=")</f>
        <v>#REF!</v>
      </c>
      <c r="X144" t="e">
        <f>IF(#REF!,"AAAAADUffBc=",0)</f>
        <v>#REF!</v>
      </c>
      <c r="Y144" t="e">
        <f>AND(#REF!,"AAAAADUffBg=")</f>
        <v>#REF!</v>
      </c>
      <c r="Z144" t="e">
        <f>AND(#REF!,"AAAAADUffBk=")</f>
        <v>#REF!</v>
      </c>
      <c r="AA144" t="e">
        <f>AND(#REF!,"AAAAADUffBo=")</f>
        <v>#REF!</v>
      </c>
      <c r="AB144" t="e">
        <f>AND(#REF!,"AAAAADUffBs=")</f>
        <v>#REF!</v>
      </c>
      <c r="AC144" t="e">
        <f>AND(#REF!,"AAAAADUffBw=")</f>
        <v>#REF!</v>
      </c>
      <c r="AD144" t="e">
        <f>AND(#REF!,"AAAAADUffB0=")</f>
        <v>#REF!</v>
      </c>
      <c r="AE144" t="e">
        <f>AND(#REF!,"AAAAADUffB4=")</f>
        <v>#REF!</v>
      </c>
      <c r="AF144" t="e">
        <f>AND(#REF!,"AAAAADUffB8=")</f>
        <v>#REF!</v>
      </c>
      <c r="AG144" t="e">
        <f>AND(#REF!,"AAAAADUffCA=")</f>
        <v>#REF!</v>
      </c>
      <c r="AH144" t="e">
        <f>AND(#REF!,"AAAAADUffCE=")</f>
        <v>#REF!</v>
      </c>
      <c r="AI144" t="e">
        <f>AND(#REF!,"AAAAADUffCI=")</f>
        <v>#REF!</v>
      </c>
      <c r="AJ144" t="e">
        <f>AND(#REF!,"AAAAADUffCM=")</f>
        <v>#REF!</v>
      </c>
      <c r="AK144" t="e">
        <f>AND(#REF!,"AAAAADUffCQ=")</f>
        <v>#REF!</v>
      </c>
      <c r="AL144" t="e">
        <f>AND(#REF!,"AAAAADUffCU=")</f>
        <v>#REF!</v>
      </c>
      <c r="AM144" t="e">
        <f>AND(#REF!,"AAAAADUffCY=")</f>
        <v>#REF!</v>
      </c>
      <c r="AN144" t="e">
        <f>AND(#REF!,"AAAAADUffCc=")</f>
        <v>#REF!</v>
      </c>
      <c r="AO144" t="e">
        <f>AND(#REF!,"AAAAADUffCg=")</f>
        <v>#REF!</v>
      </c>
      <c r="AP144" t="e">
        <f>AND(#REF!,"AAAAADUffCk=")</f>
        <v>#REF!</v>
      </c>
      <c r="AQ144" t="e">
        <f>AND(#REF!,"AAAAADUffCo=")</f>
        <v>#REF!</v>
      </c>
      <c r="AR144" t="e">
        <f>AND(#REF!,"AAAAADUffCs=")</f>
        <v>#REF!</v>
      </c>
      <c r="AS144" t="e">
        <f>AND(#REF!,"AAAAADUffCw=")</f>
        <v>#REF!</v>
      </c>
      <c r="AT144" t="e">
        <f>AND(#REF!,"AAAAADUffC0=")</f>
        <v>#REF!</v>
      </c>
      <c r="AU144" t="e">
        <f>AND(#REF!,"AAAAADUffC4=")</f>
        <v>#REF!</v>
      </c>
      <c r="AV144" t="e">
        <f>AND(#REF!,"AAAAADUffC8=")</f>
        <v>#REF!</v>
      </c>
      <c r="AW144" t="e">
        <f>AND(#REF!,"AAAAADUffDA=")</f>
        <v>#REF!</v>
      </c>
      <c r="AX144" t="e">
        <f>AND(#REF!,"AAAAADUffDE=")</f>
        <v>#REF!</v>
      </c>
      <c r="AY144" t="e">
        <f>AND(#REF!,"AAAAADUffDI=")</f>
        <v>#REF!</v>
      </c>
      <c r="AZ144" t="e">
        <f>AND(#REF!,"AAAAADUffDM=")</f>
        <v>#REF!</v>
      </c>
      <c r="BA144" t="e">
        <f>AND(#REF!,"AAAAADUffDQ=")</f>
        <v>#REF!</v>
      </c>
      <c r="BB144" t="e">
        <f>AND(#REF!,"AAAAADUffDU=")</f>
        <v>#REF!</v>
      </c>
      <c r="BC144" t="e">
        <f>AND(#REF!,"AAAAADUffDY=")</f>
        <v>#REF!</v>
      </c>
      <c r="BD144" t="e">
        <f>AND(#REF!,"AAAAADUffDc=")</f>
        <v>#REF!</v>
      </c>
      <c r="BE144" t="e">
        <f>AND(#REF!,"AAAAADUffDg=")</f>
        <v>#REF!</v>
      </c>
      <c r="BF144" t="e">
        <f>AND(#REF!,"AAAAADUffDk=")</f>
        <v>#REF!</v>
      </c>
      <c r="BG144" t="e">
        <f>AND(#REF!,"AAAAADUffDo=")</f>
        <v>#REF!</v>
      </c>
      <c r="BH144" t="e">
        <f>AND(#REF!,"AAAAADUffDs=")</f>
        <v>#REF!</v>
      </c>
      <c r="BI144" t="e">
        <f>AND(#REF!,"AAAAADUffDw=")</f>
        <v>#REF!</v>
      </c>
      <c r="BJ144" t="e">
        <f>AND(#REF!,"AAAAADUffD0=")</f>
        <v>#REF!</v>
      </c>
      <c r="BK144" t="e">
        <f>AND(#REF!,"AAAAADUffD4=")</f>
        <v>#REF!</v>
      </c>
      <c r="BL144" t="e">
        <f>AND(#REF!,"AAAAADUffD8=")</f>
        <v>#REF!</v>
      </c>
      <c r="BM144" t="e">
        <f>AND(#REF!,"AAAAADUffEA=")</f>
        <v>#REF!</v>
      </c>
      <c r="BN144" t="e">
        <f>AND(#REF!,"AAAAADUffEE=")</f>
        <v>#REF!</v>
      </c>
      <c r="BO144" t="e">
        <f>AND(#REF!,"AAAAADUffEI=")</f>
        <v>#REF!</v>
      </c>
      <c r="BP144" t="e">
        <f>AND(#REF!,"AAAAADUffEM=")</f>
        <v>#REF!</v>
      </c>
      <c r="BQ144" t="e">
        <f>AND(#REF!,"AAAAADUffEQ=")</f>
        <v>#REF!</v>
      </c>
      <c r="BR144" t="e">
        <f>AND(#REF!,"AAAAADUffEU=")</f>
        <v>#REF!</v>
      </c>
      <c r="BS144" t="e">
        <f>AND(#REF!,"AAAAADUffEY=")</f>
        <v>#REF!</v>
      </c>
      <c r="BT144" t="e">
        <f>AND(#REF!,"AAAAADUffEc=")</f>
        <v>#REF!</v>
      </c>
      <c r="BU144" t="e">
        <f>AND(#REF!,"AAAAADUffEg=")</f>
        <v>#REF!</v>
      </c>
      <c r="BV144" t="e">
        <f>AND(#REF!,"AAAAADUffEk=")</f>
        <v>#REF!</v>
      </c>
      <c r="BW144" t="e">
        <f>AND(#REF!,"AAAAADUffEo=")</f>
        <v>#REF!</v>
      </c>
      <c r="BX144" t="e">
        <f>AND(#REF!,"AAAAADUffEs=")</f>
        <v>#REF!</v>
      </c>
      <c r="BY144" t="e">
        <f>AND(#REF!,"AAAAADUffEw=")</f>
        <v>#REF!</v>
      </c>
      <c r="BZ144" t="e">
        <f>AND(#REF!,"AAAAADUffE0=")</f>
        <v>#REF!</v>
      </c>
      <c r="CA144" t="e">
        <f>AND(#REF!,"AAAAADUffE4=")</f>
        <v>#REF!</v>
      </c>
      <c r="CB144" t="e">
        <f>AND(#REF!,"AAAAADUffE8=")</f>
        <v>#REF!</v>
      </c>
      <c r="CC144" t="e">
        <f>AND(#REF!,"AAAAADUffFA=")</f>
        <v>#REF!</v>
      </c>
      <c r="CD144" t="e">
        <f>AND(#REF!,"AAAAADUffFE=")</f>
        <v>#REF!</v>
      </c>
      <c r="CE144" t="e">
        <f>AND(#REF!,"AAAAADUffFI=")</f>
        <v>#REF!</v>
      </c>
      <c r="CF144" t="e">
        <f>AND(#REF!,"AAAAADUffFM=")</f>
        <v>#REF!</v>
      </c>
      <c r="CG144" t="e">
        <f>AND(#REF!,"AAAAADUffFQ=")</f>
        <v>#REF!</v>
      </c>
      <c r="CH144" t="e">
        <f>AND(#REF!,"AAAAADUffFU=")</f>
        <v>#REF!</v>
      </c>
      <c r="CI144" t="e">
        <f>AND(#REF!,"AAAAADUffFY=")</f>
        <v>#REF!</v>
      </c>
      <c r="CJ144" t="e">
        <f>AND(#REF!,"AAAAADUffFc=")</f>
        <v>#REF!</v>
      </c>
      <c r="CK144" t="e">
        <f>AND(#REF!,"AAAAADUffFg=")</f>
        <v>#REF!</v>
      </c>
      <c r="CL144" t="e">
        <f>AND(#REF!,"AAAAADUffFk=")</f>
        <v>#REF!</v>
      </c>
      <c r="CM144" t="e">
        <f>AND(#REF!,"AAAAADUffFo=")</f>
        <v>#REF!</v>
      </c>
      <c r="CN144" t="e">
        <f>AND(#REF!,"AAAAADUffFs=")</f>
        <v>#REF!</v>
      </c>
      <c r="CO144" t="e">
        <f>AND(#REF!,"AAAAADUffFw=")</f>
        <v>#REF!</v>
      </c>
      <c r="CP144" t="e">
        <f>AND(#REF!,"AAAAADUffF0=")</f>
        <v>#REF!</v>
      </c>
      <c r="CQ144" t="e">
        <f>AND(#REF!,"AAAAADUffF4=")</f>
        <v>#REF!</v>
      </c>
      <c r="CR144" t="e">
        <f>AND(#REF!,"AAAAADUffF8=")</f>
        <v>#REF!</v>
      </c>
      <c r="CS144" t="e">
        <f>AND(#REF!,"AAAAADUffGA=")</f>
        <v>#REF!</v>
      </c>
      <c r="CT144" t="e">
        <f>AND(#REF!,"AAAAADUffGE=")</f>
        <v>#REF!</v>
      </c>
      <c r="CU144" t="e">
        <f>AND(#REF!,"AAAAADUffGI=")</f>
        <v>#REF!</v>
      </c>
      <c r="CV144" t="e">
        <f>AND(#REF!,"AAAAADUffGM=")</f>
        <v>#REF!</v>
      </c>
      <c r="CW144" t="e">
        <f>AND(#REF!,"AAAAADUffGQ=")</f>
        <v>#REF!</v>
      </c>
      <c r="CX144" t="e">
        <f>AND(#REF!,"AAAAADUffGU=")</f>
        <v>#REF!</v>
      </c>
      <c r="CY144" t="e">
        <f>AND(#REF!,"AAAAADUffGY=")</f>
        <v>#REF!</v>
      </c>
      <c r="CZ144" t="e">
        <f>AND(#REF!,"AAAAADUffGc=")</f>
        <v>#REF!</v>
      </c>
      <c r="DA144" t="e">
        <f>AND(#REF!,"AAAAADUffGg=")</f>
        <v>#REF!</v>
      </c>
      <c r="DB144" t="e">
        <f>AND(#REF!,"AAAAADUffGk=")</f>
        <v>#REF!</v>
      </c>
      <c r="DC144" t="e">
        <f>AND(#REF!,"AAAAADUffGo=")</f>
        <v>#REF!</v>
      </c>
      <c r="DD144" t="e">
        <f>AND(#REF!,"AAAAADUffGs=")</f>
        <v>#REF!</v>
      </c>
      <c r="DE144" t="e">
        <f>AND(#REF!,"AAAAADUffGw=")</f>
        <v>#REF!</v>
      </c>
      <c r="DF144" t="e">
        <f>AND(#REF!,"AAAAADUffG0=")</f>
        <v>#REF!</v>
      </c>
      <c r="DG144" t="e">
        <f>AND(#REF!,"AAAAADUffG4=")</f>
        <v>#REF!</v>
      </c>
      <c r="DH144" t="e">
        <f>AND(#REF!,"AAAAADUffG8=")</f>
        <v>#REF!</v>
      </c>
      <c r="DI144" t="e">
        <f>AND(#REF!,"AAAAADUffHA=")</f>
        <v>#REF!</v>
      </c>
      <c r="DJ144" t="e">
        <f>AND(#REF!,"AAAAADUffHE=")</f>
        <v>#REF!</v>
      </c>
      <c r="DK144" t="e">
        <f>AND(#REF!,"AAAAADUffHI=")</f>
        <v>#REF!</v>
      </c>
      <c r="DL144" t="e">
        <f>AND(#REF!,"AAAAADUffHM=")</f>
        <v>#REF!</v>
      </c>
      <c r="DM144" t="e">
        <f>AND(#REF!,"AAAAADUffHQ=")</f>
        <v>#REF!</v>
      </c>
      <c r="DN144" t="e">
        <f>AND(#REF!,"AAAAADUffHU=")</f>
        <v>#REF!</v>
      </c>
      <c r="DO144" t="e">
        <f>AND(#REF!,"AAAAADUffHY=")</f>
        <v>#REF!</v>
      </c>
      <c r="DP144" t="e">
        <f>AND(#REF!,"AAAAADUffHc=")</f>
        <v>#REF!</v>
      </c>
      <c r="DQ144" t="e">
        <f>AND(#REF!,"AAAAADUffHg=")</f>
        <v>#REF!</v>
      </c>
      <c r="DR144" t="e">
        <f>AND(#REF!,"AAAAADUffHk=")</f>
        <v>#REF!</v>
      </c>
      <c r="DS144" t="e">
        <f>AND(#REF!,"AAAAADUffHo=")</f>
        <v>#REF!</v>
      </c>
      <c r="DT144" t="e">
        <f>AND(#REF!,"AAAAADUffHs=")</f>
        <v>#REF!</v>
      </c>
      <c r="DU144" t="e">
        <f>AND(#REF!,"AAAAADUffHw=")</f>
        <v>#REF!</v>
      </c>
      <c r="DV144" t="e">
        <f>AND(#REF!,"AAAAADUffH0=")</f>
        <v>#REF!</v>
      </c>
      <c r="DW144" t="e">
        <f>AND(#REF!,"AAAAADUffH4=")</f>
        <v>#REF!</v>
      </c>
      <c r="DX144" t="e">
        <f>AND(#REF!,"AAAAADUffH8=")</f>
        <v>#REF!</v>
      </c>
      <c r="DY144" t="e">
        <f>AND(#REF!,"AAAAADUffIA=")</f>
        <v>#REF!</v>
      </c>
      <c r="DZ144" t="e">
        <f>AND(#REF!,"AAAAADUffIE=")</f>
        <v>#REF!</v>
      </c>
      <c r="EA144" t="e">
        <f>AND(#REF!,"AAAAADUffII=")</f>
        <v>#REF!</v>
      </c>
      <c r="EB144" t="e">
        <f>AND(#REF!,"AAAAADUffIM=")</f>
        <v>#REF!</v>
      </c>
      <c r="EC144" t="e">
        <f>AND(#REF!,"AAAAADUffIQ=")</f>
        <v>#REF!</v>
      </c>
      <c r="ED144" t="e">
        <f>AND(#REF!,"AAAAADUffIU=")</f>
        <v>#REF!</v>
      </c>
      <c r="EE144" t="e">
        <f>AND(#REF!,"AAAAADUffIY=")</f>
        <v>#REF!</v>
      </c>
      <c r="EF144" t="e">
        <f>AND(#REF!,"AAAAADUffIc=")</f>
        <v>#REF!</v>
      </c>
      <c r="EG144" t="e">
        <f>AND(#REF!,"AAAAADUffIg=")</f>
        <v>#REF!</v>
      </c>
      <c r="EH144" t="e">
        <f>AND(#REF!,"AAAAADUffIk=")</f>
        <v>#REF!</v>
      </c>
      <c r="EI144" t="e">
        <f>AND(#REF!,"AAAAADUffIo=")</f>
        <v>#REF!</v>
      </c>
      <c r="EJ144" t="e">
        <f>AND(#REF!,"AAAAADUffIs=")</f>
        <v>#REF!</v>
      </c>
      <c r="EK144" t="e">
        <f>AND(#REF!,"AAAAADUffIw=")</f>
        <v>#REF!</v>
      </c>
      <c r="EL144" t="e">
        <f>AND(#REF!,"AAAAADUffI0=")</f>
        <v>#REF!</v>
      </c>
      <c r="EM144" t="e">
        <f>AND(#REF!,"AAAAADUffI4=")</f>
        <v>#REF!</v>
      </c>
      <c r="EN144" t="e">
        <f>AND(#REF!,"AAAAADUffI8=")</f>
        <v>#REF!</v>
      </c>
      <c r="EO144" t="e">
        <f>AND(#REF!,"AAAAADUffJA=")</f>
        <v>#REF!</v>
      </c>
      <c r="EP144" t="e">
        <f>AND(#REF!,"AAAAADUffJE=")</f>
        <v>#REF!</v>
      </c>
      <c r="EQ144" t="e">
        <f>AND(#REF!,"AAAAADUffJI=")</f>
        <v>#REF!</v>
      </c>
      <c r="ER144" t="e">
        <f>AND(#REF!,"AAAAADUffJM=")</f>
        <v>#REF!</v>
      </c>
      <c r="ES144" t="e">
        <f>AND(#REF!,"AAAAADUffJQ=")</f>
        <v>#REF!</v>
      </c>
      <c r="ET144" t="e">
        <f>AND(#REF!,"AAAAADUffJU=")</f>
        <v>#REF!</v>
      </c>
      <c r="EU144" t="e">
        <f>AND(#REF!,"AAAAADUffJY=")</f>
        <v>#REF!</v>
      </c>
      <c r="EV144" t="e">
        <f>AND(#REF!,"AAAAADUffJc=")</f>
        <v>#REF!</v>
      </c>
      <c r="EW144" t="e">
        <f>AND(#REF!,"AAAAADUffJg=")</f>
        <v>#REF!</v>
      </c>
      <c r="EX144" t="e">
        <f>AND(#REF!,"AAAAADUffJk=")</f>
        <v>#REF!</v>
      </c>
      <c r="EY144" t="e">
        <f>AND(#REF!,"AAAAADUffJo=")</f>
        <v>#REF!</v>
      </c>
      <c r="EZ144" t="e">
        <f>AND(#REF!,"AAAAADUffJs=")</f>
        <v>#REF!</v>
      </c>
      <c r="FA144" t="e">
        <f>AND(#REF!,"AAAAADUffJw=")</f>
        <v>#REF!</v>
      </c>
      <c r="FB144" t="e">
        <f>AND(#REF!,"AAAAADUffJ0=")</f>
        <v>#REF!</v>
      </c>
      <c r="FC144" t="e">
        <f>AND(#REF!,"AAAAADUffJ4=")</f>
        <v>#REF!</v>
      </c>
      <c r="FD144" t="e">
        <f>AND(#REF!,"AAAAADUffJ8=")</f>
        <v>#REF!</v>
      </c>
      <c r="FE144" t="e">
        <f>AND(#REF!,"AAAAADUffKA=")</f>
        <v>#REF!</v>
      </c>
      <c r="FF144" t="e">
        <f>AND(#REF!,"AAAAADUffKE=")</f>
        <v>#REF!</v>
      </c>
      <c r="FG144" t="e">
        <f>AND(#REF!,"AAAAADUffKI=")</f>
        <v>#REF!</v>
      </c>
      <c r="FH144" t="e">
        <f>AND(#REF!,"AAAAADUffKM=")</f>
        <v>#REF!</v>
      </c>
      <c r="FI144" t="e">
        <f>AND(#REF!,"AAAAADUffKQ=")</f>
        <v>#REF!</v>
      </c>
      <c r="FJ144" t="e">
        <f>AND(#REF!,"AAAAADUffKU=")</f>
        <v>#REF!</v>
      </c>
      <c r="FK144" t="e">
        <f>AND(#REF!,"AAAAADUffKY=")</f>
        <v>#REF!</v>
      </c>
      <c r="FL144" t="e">
        <f>AND(#REF!,"AAAAADUffKc=")</f>
        <v>#REF!</v>
      </c>
      <c r="FM144" t="e">
        <f>AND(#REF!,"AAAAADUffKg=")</f>
        <v>#REF!</v>
      </c>
      <c r="FN144" t="e">
        <f>AND(#REF!,"AAAAADUffKk=")</f>
        <v>#REF!</v>
      </c>
      <c r="FO144" t="e">
        <f>AND(#REF!,"AAAAADUffKo=")</f>
        <v>#REF!</v>
      </c>
      <c r="FP144" t="e">
        <f>AND(#REF!,"AAAAADUffKs=")</f>
        <v>#REF!</v>
      </c>
      <c r="FQ144" t="e">
        <f>AND(#REF!,"AAAAADUffKw=")</f>
        <v>#REF!</v>
      </c>
      <c r="FR144" t="e">
        <f>AND(#REF!,"AAAAADUffK0=")</f>
        <v>#REF!</v>
      </c>
      <c r="FS144" t="e">
        <f>AND(#REF!,"AAAAADUffK4=")</f>
        <v>#REF!</v>
      </c>
      <c r="FT144" t="e">
        <f>AND(#REF!,"AAAAADUffK8=")</f>
        <v>#REF!</v>
      </c>
      <c r="FU144" t="e">
        <f>AND(#REF!,"AAAAADUffLA=")</f>
        <v>#REF!</v>
      </c>
      <c r="FV144" t="e">
        <f>AND(#REF!,"AAAAADUffLE=")</f>
        <v>#REF!</v>
      </c>
      <c r="FW144" t="e">
        <f>AND(#REF!,"AAAAADUffLI=")</f>
        <v>#REF!</v>
      </c>
      <c r="FX144" t="e">
        <f>AND(#REF!,"AAAAADUffLM=")</f>
        <v>#REF!</v>
      </c>
      <c r="FY144" t="e">
        <f>AND(#REF!,"AAAAADUffLQ=")</f>
        <v>#REF!</v>
      </c>
      <c r="FZ144" t="e">
        <f>AND(#REF!,"AAAAADUffLU=")</f>
        <v>#REF!</v>
      </c>
      <c r="GA144" t="e">
        <f>AND(#REF!,"AAAAADUffLY=")</f>
        <v>#REF!</v>
      </c>
      <c r="GB144" t="e">
        <f>AND(#REF!,"AAAAADUffLc=")</f>
        <v>#REF!</v>
      </c>
      <c r="GC144" t="e">
        <f>AND(#REF!,"AAAAADUffLg=")</f>
        <v>#REF!</v>
      </c>
      <c r="GD144" t="e">
        <f>AND(#REF!,"AAAAADUffLk=")</f>
        <v>#REF!</v>
      </c>
      <c r="GE144" t="e">
        <f>AND(#REF!,"AAAAADUffLo=")</f>
        <v>#REF!</v>
      </c>
      <c r="GF144" t="e">
        <f>AND(#REF!,"AAAAADUffLs=")</f>
        <v>#REF!</v>
      </c>
      <c r="GG144" t="e">
        <f>AND(#REF!,"AAAAADUffLw=")</f>
        <v>#REF!</v>
      </c>
      <c r="GH144" t="e">
        <f>AND(#REF!,"AAAAADUffL0=")</f>
        <v>#REF!</v>
      </c>
      <c r="GI144" t="e">
        <f>AND(#REF!,"AAAAADUffL4=")</f>
        <v>#REF!</v>
      </c>
      <c r="GJ144" t="e">
        <f>AND(#REF!,"AAAAADUffL8=")</f>
        <v>#REF!</v>
      </c>
      <c r="GK144" t="e">
        <f>AND(#REF!,"AAAAADUffMA=")</f>
        <v>#REF!</v>
      </c>
      <c r="GL144" t="e">
        <f>AND(#REF!,"AAAAADUffME=")</f>
        <v>#REF!</v>
      </c>
      <c r="GM144" t="e">
        <f>AND(#REF!,"AAAAADUffMI=")</f>
        <v>#REF!</v>
      </c>
      <c r="GN144" t="e">
        <f>AND(#REF!,"AAAAADUffMM=")</f>
        <v>#REF!</v>
      </c>
      <c r="GO144" t="e">
        <f>AND(#REF!,"AAAAADUffMQ=")</f>
        <v>#REF!</v>
      </c>
      <c r="GP144" t="e">
        <f>AND(#REF!,"AAAAADUffMU=")</f>
        <v>#REF!</v>
      </c>
      <c r="GQ144" t="e">
        <f>AND(#REF!,"AAAAADUffMY=")</f>
        <v>#REF!</v>
      </c>
      <c r="GR144" t="e">
        <f>AND(#REF!,"AAAAADUffMc=")</f>
        <v>#REF!</v>
      </c>
      <c r="GS144" t="e">
        <f>AND(#REF!,"AAAAADUffMg=")</f>
        <v>#REF!</v>
      </c>
      <c r="GT144" t="e">
        <f>AND(#REF!,"AAAAADUffMk=")</f>
        <v>#REF!</v>
      </c>
      <c r="GU144" t="e">
        <f>AND(#REF!,"AAAAADUffMo=")</f>
        <v>#REF!</v>
      </c>
      <c r="GV144" t="e">
        <f>AND(#REF!,"AAAAADUffMs=")</f>
        <v>#REF!</v>
      </c>
      <c r="GW144" t="e">
        <f>AND(#REF!,"AAAAADUffMw=")</f>
        <v>#REF!</v>
      </c>
      <c r="GX144" t="e">
        <f>AND(#REF!,"AAAAADUffM0=")</f>
        <v>#REF!</v>
      </c>
      <c r="GY144" t="e">
        <f>AND(#REF!,"AAAAADUffM4=")</f>
        <v>#REF!</v>
      </c>
      <c r="GZ144" t="e">
        <f>AND(#REF!,"AAAAADUffM8=")</f>
        <v>#REF!</v>
      </c>
      <c r="HA144" t="e">
        <f>AND(#REF!,"AAAAADUffNA=")</f>
        <v>#REF!</v>
      </c>
      <c r="HB144" t="e">
        <f>AND(#REF!,"AAAAADUffNE=")</f>
        <v>#REF!</v>
      </c>
      <c r="HC144" t="e">
        <f>AND(#REF!,"AAAAADUffNI=")</f>
        <v>#REF!</v>
      </c>
      <c r="HD144" t="e">
        <f>AND(#REF!,"AAAAADUffNM=")</f>
        <v>#REF!</v>
      </c>
      <c r="HE144" t="e">
        <f>IF(#REF!,"AAAAADUffNQ=",0)</f>
        <v>#REF!</v>
      </c>
      <c r="HF144" t="e">
        <f>AND(#REF!,"AAAAADUffNU=")</f>
        <v>#REF!</v>
      </c>
      <c r="HG144" t="e">
        <f>AND(#REF!,"AAAAADUffNY=")</f>
        <v>#REF!</v>
      </c>
      <c r="HH144" t="e">
        <f>AND(#REF!,"AAAAADUffNc=")</f>
        <v>#REF!</v>
      </c>
      <c r="HI144" t="e">
        <f>AND(#REF!,"AAAAADUffNg=")</f>
        <v>#REF!</v>
      </c>
      <c r="HJ144" t="e">
        <f>AND(#REF!,"AAAAADUffNk=")</f>
        <v>#REF!</v>
      </c>
      <c r="HK144" t="e">
        <f>AND(#REF!,"AAAAADUffNo=")</f>
        <v>#REF!</v>
      </c>
      <c r="HL144" t="e">
        <f>AND(#REF!,"AAAAADUffNs=")</f>
        <v>#REF!</v>
      </c>
      <c r="HM144" t="e">
        <f>AND(#REF!,"AAAAADUffNw=")</f>
        <v>#REF!</v>
      </c>
      <c r="HN144" t="e">
        <f>AND(#REF!,"AAAAADUffN0=")</f>
        <v>#REF!</v>
      </c>
      <c r="HO144" t="e">
        <f>AND(#REF!,"AAAAADUffN4=")</f>
        <v>#REF!</v>
      </c>
      <c r="HP144" t="e">
        <f>AND(#REF!,"AAAAADUffN8=")</f>
        <v>#REF!</v>
      </c>
      <c r="HQ144" t="e">
        <f>AND(#REF!,"AAAAADUffOA=")</f>
        <v>#REF!</v>
      </c>
      <c r="HR144" t="e">
        <f>AND(#REF!,"AAAAADUffOE=")</f>
        <v>#REF!</v>
      </c>
      <c r="HS144" t="e">
        <f>AND(#REF!,"AAAAADUffOI=")</f>
        <v>#REF!</v>
      </c>
      <c r="HT144" t="e">
        <f>AND(#REF!,"AAAAADUffOM=")</f>
        <v>#REF!</v>
      </c>
      <c r="HU144" t="e">
        <f>AND(#REF!,"AAAAADUffOQ=")</f>
        <v>#REF!</v>
      </c>
      <c r="HV144" t="e">
        <f>AND(#REF!,"AAAAADUffOU=")</f>
        <v>#REF!</v>
      </c>
      <c r="HW144" t="e">
        <f>AND(#REF!,"AAAAADUffOY=")</f>
        <v>#REF!</v>
      </c>
      <c r="HX144" t="e">
        <f>AND(#REF!,"AAAAADUffOc=")</f>
        <v>#REF!</v>
      </c>
      <c r="HY144" t="e">
        <f>AND(#REF!,"AAAAADUffOg=")</f>
        <v>#REF!</v>
      </c>
      <c r="HZ144" t="e">
        <f>AND(#REF!,"AAAAADUffOk=")</f>
        <v>#REF!</v>
      </c>
      <c r="IA144" t="e">
        <f>AND(#REF!,"AAAAADUffOo=")</f>
        <v>#REF!</v>
      </c>
      <c r="IB144" t="e">
        <f>AND(#REF!,"AAAAADUffOs=")</f>
        <v>#REF!</v>
      </c>
      <c r="IC144" t="e">
        <f>AND(#REF!,"AAAAADUffOw=")</f>
        <v>#REF!</v>
      </c>
      <c r="ID144" t="e">
        <f>AND(#REF!,"AAAAADUffO0=")</f>
        <v>#REF!</v>
      </c>
      <c r="IE144" t="e">
        <f>AND(#REF!,"AAAAADUffO4=")</f>
        <v>#REF!</v>
      </c>
      <c r="IF144" t="e">
        <f>AND(#REF!,"AAAAADUffO8=")</f>
        <v>#REF!</v>
      </c>
      <c r="IG144" t="e">
        <f>AND(#REF!,"AAAAADUffPA=")</f>
        <v>#REF!</v>
      </c>
      <c r="IH144" t="e">
        <f>AND(#REF!,"AAAAADUffPE=")</f>
        <v>#REF!</v>
      </c>
      <c r="II144" t="e">
        <f>AND(#REF!,"AAAAADUffPI=")</f>
        <v>#REF!</v>
      </c>
      <c r="IJ144" t="e">
        <f>AND(#REF!,"AAAAADUffPM=")</f>
        <v>#REF!</v>
      </c>
      <c r="IK144" t="e">
        <f>AND(#REF!,"AAAAADUffPQ=")</f>
        <v>#REF!</v>
      </c>
      <c r="IL144" t="e">
        <f>AND(#REF!,"AAAAADUffPU=")</f>
        <v>#REF!</v>
      </c>
      <c r="IM144" t="e">
        <f>AND(#REF!,"AAAAADUffPY=")</f>
        <v>#REF!</v>
      </c>
      <c r="IN144" t="e">
        <f>AND(#REF!,"AAAAADUffPc=")</f>
        <v>#REF!</v>
      </c>
      <c r="IO144" t="e">
        <f>AND(#REF!,"AAAAADUffPg=")</f>
        <v>#REF!</v>
      </c>
      <c r="IP144" t="e">
        <f>AND(#REF!,"AAAAADUffPk=")</f>
        <v>#REF!</v>
      </c>
      <c r="IQ144" t="e">
        <f>AND(#REF!,"AAAAADUffPo=")</f>
        <v>#REF!</v>
      </c>
      <c r="IR144" t="e">
        <f>AND(#REF!,"AAAAADUffPs=")</f>
        <v>#REF!</v>
      </c>
      <c r="IS144" t="e">
        <f>AND(#REF!,"AAAAADUffPw=")</f>
        <v>#REF!</v>
      </c>
      <c r="IT144" t="e">
        <f>AND(#REF!,"AAAAADUffP0=")</f>
        <v>#REF!</v>
      </c>
      <c r="IU144" t="e">
        <f>AND(#REF!,"AAAAADUffP4=")</f>
        <v>#REF!</v>
      </c>
      <c r="IV144" t="e">
        <f>AND(#REF!,"AAAAADUffP8=")</f>
        <v>#REF!</v>
      </c>
    </row>
    <row r="145" spans="1:256" x14ac:dyDescent="0.25">
      <c r="A145" t="e">
        <f>AND(#REF!,"AAAAAFv6PwA=")</f>
        <v>#REF!</v>
      </c>
      <c r="B145" t="e">
        <f>AND(#REF!,"AAAAAFv6PwE=")</f>
        <v>#REF!</v>
      </c>
      <c r="C145" t="e">
        <f>AND(#REF!,"AAAAAFv6PwI=")</f>
        <v>#REF!</v>
      </c>
      <c r="D145" t="e">
        <f>AND(#REF!,"AAAAAFv6PwM=")</f>
        <v>#REF!</v>
      </c>
      <c r="E145" t="e">
        <f>AND(#REF!,"AAAAAFv6PwQ=")</f>
        <v>#REF!</v>
      </c>
      <c r="F145" t="e">
        <f>AND(#REF!,"AAAAAFv6PwU=")</f>
        <v>#REF!</v>
      </c>
      <c r="G145" t="e">
        <f>AND(#REF!,"AAAAAFv6PwY=")</f>
        <v>#REF!</v>
      </c>
      <c r="H145" t="e">
        <f>AND(#REF!,"AAAAAFv6Pwc=")</f>
        <v>#REF!</v>
      </c>
      <c r="I145" t="e">
        <f>AND(#REF!,"AAAAAFv6Pwg=")</f>
        <v>#REF!</v>
      </c>
      <c r="J145" t="e">
        <f>AND(#REF!,"AAAAAFv6Pwk=")</f>
        <v>#REF!</v>
      </c>
      <c r="K145" t="e">
        <f>AND(#REF!,"AAAAAFv6Pwo=")</f>
        <v>#REF!</v>
      </c>
      <c r="L145" t="e">
        <f>AND(#REF!,"AAAAAFv6Pws=")</f>
        <v>#REF!</v>
      </c>
      <c r="M145" t="e">
        <f>AND(#REF!,"AAAAAFv6Pww=")</f>
        <v>#REF!</v>
      </c>
      <c r="N145" t="e">
        <f>AND(#REF!,"AAAAAFv6Pw0=")</f>
        <v>#REF!</v>
      </c>
      <c r="O145" t="e">
        <f>AND(#REF!,"AAAAAFv6Pw4=")</f>
        <v>#REF!</v>
      </c>
      <c r="P145" t="e">
        <f>AND(#REF!,"AAAAAFv6Pw8=")</f>
        <v>#REF!</v>
      </c>
      <c r="Q145" t="e">
        <f>AND(#REF!,"AAAAAFv6PxA=")</f>
        <v>#REF!</v>
      </c>
      <c r="R145" t="e">
        <f>AND(#REF!,"AAAAAFv6PxE=")</f>
        <v>#REF!</v>
      </c>
      <c r="S145" t="e">
        <f>AND(#REF!,"AAAAAFv6PxI=")</f>
        <v>#REF!</v>
      </c>
      <c r="T145" t="e">
        <f>AND(#REF!,"AAAAAFv6PxM=")</f>
        <v>#REF!</v>
      </c>
      <c r="U145" t="e">
        <f>AND(#REF!,"AAAAAFv6PxQ=")</f>
        <v>#REF!</v>
      </c>
      <c r="V145" t="e">
        <f>AND(#REF!,"AAAAAFv6PxU=")</f>
        <v>#REF!</v>
      </c>
      <c r="W145" t="e">
        <f>AND(#REF!,"AAAAAFv6PxY=")</f>
        <v>#REF!</v>
      </c>
      <c r="X145" t="e">
        <f>AND(#REF!,"AAAAAFv6Pxc=")</f>
        <v>#REF!</v>
      </c>
      <c r="Y145" t="e">
        <f>AND(#REF!,"AAAAAFv6Pxg=")</f>
        <v>#REF!</v>
      </c>
      <c r="Z145" t="e">
        <f>AND(#REF!,"AAAAAFv6Pxk=")</f>
        <v>#REF!</v>
      </c>
      <c r="AA145" t="e">
        <f>AND(#REF!,"AAAAAFv6Pxo=")</f>
        <v>#REF!</v>
      </c>
      <c r="AB145" t="e">
        <f>AND(#REF!,"AAAAAFv6Pxs=")</f>
        <v>#REF!</v>
      </c>
      <c r="AC145" t="e">
        <f>AND(#REF!,"AAAAAFv6Pxw=")</f>
        <v>#REF!</v>
      </c>
      <c r="AD145" t="e">
        <f>AND(#REF!,"AAAAAFv6Px0=")</f>
        <v>#REF!</v>
      </c>
      <c r="AE145" t="e">
        <f>AND(#REF!,"AAAAAFv6Px4=")</f>
        <v>#REF!</v>
      </c>
      <c r="AF145" t="e">
        <f>AND(#REF!,"AAAAAFv6Px8=")</f>
        <v>#REF!</v>
      </c>
      <c r="AG145" t="e">
        <f>AND(#REF!,"AAAAAFv6PyA=")</f>
        <v>#REF!</v>
      </c>
      <c r="AH145" t="e">
        <f>AND(#REF!,"AAAAAFv6PyE=")</f>
        <v>#REF!</v>
      </c>
      <c r="AI145" t="e">
        <f>AND(#REF!,"AAAAAFv6PyI=")</f>
        <v>#REF!</v>
      </c>
      <c r="AJ145" t="e">
        <f>AND(#REF!,"AAAAAFv6PyM=")</f>
        <v>#REF!</v>
      </c>
      <c r="AK145" t="e">
        <f>AND(#REF!,"AAAAAFv6PyQ=")</f>
        <v>#REF!</v>
      </c>
      <c r="AL145" t="e">
        <f>AND(#REF!,"AAAAAFv6PyU=")</f>
        <v>#REF!</v>
      </c>
      <c r="AM145" t="e">
        <f>AND(#REF!,"AAAAAFv6PyY=")</f>
        <v>#REF!</v>
      </c>
      <c r="AN145" t="e">
        <f>AND(#REF!,"AAAAAFv6Pyc=")</f>
        <v>#REF!</v>
      </c>
      <c r="AO145" t="e">
        <f>AND(#REF!,"AAAAAFv6Pyg=")</f>
        <v>#REF!</v>
      </c>
      <c r="AP145" t="e">
        <f>AND(#REF!,"AAAAAFv6Pyk=")</f>
        <v>#REF!</v>
      </c>
      <c r="AQ145" t="e">
        <f>AND(#REF!,"AAAAAFv6Pyo=")</f>
        <v>#REF!</v>
      </c>
      <c r="AR145" t="e">
        <f>AND(#REF!,"AAAAAFv6Pys=")</f>
        <v>#REF!</v>
      </c>
      <c r="AS145" t="e">
        <f>AND(#REF!,"AAAAAFv6Pyw=")</f>
        <v>#REF!</v>
      </c>
      <c r="AT145" t="e">
        <f>AND(#REF!,"AAAAAFv6Py0=")</f>
        <v>#REF!</v>
      </c>
      <c r="AU145" t="e">
        <f>AND(#REF!,"AAAAAFv6Py4=")</f>
        <v>#REF!</v>
      </c>
      <c r="AV145" t="e">
        <f>AND(#REF!,"AAAAAFv6Py8=")</f>
        <v>#REF!</v>
      </c>
      <c r="AW145" t="e">
        <f>AND(#REF!,"AAAAAFv6PzA=")</f>
        <v>#REF!</v>
      </c>
      <c r="AX145" t="e">
        <f>AND(#REF!,"AAAAAFv6PzE=")</f>
        <v>#REF!</v>
      </c>
      <c r="AY145" t="e">
        <f>AND(#REF!,"AAAAAFv6PzI=")</f>
        <v>#REF!</v>
      </c>
      <c r="AZ145" t="e">
        <f>AND(#REF!,"AAAAAFv6PzM=")</f>
        <v>#REF!</v>
      </c>
      <c r="BA145" t="e">
        <f>AND(#REF!,"AAAAAFv6PzQ=")</f>
        <v>#REF!</v>
      </c>
      <c r="BB145" t="e">
        <f>AND(#REF!,"AAAAAFv6PzU=")</f>
        <v>#REF!</v>
      </c>
      <c r="BC145" t="e">
        <f>AND(#REF!,"AAAAAFv6PzY=")</f>
        <v>#REF!</v>
      </c>
      <c r="BD145" t="e">
        <f>AND(#REF!,"AAAAAFv6Pzc=")</f>
        <v>#REF!</v>
      </c>
      <c r="BE145" t="e">
        <f>AND(#REF!,"AAAAAFv6Pzg=")</f>
        <v>#REF!</v>
      </c>
      <c r="BF145" t="e">
        <f>AND(#REF!,"AAAAAFv6Pzk=")</f>
        <v>#REF!</v>
      </c>
      <c r="BG145" t="e">
        <f>AND(#REF!,"AAAAAFv6Pzo=")</f>
        <v>#REF!</v>
      </c>
      <c r="BH145" t="e">
        <f>AND(#REF!,"AAAAAFv6Pzs=")</f>
        <v>#REF!</v>
      </c>
      <c r="BI145" t="e">
        <f>AND(#REF!,"AAAAAFv6Pzw=")</f>
        <v>#REF!</v>
      </c>
      <c r="BJ145" t="e">
        <f>AND(#REF!,"AAAAAFv6Pz0=")</f>
        <v>#REF!</v>
      </c>
      <c r="BK145" t="e">
        <f>AND(#REF!,"AAAAAFv6Pz4=")</f>
        <v>#REF!</v>
      </c>
      <c r="BL145" t="e">
        <f>AND(#REF!,"AAAAAFv6Pz8=")</f>
        <v>#REF!</v>
      </c>
      <c r="BM145" t="e">
        <f>AND(#REF!,"AAAAAFv6P0A=")</f>
        <v>#REF!</v>
      </c>
      <c r="BN145" t="e">
        <f>AND(#REF!,"AAAAAFv6P0E=")</f>
        <v>#REF!</v>
      </c>
      <c r="BO145" t="e">
        <f>AND(#REF!,"AAAAAFv6P0I=")</f>
        <v>#REF!</v>
      </c>
      <c r="BP145" t="e">
        <f>AND(#REF!,"AAAAAFv6P0M=")</f>
        <v>#REF!</v>
      </c>
      <c r="BQ145" t="e">
        <f>AND(#REF!,"AAAAAFv6P0Q=")</f>
        <v>#REF!</v>
      </c>
      <c r="BR145" t="e">
        <f>AND(#REF!,"AAAAAFv6P0U=")</f>
        <v>#REF!</v>
      </c>
      <c r="BS145" t="e">
        <f>AND(#REF!,"AAAAAFv6P0Y=")</f>
        <v>#REF!</v>
      </c>
      <c r="BT145" t="e">
        <f>AND(#REF!,"AAAAAFv6P0c=")</f>
        <v>#REF!</v>
      </c>
      <c r="BU145" t="e">
        <f>AND(#REF!,"AAAAAFv6P0g=")</f>
        <v>#REF!</v>
      </c>
      <c r="BV145" t="e">
        <f>AND(#REF!,"AAAAAFv6P0k=")</f>
        <v>#REF!</v>
      </c>
      <c r="BW145" t="e">
        <f>AND(#REF!,"AAAAAFv6P0o=")</f>
        <v>#REF!</v>
      </c>
      <c r="BX145" t="e">
        <f>AND(#REF!,"AAAAAFv6P0s=")</f>
        <v>#REF!</v>
      </c>
      <c r="BY145" t="e">
        <f>AND(#REF!,"AAAAAFv6P0w=")</f>
        <v>#REF!</v>
      </c>
      <c r="BZ145" t="e">
        <f>AND(#REF!,"AAAAAFv6P00=")</f>
        <v>#REF!</v>
      </c>
      <c r="CA145" t="e">
        <f>AND(#REF!,"AAAAAFv6P04=")</f>
        <v>#REF!</v>
      </c>
      <c r="CB145" t="e">
        <f>AND(#REF!,"AAAAAFv6P08=")</f>
        <v>#REF!</v>
      </c>
      <c r="CC145" t="e">
        <f>AND(#REF!,"AAAAAFv6P1A=")</f>
        <v>#REF!</v>
      </c>
      <c r="CD145" t="e">
        <f>AND(#REF!,"AAAAAFv6P1E=")</f>
        <v>#REF!</v>
      </c>
      <c r="CE145" t="e">
        <f>AND(#REF!,"AAAAAFv6P1I=")</f>
        <v>#REF!</v>
      </c>
      <c r="CF145" t="e">
        <f>AND(#REF!,"AAAAAFv6P1M=")</f>
        <v>#REF!</v>
      </c>
      <c r="CG145" t="e">
        <f>AND(#REF!,"AAAAAFv6P1Q=")</f>
        <v>#REF!</v>
      </c>
      <c r="CH145" t="e">
        <f>AND(#REF!,"AAAAAFv6P1U=")</f>
        <v>#REF!</v>
      </c>
      <c r="CI145" t="e">
        <f>AND(#REF!,"AAAAAFv6P1Y=")</f>
        <v>#REF!</v>
      </c>
      <c r="CJ145" t="e">
        <f>AND(#REF!,"AAAAAFv6P1c=")</f>
        <v>#REF!</v>
      </c>
      <c r="CK145" t="e">
        <f>AND(#REF!,"AAAAAFv6P1g=")</f>
        <v>#REF!</v>
      </c>
      <c r="CL145" t="e">
        <f>AND(#REF!,"AAAAAFv6P1k=")</f>
        <v>#REF!</v>
      </c>
      <c r="CM145" t="e">
        <f>AND(#REF!,"AAAAAFv6P1o=")</f>
        <v>#REF!</v>
      </c>
      <c r="CN145" t="e">
        <f>AND(#REF!,"AAAAAFv6P1s=")</f>
        <v>#REF!</v>
      </c>
      <c r="CO145" t="e">
        <f>AND(#REF!,"AAAAAFv6P1w=")</f>
        <v>#REF!</v>
      </c>
      <c r="CP145" t="e">
        <f>AND(#REF!,"AAAAAFv6P10=")</f>
        <v>#REF!</v>
      </c>
      <c r="CQ145" t="e">
        <f>AND(#REF!,"AAAAAFv6P14=")</f>
        <v>#REF!</v>
      </c>
      <c r="CR145" t="e">
        <f>AND(#REF!,"AAAAAFv6P18=")</f>
        <v>#REF!</v>
      </c>
      <c r="CS145" t="e">
        <f>AND(#REF!,"AAAAAFv6P2A=")</f>
        <v>#REF!</v>
      </c>
      <c r="CT145" t="e">
        <f>AND(#REF!,"AAAAAFv6P2E=")</f>
        <v>#REF!</v>
      </c>
      <c r="CU145" t="e">
        <f>AND(#REF!,"AAAAAFv6P2I=")</f>
        <v>#REF!</v>
      </c>
      <c r="CV145" t="e">
        <f>AND(#REF!,"AAAAAFv6P2M=")</f>
        <v>#REF!</v>
      </c>
      <c r="CW145" t="e">
        <f>AND(#REF!,"AAAAAFv6P2Q=")</f>
        <v>#REF!</v>
      </c>
      <c r="CX145" t="e">
        <f>AND(#REF!,"AAAAAFv6P2U=")</f>
        <v>#REF!</v>
      </c>
      <c r="CY145" t="e">
        <f>AND(#REF!,"AAAAAFv6P2Y=")</f>
        <v>#REF!</v>
      </c>
      <c r="CZ145" t="e">
        <f>AND(#REF!,"AAAAAFv6P2c=")</f>
        <v>#REF!</v>
      </c>
      <c r="DA145" t="e">
        <f>AND(#REF!,"AAAAAFv6P2g=")</f>
        <v>#REF!</v>
      </c>
      <c r="DB145" t="e">
        <f>AND(#REF!,"AAAAAFv6P2k=")</f>
        <v>#REF!</v>
      </c>
      <c r="DC145" t="e">
        <f>AND(#REF!,"AAAAAFv6P2o=")</f>
        <v>#REF!</v>
      </c>
      <c r="DD145" t="e">
        <f>AND(#REF!,"AAAAAFv6P2s=")</f>
        <v>#REF!</v>
      </c>
      <c r="DE145" t="e">
        <f>AND(#REF!,"AAAAAFv6P2w=")</f>
        <v>#REF!</v>
      </c>
      <c r="DF145" t="e">
        <f>AND(#REF!,"AAAAAFv6P20=")</f>
        <v>#REF!</v>
      </c>
      <c r="DG145" t="e">
        <f>AND(#REF!,"AAAAAFv6P24=")</f>
        <v>#REF!</v>
      </c>
      <c r="DH145" t="e">
        <f>AND(#REF!,"AAAAAFv6P28=")</f>
        <v>#REF!</v>
      </c>
      <c r="DI145" t="e">
        <f>AND(#REF!,"AAAAAFv6P3A=")</f>
        <v>#REF!</v>
      </c>
      <c r="DJ145" t="e">
        <f>AND(#REF!,"AAAAAFv6P3E=")</f>
        <v>#REF!</v>
      </c>
      <c r="DK145" t="e">
        <f>AND(#REF!,"AAAAAFv6P3I=")</f>
        <v>#REF!</v>
      </c>
      <c r="DL145" t="e">
        <f>AND(#REF!,"AAAAAFv6P3M=")</f>
        <v>#REF!</v>
      </c>
      <c r="DM145" t="e">
        <f>AND(#REF!,"AAAAAFv6P3Q=")</f>
        <v>#REF!</v>
      </c>
      <c r="DN145" t="e">
        <f>AND(#REF!,"AAAAAFv6P3U=")</f>
        <v>#REF!</v>
      </c>
      <c r="DO145" t="e">
        <f>AND(#REF!,"AAAAAFv6P3Y=")</f>
        <v>#REF!</v>
      </c>
      <c r="DP145" t="e">
        <f>AND(#REF!,"AAAAAFv6P3c=")</f>
        <v>#REF!</v>
      </c>
      <c r="DQ145" t="e">
        <f>AND(#REF!,"AAAAAFv6P3g=")</f>
        <v>#REF!</v>
      </c>
      <c r="DR145" t="e">
        <f>AND(#REF!,"AAAAAFv6P3k=")</f>
        <v>#REF!</v>
      </c>
      <c r="DS145" t="e">
        <f>AND(#REF!,"AAAAAFv6P3o=")</f>
        <v>#REF!</v>
      </c>
      <c r="DT145" t="e">
        <f>AND(#REF!,"AAAAAFv6P3s=")</f>
        <v>#REF!</v>
      </c>
      <c r="DU145" t="e">
        <f>AND(#REF!,"AAAAAFv6P3w=")</f>
        <v>#REF!</v>
      </c>
      <c r="DV145" t="e">
        <f>AND(#REF!,"AAAAAFv6P30=")</f>
        <v>#REF!</v>
      </c>
      <c r="DW145" t="e">
        <f>AND(#REF!,"AAAAAFv6P34=")</f>
        <v>#REF!</v>
      </c>
      <c r="DX145" t="e">
        <f>AND(#REF!,"AAAAAFv6P38=")</f>
        <v>#REF!</v>
      </c>
      <c r="DY145" t="e">
        <f>AND(#REF!,"AAAAAFv6P4A=")</f>
        <v>#REF!</v>
      </c>
      <c r="DZ145" t="e">
        <f>AND(#REF!,"AAAAAFv6P4E=")</f>
        <v>#REF!</v>
      </c>
      <c r="EA145" t="e">
        <f>AND(#REF!,"AAAAAFv6P4I=")</f>
        <v>#REF!</v>
      </c>
      <c r="EB145" t="e">
        <f>AND(#REF!,"AAAAAFv6P4M=")</f>
        <v>#REF!</v>
      </c>
      <c r="EC145" t="e">
        <f>AND(#REF!,"AAAAAFv6P4Q=")</f>
        <v>#REF!</v>
      </c>
      <c r="ED145" t="e">
        <f>AND(#REF!,"AAAAAFv6P4U=")</f>
        <v>#REF!</v>
      </c>
      <c r="EE145" t="e">
        <f>AND(#REF!,"AAAAAFv6P4Y=")</f>
        <v>#REF!</v>
      </c>
      <c r="EF145" t="e">
        <f>AND(#REF!,"AAAAAFv6P4c=")</f>
        <v>#REF!</v>
      </c>
      <c r="EG145" t="e">
        <f>AND(#REF!,"AAAAAFv6P4g=")</f>
        <v>#REF!</v>
      </c>
      <c r="EH145" t="e">
        <f>AND(#REF!,"AAAAAFv6P4k=")</f>
        <v>#REF!</v>
      </c>
      <c r="EI145" t="e">
        <f>AND(#REF!,"AAAAAFv6P4o=")</f>
        <v>#REF!</v>
      </c>
      <c r="EJ145" t="e">
        <f>AND(#REF!,"AAAAAFv6P4s=")</f>
        <v>#REF!</v>
      </c>
      <c r="EK145" t="e">
        <f>AND(#REF!,"AAAAAFv6P4w=")</f>
        <v>#REF!</v>
      </c>
      <c r="EL145" t="e">
        <f>AND(#REF!,"AAAAAFv6P40=")</f>
        <v>#REF!</v>
      </c>
      <c r="EM145" t="e">
        <f>AND(#REF!,"AAAAAFv6P44=")</f>
        <v>#REF!</v>
      </c>
      <c r="EN145" t="e">
        <f>AND(#REF!,"AAAAAFv6P48=")</f>
        <v>#REF!</v>
      </c>
      <c r="EO145" t="e">
        <f>AND(#REF!,"AAAAAFv6P5A=")</f>
        <v>#REF!</v>
      </c>
      <c r="EP145" t="e">
        <f>IF(#REF!,"AAAAAFv6P5E=",0)</f>
        <v>#REF!</v>
      </c>
      <c r="EQ145" t="e">
        <f>AND(#REF!,"AAAAAFv6P5I=")</f>
        <v>#REF!</v>
      </c>
      <c r="ER145" t="e">
        <f>AND(#REF!,"AAAAAFv6P5M=")</f>
        <v>#REF!</v>
      </c>
      <c r="ES145" t="e">
        <f>AND(#REF!,"AAAAAFv6P5Q=")</f>
        <v>#REF!</v>
      </c>
      <c r="ET145" t="e">
        <f>AND(#REF!,"AAAAAFv6P5U=")</f>
        <v>#REF!</v>
      </c>
      <c r="EU145" t="e">
        <f>AND(#REF!,"AAAAAFv6P5Y=")</f>
        <v>#REF!</v>
      </c>
      <c r="EV145" t="e">
        <f>AND(#REF!,"AAAAAFv6P5c=")</f>
        <v>#REF!</v>
      </c>
      <c r="EW145" t="e">
        <f>AND(#REF!,"AAAAAFv6P5g=")</f>
        <v>#REF!</v>
      </c>
      <c r="EX145" t="e">
        <f>AND(#REF!,"AAAAAFv6P5k=")</f>
        <v>#REF!</v>
      </c>
      <c r="EY145" t="e">
        <f>AND(#REF!,"AAAAAFv6P5o=")</f>
        <v>#REF!</v>
      </c>
      <c r="EZ145" t="e">
        <f>AND(#REF!,"AAAAAFv6P5s=")</f>
        <v>#REF!</v>
      </c>
      <c r="FA145" t="e">
        <f>AND(#REF!,"AAAAAFv6P5w=")</f>
        <v>#REF!</v>
      </c>
      <c r="FB145" t="e">
        <f>AND(#REF!,"AAAAAFv6P50=")</f>
        <v>#REF!</v>
      </c>
      <c r="FC145" t="e">
        <f>AND(#REF!,"AAAAAFv6P54=")</f>
        <v>#REF!</v>
      </c>
      <c r="FD145" t="e">
        <f>AND(#REF!,"AAAAAFv6P58=")</f>
        <v>#REF!</v>
      </c>
      <c r="FE145" t="e">
        <f>AND(#REF!,"AAAAAFv6P6A=")</f>
        <v>#REF!</v>
      </c>
      <c r="FF145" t="e">
        <f>AND(#REF!,"AAAAAFv6P6E=")</f>
        <v>#REF!</v>
      </c>
      <c r="FG145" t="e">
        <f>AND(#REF!,"AAAAAFv6P6I=")</f>
        <v>#REF!</v>
      </c>
      <c r="FH145" t="e">
        <f>AND(#REF!,"AAAAAFv6P6M=")</f>
        <v>#REF!</v>
      </c>
      <c r="FI145" t="e">
        <f>AND(#REF!,"AAAAAFv6P6Q=")</f>
        <v>#REF!</v>
      </c>
      <c r="FJ145" t="e">
        <f>AND(#REF!,"AAAAAFv6P6U=")</f>
        <v>#REF!</v>
      </c>
      <c r="FK145" t="e">
        <f>AND(#REF!,"AAAAAFv6P6Y=")</f>
        <v>#REF!</v>
      </c>
      <c r="FL145" t="e">
        <f>AND(#REF!,"AAAAAFv6P6c=")</f>
        <v>#REF!</v>
      </c>
      <c r="FM145" t="e">
        <f>AND(#REF!,"AAAAAFv6P6g=")</f>
        <v>#REF!</v>
      </c>
      <c r="FN145" t="e">
        <f>AND(#REF!,"AAAAAFv6P6k=")</f>
        <v>#REF!</v>
      </c>
      <c r="FO145" t="e">
        <f>AND(#REF!,"AAAAAFv6P6o=")</f>
        <v>#REF!</v>
      </c>
      <c r="FP145" t="e">
        <f>AND(#REF!,"AAAAAFv6P6s=")</f>
        <v>#REF!</v>
      </c>
      <c r="FQ145" t="e">
        <f>AND(#REF!,"AAAAAFv6P6w=")</f>
        <v>#REF!</v>
      </c>
      <c r="FR145" t="e">
        <f>AND(#REF!,"AAAAAFv6P60=")</f>
        <v>#REF!</v>
      </c>
      <c r="FS145" t="e">
        <f>AND(#REF!,"AAAAAFv6P64=")</f>
        <v>#REF!</v>
      </c>
      <c r="FT145" t="e">
        <f>AND(#REF!,"AAAAAFv6P68=")</f>
        <v>#REF!</v>
      </c>
      <c r="FU145" t="e">
        <f>AND(#REF!,"AAAAAFv6P7A=")</f>
        <v>#REF!</v>
      </c>
      <c r="FV145" t="e">
        <f>AND(#REF!,"AAAAAFv6P7E=")</f>
        <v>#REF!</v>
      </c>
      <c r="FW145" t="e">
        <f>AND(#REF!,"AAAAAFv6P7I=")</f>
        <v>#REF!</v>
      </c>
      <c r="FX145" t="e">
        <f>AND(#REF!,"AAAAAFv6P7M=")</f>
        <v>#REF!</v>
      </c>
      <c r="FY145" t="e">
        <f>AND(#REF!,"AAAAAFv6P7Q=")</f>
        <v>#REF!</v>
      </c>
      <c r="FZ145" t="e">
        <f>AND(#REF!,"AAAAAFv6P7U=")</f>
        <v>#REF!</v>
      </c>
      <c r="GA145" t="e">
        <f>AND(#REF!,"AAAAAFv6P7Y=")</f>
        <v>#REF!</v>
      </c>
      <c r="GB145" t="e">
        <f>AND(#REF!,"AAAAAFv6P7c=")</f>
        <v>#REF!</v>
      </c>
      <c r="GC145" t="e">
        <f>AND(#REF!,"AAAAAFv6P7g=")</f>
        <v>#REF!</v>
      </c>
      <c r="GD145" t="e">
        <f>AND(#REF!,"AAAAAFv6P7k=")</f>
        <v>#REF!</v>
      </c>
      <c r="GE145" t="e">
        <f>AND(#REF!,"AAAAAFv6P7o=")</f>
        <v>#REF!</v>
      </c>
      <c r="GF145" t="e">
        <f>AND(#REF!,"AAAAAFv6P7s=")</f>
        <v>#REF!</v>
      </c>
      <c r="GG145" t="e">
        <f>AND(#REF!,"AAAAAFv6P7w=")</f>
        <v>#REF!</v>
      </c>
      <c r="GH145" t="e">
        <f>AND(#REF!,"AAAAAFv6P70=")</f>
        <v>#REF!</v>
      </c>
      <c r="GI145" t="e">
        <f>AND(#REF!,"AAAAAFv6P74=")</f>
        <v>#REF!</v>
      </c>
      <c r="GJ145" t="e">
        <f>AND(#REF!,"AAAAAFv6P78=")</f>
        <v>#REF!</v>
      </c>
      <c r="GK145" t="e">
        <f>AND(#REF!,"AAAAAFv6P8A=")</f>
        <v>#REF!</v>
      </c>
      <c r="GL145" t="e">
        <f>AND(#REF!,"AAAAAFv6P8E=")</f>
        <v>#REF!</v>
      </c>
      <c r="GM145" t="e">
        <f>AND(#REF!,"AAAAAFv6P8I=")</f>
        <v>#REF!</v>
      </c>
      <c r="GN145" t="e">
        <f>AND(#REF!,"AAAAAFv6P8M=")</f>
        <v>#REF!</v>
      </c>
      <c r="GO145" t="e">
        <f>AND(#REF!,"AAAAAFv6P8Q=")</f>
        <v>#REF!</v>
      </c>
      <c r="GP145" t="e">
        <f>AND(#REF!,"AAAAAFv6P8U=")</f>
        <v>#REF!</v>
      </c>
      <c r="GQ145" t="e">
        <f>AND(#REF!,"AAAAAFv6P8Y=")</f>
        <v>#REF!</v>
      </c>
      <c r="GR145" t="e">
        <f>AND(#REF!,"AAAAAFv6P8c=")</f>
        <v>#REF!</v>
      </c>
      <c r="GS145" t="e">
        <f>AND(#REF!,"AAAAAFv6P8g=")</f>
        <v>#REF!</v>
      </c>
      <c r="GT145" t="e">
        <f>AND(#REF!,"AAAAAFv6P8k=")</f>
        <v>#REF!</v>
      </c>
      <c r="GU145" t="e">
        <f>AND(#REF!,"AAAAAFv6P8o=")</f>
        <v>#REF!</v>
      </c>
      <c r="GV145" t="e">
        <f>AND(#REF!,"AAAAAFv6P8s=")</f>
        <v>#REF!</v>
      </c>
      <c r="GW145" t="e">
        <f>AND(#REF!,"AAAAAFv6P8w=")</f>
        <v>#REF!</v>
      </c>
      <c r="GX145" t="e">
        <f>AND(#REF!,"AAAAAFv6P80=")</f>
        <v>#REF!</v>
      </c>
      <c r="GY145" t="e">
        <f>AND(#REF!,"AAAAAFv6P84=")</f>
        <v>#REF!</v>
      </c>
      <c r="GZ145" t="e">
        <f>AND(#REF!,"AAAAAFv6P88=")</f>
        <v>#REF!</v>
      </c>
      <c r="HA145" t="e">
        <f>AND(#REF!,"AAAAAFv6P9A=")</f>
        <v>#REF!</v>
      </c>
      <c r="HB145" t="e">
        <f>AND(#REF!,"AAAAAFv6P9E=")</f>
        <v>#REF!</v>
      </c>
      <c r="HC145" t="e">
        <f>AND(#REF!,"AAAAAFv6P9I=")</f>
        <v>#REF!</v>
      </c>
      <c r="HD145" t="e">
        <f>AND(#REF!,"AAAAAFv6P9M=")</f>
        <v>#REF!</v>
      </c>
      <c r="HE145" t="e">
        <f>AND(#REF!,"AAAAAFv6P9Q=")</f>
        <v>#REF!</v>
      </c>
      <c r="HF145" t="e">
        <f>AND(#REF!,"AAAAAFv6P9U=")</f>
        <v>#REF!</v>
      </c>
      <c r="HG145" t="e">
        <f>AND(#REF!,"AAAAAFv6P9Y=")</f>
        <v>#REF!</v>
      </c>
      <c r="HH145" t="e">
        <f>AND(#REF!,"AAAAAFv6P9c=")</f>
        <v>#REF!</v>
      </c>
      <c r="HI145" t="e">
        <f>AND(#REF!,"AAAAAFv6P9g=")</f>
        <v>#REF!</v>
      </c>
      <c r="HJ145" t="e">
        <f>AND(#REF!,"AAAAAFv6P9k=")</f>
        <v>#REF!</v>
      </c>
      <c r="HK145" t="e">
        <f>AND(#REF!,"AAAAAFv6P9o=")</f>
        <v>#REF!</v>
      </c>
      <c r="HL145" t="e">
        <f>AND(#REF!,"AAAAAFv6P9s=")</f>
        <v>#REF!</v>
      </c>
      <c r="HM145" t="e">
        <f>AND(#REF!,"AAAAAFv6P9w=")</f>
        <v>#REF!</v>
      </c>
      <c r="HN145" t="e">
        <f>AND(#REF!,"AAAAAFv6P90=")</f>
        <v>#REF!</v>
      </c>
      <c r="HO145" t="e">
        <f>AND(#REF!,"AAAAAFv6P94=")</f>
        <v>#REF!</v>
      </c>
      <c r="HP145" t="e">
        <f>AND(#REF!,"AAAAAFv6P98=")</f>
        <v>#REF!</v>
      </c>
      <c r="HQ145" t="e">
        <f>AND(#REF!,"AAAAAFv6P+A=")</f>
        <v>#REF!</v>
      </c>
      <c r="HR145" t="e">
        <f>AND(#REF!,"AAAAAFv6P+E=")</f>
        <v>#REF!</v>
      </c>
      <c r="HS145" t="e">
        <f>AND(#REF!,"AAAAAFv6P+I=")</f>
        <v>#REF!</v>
      </c>
      <c r="HT145" t="e">
        <f>AND(#REF!,"AAAAAFv6P+M=")</f>
        <v>#REF!</v>
      </c>
      <c r="HU145" t="e">
        <f>AND(#REF!,"AAAAAFv6P+Q=")</f>
        <v>#REF!</v>
      </c>
      <c r="HV145" t="e">
        <f>AND(#REF!,"AAAAAFv6P+U=")</f>
        <v>#REF!</v>
      </c>
      <c r="HW145" t="e">
        <f>AND(#REF!,"AAAAAFv6P+Y=")</f>
        <v>#REF!</v>
      </c>
      <c r="HX145" t="e">
        <f>AND(#REF!,"AAAAAFv6P+c=")</f>
        <v>#REF!</v>
      </c>
      <c r="HY145" t="e">
        <f>AND(#REF!,"AAAAAFv6P+g=")</f>
        <v>#REF!</v>
      </c>
      <c r="HZ145" t="e">
        <f>AND(#REF!,"AAAAAFv6P+k=")</f>
        <v>#REF!</v>
      </c>
      <c r="IA145" t="e">
        <f>AND(#REF!,"AAAAAFv6P+o=")</f>
        <v>#REF!</v>
      </c>
      <c r="IB145" t="e">
        <f>AND(#REF!,"AAAAAFv6P+s=")</f>
        <v>#REF!</v>
      </c>
      <c r="IC145" t="e">
        <f>AND(#REF!,"AAAAAFv6P+w=")</f>
        <v>#REF!</v>
      </c>
      <c r="ID145" t="e">
        <f>AND(#REF!,"AAAAAFv6P+0=")</f>
        <v>#REF!</v>
      </c>
      <c r="IE145" t="e">
        <f>AND(#REF!,"AAAAAFv6P+4=")</f>
        <v>#REF!</v>
      </c>
      <c r="IF145" t="e">
        <f>AND(#REF!,"AAAAAFv6P+8=")</f>
        <v>#REF!</v>
      </c>
      <c r="IG145" t="e">
        <f>AND(#REF!,"AAAAAFv6P/A=")</f>
        <v>#REF!</v>
      </c>
      <c r="IH145" t="e">
        <f>AND(#REF!,"AAAAAFv6P/E=")</f>
        <v>#REF!</v>
      </c>
      <c r="II145" t="e">
        <f>AND(#REF!,"AAAAAFv6P/I=")</f>
        <v>#REF!</v>
      </c>
      <c r="IJ145" t="e">
        <f>AND(#REF!,"AAAAAFv6P/M=")</f>
        <v>#REF!</v>
      </c>
      <c r="IK145" t="e">
        <f>AND(#REF!,"AAAAAFv6P/Q=")</f>
        <v>#REF!</v>
      </c>
      <c r="IL145" t="e">
        <f>AND(#REF!,"AAAAAFv6P/U=")</f>
        <v>#REF!</v>
      </c>
      <c r="IM145" t="e">
        <f>AND(#REF!,"AAAAAFv6P/Y=")</f>
        <v>#REF!</v>
      </c>
      <c r="IN145" t="e">
        <f>AND(#REF!,"AAAAAFv6P/c=")</f>
        <v>#REF!</v>
      </c>
      <c r="IO145" t="e">
        <f>AND(#REF!,"AAAAAFv6P/g=")</f>
        <v>#REF!</v>
      </c>
      <c r="IP145" t="e">
        <f>AND(#REF!,"AAAAAFv6P/k=")</f>
        <v>#REF!</v>
      </c>
      <c r="IQ145" t="e">
        <f>AND(#REF!,"AAAAAFv6P/o=")</f>
        <v>#REF!</v>
      </c>
      <c r="IR145" t="e">
        <f>AND(#REF!,"AAAAAFv6P/s=")</f>
        <v>#REF!</v>
      </c>
      <c r="IS145" t="e">
        <f>AND(#REF!,"AAAAAFv6P/w=")</f>
        <v>#REF!</v>
      </c>
      <c r="IT145" t="e">
        <f>AND(#REF!,"AAAAAFv6P/0=")</f>
        <v>#REF!</v>
      </c>
      <c r="IU145" t="e">
        <f>AND(#REF!,"AAAAAFv6P/4=")</f>
        <v>#REF!</v>
      </c>
      <c r="IV145" t="e">
        <f>AND(#REF!,"AAAAAFv6P/8=")</f>
        <v>#REF!</v>
      </c>
    </row>
    <row r="146" spans="1:256" x14ac:dyDescent="0.25">
      <c r="A146" t="e">
        <f>AND(#REF!,"AAAAAHV7awA=")</f>
        <v>#REF!</v>
      </c>
      <c r="B146" t="e">
        <f>AND(#REF!,"AAAAAHV7awE=")</f>
        <v>#REF!</v>
      </c>
      <c r="C146" t="e">
        <f>AND(#REF!,"AAAAAHV7awI=")</f>
        <v>#REF!</v>
      </c>
      <c r="D146" t="e">
        <f>AND(#REF!,"AAAAAHV7awM=")</f>
        <v>#REF!</v>
      </c>
      <c r="E146" t="e">
        <f>AND(#REF!,"AAAAAHV7awQ=")</f>
        <v>#REF!</v>
      </c>
      <c r="F146" t="e">
        <f>AND(#REF!,"AAAAAHV7awU=")</f>
        <v>#REF!</v>
      </c>
      <c r="G146" t="e">
        <f>AND(#REF!,"AAAAAHV7awY=")</f>
        <v>#REF!</v>
      </c>
      <c r="H146" t="e">
        <f>AND(#REF!,"AAAAAHV7awc=")</f>
        <v>#REF!</v>
      </c>
      <c r="I146" t="e">
        <f>AND(#REF!,"AAAAAHV7awg=")</f>
        <v>#REF!</v>
      </c>
      <c r="J146" t="e">
        <f>AND(#REF!,"AAAAAHV7awk=")</f>
        <v>#REF!</v>
      </c>
      <c r="K146" t="e">
        <f>AND(#REF!,"AAAAAHV7awo=")</f>
        <v>#REF!</v>
      </c>
      <c r="L146" t="e">
        <f>AND(#REF!,"AAAAAHV7aws=")</f>
        <v>#REF!</v>
      </c>
      <c r="M146" t="e">
        <f>AND(#REF!,"AAAAAHV7aww=")</f>
        <v>#REF!</v>
      </c>
      <c r="N146" t="e">
        <f>AND(#REF!,"AAAAAHV7aw0=")</f>
        <v>#REF!</v>
      </c>
      <c r="O146" t="e">
        <f>AND(#REF!,"AAAAAHV7aw4=")</f>
        <v>#REF!</v>
      </c>
      <c r="P146" t="e">
        <f>AND(#REF!,"AAAAAHV7aw8=")</f>
        <v>#REF!</v>
      </c>
      <c r="Q146" t="e">
        <f>AND(#REF!,"AAAAAHV7axA=")</f>
        <v>#REF!</v>
      </c>
      <c r="R146" t="e">
        <f>AND(#REF!,"AAAAAHV7axE=")</f>
        <v>#REF!</v>
      </c>
      <c r="S146" t="e">
        <f>AND(#REF!,"AAAAAHV7axI=")</f>
        <v>#REF!</v>
      </c>
      <c r="T146" t="e">
        <f>AND(#REF!,"AAAAAHV7axM=")</f>
        <v>#REF!</v>
      </c>
      <c r="U146" t="e">
        <f>AND(#REF!,"AAAAAHV7axQ=")</f>
        <v>#REF!</v>
      </c>
      <c r="V146" t="e">
        <f>AND(#REF!,"AAAAAHV7axU=")</f>
        <v>#REF!</v>
      </c>
      <c r="W146" t="e">
        <f>AND(#REF!,"AAAAAHV7axY=")</f>
        <v>#REF!</v>
      </c>
      <c r="X146" t="e">
        <f>AND(#REF!,"AAAAAHV7axc=")</f>
        <v>#REF!</v>
      </c>
      <c r="Y146" t="e">
        <f>AND(#REF!,"AAAAAHV7axg=")</f>
        <v>#REF!</v>
      </c>
      <c r="Z146" t="e">
        <f>AND(#REF!,"AAAAAHV7axk=")</f>
        <v>#REF!</v>
      </c>
      <c r="AA146" t="e">
        <f>AND(#REF!,"AAAAAHV7axo=")</f>
        <v>#REF!</v>
      </c>
      <c r="AB146" t="e">
        <f>AND(#REF!,"AAAAAHV7axs=")</f>
        <v>#REF!</v>
      </c>
      <c r="AC146" t="e">
        <f>AND(#REF!,"AAAAAHV7axw=")</f>
        <v>#REF!</v>
      </c>
      <c r="AD146" t="e">
        <f>AND(#REF!,"AAAAAHV7ax0=")</f>
        <v>#REF!</v>
      </c>
      <c r="AE146" t="e">
        <f>AND(#REF!,"AAAAAHV7ax4=")</f>
        <v>#REF!</v>
      </c>
      <c r="AF146" t="e">
        <f>AND(#REF!,"AAAAAHV7ax8=")</f>
        <v>#REF!</v>
      </c>
      <c r="AG146" t="e">
        <f>AND(#REF!,"AAAAAHV7ayA=")</f>
        <v>#REF!</v>
      </c>
      <c r="AH146" t="e">
        <f>AND(#REF!,"AAAAAHV7ayE=")</f>
        <v>#REF!</v>
      </c>
      <c r="AI146" t="e">
        <f>AND(#REF!,"AAAAAHV7ayI=")</f>
        <v>#REF!</v>
      </c>
      <c r="AJ146" t="e">
        <f>AND(#REF!,"AAAAAHV7ayM=")</f>
        <v>#REF!</v>
      </c>
      <c r="AK146" t="e">
        <f>AND(#REF!,"AAAAAHV7ayQ=")</f>
        <v>#REF!</v>
      </c>
      <c r="AL146" t="e">
        <f>AND(#REF!,"AAAAAHV7ayU=")</f>
        <v>#REF!</v>
      </c>
      <c r="AM146" t="e">
        <f>AND(#REF!,"AAAAAHV7ayY=")</f>
        <v>#REF!</v>
      </c>
      <c r="AN146" t="e">
        <f>AND(#REF!,"AAAAAHV7ayc=")</f>
        <v>#REF!</v>
      </c>
      <c r="AO146" t="e">
        <f>AND(#REF!,"AAAAAHV7ayg=")</f>
        <v>#REF!</v>
      </c>
      <c r="AP146" t="e">
        <f>AND(#REF!,"AAAAAHV7ayk=")</f>
        <v>#REF!</v>
      </c>
      <c r="AQ146" t="e">
        <f>AND(#REF!,"AAAAAHV7ayo=")</f>
        <v>#REF!</v>
      </c>
      <c r="AR146" t="e">
        <f>AND(#REF!,"AAAAAHV7ays=")</f>
        <v>#REF!</v>
      </c>
      <c r="AS146" t="e">
        <f>AND(#REF!,"AAAAAHV7ayw=")</f>
        <v>#REF!</v>
      </c>
      <c r="AT146" t="e">
        <f>AND(#REF!,"AAAAAHV7ay0=")</f>
        <v>#REF!</v>
      </c>
      <c r="AU146" t="e">
        <f>AND(#REF!,"AAAAAHV7ay4=")</f>
        <v>#REF!</v>
      </c>
      <c r="AV146" t="e">
        <f>AND(#REF!,"AAAAAHV7ay8=")</f>
        <v>#REF!</v>
      </c>
      <c r="AW146" t="e">
        <f>AND(#REF!,"AAAAAHV7azA=")</f>
        <v>#REF!</v>
      </c>
      <c r="AX146" t="e">
        <f>AND(#REF!,"AAAAAHV7azE=")</f>
        <v>#REF!</v>
      </c>
      <c r="AY146" t="e">
        <f>AND(#REF!,"AAAAAHV7azI=")</f>
        <v>#REF!</v>
      </c>
      <c r="AZ146" t="e">
        <f>AND(#REF!,"AAAAAHV7azM=")</f>
        <v>#REF!</v>
      </c>
      <c r="BA146" t="e">
        <f>AND(#REF!,"AAAAAHV7azQ=")</f>
        <v>#REF!</v>
      </c>
      <c r="BB146" t="e">
        <f>AND(#REF!,"AAAAAHV7azU=")</f>
        <v>#REF!</v>
      </c>
      <c r="BC146" t="e">
        <f>AND(#REF!,"AAAAAHV7azY=")</f>
        <v>#REF!</v>
      </c>
      <c r="BD146" t="e">
        <f>AND(#REF!,"AAAAAHV7azc=")</f>
        <v>#REF!</v>
      </c>
      <c r="BE146" t="e">
        <f>AND(#REF!,"AAAAAHV7azg=")</f>
        <v>#REF!</v>
      </c>
      <c r="BF146" t="e">
        <f>AND(#REF!,"AAAAAHV7azk=")</f>
        <v>#REF!</v>
      </c>
      <c r="BG146" t="e">
        <f>AND(#REF!,"AAAAAHV7azo=")</f>
        <v>#REF!</v>
      </c>
      <c r="BH146" t="e">
        <f>AND(#REF!,"AAAAAHV7azs=")</f>
        <v>#REF!</v>
      </c>
      <c r="BI146" t="e">
        <f>AND(#REF!,"AAAAAHV7azw=")</f>
        <v>#REF!</v>
      </c>
      <c r="BJ146" t="e">
        <f>AND(#REF!,"AAAAAHV7az0=")</f>
        <v>#REF!</v>
      </c>
      <c r="BK146" t="e">
        <f>AND(#REF!,"AAAAAHV7az4=")</f>
        <v>#REF!</v>
      </c>
      <c r="BL146" t="e">
        <f>AND(#REF!,"AAAAAHV7az8=")</f>
        <v>#REF!</v>
      </c>
      <c r="BM146" t="e">
        <f>AND(#REF!,"AAAAAHV7a0A=")</f>
        <v>#REF!</v>
      </c>
      <c r="BN146" t="e">
        <f>AND(#REF!,"AAAAAHV7a0E=")</f>
        <v>#REF!</v>
      </c>
      <c r="BO146" t="e">
        <f>AND(#REF!,"AAAAAHV7a0I=")</f>
        <v>#REF!</v>
      </c>
      <c r="BP146" t="e">
        <f>AND(#REF!,"AAAAAHV7a0M=")</f>
        <v>#REF!</v>
      </c>
      <c r="BQ146" t="e">
        <f>AND(#REF!,"AAAAAHV7a0Q=")</f>
        <v>#REF!</v>
      </c>
      <c r="BR146" t="e">
        <f>AND(#REF!,"AAAAAHV7a0U=")</f>
        <v>#REF!</v>
      </c>
      <c r="BS146" t="e">
        <f>AND(#REF!,"AAAAAHV7a0Y=")</f>
        <v>#REF!</v>
      </c>
      <c r="BT146" t="e">
        <f>AND(#REF!,"AAAAAHV7a0c=")</f>
        <v>#REF!</v>
      </c>
      <c r="BU146" t="e">
        <f>AND(#REF!,"AAAAAHV7a0g=")</f>
        <v>#REF!</v>
      </c>
      <c r="BV146" t="e">
        <f>AND(#REF!,"AAAAAHV7a0k=")</f>
        <v>#REF!</v>
      </c>
      <c r="BW146" t="e">
        <f>AND(#REF!,"AAAAAHV7a0o=")</f>
        <v>#REF!</v>
      </c>
      <c r="BX146" t="e">
        <f>AND(#REF!,"AAAAAHV7a0s=")</f>
        <v>#REF!</v>
      </c>
      <c r="BY146" t="e">
        <f>AND(#REF!,"AAAAAHV7a0w=")</f>
        <v>#REF!</v>
      </c>
      <c r="BZ146" t="e">
        <f>AND(#REF!,"AAAAAHV7a00=")</f>
        <v>#REF!</v>
      </c>
      <c r="CA146" t="e">
        <f>IF(#REF!,"AAAAAHV7a04=",0)</f>
        <v>#REF!</v>
      </c>
      <c r="CB146" t="e">
        <f>AND(#REF!,"AAAAAHV7a08=")</f>
        <v>#REF!</v>
      </c>
      <c r="CC146" t="e">
        <f>AND(#REF!,"AAAAAHV7a1A=")</f>
        <v>#REF!</v>
      </c>
      <c r="CD146" t="e">
        <f>AND(#REF!,"AAAAAHV7a1E=")</f>
        <v>#REF!</v>
      </c>
      <c r="CE146" t="e">
        <f>AND(#REF!,"AAAAAHV7a1I=")</f>
        <v>#REF!</v>
      </c>
      <c r="CF146" t="e">
        <f>AND(#REF!,"AAAAAHV7a1M=")</f>
        <v>#REF!</v>
      </c>
      <c r="CG146" t="e">
        <f>AND(#REF!,"AAAAAHV7a1Q=")</f>
        <v>#REF!</v>
      </c>
      <c r="CH146" t="e">
        <f>AND(#REF!,"AAAAAHV7a1U=")</f>
        <v>#REF!</v>
      </c>
      <c r="CI146" t="e">
        <f>AND(#REF!,"AAAAAHV7a1Y=")</f>
        <v>#REF!</v>
      </c>
      <c r="CJ146" t="e">
        <f>AND(#REF!,"AAAAAHV7a1c=")</f>
        <v>#REF!</v>
      </c>
      <c r="CK146" t="e">
        <f>AND(#REF!,"AAAAAHV7a1g=")</f>
        <v>#REF!</v>
      </c>
      <c r="CL146" t="e">
        <f>AND(#REF!,"AAAAAHV7a1k=")</f>
        <v>#REF!</v>
      </c>
      <c r="CM146" t="e">
        <f>AND(#REF!,"AAAAAHV7a1o=")</f>
        <v>#REF!</v>
      </c>
      <c r="CN146" t="e">
        <f>AND(#REF!,"AAAAAHV7a1s=")</f>
        <v>#REF!</v>
      </c>
      <c r="CO146" t="e">
        <f>AND(#REF!,"AAAAAHV7a1w=")</f>
        <v>#REF!</v>
      </c>
      <c r="CP146" t="e">
        <f>AND(#REF!,"AAAAAHV7a10=")</f>
        <v>#REF!</v>
      </c>
      <c r="CQ146" t="e">
        <f>AND(#REF!,"AAAAAHV7a14=")</f>
        <v>#REF!</v>
      </c>
      <c r="CR146" t="e">
        <f>AND(#REF!,"AAAAAHV7a18=")</f>
        <v>#REF!</v>
      </c>
      <c r="CS146" t="e">
        <f>AND(#REF!,"AAAAAHV7a2A=")</f>
        <v>#REF!</v>
      </c>
      <c r="CT146" t="e">
        <f>AND(#REF!,"AAAAAHV7a2E=")</f>
        <v>#REF!</v>
      </c>
      <c r="CU146" t="e">
        <f>AND(#REF!,"AAAAAHV7a2I=")</f>
        <v>#REF!</v>
      </c>
      <c r="CV146" t="e">
        <f>AND(#REF!,"AAAAAHV7a2M=")</f>
        <v>#REF!</v>
      </c>
      <c r="CW146" t="e">
        <f>AND(#REF!,"AAAAAHV7a2Q=")</f>
        <v>#REF!</v>
      </c>
      <c r="CX146" t="e">
        <f>AND(#REF!,"AAAAAHV7a2U=")</f>
        <v>#REF!</v>
      </c>
      <c r="CY146" t="e">
        <f>AND(#REF!,"AAAAAHV7a2Y=")</f>
        <v>#REF!</v>
      </c>
      <c r="CZ146" t="e">
        <f>AND(#REF!,"AAAAAHV7a2c=")</f>
        <v>#REF!</v>
      </c>
      <c r="DA146" t="e">
        <f>AND(#REF!,"AAAAAHV7a2g=")</f>
        <v>#REF!</v>
      </c>
      <c r="DB146" t="e">
        <f>AND(#REF!,"AAAAAHV7a2k=")</f>
        <v>#REF!</v>
      </c>
      <c r="DC146" t="e">
        <f>AND(#REF!,"AAAAAHV7a2o=")</f>
        <v>#REF!</v>
      </c>
      <c r="DD146" t="e">
        <f>AND(#REF!,"AAAAAHV7a2s=")</f>
        <v>#REF!</v>
      </c>
      <c r="DE146" t="e">
        <f>AND(#REF!,"AAAAAHV7a2w=")</f>
        <v>#REF!</v>
      </c>
      <c r="DF146" t="e">
        <f>AND(#REF!,"AAAAAHV7a20=")</f>
        <v>#REF!</v>
      </c>
      <c r="DG146" t="e">
        <f>AND(#REF!,"AAAAAHV7a24=")</f>
        <v>#REF!</v>
      </c>
      <c r="DH146" t="e">
        <f>AND(#REF!,"AAAAAHV7a28=")</f>
        <v>#REF!</v>
      </c>
      <c r="DI146" t="e">
        <f>AND(#REF!,"AAAAAHV7a3A=")</f>
        <v>#REF!</v>
      </c>
      <c r="DJ146" t="e">
        <f>AND(#REF!,"AAAAAHV7a3E=")</f>
        <v>#REF!</v>
      </c>
      <c r="DK146" t="e">
        <f>AND(#REF!,"AAAAAHV7a3I=")</f>
        <v>#REF!</v>
      </c>
      <c r="DL146" t="e">
        <f>AND(#REF!,"AAAAAHV7a3M=")</f>
        <v>#REF!</v>
      </c>
      <c r="DM146" t="e">
        <f>AND(#REF!,"AAAAAHV7a3Q=")</f>
        <v>#REF!</v>
      </c>
      <c r="DN146" t="e">
        <f>AND(#REF!,"AAAAAHV7a3U=")</f>
        <v>#REF!</v>
      </c>
      <c r="DO146" t="e">
        <f>AND(#REF!,"AAAAAHV7a3Y=")</f>
        <v>#REF!</v>
      </c>
      <c r="DP146" t="e">
        <f>AND(#REF!,"AAAAAHV7a3c=")</f>
        <v>#REF!</v>
      </c>
      <c r="DQ146" t="e">
        <f>AND(#REF!,"AAAAAHV7a3g=")</f>
        <v>#REF!</v>
      </c>
      <c r="DR146" t="e">
        <f>AND(#REF!,"AAAAAHV7a3k=")</f>
        <v>#REF!</v>
      </c>
      <c r="DS146" t="e">
        <f>AND(#REF!,"AAAAAHV7a3o=")</f>
        <v>#REF!</v>
      </c>
      <c r="DT146" t="e">
        <f>AND(#REF!,"AAAAAHV7a3s=")</f>
        <v>#REF!</v>
      </c>
      <c r="DU146" t="e">
        <f>AND(#REF!,"AAAAAHV7a3w=")</f>
        <v>#REF!</v>
      </c>
      <c r="DV146" t="e">
        <f>AND(#REF!,"AAAAAHV7a30=")</f>
        <v>#REF!</v>
      </c>
      <c r="DW146" t="e">
        <f>AND(#REF!,"AAAAAHV7a34=")</f>
        <v>#REF!</v>
      </c>
      <c r="DX146" t="e">
        <f>AND(#REF!,"AAAAAHV7a38=")</f>
        <v>#REF!</v>
      </c>
      <c r="DY146" t="e">
        <f>AND(#REF!,"AAAAAHV7a4A=")</f>
        <v>#REF!</v>
      </c>
      <c r="DZ146" t="e">
        <f>AND(#REF!,"AAAAAHV7a4E=")</f>
        <v>#REF!</v>
      </c>
      <c r="EA146" t="e">
        <f>AND(#REF!,"AAAAAHV7a4I=")</f>
        <v>#REF!</v>
      </c>
      <c r="EB146" t="e">
        <f>AND(#REF!,"AAAAAHV7a4M=")</f>
        <v>#REF!</v>
      </c>
      <c r="EC146" t="e">
        <f>AND(#REF!,"AAAAAHV7a4Q=")</f>
        <v>#REF!</v>
      </c>
      <c r="ED146" t="e">
        <f>AND(#REF!,"AAAAAHV7a4U=")</f>
        <v>#REF!</v>
      </c>
      <c r="EE146" t="e">
        <f>AND(#REF!,"AAAAAHV7a4Y=")</f>
        <v>#REF!</v>
      </c>
      <c r="EF146" t="e">
        <f>AND(#REF!,"AAAAAHV7a4c=")</f>
        <v>#REF!</v>
      </c>
      <c r="EG146" t="e">
        <f>AND(#REF!,"AAAAAHV7a4g=")</f>
        <v>#REF!</v>
      </c>
      <c r="EH146" t="e">
        <f>AND(#REF!,"AAAAAHV7a4k=")</f>
        <v>#REF!</v>
      </c>
      <c r="EI146" t="e">
        <f>AND(#REF!,"AAAAAHV7a4o=")</f>
        <v>#REF!</v>
      </c>
      <c r="EJ146" t="e">
        <f>AND(#REF!,"AAAAAHV7a4s=")</f>
        <v>#REF!</v>
      </c>
      <c r="EK146" t="e">
        <f>AND(#REF!,"AAAAAHV7a4w=")</f>
        <v>#REF!</v>
      </c>
      <c r="EL146" t="e">
        <f>AND(#REF!,"AAAAAHV7a40=")</f>
        <v>#REF!</v>
      </c>
      <c r="EM146" t="e">
        <f>AND(#REF!,"AAAAAHV7a44=")</f>
        <v>#REF!</v>
      </c>
      <c r="EN146" t="e">
        <f>AND(#REF!,"AAAAAHV7a48=")</f>
        <v>#REF!</v>
      </c>
      <c r="EO146" t="e">
        <f>AND(#REF!,"AAAAAHV7a5A=")</f>
        <v>#REF!</v>
      </c>
      <c r="EP146" t="e">
        <f>AND(#REF!,"AAAAAHV7a5E=")</f>
        <v>#REF!</v>
      </c>
      <c r="EQ146" t="e">
        <f>AND(#REF!,"AAAAAHV7a5I=")</f>
        <v>#REF!</v>
      </c>
      <c r="ER146" t="e">
        <f>AND(#REF!,"AAAAAHV7a5M=")</f>
        <v>#REF!</v>
      </c>
      <c r="ES146" t="e">
        <f>AND(#REF!,"AAAAAHV7a5Q=")</f>
        <v>#REF!</v>
      </c>
      <c r="ET146" t="e">
        <f>AND(#REF!,"AAAAAHV7a5U=")</f>
        <v>#REF!</v>
      </c>
      <c r="EU146" t="e">
        <f>AND(#REF!,"AAAAAHV7a5Y=")</f>
        <v>#REF!</v>
      </c>
      <c r="EV146" t="e">
        <f>AND(#REF!,"AAAAAHV7a5c=")</f>
        <v>#REF!</v>
      </c>
      <c r="EW146" t="e">
        <f>AND(#REF!,"AAAAAHV7a5g=")</f>
        <v>#REF!</v>
      </c>
      <c r="EX146" t="e">
        <f>AND(#REF!,"AAAAAHV7a5k=")</f>
        <v>#REF!</v>
      </c>
      <c r="EY146" t="e">
        <f>AND(#REF!,"AAAAAHV7a5o=")</f>
        <v>#REF!</v>
      </c>
      <c r="EZ146" t="e">
        <f>AND(#REF!,"AAAAAHV7a5s=")</f>
        <v>#REF!</v>
      </c>
      <c r="FA146" t="e">
        <f>AND(#REF!,"AAAAAHV7a5w=")</f>
        <v>#REF!</v>
      </c>
      <c r="FB146" t="e">
        <f>AND(#REF!,"AAAAAHV7a50=")</f>
        <v>#REF!</v>
      </c>
      <c r="FC146" t="e">
        <f>AND(#REF!,"AAAAAHV7a54=")</f>
        <v>#REF!</v>
      </c>
      <c r="FD146" t="e">
        <f>AND(#REF!,"AAAAAHV7a58=")</f>
        <v>#REF!</v>
      </c>
      <c r="FE146" t="e">
        <f>AND(#REF!,"AAAAAHV7a6A=")</f>
        <v>#REF!</v>
      </c>
      <c r="FF146" t="e">
        <f>AND(#REF!,"AAAAAHV7a6E=")</f>
        <v>#REF!</v>
      </c>
      <c r="FG146" t="e">
        <f>AND(#REF!,"AAAAAHV7a6I=")</f>
        <v>#REF!</v>
      </c>
      <c r="FH146" t="e">
        <f>AND(#REF!,"AAAAAHV7a6M=")</f>
        <v>#REF!</v>
      </c>
      <c r="FI146" t="e">
        <f>AND(#REF!,"AAAAAHV7a6Q=")</f>
        <v>#REF!</v>
      </c>
      <c r="FJ146" t="e">
        <f>AND(#REF!,"AAAAAHV7a6U=")</f>
        <v>#REF!</v>
      </c>
      <c r="FK146" t="e">
        <f>AND(#REF!,"AAAAAHV7a6Y=")</f>
        <v>#REF!</v>
      </c>
      <c r="FL146" t="e">
        <f>AND(#REF!,"AAAAAHV7a6c=")</f>
        <v>#REF!</v>
      </c>
      <c r="FM146" t="e">
        <f>AND(#REF!,"AAAAAHV7a6g=")</f>
        <v>#REF!</v>
      </c>
      <c r="FN146" t="e">
        <f>AND(#REF!,"AAAAAHV7a6k=")</f>
        <v>#REF!</v>
      </c>
      <c r="FO146" t="e">
        <f>AND(#REF!,"AAAAAHV7a6o=")</f>
        <v>#REF!</v>
      </c>
      <c r="FP146" t="e">
        <f>AND(#REF!,"AAAAAHV7a6s=")</f>
        <v>#REF!</v>
      </c>
      <c r="FQ146" t="e">
        <f>AND(#REF!,"AAAAAHV7a6w=")</f>
        <v>#REF!</v>
      </c>
      <c r="FR146" t="e">
        <f>AND(#REF!,"AAAAAHV7a60=")</f>
        <v>#REF!</v>
      </c>
      <c r="FS146" t="e">
        <f>AND(#REF!,"AAAAAHV7a64=")</f>
        <v>#REF!</v>
      </c>
      <c r="FT146" t="e">
        <f>AND(#REF!,"AAAAAHV7a68=")</f>
        <v>#REF!</v>
      </c>
      <c r="FU146" t="e">
        <f>AND(#REF!,"AAAAAHV7a7A=")</f>
        <v>#REF!</v>
      </c>
      <c r="FV146" t="e">
        <f>AND(#REF!,"AAAAAHV7a7E=")</f>
        <v>#REF!</v>
      </c>
      <c r="FW146" t="e">
        <f>AND(#REF!,"AAAAAHV7a7I=")</f>
        <v>#REF!</v>
      </c>
      <c r="FX146" t="e">
        <f>AND(#REF!,"AAAAAHV7a7M=")</f>
        <v>#REF!</v>
      </c>
      <c r="FY146" t="e">
        <f>AND(#REF!,"AAAAAHV7a7Q=")</f>
        <v>#REF!</v>
      </c>
      <c r="FZ146" t="e">
        <f>AND(#REF!,"AAAAAHV7a7U=")</f>
        <v>#REF!</v>
      </c>
      <c r="GA146" t="e">
        <f>AND(#REF!,"AAAAAHV7a7Y=")</f>
        <v>#REF!</v>
      </c>
      <c r="GB146" t="e">
        <f>AND(#REF!,"AAAAAHV7a7c=")</f>
        <v>#REF!</v>
      </c>
      <c r="GC146" t="e">
        <f>AND(#REF!,"AAAAAHV7a7g=")</f>
        <v>#REF!</v>
      </c>
      <c r="GD146" t="e">
        <f>AND(#REF!,"AAAAAHV7a7k=")</f>
        <v>#REF!</v>
      </c>
      <c r="GE146" t="e">
        <f>AND(#REF!,"AAAAAHV7a7o=")</f>
        <v>#REF!</v>
      </c>
      <c r="GF146" t="e">
        <f>AND(#REF!,"AAAAAHV7a7s=")</f>
        <v>#REF!</v>
      </c>
      <c r="GG146" t="e">
        <f>AND(#REF!,"AAAAAHV7a7w=")</f>
        <v>#REF!</v>
      </c>
      <c r="GH146" t="e">
        <f>AND(#REF!,"AAAAAHV7a70=")</f>
        <v>#REF!</v>
      </c>
      <c r="GI146" t="e">
        <f>AND(#REF!,"AAAAAHV7a74=")</f>
        <v>#REF!</v>
      </c>
      <c r="GJ146" t="e">
        <f>AND(#REF!,"AAAAAHV7a78=")</f>
        <v>#REF!</v>
      </c>
      <c r="GK146" t="e">
        <f>AND(#REF!,"AAAAAHV7a8A=")</f>
        <v>#REF!</v>
      </c>
      <c r="GL146" t="e">
        <f>AND(#REF!,"AAAAAHV7a8E=")</f>
        <v>#REF!</v>
      </c>
      <c r="GM146" t="e">
        <f>AND(#REF!,"AAAAAHV7a8I=")</f>
        <v>#REF!</v>
      </c>
      <c r="GN146" t="e">
        <f>AND(#REF!,"AAAAAHV7a8M=")</f>
        <v>#REF!</v>
      </c>
      <c r="GO146" t="e">
        <f>AND(#REF!,"AAAAAHV7a8Q=")</f>
        <v>#REF!</v>
      </c>
      <c r="GP146" t="e">
        <f>AND(#REF!,"AAAAAHV7a8U=")</f>
        <v>#REF!</v>
      </c>
      <c r="GQ146" t="e">
        <f>AND(#REF!,"AAAAAHV7a8Y=")</f>
        <v>#REF!</v>
      </c>
      <c r="GR146" t="e">
        <f>AND(#REF!,"AAAAAHV7a8c=")</f>
        <v>#REF!</v>
      </c>
      <c r="GS146" t="e">
        <f>AND(#REF!,"AAAAAHV7a8g=")</f>
        <v>#REF!</v>
      </c>
      <c r="GT146" t="e">
        <f>AND(#REF!,"AAAAAHV7a8k=")</f>
        <v>#REF!</v>
      </c>
      <c r="GU146" t="e">
        <f>AND(#REF!,"AAAAAHV7a8o=")</f>
        <v>#REF!</v>
      </c>
      <c r="GV146" t="e">
        <f>AND(#REF!,"AAAAAHV7a8s=")</f>
        <v>#REF!</v>
      </c>
      <c r="GW146" t="e">
        <f>AND(#REF!,"AAAAAHV7a8w=")</f>
        <v>#REF!</v>
      </c>
      <c r="GX146" t="e">
        <f>AND(#REF!,"AAAAAHV7a80=")</f>
        <v>#REF!</v>
      </c>
      <c r="GY146" t="e">
        <f>AND(#REF!,"AAAAAHV7a84=")</f>
        <v>#REF!</v>
      </c>
      <c r="GZ146" t="e">
        <f>AND(#REF!,"AAAAAHV7a88=")</f>
        <v>#REF!</v>
      </c>
      <c r="HA146" t="e">
        <f>AND(#REF!,"AAAAAHV7a9A=")</f>
        <v>#REF!</v>
      </c>
      <c r="HB146" t="e">
        <f>AND(#REF!,"AAAAAHV7a9E=")</f>
        <v>#REF!</v>
      </c>
      <c r="HC146" t="e">
        <f>AND(#REF!,"AAAAAHV7a9I=")</f>
        <v>#REF!</v>
      </c>
      <c r="HD146" t="e">
        <f>AND(#REF!,"AAAAAHV7a9M=")</f>
        <v>#REF!</v>
      </c>
      <c r="HE146" t="e">
        <f>AND(#REF!,"AAAAAHV7a9Q=")</f>
        <v>#REF!</v>
      </c>
      <c r="HF146" t="e">
        <f>AND(#REF!,"AAAAAHV7a9U=")</f>
        <v>#REF!</v>
      </c>
      <c r="HG146" t="e">
        <f>AND(#REF!,"AAAAAHV7a9Y=")</f>
        <v>#REF!</v>
      </c>
      <c r="HH146" t="e">
        <f>AND(#REF!,"AAAAAHV7a9c=")</f>
        <v>#REF!</v>
      </c>
      <c r="HI146" t="e">
        <f>AND(#REF!,"AAAAAHV7a9g=")</f>
        <v>#REF!</v>
      </c>
      <c r="HJ146" t="e">
        <f>AND(#REF!,"AAAAAHV7a9k=")</f>
        <v>#REF!</v>
      </c>
      <c r="HK146" t="e">
        <f>AND(#REF!,"AAAAAHV7a9o=")</f>
        <v>#REF!</v>
      </c>
      <c r="HL146" t="e">
        <f>AND(#REF!,"AAAAAHV7a9s=")</f>
        <v>#REF!</v>
      </c>
      <c r="HM146" t="e">
        <f>AND(#REF!,"AAAAAHV7a9w=")</f>
        <v>#REF!</v>
      </c>
      <c r="HN146" t="e">
        <f>AND(#REF!,"AAAAAHV7a90=")</f>
        <v>#REF!</v>
      </c>
      <c r="HO146" t="e">
        <f>AND(#REF!,"AAAAAHV7a94=")</f>
        <v>#REF!</v>
      </c>
      <c r="HP146" t="e">
        <f>AND(#REF!,"AAAAAHV7a98=")</f>
        <v>#REF!</v>
      </c>
      <c r="HQ146" t="e">
        <f>AND(#REF!,"AAAAAHV7a+A=")</f>
        <v>#REF!</v>
      </c>
      <c r="HR146" t="e">
        <f>AND(#REF!,"AAAAAHV7a+E=")</f>
        <v>#REF!</v>
      </c>
      <c r="HS146" t="e">
        <f>AND(#REF!,"AAAAAHV7a+I=")</f>
        <v>#REF!</v>
      </c>
      <c r="HT146" t="e">
        <f>AND(#REF!,"AAAAAHV7a+M=")</f>
        <v>#REF!</v>
      </c>
      <c r="HU146" t="e">
        <f>AND(#REF!,"AAAAAHV7a+Q=")</f>
        <v>#REF!</v>
      </c>
      <c r="HV146" t="e">
        <f>AND(#REF!,"AAAAAHV7a+U=")</f>
        <v>#REF!</v>
      </c>
      <c r="HW146" t="e">
        <f>AND(#REF!,"AAAAAHV7a+Y=")</f>
        <v>#REF!</v>
      </c>
      <c r="HX146" t="e">
        <f>AND(#REF!,"AAAAAHV7a+c=")</f>
        <v>#REF!</v>
      </c>
      <c r="HY146" t="e">
        <f>AND(#REF!,"AAAAAHV7a+g=")</f>
        <v>#REF!</v>
      </c>
      <c r="HZ146" t="e">
        <f>AND(#REF!,"AAAAAHV7a+k=")</f>
        <v>#REF!</v>
      </c>
      <c r="IA146" t="e">
        <f>AND(#REF!,"AAAAAHV7a+o=")</f>
        <v>#REF!</v>
      </c>
      <c r="IB146" t="e">
        <f>AND(#REF!,"AAAAAHV7a+s=")</f>
        <v>#REF!</v>
      </c>
      <c r="IC146" t="e">
        <f>AND(#REF!,"AAAAAHV7a+w=")</f>
        <v>#REF!</v>
      </c>
      <c r="ID146" t="e">
        <f>AND(#REF!,"AAAAAHV7a+0=")</f>
        <v>#REF!</v>
      </c>
      <c r="IE146" t="e">
        <f>AND(#REF!,"AAAAAHV7a+4=")</f>
        <v>#REF!</v>
      </c>
      <c r="IF146" t="e">
        <f>AND(#REF!,"AAAAAHV7a+8=")</f>
        <v>#REF!</v>
      </c>
      <c r="IG146" t="e">
        <f>AND(#REF!,"AAAAAHV7a/A=")</f>
        <v>#REF!</v>
      </c>
      <c r="IH146" t="e">
        <f>AND(#REF!,"AAAAAHV7a/E=")</f>
        <v>#REF!</v>
      </c>
      <c r="II146" t="e">
        <f>AND(#REF!,"AAAAAHV7a/I=")</f>
        <v>#REF!</v>
      </c>
      <c r="IJ146" t="e">
        <f>AND(#REF!,"AAAAAHV7a/M=")</f>
        <v>#REF!</v>
      </c>
      <c r="IK146" t="e">
        <f>AND(#REF!,"AAAAAHV7a/Q=")</f>
        <v>#REF!</v>
      </c>
      <c r="IL146" t="e">
        <f>AND(#REF!,"AAAAAHV7a/U=")</f>
        <v>#REF!</v>
      </c>
      <c r="IM146" t="e">
        <f>AND(#REF!,"AAAAAHV7a/Y=")</f>
        <v>#REF!</v>
      </c>
      <c r="IN146" t="e">
        <f>AND(#REF!,"AAAAAHV7a/c=")</f>
        <v>#REF!</v>
      </c>
      <c r="IO146" t="e">
        <f>AND(#REF!,"AAAAAHV7a/g=")</f>
        <v>#REF!</v>
      </c>
      <c r="IP146" t="e">
        <f>AND(#REF!,"AAAAAHV7a/k=")</f>
        <v>#REF!</v>
      </c>
      <c r="IQ146" t="e">
        <f>AND(#REF!,"AAAAAHV7a/o=")</f>
        <v>#REF!</v>
      </c>
      <c r="IR146" t="e">
        <f>AND(#REF!,"AAAAAHV7a/s=")</f>
        <v>#REF!</v>
      </c>
      <c r="IS146" t="e">
        <f>AND(#REF!,"AAAAAHV7a/w=")</f>
        <v>#REF!</v>
      </c>
      <c r="IT146" t="e">
        <f>AND(#REF!,"AAAAAHV7a/0=")</f>
        <v>#REF!</v>
      </c>
      <c r="IU146" t="e">
        <f>AND(#REF!,"AAAAAHV7a/4=")</f>
        <v>#REF!</v>
      </c>
      <c r="IV146" t="e">
        <f>AND(#REF!,"AAAAAHV7a/8=")</f>
        <v>#REF!</v>
      </c>
    </row>
    <row r="147" spans="1:256" x14ac:dyDescent="0.25">
      <c r="A147" t="e">
        <f>AND(#REF!,"AAAAAD73qgA=")</f>
        <v>#REF!</v>
      </c>
      <c r="B147" t="e">
        <f>AND(#REF!,"AAAAAD73qgE=")</f>
        <v>#REF!</v>
      </c>
      <c r="C147" t="e">
        <f>AND(#REF!,"AAAAAD73qgI=")</f>
        <v>#REF!</v>
      </c>
      <c r="D147" t="e">
        <f>AND(#REF!,"AAAAAD73qgM=")</f>
        <v>#REF!</v>
      </c>
      <c r="E147" t="e">
        <f>AND(#REF!,"AAAAAD73qgQ=")</f>
        <v>#REF!</v>
      </c>
      <c r="F147" t="e">
        <f>AND(#REF!,"AAAAAD73qgU=")</f>
        <v>#REF!</v>
      </c>
      <c r="G147" t="e">
        <f>AND(#REF!,"AAAAAD73qgY=")</f>
        <v>#REF!</v>
      </c>
      <c r="H147" t="e">
        <f>AND(#REF!,"AAAAAD73qgc=")</f>
        <v>#REF!</v>
      </c>
      <c r="I147" t="e">
        <f>AND(#REF!,"AAAAAD73qgg=")</f>
        <v>#REF!</v>
      </c>
      <c r="J147" t="e">
        <f>AND(#REF!,"AAAAAD73qgk=")</f>
        <v>#REF!</v>
      </c>
      <c r="K147" t="e">
        <f>AND(#REF!,"AAAAAD73qgo=")</f>
        <v>#REF!</v>
      </c>
      <c r="L147" t="e">
        <f>IF(#REF!,"AAAAAD73qgs=",0)</f>
        <v>#REF!</v>
      </c>
      <c r="M147" t="e">
        <f>AND(#REF!,"AAAAAD73qgw=")</f>
        <v>#REF!</v>
      </c>
      <c r="N147" t="e">
        <f>AND(#REF!,"AAAAAD73qg0=")</f>
        <v>#REF!</v>
      </c>
      <c r="O147" t="e">
        <f>AND(#REF!,"AAAAAD73qg4=")</f>
        <v>#REF!</v>
      </c>
      <c r="P147" t="e">
        <f>AND(#REF!,"AAAAAD73qg8=")</f>
        <v>#REF!</v>
      </c>
      <c r="Q147" t="e">
        <f>AND(#REF!,"AAAAAD73qhA=")</f>
        <v>#REF!</v>
      </c>
      <c r="R147" t="e">
        <f>AND(#REF!,"AAAAAD73qhE=")</f>
        <v>#REF!</v>
      </c>
      <c r="S147" t="e">
        <f>AND(#REF!,"AAAAAD73qhI=")</f>
        <v>#REF!</v>
      </c>
      <c r="T147" t="e">
        <f>AND(#REF!,"AAAAAD73qhM=")</f>
        <v>#REF!</v>
      </c>
      <c r="U147" t="e">
        <f>AND(#REF!,"AAAAAD73qhQ=")</f>
        <v>#REF!</v>
      </c>
      <c r="V147" t="e">
        <f>AND(#REF!,"AAAAAD73qhU=")</f>
        <v>#REF!</v>
      </c>
      <c r="W147" t="e">
        <f>AND(#REF!,"AAAAAD73qhY=")</f>
        <v>#REF!</v>
      </c>
      <c r="X147" t="e">
        <f>AND(#REF!,"AAAAAD73qhc=")</f>
        <v>#REF!</v>
      </c>
      <c r="Y147" t="e">
        <f>AND(#REF!,"AAAAAD73qhg=")</f>
        <v>#REF!</v>
      </c>
      <c r="Z147" t="e">
        <f>AND(#REF!,"AAAAAD73qhk=")</f>
        <v>#REF!</v>
      </c>
      <c r="AA147" t="e">
        <f>AND(#REF!,"AAAAAD73qho=")</f>
        <v>#REF!</v>
      </c>
      <c r="AB147" t="e">
        <f>AND(#REF!,"AAAAAD73qhs=")</f>
        <v>#REF!</v>
      </c>
      <c r="AC147" t="e">
        <f>AND(#REF!,"AAAAAD73qhw=")</f>
        <v>#REF!</v>
      </c>
      <c r="AD147" t="e">
        <f>AND(#REF!,"AAAAAD73qh0=")</f>
        <v>#REF!</v>
      </c>
      <c r="AE147" t="e">
        <f>AND(#REF!,"AAAAAD73qh4=")</f>
        <v>#REF!</v>
      </c>
      <c r="AF147" t="e">
        <f>AND(#REF!,"AAAAAD73qh8=")</f>
        <v>#REF!</v>
      </c>
      <c r="AG147" t="e">
        <f>AND(#REF!,"AAAAAD73qiA=")</f>
        <v>#REF!</v>
      </c>
      <c r="AH147" t="e">
        <f>AND(#REF!,"AAAAAD73qiE=")</f>
        <v>#REF!</v>
      </c>
      <c r="AI147" t="e">
        <f>AND(#REF!,"AAAAAD73qiI=")</f>
        <v>#REF!</v>
      </c>
      <c r="AJ147" t="e">
        <f>AND(#REF!,"AAAAAD73qiM=")</f>
        <v>#REF!</v>
      </c>
      <c r="AK147" t="e">
        <f>AND(#REF!,"AAAAAD73qiQ=")</f>
        <v>#REF!</v>
      </c>
      <c r="AL147" t="e">
        <f>AND(#REF!,"AAAAAD73qiU=")</f>
        <v>#REF!</v>
      </c>
      <c r="AM147" t="e">
        <f>AND(#REF!,"AAAAAD73qiY=")</f>
        <v>#REF!</v>
      </c>
      <c r="AN147" t="e">
        <f>AND(#REF!,"AAAAAD73qic=")</f>
        <v>#REF!</v>
      </c>
      <c r="AO147" t="e">
        <f>AND(#REF!,"AAAAAD73qig=")</f>
        <v>#REF!</v>
      </c>
      <c r="AP147" t="e">
        <f>AND(#REF!,"AAAAAD73qik=")</f>
        <v>#REF!</v>
      </c>
      <c r="AQ147" t="e">
        <f>AND(#REF!,"AAAAAD73qio=")</f>
        <v>#REF!</v>
      </c>
      <c r="AR147" t="e">
        <f>AND(#REF!,"AAAAAD73qis=")</f>
        <v>#REF!</v>
      </c>
      <c r="AS147" t="e">
        <f>AND(#REF!,"AAAAAD73qiw=")</f>
        <v>#REF!</v>
      </c>
      <c r="AT147" t="e">
        <f>AND(#REF!,"AAAAAD73qi0=")</f>
        <v>#REF!</v>
      </c>
      <c r="AU147" t="e">
        <f>AND(#REF!,"AAAAAD73qi4=")</f>
        <v>#REF!</v>
      </c>
      <c r="AV147" t="e">
        <f>AND(#REF!,"AAAAAD73qi8=")</f>
        <v>#REF!</v>
      </c>
      <c r="AW147" t="e">
        <f>AND(#REF!,"AAAAAD73qjA=")</f>
        <v>#REF!</v>
      </c>
      <c r="AX147" t="e">
        <f>AND(#REF!,"AAAAAD73qjE=")</f>
        <v>#REF!</v>
      </c>
      <c r="AY147" t="e">
        <f>AND(#REF!,"AAAAAD73qjI=")</f>
        <v>#REF!</v>
      </c>
      <c r="AZ147" t="e">
        <f>AND(#REF!,"AAAAAD73qjM=")</f>
        <v>#REF!</v>
      </c>
      <c r="BA147" t="e">
        <f>AND(#REF!,"AAAAAD73qjQ=")</f>
        <v>#REF!</v>
      </c>
      <c r="BB147" t="e">
        <f>AND(#REF!,"AAAAAD73qjU=")</f>
        <v>#REF!</v>
      </c>
      <c r="BC147" t="e">
        <f>AND(#REF!,"AAAAAD73qjY=")</f>
        <v>#REF!</v>
      </c>
      <c r="BD147" t="e">
        <f>AND(#REF!,"AAAAAD73qjc=")</f>
        <v>#REF!</v>
      </c>
      <c r="BE147" t="e">
        <f>AND(#REF!,"AAAAAD73qjg=")</f>
        <v>#REF!</v>
      </c>
      <c r="BF147" t="e">
        <f>AND(#REF!,"AAAAAD73qjk=")</f>
        <v>#REF!</v>
      </c>
      <c r="BG147" t="e">
        <f>AND(#REF!,"AAAAAD73qjo=")</f>
        <v>#REF!</v>
      </c>
      <c r="BH147" t="e">
        <f>AND(#REF!,"AAAAAD73qjs=")</f>
        <v>#REF!</v>
      </c>
      <c r="BI147" t="e">
        <f>AND(#REF!,"AAAAAD73qjw=")</f>
        <v>#REF!</v>
      </c>
      <c r="BJ147" t="e">
        <f>AND(#REF!,"AAAAAD73qj0=")</f>
        <v>#REF!</v>
      </c>
      <c r="BK147" t="e">
        <f>AND(#REF!,"AAAAAD73qj4=")</f>
        <v>#REF!</v>
      </c>
      <c r="BL147" t="e">
        <f>AND(#REF!,"AAAAAD73qj8=")</f>
        <v>#REF!</v>
      </c>
      <c r="BM147" t="e">
        <f>AND(#REF!,"AAAAAD73qkA=")</f>
        <v>#REF!</v>
      </c>
      <c r="BN147" t="e">
        <f>AND(#REF!,"AAAAAD73qkE=")</f>
        <v>#REF!</v>
      </c>
      <c r="BO147" t="e">
        <f>AND(#REF!,"AAAAAD73qkI=")</f>
        <v>#REF!</v>
      </c>
      <c r="BP147" t="e">
        <f>AND(#REF!,"AAAAAD73qkM=")</f>
        <v>#REF!</v>
      </c>
      <c r="BQ147" t="e">
        <f>AND(#REF!,"AAAAAD73qkQ=")</f>
        <v>#REF!</v>
      </c>
      <c r="BR147" t="e">
        <f>AND(#REF!,"AAAAAD73qkU=")</f>
        <v>#REF!</v>
      </c>
      <c r="BS147" t="e">
        <f>AND(#REF!,"AAAAAD73qkY=")</f>
        <v>#REF!</v>
      </c>
      <c r="BT147" t="e">
        <f>AND(#REF!,"AAAAAD73qkc=")</f>
        <v>#REF!</v>
      </c>
      <c r="BU147" t="e">
        <f>AND(#REF!,"AAAAAD73qkg=")</f>
        <v>#REF!</v>
      </c>
      <c r="BV147" t="e">
        <f>AND(#REF!,"AAAAAD73qkk=")</f>
        <v>#REF!</v>
      </c>
      <c r="BW147" t="e">
        <f>AND(#REF!,"AAAAAD73qko=")</f>
        <v>#REF!</v>
      </c>
      <c r="BX147" t="e">
        <f>AND(#REF!,"AAAAAD73qks=")</f>
        <v>#REF!</v>
      </c>
      <c r="BY147" t="e">
        <f>AND(#REF!,"AAAAAD73qkw=")</f>
        <v>#REF!</v>
      </c>
      <c r="BZ147" t="e">
        <f>AND(#REF!,"AAAAAD73qk0=")</f>
        <v>#REF!</v>
      </c>
      <c r="CA147" t="e">
        <f>AND(#REF!,"AAAAAD73qk4=")</f>
        <v>#REF!</v>
      </c>
      <c r="CB147" t="e">
        <f>AND(#REF!,"AAAAAD73qk8=")</f>
        <v>#REF!</v>
      </c>
      <c r="CC147" t="e">
        <f>AND(#REF!,"AAAAAD73qlA=")</f>
        <v>#REF!</v>
      </c>
      <c r="CD147" t="e">
        <f>AND(#REF!,"AAAAAD73qlE=")</f>
        <v>#REF!</v>
      </c>
      <c r="CE147" t="e">
        <f>AND(#REF!,"AAAAAD73qlI=")</f>
        <v>#REF!</v>
      </c>
      <c r="CF147" t="e">
        <f>AND(#REF!,"AAAAAD73qlM=")</f>
        <v>#REF!</v>
      </c>
      <c r="CG147" t="e">
        <f>AND(#REF!,"AAAAAD73qlQ=")</f>
        <v>#REF!</v>
      </c>
      <c r="CH147" t="e">
        <f>AND(#REF!,"AAAAAD73qlU=")</f>
        <v>#REF!</v>
      </c>
      <c r="CI147" t="e">
        <f>AND(#REF!,"AAAAAD73qlY=")</f>
        <v>#REF!</v>
      </c>
      <c r="CJ147" t="e">
        <f>AND(#REF!,"AAAAAD73qlc=")</f>
        <v>#REF!</v>
      </c>
      <c r="CK147" t="e">
        <f>AND(#REF!,"AAAAAD73qlg=")</f>
        <v>#REF!</v>
      </c>
      <c r="CL147" t="e">
        <f>AND(#REF!,"AAAAAD73qlk=")</f>
        <v>#REF!</v>
      </c>
      <c r="CM147" t="e">
        <f>AND(#REF!,"AAAAAD73qlo=")</f>
        <v>#REF!</v>
      </c>
      <c r="CN147" t="e">
        <f>AND(#REF!,"AAAAAD73qls=")</f>
        <v>#REF!</v>
      </c>
      <c r="CO147" t="e">
        <f>AND(#REF!,"AAAAAD73qlw=")</f>
        <v>#REF!</v>
      </c>
      <c r="CP147" t="e">
        <f>AND(#REF!,"AAAAAD73ql0=")</f>
        <v>#REF!</v>
      </c>
      <c r="CQ147" t="e">
        <f>AND(#REF!,"AAAAAD73ql4=")</f>
        <v>#REF!</v>
      </c>
      <c r="CR147" t="e">
        <f>AND(#REF!,"AAAAAD73ql8=")</f>
        <v>#REF!</v>
      </c>
      <c r="CS147" t="e">
        <f>AND(#REF!,"AAAAAD73qmA=")</f>
        <v>#REF!</v>
      </c>
      <c r="CT147" t="e">
        <f>AND(#REF!,"AAAAAD73qmE=")</f>
        <v>#REF!</v>
      </c>
      <c r="CU147" t="e">
        <f>AND(#REF!,"AAAAAD73qmI=")</f>
        <v>#REF!</v>
      </c>
      <c r="CV147" t="e">
        <f>AND(#REF!,"AAAAAD73qmM=")</f>
        <v>#REF!</v>
      </c>
      <c r="CW147" t="e">
        <f>AND(#REF!,"AAAAAD73qmQ=")</f>
        <v>#REF!</v>
      </c>
      <c r="CX147" t="e">
        <f>AND(#REF!,"AAAAAD73qmU=")</f>
        <v>#REF!</v>
      </c>
      <c r="CY147" t="e">
        <f>AND(#REF!,"AAAAAD73qmY=")</f>
        <v>#REF!</v>
      </c>
      <c r="CZ147" t="e">
        <f>AND(#REF!,"AAAAAD73qmc=")</f>
        <v>#REF!</v>
      </c>
      <c r="DA147" t="e">
        <f>AND(#REF!,"AAAAAD73qmg=")</f>
        <v>#REF!</v>
      </c>
      <c r="DB147" t="e">
        <f>AND(#REF!,"AAAAAD73qmk=")</f>
        <v>#REF!</v>
      </c>
      <c r="DC147" t="e">
        <f>AND(#REF!,"AAAAAD73qmo=")</f>
        <v>#REF!</v>
      </c>
      <c r="DD147" t="e">
        <f>AND(#REF!,"AAAAAD73qms=")</f>
        <v>#REF!</v>
      </c>
      <c r="DE147" t="e">
        <f>AND(#REF!,"AAAAAD73qmw=")</f>
        <v>#REF!</v>
      </c>
      <c r="DF147" t="e">
        <f>AND(#REF!,"AAAAAD73qm0=")</f>
        <v>#REF!</v>
      </c>
      <c r="DG147" t="e">
        <f>AND(#REF!,"AAAAAD73qm4=")</f>
        <v>#REF!</v>
      </c>
      <c r="DH147" t="e">
        <f>AND(#REF!,"AAAAAD73qm8=")</f>
        <v>#REF!</v>
      </c>
      <c r="DI147" t="e">
        <f>AND(#REF!,"AAAAAD73qnA=")</f>
        <v>#REF!</v>
      </c>
      <c r="DJ147" t="e">
        <f>AND(#REF!,"AAAAAD73qnE=")</f>
        <v>#REF!</v>
      </c>
      <c r="DK147" t="e">
        <f>AND(#REF!,"AAAAAD73qnI=")</f>
        <v>#REF!</v>
      </c>
      <c r="DL147" t="e">
        <f>AND(#REF!,"AAAAAD73qnM=")</f>
        <v>#REF!</v>
      </c>
      <c r="DM147" t="e">
        <f>AND(#REF!,"AAAAAD73qnQ=")</f>
        <v>#REF!</v>
      </c>
      <c r="DN147" t="e">
        <f>AND(#REF!,"AAAAAD73qnU=")</f>
        <v>#REF!</v>
      </c>
      <c r="DO147" t="e">
        <f>AND(#REF!,"AAAAAD73qnY=")</f>
        <v>#REF!</v>
      </c>
      <c r="DP147" t="e">
        <f>AND(#REF!,"AAAAAD73qnc=")</f>
        <v>#REF!</v>
      </c>
      <c r="DQ147" t="e">
        <f>AND(#REF!,"AAAAAD73qng=")</f>
        <v>#REF!</v>
      </c>
      <c r="DR147" t="e">
        <f>AND(#REF!,"AAAAAD73qnk=")</f>
        <v>#REF!</v>
      </c>
      <c r="DS147" t="e">
        <f>AND(#REF!,"AAAAAD73qno=")</f>
        <v>#REF!</v>
      </c>
      <c r="DT147" t="e">
        <f>AND(#REF!,"AAAAAD73qns=")</f>
        <v>#REF!</v>
      </c>
      <c r="DU147" t="e">
        <f>AND(#REF!,"AAAAAD73qnw=")</f>
        <v>#REF!</v>
      </c>
      <c r="DV147" t="e">
        <f>AND(#REF!,"AAAAAD73qn0=")</f>
        <v>#REF!</v>
      </c>
      <c r="DW147" t="e">
        <f>AND(#REF!,"AAAAAD73qn4=")</f>
        <v>#REF!</v>
      </c>
      <c r="DX147" t="e">
        <f>AND(#REF!,"AAAAAD73qn8=")</f>
        <v>#REF!</v>
      </c>
      <c r="DY147" t="e">
        <f>AND(#REF!,"AAAAAD73qoA=")</f>
        <v>#REF!</v>
      </c>
      <c r="DZ147" t="e">
        <f>AND(#REF!,"AAAAAD73qoE=")</f>
        <v>#REF!</v>
      </c>
      <c r="EA147" t="e">
        <f>AND(#REF!,"AAAAAD73qoI=")</f>
        <v>#REF!</v>
      </c>
      <c r="EB147" t="e">
        <f>AND(#REF!,"AAAAAD73qoM=")</f>
        <v>#REF!</v>
      </c>
      <c r="EC147" t="e">
        <f>AND(#REF!,"AAAAAD73qoQ=")</f>
        <v>#REF!</v>
      </c>
      <c r="ED147" t="e">
        <f>AND(#REF!,"AAAAAD73qoU=")</f>
        <v>#REF!</v>
      </c>
      <c r="EE147" t="e">
        <f>AND(#REF!,"AAAAAD73qoY=")</f>
        <v>#REF!</v>
      </c>
      <c r="EF147" t="e">
        <f>AND(#REF!,"AAAAAD73qoc=")</f>
        <v>#REF!</v>
      </c>
      <c r="EG147" t="e">
        <f>AND(#REF!,"AAAAAD73qog=")</f>
        <v>#REF!</v>
      </c>
      <c r="EH147" t="e">
        <f>AND(#REF!,"AAAAAD73qok=")</f>
        <v>#REF!</v>
      </c>
      <c r="EI147" t="e">
        <f>AND(#REF!,"AAAAAD73qoo=")</f>
        <v>#REF!</v>
      </c>
      <c r="EJ147" t="e">
        <f>AND(#REF!,"AAAAAD73qos=")</f>
        <v>#REF!</v>
      </c>
      <c r="EK147" t="e">
        <f>AND(#REF!,"AAAAAD73qow=")</f>
        <v>#REF!</v>
      </c>
      <c r="EL147" t="e">
        <f>AND(#REF!,"AAAAAD73qo0=")</f>
        <v>#REF!</v>
      </c>
      <c r="EM147" t="e">
        <f>AND(#REF!,"AAAAAD73qo4=")</f>
        <v>#REF!</v>
      </c>
      <c r="EN147" t="e">
        <f>AND(#REF!,"AAAAAD73qo8=")</f>
        <v>#REF!</v>
      </c>
      <c r="EO147" t="e">
        <f>AND(#REF!,"AAAAAD73qpA=")</f>
        <v>#REF!</v>
      </c>
      <c r="EP147" t="e">
        <f>AND(#REF!,"AAAAAD73qpE=")</f>
        <v>#REF!</v>
      </c>
      <c r="EQ147" t="e">
        <f>AND(#REF!,"AAAAAD73qpI=")</f>
        <v>#REF!</v>
      </c>
      <c r="ER147" t="e">
        <f>AND(#REF!,"AAAAAD73qpM=")</f>
        <v>#REF!</v>
      </c>
      <c r="ES147" t="e">
        <f>AND(#REF!,"AAAAAD73qpQ=")</f>
        <v>#REF!</v>
      </c>
      <c r="ET147" t="e">
        <f>AND(#REF!,"AAAAAD73qpU=")</f>
        <v>#REF!</v>
      </c>
      <c r="EU147" t="e">
        <f>AND(#REF!,"AAAAAD73qpY=")</f>
        <v>#REF!</v>
      </c>
      <c r="EV147" t="e">
        <f>AND(#REF!,"AAAAAD73qpc=")</f>
        <v>#REF!</v>
      </c>
      <c r="EW147" t="e">
        <f>AND(#REF!,"AAAAAD73qpg=")</f>
        <v>#REF!</v>
      </c>
      <c r="EX147" t="e">
        <f>AND(#REF!,"AAAAAD73qpk=")</f>
        <v>#REF!</v>
      </c>
      <c r="EY147" t="e">
        <f>AND(#REF!,"AAAAAD73qpo=")</f>
        <v>#REF!</v>
      </c>
      <c r="EZ147" t="e">
        <f>AND(#REF!,"AAAAAD73qps=")</f>
        <v>#REF!</v>
      </c>
      <c r="FA147" t="e">
        <f>AND(#REF!,"AAAAAD73qpw=")</f>
        <v>#REF!</v>
      </c>
      <c r="FB147" t="e">
        <f>AND(#REF!,"AAAAAD73qp0=")</f>
        <v>#REF!</v>
      </c>
      <c r="FC147" t="e">
        <f>AND(#REF!,"AAAAAD73qp4=")</f>
        <v>#REF!</v>
      </c>
      <c r="FD147" t="e">
        <f>AND(#REF!,"AAAAAD73qp8=")</f>
        <v>#REF!</v>
      </c>
      <c r="FE147" t="e">
        <f>AND(#REF!,"AAAAAD73qqA=")</f>
        <v>#REF!</v>
      </c>
      <c r="FF147" t="e">
        <f>AND(#REF!,"AAAAAD73qqE=")</f>
        <v>#REF!</v>
      </c>
      <c r="FG147" t="e">
        <f>AND(#REF!,"AAAAAD73qqI=")</f>
        <v>#REF!</v>
      </c>
      <c r="FH147" t="e">
        <f>AND(#REF!,"AAAAAD73qqM=")</f>
        <v>#REF!</v>
      </c>
      <c r="FI147" t="e">
        <f>AND(#REF!,"AAAAAD73qqQ=")</f>
        <v>#REF!</v>
      </c>
      <c r="FJ147" t="e">
        <f>AND(#REF!,"AAAAAD73qqU=")</f>
        <v>#REF!</v>
      </c>
      <c r="FK147" t="e">
        <f>AND(#REF!,"AAAAAD73qqY=")</f>
        <v>#REF!</v>
      </c>
      <c r="FL147" t="e">
        <f>AND(#REF!,"AAAAAD73qqc=")</f>
        <v>#REF!</v>
      </c>
      <c r="FM147" t="e">
        <f>AND(#REF!,"AAAAAD73qqg=")</f>
        <v>#REF!</v>
      </c>
      <c r="FN147" t="e">
        <f>AND(#REF!,"AAAAAD73qqk=")</f>
        <v>#REF!</v>
      </c>
      <c r="FO147" t="e">
        <f>AND(#REF!,"AAAAAD73qqo=")</f>
        <v>#REF!</v>
      </c>
      <c r="FP147" t="e">
        <f>AND(#REF!,"AAAAAD73qqs=")</f>
        <v>#REF!</v>
      </c>
      <c r="FQ147" t="e">
        <f>AND(#REF!,"AAAAAD73qqw=")</f>
        <v>#REF!</v>
      </c>
      <c r="FR147" t="e">
        <f>AND(#REF!,"AAAAAD73qq0=")</f>
        <v>#REF!</v>
      </c>
      <c r="FS147" t="e">
        <f>AND(#REF!,"AAAAAD73qq4=")</f>
        <v>#REF!</v>
      </c>
      <c r="FT147" t="e">
        <f>AND(#REF!,"AAAAAD73qq8=")</f>
        <v>#REF!</v>
      </c>
      <c r="FU147" t="e">
        <f>AND(#REF!,"AAAAAD73qrA=")</f>
        <v>#REF!</v>
      </c>
      <c r="FV147" t="e">
        <f>AND(#REF!,"AAAAAD73qrE=")</f>
        <v>#REF!</v>
      </c>
      <c r="FW147" t="e">
        <f>AND(#REF!,"AAAAAD73qrI=")</f>
        <v>#REF!</v>
      </c>
      <c r="FX147" t="e">
        <f>AND(#REF!,"AAAAAD73qrM=")</f>
        <v>#REF!</v>
      </c>
      <c r="FY147" t="e">
        <f>AND(#REF!,"AAAAAD73qrQ=")</f>
        <v>#REF!</v>
      </c>
      <c r="FZ147" t="e">
        <f>AND(#REF!,"AAAAAD73qrU=")</f>
        <v>#REF!</v>
      </c>
      <c r="GA147" t="e">
        <f>AND(#REF!,"AAAAAD73qrY=")</f>
        <v>#REF!</v>
      </c>
      <c r="GB147" t="e">
        <f>AND(#REF!,"AAAAAD73qrc=")</f>
        <v>#REF!</v>
      </c>
      <c r="GC147" t="e">
        <f>AND(#REF!,"AAAAAD73qrg=")</f>
        <v>#REF!</v>
      </c>
      <c r="GD147" t="e">
        <f>AND(#REF!,"AAAAAD73qrk=")</f>
        <v>#REF!</v>
      </c>
      <c r="GE147" t="e">
        <f>AND(#REF!,"AAAAAD73qro=")</f>
        <v>#REF!</v>
      </c>
      <c r="GF147" t="e">
        <f>AND(#REF!,"AAAAAD73qrs=")</f>
        <v>#REF!</v>
      </c>
      <c r="GG147" t="e">
        <f>AND(#REF!,"AAAAAD73qrw=")</f>
        <v>#REF!</v>
      </c>
      <c r="GH147" t="e">
        <f>AND(#REF!,"AAAAAD73qr0=")</f>
        <v>#REF!</v>
      </c>
      <c r="GI147" t="e">
        <f>AND(#REF!,"AAAAAD73qr4=")</f>
        <v>#REF!</v>
      </c>
      <c r="GJ147" t="e">
        <f>AND(#REF!,"AAAAAD73qr8=")</f>
        <v>#REF!</v>
      </c>
      <c r="GK147" t="e">
        <f>AND(#REF!,"AAAAAD73qsA=")</f>
        <v>#REF!</v>
      </c>
      <c r="GL147" t="e">
        <f>AND(#REF!,"AAAAAD73qsE=")</f>
        <v>#REF!</v>
      </c>
      <c r="GM147" t="e">
        <f>AND(#REF!,"AAAAAD73qsI=")</f>
        <v>#REF!</v>
      </c>
      <c r="GN147" t="e">
        <f>AND(#REF!,"AAAAAD73qsM=")</f>
        <v>#REF!</v>
      </c>
      <c r="GO147" t="e">
        <f>AND(#REF!,"AAAAAD73qsQ=")</f>
        <v>#REF!</v>
      </c>
      <c r="GP147" t="e">
        <f>AND(#REF!,"AAAAAD73qsU=")</f>
        <v>#REF!</v>
      </c>
      <c r="GQ147" t="e">
        <f>AND(#REF!,"AAAAAD73qsY=")</f>
        <v>#REF!</v>
      </c>
      <c r="GR147" t="e">
        <f>AND(#REF!,"AAAAAD73qsc=")</f>
        <v>#REF!</v>
      </c>
      <c r="GS147" t="e">
        <f>IF(#REF!,"AAAAAD73qsg=",0)</f>
        <v>#REF!</v>
      </c>
      <c r="GT147" t="e">
        <f>AND(#REF!,"AAAAAD73qsk=")</f>
        <v>#REF!</v>
      </c>
      <c r="GU147" t="e">
        <f>AND(#REF!,"AAAAAD73qso=")</f>
        <v>#REF!</v>
      </c>
      <c r="GV147" t="e">
        <f>AND(#REF!,"AAAAAD73qss=")</f>
        <v>#REF!</v>
      </c>
      <c r="GW147" t="e">
        <f>AND(#REF!,"AAAAAD73qsw=")</f>
        <v>#REF!</v>
      </c>
      <c r="GX147" t="e">
        <f>AND(#REF!,"AAAAAD73qs0=")</f>
        <v>#REF!</v>
      </c>
      <c r="GY147" t="e">
        <f>AND(#REF!,"AAAAAD73qs4=")</f>
        <v>#REF!</v>
      </c>
      <c r="GZ147" t="e">
        <f>AND(#REF!,"AAAAAD73qs8=")</f>
        <v>#REF!</v>
      </c>
      <c r="HA147" t="e">
        <f>AND(#REF!,"AAAAAD73qtA=")</f>
        <v>#REF!</v>
      </c>
      <c r="HB147" t="e">
        <f>AND(#REF!,"AAAAAD73qtE=")</f>
        <v>#REF!</v>
      </c>
      <c r="HC147" t="e">
        <f>AND(#REF!,"AAAAAD73qtI=")</f>
        <v>#REF!</v>
      </c>
      <c r="HD147" t="e">
        <f>AND(#REF!,"AAAAAD73qtM=")</f>
        <v>#REF!</v>
      </c>
      <c r="HE147" t="e">
        <f>AND(#REF!,"AAAAAD73qtQ=")</f>
        <v>#REF!</v>
      </c>
      <c r="HF147" t="e">
        <f>AND(#REF!,"AAAAAD73qtU=")</f>
        <v>#REF!</v>
      </c>
      <c r="HG147" t="e">
        <f>AND(#REF!,"AAAAAD73qtY=")</f>
        <v>#REF!</v>
      </c>
      <c r="HH147" t="e">
        <f>AND(#REF!,"AAAAAD73qtc=")</f>
        <v>#REF!</v>
      </c>
      <c r="HI147" t="e">
        <f>AND(#REF!,"AAAAAD73qtg=")</f>
        <v>#REF!</v>
      </c>
      <c r="HJ147" t="e">
        <f>AND(#REF!,"AAAAAD73qtk=")</f>
        <v>#REF!</v>
      </c>
      <c r="HK147" t="e">
        <f>AND(#REF!,"AAAAAD73qto=")</f>
        <v>#REF!</v>
      </c>
      <c r="HL147" t="e">
        <f>AND(#REF!,"AAAAAD73qts=")</f>
        <v>#REF!</v>
      </c>
      <c r="HM147" t="e">
        <f>AND(#REF!,"AAAAAD73qtw=")</f>
        <v>#REF!</v>
      </c>
      <c r="HN147" t="e">
        <f>AND(#REF!,"AAAAAD73qt0=")</f>
        <v>#REF!</v>
      </c>
      <c r="HO147" t="e">
        <f>AND(#REF!,"AAAAAD73qt4=")</f>
        <v>#REF!</v>
      </c>
      <c r="HP147" t="e">
        <f>AND(#REF!,"AAAAAD73qt8=")</f>
        <v>#REF!</v>
      </c>
      <c r="HQ147" t="e">
        <f>AND(#REF!,"AAAAAD73quA=")</f>
        <v>#REF!</v>
      </c>
      <c r="HR147" t="e">
        <f>AND(#REF!,"AAAAAD73quE=")</f>
        <v>#REF!</v>
      </c>
      <c r="HS147" t="e">
        <f>AND(#REF!,"AAAAAD73quI=")</f>
        <v>#REF!</v>
      </c>
      <c r="HT147" t="e">
        <f>AND(#REF!,"AAAAAD73quM=")</f>
        <v>#REF!</v>
      </c>
      <c r="HU147" t="e">
        <f>AND(#REF!,"AAAAAD73quQ=")</f>
        <v>#REF!</v>
      </c>
      <c r="HV147" t="e">
        <f>AND(#REF!,"AAAAAD73quU=")</f>
        <v>#REF!</v>
      </c>
      <c r="HW147" t="e">
        <f>AND(#REF!,"AAAAAD73quY=")</f>
        <v>#REF!</v>
      </c>
      <c r="HX147" t="e">
        <f>AND(#REF!,"AAAAAD73quc=")</f>
        <v>#REF!</v>
      </c>
      <c r="HY147" t="e">
        <f>AND(#REF!,"AAAAAD73qug=")</f>
        <v>#REF!</v>
      </c>
      <c r="HZ147" t="e">
        <f>AND(#REF!,"AAAAAD73quk=")</f>
        <v>#REF!</v>
      </c>
      <c r="IA147" t="e">
        <f>AND(#REF!,"AAAAAD73quo=")</f>
        <v>#REF!</v>
      </c>
      <c r="IB147" t="e">
        <f>AND(#REF!,"AAAAAD73qus=")</f>
        <v>#REF!</v>
      </c>
      <c r="IC147" t="e">
        <f>AND(#REF!,"AAAAAD73quw=")</f>
        <v>#REF!</v>
      </c>
      <c r="ID147" t="e">
        <f>AND(#REF!,"AAAAAD73qu0=")</f>
        <v>#REF!</v>
      </c>
      <c r="IE147" t="e">
        <f>AND(#REF!,"AAAAAD73qu4=")</f>
        <v>#REF!</v>
      </c>
      <c r="IF147" t="e">
        <f>AND(#REF!,"AAAAAD73qu8=")</f>
        <v>#REF!</v>
      </c>
      <c r="IG147" t="e">
        <f>AND(#REF!,"AAAAAD73qvA=")</f>
        <v>#REF!</v>
      </c>
      <c r="IH147" t="e">
        <f>AND(#REF!,"AAAAAD73qvE=")</f>
        <v>#REF!</v>
      </c>
      <c r="II147" t="e">
        <f>AND(#REF!,"AAAAAD73qvI=")</f>
        <v>#REF!</v>
      </c>
      <c r="IJ147" t="e">
        <f>AND(#REF!,"AAAAAD73qvM=")</f>
        <v>#REF!</v>
      </c>
      <c r="IK147" t="e">
        <f>AND(#REF!,"AAAAAD73qvQ=")</f>
        <v>#REF!</v>
      </c>
      <c r="IL147" t="e">
        <f>AND(#REF!,"AAAAAD73qvU=")</f>
        <v>#REF!</v>
      </c>
      <c r="IM147" t="e">
        <f>AND(#REF!,"AAAAAD73qvY=")</f>
        <v>#REF!</v>
      </c>
      <c r="IN147" t="e">
        <f>AND(#REF!,"AAAAAD73qvc=")</f>
        <v>#REF!</v>
      </c>
      <c r="IO147" t="e">
        <f>AND(#REF!,"AAAAAD73qvg=")</f>
        <v>#REF!</v>
      </c>
      <c r="IP147" t="e">
        <f>AND(#REF!,"AAAAAD73qvk=")</f>
        <v>#REF!</v>
      </c>
      <c r="IQ147" t="e">
        <f>AND(#REF!,"AAAAAD73qvo=")</f>
        <v>#REF!</v>
      </c>
      <c r="IR147" t="e">
        <f>AND(#REF!,"AAAAAD73qvs=")</f>
        <v>#REF!</v>
      </c>
      <c r="IS147" t="e">
        <f>AND(#REF!,"AAAAAD73qvw=")</f>
        <v>#REF!</v>
      </c>
      <c r="IT147" t="e">
        <f>AND(#REF!,"AAAAAD73qv0=")</f>
        <v>#REF!</v>
      </c>
      <c r="IU147" t="e">
        <f>AND(#REF!,"AAAAAD73qv4=")</f>
        <v>#REF!</v>
      </c>
      <c r="IV147" t="e">
        <f>AND(#REF!,"AAAAAD73qv8=")</f>
        <v>#REF!</v>
      </c>
    </row>
    <row r="148" spans="1:256" x14ac:dyDescent="0.25">
      <c r="A148" t="e">
        <f>AND(#REF!,"AAAAAGd/XQA=")</f>
        <v>#REF!</v>
      </c>
      <c r="B148" t="e">
        <f>AND(#REF!,"AAAAAGd/XQE=")</f>
        <v>#REF!</v>
      </c>
      <c r="C148" t="e">
        <f>AND(#REF!,"AAAAAGd/XQI=")</f>
        <v>#REF!</v>
      </c>
      <c r="D148" t="e">
        <f>AND(#REF!,"AAAAAGd/XQM=")</f>
        <v>#REF!</v>
      </c>
      <c r="E148" t="e">
        <f>AND(#REF!,"AAAAAGd/XQQ=")</f>
        <v>#REF!</v>
      </c>
      <c r="F148" t="e">
        <f>AND(#REF!,"AAAAAGd/XQU=")</f>
        <v>#REF!</v>
      </c>
      <c r="G148" t="e">
        <f>AND(#REF!,"AAAAAGd/XQY=")</f>
        <v>#REF!</v>
      </c>
      <c r="H148" t="e">
        <f>AND(#REF!,"AAAAAGd/XQc=")</f>
        <v>#REF!</v>
      </c>
      <c r="I148" t="e">
        <f>AND(#REF!,"AAAAAGd/XQg=")</f>
        <v>#REF!</v>
      </c>
      <c r="J148" t="e">
        <f>AND(#REF!,"AAAAAGd/XQk=")</f>
        <v>#REF!</v>
      </c>
      <c r="K148" t="e">
        <f>AND(#REF!,"AAAAAGd/XQo=")</f>
        <v>#REF!</v>
      </c>
      <c r="L148" t="e">
        <f>AND(#REF!,"AAAAAGd/XQs=")</f>
        <v>#REF!</v>
      </c>
      <c r="M148" t="e">
        <f>AND(#REF!,"AAAAAGd/XQw=")</f>
        <v>#REF!</v>
      </c>
      <c r="N148" t="e">
        <f>AND(#REF!,"AAAAAGd/XQ0=")</f>
        <v>#REF!</v>
      </c>
      <c r="O148" t="e">
        <f>AND(#REF!,"AAAAAGd/XQ4=")</f>
        <v>#REF!</v>
      </c>
      <c r="P148" t="e">
        <f>AND(#REF!,"AAAAAGd/XQ8=")</f>
        <v>#REF!</v>
      </c>
      <c r="Q148" t="e">
        <f>AND(#REF!,"AAAAAGd/XRA=")</f>
        <v>#REF!</v>
      </c>
      <c r="R148" t="e">
        <f>AND(#REF!,"AAAAAGd/XRE=")</f>
        <v>#REF!</v>
      </c>
      <c r="S148" t="e">
        <f>AND(#REF!,"AAAAAGd/XRI=")</f>
        <v>#REF!</v>
      </c>
      <c r="T148" t="e">
        <f>AND(#REF!,"AAAAAGd/XRM=")</f>
        <v>#REF!</v>
      </c>
      <c r="U148" t="e">
        <f>AND(#REF!,"AAAAAGd/XRQ=")</f>
        <v>#REF!</v>
      </c>
      <c r="V148" t="e">
        <f>AND(#REF!,"AAAAAGd/XRU=")</f>
        <v>#REF!</v>
      </c>
      <c r="W148" t="e">
        <f>AND(#REF!,"AAAAAGd/XRY=")</f>
        <v>#REF!</v>
      </c>
      <c r="X148" t="e">
        <f>AND(#REF!,"AAAAAGd/XRc=")</f>
        <v>#REF!</v>
      </c>
      <c r="Y148" t="e">
        <f>AND(#REF!,"AAAAAGd/XRg=")</f>
        <v>#REF!</v>
      </c>
      <c r="Z148" t="e">
        <f>AND(#REF!,"AAAAAGd/XRk=")</f>
        <v>#REF!</v>
      </c>
      <c r="AA148" t="e">
        <f>AND(#REF!,"AAAAAGd/XRo=")</f>
        <v>#REF!</v>
      </c>
      <c r="AB148" t="e">
        <f>AND(#REF!,"AAAAAGd/XRs=")</f>
        <v>#REF!</v>
      </c>
      <c r="AC148" t="e">
        <f>AND(#REF!,"AAAAAGd/XRw=")</f>
        <v>#REF!</v>
      </c>
      <c r="AD148" t="e">
        <f>AND(#REF!,"AAAAAGd/XR0=")</f>
        <v>#REF!</v>
      </c>
      <c r="AE148" t="e">
        <f>AND(#REF!,"AAAAAGd/XR4=")</f>
        <v>#REF!</v>
      </c>
      <c r="AF148" t="e">
        <f>AND(#REF!,"AAAAAGd/XR8=")</f>
        <v>#REF!</v>
      </c>
      <c r="AG148" t="e">
        <f>AND(#REF!,"AAAAAGd/XSA=")</f>
        <v>#REF!</v>
      </c>
      <c r="AH148" t="e">
        <f>AND(#REF!,"AAAAAGd/XSE=")</f>
        <v>#REF!</v>
      </c>
      <c r="AI148" t="e">
        <f>AND(#REF!,"AAAAAGd/XSI=")</f>
        <v>#REF!</v>
      </c>
      <c r="AJ148" t="e">
        <f>AND(#REF!,"AAAAAGd/XSM=")</f>
        <v>#REF!</v>
      </c>
      <c r="AK148" t="e">
        <f>AND(#REF!,"AAAAAGd/XSQ=")</f>
        <v>#REF!</v>
      </c>
      <c r="AL148" t="e">
        <f>AND(#REF!,"AAAAAGd/XSU=")</f>
        <v>#REF!</v>
      </c>
      <c r="AM148" t="e">
        <f>AND(#REF!,"AAAAAGd/XSY=")</f>
        <v>#REF!</v>
      </c>
      <c r="AN148" t="e">
        <f>AND(#REF!,"AAAAAGd/XSc=")</f>
        <v>#REF!</v>
      </c>
      <c r="AO148" t="e">
        <f>AND(#REF!,"AAAAAGd/XSg=")</f>
        <v>#REF!</v>
      </c>
      <c r="AP148" t="e">
        <f>AND(#REF!,"AAAAAGd/XSk=")</f>
        <v>#REF!</v>
      </c>
      <c r="AQ148" t="e">
        <f>AND(#REF!,"AAAAAGd/XSo=")</f>
        <v>#REF!</v>
      </c>
      <c r="AR148" t="e">
        <f>AND(#REF!,"AAAAAGd/XSs=")</f>
        <v>#REF!</v>
      </c>
      <c r="AS148" t="e">
        <f>AND(#REF!,"AAAAAGd/XSw=")</f>
        <v>#REF!</v>
      </c>
      <c r="AT148" t="e">
        <f>AND(#REF!,"AAAAAGd/XS0=")</f>
        <v>#REF!</v>
      </c>
      <c r="AU148" t="e">
        <f>AND(#REF!,"AAAAAGd/XS4=")</f>
        <v>#REF!</v>
      </c>
      <c r="AV148" t="e">
        <f>AND(#REF!,"AAAAAGd/XS8=")</f>
        <v>#REF!</v>
      </c>
      <c r="AW148" t="e">
        <f>AND(#REF!,"AAAAAGd/XTA=")</f>
        <v>#REF!</v>
      </c>
      <c r="AX148" t="e">
        <f>AND(#REF!,"AAAAAGd/XTE=")</f>
        <v>#REF!</v>
      </c>
      <c r="AY148" t="e">
        <f>AND(#REF!,"AAAAAGd/XTI=")</f>
        <v>#REF!</v>
      </c>
      <c r="AZ148" t="e">
        <f>AND(#REF!,"AAAAAGd/XTM=")</f>
        <v>#REF!</v>
      </c>
      <c r="BA148" t="e">
        <f>AND(#REF!,"AAAAAGd/XTQ=")</f>
        <v>#REF!</v>
      </c>
      <c r="BB148" t="e">
        <f>AND(#REF!,"AAAAAGd/XTU=")</f>
        <v>#REF!</v>
      </c>
      <c r="BC148" t="e">
        <f>AND(#REF!,"AAAAAGd/XTY=")</f>
        <v>#REF!</v>
      </c>
      <c r="BD148" t="e">
        <f>AND(#REF!,"AAAAAGd/XTc=")</f>
        <v>#REF!</v>
      </c>
      <c r="BE148" t="e">
        <f>AND(#REF!,"AAAAAGd/XTg=")</f>
        <v>#REF!</v>
      </c>
      <c r="BF148" t="e">
        <f>AND(#REF!,"AAAAAGd/XTk=")</f>
        <v>#REF!</v>
      </c>
      <c r="BG148" t="e">
        <f>AND(#REF!,"AAAAAGd/XTo=")</f>
        <v>#REF!</v>
      </c>
      <c r="BH148" t="e">
        <f>AND(#REF!,"AAAAAGd/XTs=")</f>
        <v>#REF!</v>
      </c>
      <c r="BI148" t="e">
        <f>AND(#REF!,"AAAAAGd/XTw=")</f>
        <v>#REF!</v>
      </c>
      <c r="BJ148" t="e">
        <f>AND(#REF!,"AAAAAGd/XT0=")</f>
        <v>#REF!</v>
      </c>
      <c r="BK148" t="e">
        <f>AND(#REF!,"AAAAAGd/XT4=")</f>
        <v>#REF!</v>
      </c>
      <c r="BL148" t="e">
        <f>AND(#REF!,"AAAAAGd/XT8=")</f>
        <v>#REF!</v>
      </c>
      <c r="BM148" t="e">
        <f>AND(#REF!,"AAAAAGd/XUA=")</f>
        <v>#REF!</v>
      </c>
      <c r="BN148" t="e">
        <f>AND(#REF!,"AAAAAGd/XUE=")</f>
        <v>#REF!</v>
      </c>
      <c r="BO148" t="e">
        <f>AND(#REF!,"AAAAAGd/XUI=")</f>
        <v>#REF!</v>
      </c>
      <c r="BP148" t="e">
        <f>AND(#REF!,"AAAAAGd/XUM=")</f>
        <v>#REF!</v>
      </c>
      <c r="BQ148" t="e">
        <f>AND(#REF!,"AAAAAGd/XUQ=")</f>
        <v>#REF!</v>
      </c>
      <c r="BR148" t="e">
        <f>AND(#REF!,"AAAAAGd/XUU=")</f>
        <v>#REF!</v>
      </c>
      <c r="BS148" t="e">
        <f>AND(#REF!,"AAAAAGd/XUY=")</f>
        <v>#REF!</v>
      </c>
      <c r="BT148" t="e">
        <f>AND(#REF!,"AAAAAGd/XUc=")</f>
        <v>#REF!</v>
      </c>
      <c r="BU148" t="e">
        <f>AND(#REF!,"AAAAAGd/XUg=")</f>
        <v>#REF!</v>
      </c>
      <c r="BV148" t="e">
        <f>AND(#REF!,"AAAAAGd/XUk=")</f>
        <v>#REF!</v>
      </c>
      <c r="BW148" t="e">
        <f>AND(#REF!,"AAAAAGd/XUo=")</f>
        <v>#REF!</v>
      </c>
      <c r="BX148" t="e">
        <f>AND(#REF!,"AAAAAGd/XUs=")</f>
        <v>#REF!</v>
      </c>
      <c r="BY148" t="e">
        <f>AND(#REF!,"AAAAAGd/XUw=")</f>
        <v>#REF!</v>
      </c>
      <c r="BZ148" t="e">
        <f>AND(#REF!,"AAAAAGd/XU0=")</f>
        <v>#REF!</v>
      </c>
      <c r="CA148" t="e">
        <f>AND(#REF!,"AAAAAGd/XU4=")</f>
        <v>#REF!</v>
      </c>
      <c r="CB148" t="e">
        <f>AND(#REF!,"AAAAAGd/XU8=")</f>
        <v>#REF!</v>
      </c>
      <c r="CC148" t="e">
        <f>AND(#REF!,"AAAAAGd/XVA=")</f>
        <v>#REF!</v>
      </c>
      <c r="CD148" t="e">
        <f>AND(#REF!,"AAAAAGd/XVE=")</f>
        <v>#REF!</v>
      </c>
      <c r="CE148" t="e">
        <f>AND(#REF!,"AAAAAGd/XVI=")</f>
        <v>#REF!</v>
      </c>
      <c r="CF148" t="e">
        <f>AND(#REF!,"AAAAAGd/XVM=")</f>
        <v>#REF!</v>
      </c>
      <c r="CG148" t="e">
        <f>AND(#REF!,"AAAAAGd/XVQ=")</f>
        <v>#REF!</v>
      </c>
      <c r="CH148" t="e">
        <f>AND(#REF!,"AAAAAGd/XVU=")</f>
        <v>#REF!</v>
      </c>
      <c r="CI148" t="e">
        <f>AND(#REF!,"AAAAAGd/XVY=")</f>
        <v>#REF!</v>
      </c>
      <c r="CJ148" t="e">
        <f>AND(#REF!,"AAAAAGd/XVc=")</f>
        <v>#REF!</v>
      </c>
      <c r="CK148" t="e">
        <f>AND(#REF!,"AAAAAGd/XVg=")</f>
        <v>#REF!</v>
      </c>
      <c r="CL148" t="e">
        <f>AND(#REF!,"AAAAAGd/XVk=")</f>
        <v>#REF!</v>
      </c>
      <c r="CM148" t="e">
        <f>AND(#REF!,"AAAAAGd/XVo=")</f>
        <v>#REF!</v>
      </c>
      <c r="CN148" t="e">
        <f>AND(#REF!,"AAAAAGd/XVs=")</f>
        <v>#REF!</v>
      </c>
      <c r="CO148" t="e">
        <f>AND(#REF!,"AAAAAGd/XVw=")</f>
        <v>#REF!</v>
      </c>
      <c r="CP148" t="e">
        <f>AND(#REF!,"AAAAAGd/XV0=")</f>
        <v>#REF!</v>
      </c>
      <c r="CQ148" t="e">
        <f>AND(#REF!,"AAAAAGd/XV4=")</f>
        <v>#REF!</v>
      </c>
      <c r="CR148" t="e">
        <f>AND(#REF!,"AAAAAGd/XV8=")</f>
        <v>#REF!</v>
      </c>
      <c r="CS148" t="e">
        <f>AND(#REF!,"AAAAAGd/XWA=")</f>
        <v>#REF!</v>
      </c>
      <c r="CT148" t="e">
        <f>AND(#REF!,"AAAAAGd/XWE=")</f>
        <v>#REF!</v>
      </c>
      <c r="CU148" t="e">
        <f>AND(#REF!,"AAAAAGd/XWI=")</f>
        <v>#REF!</v>
      </c>
      <c r="CV148" t="e">
        <f>AND(#REF!,"AAAAAGd/XWM=")</f>
        <v>#REF!</v>
      </c>
      <c r="CW148" t="e">
        <f>AND(#REF!,"AAAAAGd/XWQ=")</f>
        <v>#REF!</v>
      </c>
      <c r="CX148" t="e">
        <f>AND(#REF!,"AAAAAGd/XWU=")</f>
        <v>#REF!</v>
      </c>
      <c r="CY148" t="e">
        <f>AND(#REF!,"AAAAAGd/XWY=")</f>
        <v>#REF!</v>
      </c>
      <c r="CZ148" t="e">
        <f>AND(#REF!,"AAAAAGd/XWc=")</f>
        <v>#REF!</v>
      </c>
      <c r="DA148" t="e">
        <f>AND(#REF!,"AAAAAGd/XWg=")</f>
        <v>#REF!</v>
      </c>
      <c r="DB148" t="e">
        <f>AND(#REF!,"AAAAAGd/XWk=")</f>
        <v>#REF!</v>
      </c>
      <c r="DC148" t="e">
        <f>AND(#REF!,"AAAAAGd/XWo=")</f>
        <v>#REF!</v>
      </c>
      <c r="DD148" t="e">
        <f>AND(#REF!,"AAAAAGd/XWs=")</f>
        <v>#REF!</v>
      </c>
      <c r="DE148" t="e">
        <f>AND(#REF!,"AAAAAGd/XWw=")</f>
        <v>#REF!</v>
      </c>
      <c r="DF148" t="e">
        <f>AND(#REF!,"AAAAAGd/XW0=")</f>
        <v>#REF!</v>
      </c>
      <c r="DG148" t="e">
        <f>AND(#REF!,"AAAAAGd/XW4=")</f>
        <v>#REF!</v>
      </c>
      <c r="DH148" t="e">
        <f>AND(#REF!,"AAAAAGd/XW8=")</f>
        <v>#REF!</v>
      </c>
      <c r="DI148" t="e">
        <f>AND(#REF!,"AAAAAGd/XXA=")</f>
        <v>#REF!</v>
      </c>
      <c r="DJ148" t="e">
        <f>AND(#REF!,"AAAAAGd/XXE=")</f>
        <v>#REF!</v>
      </c>
      <c r="DK148" t="e">
        <f>AND(#REF!,"AAAAAGd/XXI=")</f>
        <v>#REF!</v>
      </c>
      <c r="DL148" t="e">
        <f>AND(#REF!,"AAAAAGd/XXM=")</f>
        <v>#REF!</v>
      </c>
      <c r="DM148" t="e">
        <f>AND(#REF!,"AAAAAGd/XXQ=")</f>
        <v>#REF!</v>
      </c>
      <c r="DN148" t="e">
        <f>AND(#REF!,"AAAAAGd/XXU=")</f>
        <v>#REF!</v>
      </c>
      <c r="DO148" t="e">
        <f>AND(#REF!,"AAAAAGd/XXY=")</f>
        <v>#REF!</v>
      </c>
      <c r="DP148" t="e">
        <f>AND(#REF!,"AAAAAGd/XXc=")</f>
        <v>#REF!</v>
      </c>
      <c r="DQ148" t="e">
        <f>AND(#REF!,"AAAAAGd/XXg=")</f>
        <v>#REF!</v>
      </c>
      <c r="DR148" t="e">
        <f>AND(#REF!,"AAAAAGd/XXk=")</f>
        <v>#REF!</v>
      </c>
      <c r="DS148" t="e">
        <f>AND(#REF!,"AAAAAGd/XXo=")</f>
        <v>#REF!</v>
      </c>
      <c r="DT148" t="e">
        <f>AND(#REF!,"AAAAAGd/XXs=")</f>
        <v>#REF!</v>
      </c>
      <c r="DU148" t="e">
        <f>AND(#REF!,"AAAAAGd/XXw=")</f>
        <v>#REF!</v>
      </c>
      <c r="DV148" t="e">
        <f>AND(#REF!,"AAAAAGd/XX0=")</f>
        <v>#REF!</v>
      </c>
      <c r="DW148" t="e">
        <f>AND(#REF!,"AAAAAGd/XX4=")</f>
        <v>#REF!</v>
      </c>
      <c r="DX148" t="e">
        <f>AND(#REF!,"AAAAAGd/XX8=")</f>
        <v>#REF!</v>
      </c>
      <c r="DY148" t="e">
        <f>AND(#REF!,"AAAAAGd/XYA=")</f>
        <v>#REF!</v>
      </c>
      <c r="DZ148" t="e">
        <f>AND(#REF!,"AAAAAGd/XYE=")</f>
        <v>#REF!</v>
      </c>
      <c r="EA148" t="e">
        <f>AND(#REF!,"AAAAAGd/XYI=")</f>
        <v>#REF!</v>
      </c>
      <c r="EB148" t="e">
        <f>AND(#REF!,"AAAAAGd/XYM=")</f>
        <v>#REF!</v>
      </c>
      <c r="EC148" t="e">
        <f>AND(#REF!,"AAAAAGd/XYQ=")</f>
        <v>#REF!</v>
      </c>
      <c r="ED148" t="e">
        <f>IF(#REF!,"AAAAAGd/XYU=",0)</f>
        <v>#REF!</v>
      </c>
      <c r="EE148" t="e">
        <f>AND(#REF!,"AAAAAGd/XYY=")</f>
        <v>#REF!</v>
      </c>
      <c r="EF148" t="e">
        <f>AND(#REF!,"AAAAAGd/XYc=")</f>
        <v>#REF!</v>
      </c>
      <c r="EG148" t="e">
        <f>AND(#REF!,"AAAAAGd/XYg=")</f>
        <v>#REF!</v>
      </c>
      <c r="EH148" t="e">
        <f>AND(#REF!,"AAAAAGd/XYk=")</f>
        <v>#REF!</v>
      </c>
      <c r="EI148" t="e">
        <f>AND(#REF!,"AAAAAGd/XYo=")</f>
        <v>#REF!</v>
      </c>
      <c r="EJ148" t="e">
        <f>AND(#REF!,"AAAAAGd/XYs=")</f>
        <v>#REF!</v>
      </c>
      <c r="EK148" t="e">
        <f>AND(#REF!,"AAAAAGd/XYw=")</f>
        <v>#REF!</v>
      </c>
      <c r="EL148" t="e">
        <f>AND(#REF!,"AAAAAGd/XY0=")</f>
        <v>#REF!</v>
      </c>
      <c r="EM148" t="e">
        <f>AND(#REF!,"AAAAAGd/XY4=")</f>
        <v>#REF!</v>
      </c>
      <c r="EN148" t="e">
        <f>AND(#REF!,"AAAAAGd/XY8=")</f>
        <v>#REF!</v>
      </c>
      <c r="EO148" t="e">
        <f>AND(#REF!,"AAAAAGd/XZA=")</f>
        <v>#REF!</v>
      </c>
      <c r="EP148" t="e">
        <f>AND(#REF!,"AAAAAGd/XZE=")</f>
        <v>#REF!</v>
      </c>
      <c r="EQ148" t="e">
        <f>AND(#REF!,"AAAAAGd/XZI=")</f>
        <v>#REF!</v>
      </c>
      <c r="ER148" t="e">
        <f>AND(#REF!,"AAAAAGd/XZM=")</f>
        <v>#REF!</v>
      </c>
      <c r="ES148" t="e">
        <f>AND(#REF!,"AAAAAGd/XZQ=")</f>
        <v>#REF!</v>
      </c>
      <c r="ET148" t="e">
        <f>AND(#REF!,"AAAAAGd/XZU=")</f>
        <v>#REF!</v>
      </c>
      <c r="EU148" t="e">
        <f>AND(#REF!,"AAAAAGd/XZY=")</f>
        <v>#REF!</v>
      </c>
      <c r="EV148" t="e">
        <f>AND(#REF!,"AAAAAGd/XZc=")</f>
        <v>#REF!</v>
      </c>
      <c r="EW148" t="e">
        <f>AND(#REF!,"AAAAAGd/XZg=")</f>
        <v>#REF!</v>
      </c>
      <c r="EX148" t="e">
        <f>AND(#REF!,"AAAAAGd/XZk=")</f>
        <v>#REF!</v>
      </c>
      <c r="EY148" t="e">
        <f>AND(#REF!,"AAAAAGd/XZo=")</f>
        <v>#REF!</v>
      </c>
      <c r="EZ148" t="e">
        <f>AND(#REF!,"AAAAAGd/XZs=")</f>
        <v>#REF!</v>
      </c>
      <c r="FA148" t="e">
        <f>AND(#REF!,"AAAAAGd/XZw=")</f>
        <v>#REF!</v>
      </c>
      <c r="FB148" t="e">
        <f>AND(#REF!,"AAAAAGd/XZ0=")</f>
        <v>#REF!</v>
      </c>
      <c r="FC148" t="e">
        <f>AND(#REF!,"AAAAAGd/XZ4=")</f>
        <v>#REF!</v>
      </c>
      <c r="FD148" t="e">
        <f>AND(#REF!,"AAAAAGd/XZ8=")</f>
        <v>#REF!</v>
      </c>
      <c r="FE148" t="e">
        <f>AND(#REF!,"AAAAAGd/XaA=")</f>
        <v>#REF!</v>
      </c>
      <c r="FF148" t="e">
        <f>AND(#REF!,"AAAAAGd/XaE=")</f>
        <v>#REF!</v>
      </c>
      <c r="FG148" t="e">
        <f>AND(#REF!,"AAAAAGd/XaI=")</f>
        <v>#REF!</v>
      </c>
      <c r="FH148" t="e">
        <f>AND(#REF!,"AAAAAGd/XaM=")</f>
        <v>#REF!</v>
      </c>
      <c r="FI148" t="e">
        <f>AND(#REF!,"AAAAAGd/XaQ=")</f>
        <v>#REF!</v>
      </c>
      <c r="FJ148" t="e">
        <f>AND(#REF!,"AAAAAGd/XaU=")</f>
        <v>#REF!</v>
      </c>
      <c r="FK148" t="e">
        <f>AND(#REF!,"AAAAAGd/XaY=")</f>
        <v>#REF!</v>
      </c>
      <c r="FL148" t="e">
        <f>AND(#REF!,"AAAAAGd/Xac=")</f>
        <v>#REF!</v>
      </c>
      <c r="FM148" t="e">
        <f>AND(#REF!,"AAAAAGd/Xag=")</f>
        <v>#REF!</v>
      </c>
      <c r="FN148" t="e">
        <f>AND(#REF!,"AAAAAGd/Xak=")</f>
        <v>#REF!</v>
      </c>
      <c r="FO148" t="e">
        <f>AND(#REF!,"AAAAAGd/Xao=")</f>
        <v>#REF!</v>
      </c>
      <c r="FP148" t="e">
        <f>AND(#REF!,"AAAAAGd/Xas=")</f>
        <v>#REF!</v>
      </c>
      <c r="FQ148" t="e">
        <f>AND(#REF!,"AAAAAGd/Xaw=")</f>
        <v>#REF!</v>
      </c>
      <c r="FR148" t="e">
        <f>AND(#REF!,"AAAAAGd/Xa0=")</f>
        <v>#REF!</v>
      </c>
      <c r="FS148" t="e">
        <f>AND(#REF!,"AAAAAGd/Xa4=")</f>
        <v>#REF!</v>
      </c>
      <c r="FT148" t="e">
        <f>AND(#REF!,"AAAAAGd/Xa8=")</f>
        <v>#REF!</v>
      </c>
      <c r="FU148" t="e">
        <f>AND(#REF!,"AAAAAGd/XbA=")</f>
        <v>#REF!</v>
      </c>
      <c r="FV148" t="e">
        <f>AND(#REF!,"AAAAAGd/XbE=")</f>
        <v>#REF!</v>
      </c>
      <c r="FW148" t="e">
        <f>AND(#REF!,"AAAAAGd/XbI=")</f>
        <v>#REF!</v>
      </c>
      <c r="FX148" t="e">
        <f>AND(#REF!,"AAAAAGd/XbM=")</f>
        <v>#REF!</v>
      </c>
      <c r="FY148" t="e">
        <f>AND(#REF!,"AAAAAGd/XbQ=")</f>
        <v>#REF!</v>
      </c>
      <c r="FZ148" t="e">
        <f>AND(#REF!,"AAAAAGd/XbU=")</f>
        <v>#REF!</v>
      </c>
      <c r="GA148" t="e">
        <f>AND(#REF!,"AAAAAGd/XbY=")</f>
        <v>#REF!</v>
      </c>
      <c r="GB148" t="e">
        <f>AND(#REF!,"AAAAAGd/Xbc=")</f>
        <v>#REF!</v>
      </c>
      <c r="GC148" t="e">
        <f>AND(#REF!,"AAAAAGd/Xbg=")</f>
        <v>#REF!</v>
      </c>
      <c r="GD148" t="e">
        <f>AND(#REF!,"AAAAAGd/Xbk=")</f>
        <v>#REF!</v>
      </c>
      <c r="GE148" t="e">
        <f>AND(#REF!,"AAAAAGd/Xbo=")</f>
        <v>#REF!</v>
      </c>
      <c r="GF148" t="e">
        <f>AND(#REF!,"AAAAAGd/Xbs=")</f>
        <v>#REF!</v>
      </c>
      <c r="GG148" t="e">
        <f>AND(#REF!,"AAAAAGd/Xbw=")</f>
        <v>#REF!</v>
      </c>
      <c r="GH148" t="e">
        <f>AND(#REF!,"AAAAAGd/Xb0=")</f>
        <v>#REF!</v>
      </c>
      <c r="GI148" t="e">
        <f>AND(#REF!,"AAAAAGd/Xb4=")</f>
        <v>#REF!</v>
      </c>
      <c r="GJ148" t="e">
        <f>AND(#REF!,"AAAAAGd/Xb8=")</f>
        <v>#REF!</v>
      </c>
      <c r="GK148" t="e">
        <f>AND(#REF!,"AAAAAGd/XcA=")</f>
        <v>#REF!</v>
      </c>
      <c r="GL148" t="e">
        <f>AND(#REF!,"AAAAAGd/XcE=")</f>
        <v>#REF!</v>
      </c>
      <c r="GM148" t="e">
        <f>AND(#REF!,"AAAAAGd/XcI=")</f>
        <v>#REF!</v>
      </c>
      <c r="GN148" t="e">
        <f>AND(#REF!,"AAAAAGd/XcM=")</f>
        <v>#REF!</v>
      </c>
      <c r="GO148" t="e">
        <f>AND(#REF!,"AAAAAGd/XcQ=")</f>
        <v>#REF!</v>
      </c>
      <c r="GP148" t="e">
        <f>AND(#REF!,"AAAAAGd/XcU=")</f>
        <v>#REF!</v>
      </c>
      <c r="GQ148" t="e">
        <f>AND(#REF!,"AAAAAGd/XcY=")</f>
        <v>#REF!</v>
      </c>
      <c r="GR148" t="e">
        <f>AND(#REF!,"AAAAAGd/Xcc=")</f>
        <v>#REF!</v>
      </c>
      <c r="GS148" t="e">
        <f>AND(#REF!,"AAAAAGd/Xcg=")</f>
        <v>#REF!</v>
      </c>
      <c r="GT148" t="e">
        <f>AND(#REF!,"AAAAAGd/Xck=")</f>
        <v>#REF!</v>
      </c>
      <c r="GU148" t="e">
        <f>AND(#REF!,"AAAAAGd/Xco=")</f>
        <v>#REF!</v>
      </c>
      <c r="GV148" t="e">
        <f>AND(#REF!,"AAAAAGd/Xcs=")</f>
        <v>#REF!</v>
      </c>
      <c r="GW148" t="e">
        <f>AND(#REF!,"AAAAAGd/Xcw=")</f>
        <v>#REF!</v>
      </c>
      <c r="GX148" t="e">
        <f>AND(#REF!,"AAAAAGd/Xc0=")</f>
        <v>#REF!</v>
      </c>
      <c r="GY148" t="e">
        <f>AND(#REF!,"AAAAAGd/Xc4=")</f>
        <v>#REF!</v>
      </c>
      <c r="GZ148" t="e">
        <f>AND(#REF!,"AAAAAGd/Xc8=")</f>
        <v>#REF!</v>
      </c>
      <c r="HA148" t="e">
        <f>AND(#REF!,"AAAAAGd/XdA=")</f>
        <v>#REF!</v>
      </c>
      <c r="HB148" t="e">
        <f>AND(#REF!,"AAAAAGd/XdE=")</f>
        <v>#REF!</v>
      </c>
      <c r="HC148" t="e">
        <f>AND(#REF!,"AAAAAGd/XdI=")</f>
        <v>#REF!</v>
      </c>
      <c r="HD148" t="e">
        <f>AND(#REF!,"AAAAAGd/XdM=")</f>
        <v>#REF!</v>
      </c>
      <c r="HE148" t="e">
        <f>AND(#REF!,"AAAAAGd/XdQ=")</f>
        <v>#REF!</v>
      </c>
      <c r="HF148" t="e">
        <f>AND(#REF!,"AAAAAGd/XdU=")</f>
        <v>#REF!</v>
      </c>
      <c r="HG148" t="e">
        <f>AND(#REF!,"AAAAAGd/XdY=")</f>
        <v>#REF!</v>
      </c>
      <c r="HH148" t="e">
        <f>AND(#REF!,"AAAAAGd/Xdc=")</f>
        <v>#REF!</v>
      </c>
      <c r="HI148" t="e">
        <f>AND(#REF!,"AAAAAGd/Xdg=")</f>
        <v>#REF!</v>
      </c>
      <c r="HJ148" t="e">
        <f>AND(#REF!,"AAAAAGd/Xdk=")</f>
        <v>#REF!</v>
      </c>
      <c r="HK148" t="e">
        <f>AND(#REF!,"AAAAAGd/Xdo=")</f>
        <v>#REF!</v>
      </c>
      <c r="HL148" t="e">
        <f>AND(#REF!,"AAAAAGd/Xds=")</f>
        <v>#REF!</v>
      </c>
      <c r="HM148" t="e">
        <f>AND(#REF!,"AAAAAGd/Xdw=")</f>
        <v>#REF!</v>
      </c>
      <c r="HN148" t="e">
        <f>AND(#REF!,"AAAAAGd/Xd0=")</f>
        <v>#REF!</v>
      </c>
      <c r="HO148" t="e">
        <f>AND(#REF!,"AAAAAGd/Xd4=")</f>
        <v>#REF!</v>
      </c>
      <c r="HP148" t="e">
        <f>AND(#REF!,"AAAAAGd/Xd8=")</f>
        <v>#REF!</v>
      </c>
      <c r="HQ148" t="e">
        <f>AND(#REF!,"AAAAAGd/XeA=")</f>
        <v>#REF!</v>
      </c>
      <c r="HR148" t="e">
        <f>AND(#REF!,"AAAAAGd/XeE=")</f>
        <v>#REF!</v>
      </c>
      <c r="HS148" t="e">
        <f>AND(#REF!,"AAAAAGd/XeI=")</f>
        <v>#REF!</v>
      </c>
      <c r="HT148" t="e">
        <f>AND(#REF!,"AAAAAGd/XeM=")</f>
        <v>#REF!</v>
      </c>
      <c r="HU148" t="e">
        <f>AND(#REF!,"AAAAAGd/XeQ=")</f>
        <v>#REF!</v>
      </c>
      <c r="HV148" t="e">
        <f>AND(#REF!,"AAAAAGd/XeU=")</f>
        <v>#REF!</v>
      </c>
      <c r="HW148" t="e">
        <f>AND(#REF!,"AAAAAGd/XeY=")</f>
        <v>#REF!</v>
      </c>
      <c r="HX148" t="e">
        <f>AND(#REF!,"AAAAAGd/Xec=")</f>
        <v>#REF!</v>
      </c>
      <c r="HY148" t="e">
        <f>AND(#REF!,"AAAAAGd/Xeg=")</f>
        <v>#REF!</v>
      </c>
      <c r="HZ148" t="e">
        <f>AND(#REF!,"AAAAAGd/Xek=")</f>
        <v>#REF!</v>
      </c>
      <c r="IA148" t="e">
        <f>AND(#REF!,"AAAAAGd/Xeo=")</f>
        <v>#REF!</v>
      </c>
      <c r="IB148" t="e">
        <f>AND(#REF!,"AAAAAGd/Xes=")</f>
        <v>#REF!</v>
      </c>
      <c r="IC148" t="e">
        <f>AND(#REF!,"AAAAAGd/Xew=")</f>
        <v>#REF!</v>
      </c>
      <c r="ID148" t="e">
        <f>AND(#REF!,"AAAAAGd/Xe0=")</f>
        <v>#REF!</v>
      </c>
      <c r="IE148" t="e">
        <f>AND(#REF!,"AAAAAGd/Xe4=")</f>
        <v>#REF!</v>
      </c>
      <c r="IF148" t="e">
        <f>AND(#REF!,"AAAAAGd/Xe8=")</f>
        <v>#REF!</v>
      </c>
      <c r="IG148" t="e">
        <f>AND(#REF!,"AAAAAGd/XfA=")</f>
        <v>#REF!</v>
      </c>
      <c r="IH148" t="e">
        <f>AND(#REF!,"AAAAAGd/XfE=")</f>
        <v>#REF!</v>
      </c>
      <c r="II148" t="e">
        <f>AND(#REF!,"AAAAAGd/XfI=")</f>
        <v>#REF!</v>
      </c>
      <c r="IJ148" t="e">
        <f>AND(#REF!,"AAAAAGd/XfM=")</f>
        <v>#REF!</v>
      </c>
      <c r="IK148" t="e">
        <f>AND(#REF!,"AAAAAGd/XfQ=")</f>
        <v>#REF!</v>
      </c>
      <c r="IL148" t="e">
        <f>AND(#REF!,"AAAAAGd/XfU=")</f>
        <v>#REF!</v>
      </c>
      <c r="IM148" t="e">
        <f>AND(#REF!,"AAAAAGd/XfY=")</f>
        <v>#REF!</v>
      </c>
      <c r="IN148" t="e">
        <f>AND(#REF!,"AAAAAGd/Xfc=")</f>
        <v>#REF!</v>
      </c>
      <c r="IO148" t="e">
        <f>AND(#REF!,"AAAAAGd/Xfg=")</f>
        <v>#REF!</v>
      </c>
      <c r="IP148" t="e">
        <f>AND(#REF!,"AAAAAGd/Xfk=")</f>
        <v>#REF!</v>
      </c>
      <c r="IQ148" t="e">
        <f>AND(#REF!,"AAAAAGd/Xfo=")</f>
        <v>#REF!</v>
      </c>
      <c r="IR148" t="e">
        <f>AND(#REF!,"AAAAAGd/Xfs=")</f>
        <v>#REF!</v>
      </c>
      <c r="IS148" t="e">
        <f>AND(#REF!,"AAAAAGd/Xfw=")</f>
        <v>#REF!</v>
      </c>
      <c r="IT148" t="e">
        <f>AND(#REF!,"AAAAAGd/Xf0=")</f>
        <v>#REF!</v>
      </c>
      <c r="IU148" t="e">
        <f>AND(#REF!,"AAAAAGd/Xf4=")</f>
        <v>#REF!</v>
      </c>
      <c r="IV148" t="e">
        <f>AND(#REF!,"AAAAAGd/Xf8=")</f>
        <v>#REF!</v>
      </c>
    </row>
    <row r="149" spans="1:256" x14ac:dyDescent="0.25">
      <c r="A149" t="e">
        <f>AND(#REF!,"AAAAAE3u7gA=")</f>
        <v>#REF!</v>
      </c>
      <c r="B149" t="e">
        <f>AND(#REF!,"AAAAAE3u7gE=")</f>
        <v>#REF!</v>
      </c>
      <c r="C149" t="e">
        <f>AND(#REF!,"AAAAAE3u7gI=")</f>
        <v>#REF!</v>
      </c>
      <c r="D149" t="e">
        <f>AND(#REF!,"AAAAAE3u7gM=")</f>
        <v>#REF!</v>
      </c>
      <c r="E149" t="e">
        <f>AND(#REF!,"AAAAAE3u7gQ=")</f>
        <v>#REF!</v>
      </c>
      <c r="F149" t="e">
        <f>AND(#REF!,"AAAAAE3u7gU=")</f>
        <v>#REF!</v>
      </c>
      <c r="G149" t="e">
        <f>AND(#REF!,"AAAAAE3u7gY=")</f>
        <v>#REF!</v>
      </c>
      <c r="H149" t="e">
        <f>AND(#REF!,"AAAAAE3u7gc=")</f>
        <v>#REF!</v>
      </c>
      <c r="I149" t="e">
        <f>AND(#REF!,"AAAAAE3u7gg=")</f>
        <v>#REF!</v>
      </c>
      <c r="J149" t="e">
        <f>AND(#REF!,"AAAAAE3u7gk=")</f>
        <v>#REF!</v>
      </c>
      <c r="K149" t="e">
        <f>AND(#REF!,"AAAAAE3u7go=")</f>
        <v>#REF!</v>
      </c>
      <c r="L149" t="e">
        <f>AND(#REF!,"AAAAAE3u7gs=")</f>
        <v>#REF!</v>
      </c>
      <c r="M149" t="e">
        <f>AND(#REF!,"AAAAAE3u7gw=")</f>
        <v>#REF!</v>
      </c>
      <c r="N149" t="e">
        <f>AND(#REF!,"AAAAAE3u7g0=")</f>
        <v>#REF!</v>
      </c>
      <c r="O149" t="e">
        <f>AND(#REF!,"AAAAAE3u7g4=")</f>
        <v>#REF!</v>
      </c>
      <c r="P149" t="e">
        <f>AND(#REF!,"AAAAAE3u7g8=")</f>
        <v>#REF!</v>
      </c>
      <c r="Q149" t="e">
        <f>AND(#REF!,"AAAAAE3u7hA=")</f>
        <v>#REF!</v>
      </c>
      <c r="R149" t="e">
        <f>AND(#REF!,"AAAAAE3u7hE=")</f>
        <v>#REF!</v>
      </c>
      <c r="S149" t="e">
        <f>AND(#REF!,"AAAAAE3u7hI=")</f>
        <v>#REF!</v>
      </c>
      <c r="T149" t="e">
        <f>AND(#REF!,"AAAAAE3u7hM=")</f>
        <v>#REF!</v>
      </c>
      <c r="U149" t="e">
        <f>AND(#REF!,"AAAAAE3u7hQ=")</f>
        <v>#REF!</v>
      </c>
      <c r="V149" t="e">
        <f>AND(#REF!,"AAAAAE3u7hU=")</f>
        <v>#REF!</v>
      </c>
      <c r="W149" t="e">
        <f>AND(#REF!,"AAAAAE3u7hY=")</f>
        <v>#REF!</v>
      </c>
      <c r="X149" t="e">
        <f>AND(#REF!,"AAAAAE3u7hc=")</f>
        <v>#REF!</v>
      </c>
      <c r="Y149" t="e">
        <f>AND(#REF!,"AAAAAE3u7hg=")</f>
        <v>#REF!</v>
      </c>
      <c r="Z149" t="e">
        <f>AND(#REF!,"AAAAAE3u7hk=")</f>
        <v>#REF!</v>
      </c>
      <c r="AA149" t="e">
        <f>AND(#REF!,"AAAAAE3u7ho=")</f>
        <v>#REF!</v>
      </c>
      <c r="AB149" t="e">
        <f>AND(#REF!,"AAAAAE3u7hs=")</f>
        <v>#REF!</v>
      </c>
      <c r="AC149" t="e">
        <f>AND(#REF!,"AAAAAE3u7hw=")</f>
        <v>#REF!</v>
      </c>
      <c r="AD149" t="e">
        <f>AND(#REF!,"AAAAAE3u7h0=")</f>
        <v>#REF!</v>
      </c>
      <c r="AE149" t="e">
        <f>AND(#REF!,"AAAAAE3u7h4=")</f>
        <v>#REF!</v>
      </c>
      <c r="AF149" t="e">
        <f>AND(#REF!,"AAAAAE3u7h8=")</f>
        <v>#REF!</v>
      </c>
      <c r="AG149" t="e">
        <f>AND(#REF!,"AAAAAE3u7iA=")</f>
        <v>#REF!</v>
      </c>
      <c r="AH149" t="e">
        <f>AND(#REF!,"AAAAAE3u7iE=")</f>
        <v>#REF!</v>
      </c>
      <c r="AI149" t="e">
        <f>AND(#REF!,"AAAAAE3u7iI=")</f>
        <v>#REF!</v>
      </c>
      <c r="AJ149" t="e">
        <f>AND(#REF!,"AAAAAE3u7iM=")</f>
        <v>#REF!</v>
      </c>
      <c r="AK149" t="e">
        <f>AND(#REF!,"AAAAAE3u7iQ=")</f>
        <v>#REF!</v>
      </c>
      <c r="AL149" t="e">
        <f>AND(#REF!,"AAAAAE3u7iU=")</f>
        <v>#REF!</v>
      </c>
      <c r="AM149" t="e">
        <f>AND(#REF!,"AAAAAE3u7iY=")</f>
        <v>#REF!</v>
      </c>
      <c r="AN149" t="e">
        <f>AND(#REF!,"AAAAAE3u7ic=")</f>
        <v>#REF!</v>
      </c>
      <c r="AO149" t="e">
        <f>AND(#REF!,"AAAAAE3u7ig=")</f>
        <v>#REF!</v>
      </c>
      <c r="AP149" t="e">
        <f>AND(#REF!,"AAAAAE3u7ik=")</f>
        <v>#REF!</v>
      </c>
      <c r="AQ149" t="e">
        <f>AND(#REF!,"AAAAAE3u7io=")</f>
        <v>#REF!</v>
      </c>
      <c r="AR149" t="e">
        <f>AND(#REF!,"AAAAAE3u7is=")</f>
        <v>#REF!</v>
      </c>
      <c r="AS149" t="e">
        <f>AND(#REF!,"AAAAAE3u7iw=")</f>
        <v>#REF!</v>
      </c>
      <c r="AT149" t="e">
        <f>AND(#REF!,"AAAAAE3u7i0=")</f>
        <v>#REF!</v>
      </c>
      <c r="AU149" t="e">
        <f>AND(#REF!,"AAAAAE3u7i4=")</f>
        <v>#REF!</v>
      </c>
      <c r="AV149" t="e">
        <f>AND(#REF!,"AAAAAE3u7i8=")</f>
        <v>#REF!</v>
      </c>
      <c r="AW149" t="e">
        <f>AND(#REF!,"AAAAAE3u7jA=")</f>
        <v>#REF!</v>
      </c>
      <c r="AX149" t="e">
        <f>AND(#REF!,"AAAAAE3u7jE=")</f>
        <v>#REF!</v>
      </c>
      <c r="AY149" t="e">
        <f>AND(#REF!,"AAAAAE3u7jI=")</f>
        <v>#REF!</v>
      </c>
      <c r="AZ149" t="e">
        <f>AND(#REF!,"AAAAAE3u7jM=")</f>
        <v>#REF!</v>
      </c>
      <c r="BA149" t="e">
        <f>AND(#REF!,"AAAAAE3u7jQ=")</f>
        <v>#REF!</v>
      </c>
      <c r="BB149" t="e">
        <f>AND(#REF!,"AAAAAE3u7jU=")</f>
        <v>#REF!</v>
      </c>
      <c r="BC149" t="e">
        <f>AND(#REF!,"AAAAAE3u7jY=")</f>
        <v>#REF!</v>
      </c>
      <c r="BD149" t="e">
        <f>AND(#REF!,"AAAAAE3u7jc=")</f>
        <v>#REF!</v>
      </c>
      <c r="BE149" t="e">
        <f>AND(#REF!,"AAAAAE3u7jg=")</f>
        <v>#REF!</v>
      </c>
      <c r="BF149" t="e">
        <f>AND(#REF!,"AAAAAE3u7jk=")</f>
        <v>#REF!</v>
      </c>
      <c r="BG149" t="e">
        <f>AND(#REF!,"AAAAAE3u7jo=")</f>
        <v>#REF!</v>
      </c>
      <c r="BH149" t="e">
        <f>AND(#REF!,"AAAAAE3u7js=")</f>
        <v>#REF!</v>
      </c>
      <c r="BI149" t="e">
        <f>AND(#REF!,"AAAAAE3u7jw=")</f>
        <v>#REF!</v>
      </c>
      <c r="BJ149" t="e">
        <f>AND(#REF!,"AAAAAE3u7j0=")</f>
        <v>#REF!</v>
      </c>
      <c r="BK149" t="e">
        <f>AND(#REF!,"AAAAAE3u7j4=")</f>
        <v>#REF!</v>
      </c>
      <c r="BL149" t="e">
        <f>AND(#REF!,"AAAAAE3u7j8=")</f>
        <v>#REF!</v>
      </c>
      <c r="BM149" t="e">
        <f>AND(#REF!,"AAAAAE3u7kA=")</f>
        <v>#REF!</v>
      </c>
      <c r="BN149" t="e">
        <f>AND(#REF!,"AAAAAE3u7kE=")</f>
        <v>#REF!</v>
      </c>
      <c r="BO149" t="e">
        <f>IF(#REF!,"AAAAAE3u7kI=",0)</f>
        <v>#REF!</v>
      </c>
      <c r="BP149" t="e">
        <f>AND(#REF!,"AAAAAE3u7kM=")</f>
        <v>#REF!</v>
      </c>
      <c r="BQ149" t="e">
        <f>AND(#REF!,"AAAAAE3u7kQ=")</f>
        <v>#REF!</v>
      </c>
      <c r="BR149" t="e">
        <f>AND(#REF!,"AAAAAE3u7kU=")</f>
        <v>#REF!</v>
      </c>
      <c r="BS149" t="e">
        <f>AND(#REF!,"AAAAAE3u7kY=")</f>
        <v>#REF!</v>
      </c>
      <c r="BT149" t="e">
        <f>AND(#REF!,"AAAAAE3u7kc=")</f>
        <v>#REF!</v>
      </c>
      <c r="BU149" t="e">
        <f>AND(#REF!,"AAAAAE3u7kg=")</f>
        <v>#REF!</v>
      </c>
      <c r="BV149" t="e">
        <f>AND(#REF!,"AAAAAE3u7kk=")</f>
        <v>#REF!</v>
      </c>
      <c r="BW149" t="e">
        <f>AND(#REF!,"AAAAAE3u7ko=")</f>
        <v>#REF!</v>
      </c>
      <c r="BX149" t="e">
        <f>AND(#REF!,"AAAAAE3u7ks=")</f>
        <v>#REF!</v>
      </c>
      <c r="BY149" t="e">
        <f>AND(#REF!,"AAAAAE3u7kw=")</f>
        <v>#REF!</v>
      </c>
      <c r="BZ149" t="e">
        <f>AND(#REF!,"AAAAAE3u7k0=")</f>
        <v>#REF!</v>
      </c>
      <c r="CA149" t="e">
        <f>AND(#REF!,"AAAAAE3u7k4=")</f>
        <v>#REF!</v>
      </c>
      <c r="CB149" t="e">
        <f>AND(#REF!,"AAAAAE3u7k8=")</f>
        <v>#REF!</v>
      </c>
      <c r="CC149" t="e">
        <f>AND(#REF!,"AAAAAE3u7lA=")</f>
        <v>#REF!</v>
      </c>
      <c r="CD149" t="e">
        <f>AND(#REF!,"AAAAAE3u7lE=")</f>
        <v>#REF!</v>
      </c>
      <c r="CE149" t="e">
        <f>AND(#REF!,"AAAAAE3u7lI=")</f>
        <v>#REF!</v>
      </c>
      <c r="CF149" t="e">
        <f>AND(#REF!,"AAAAAE3u7lM=")</f>
        <v>#REF!</v>
      </c>
      <c r="CG149" t="e">
        <f>AND(#REF!,"AAAAAE3u7lQ=")</f>
        <v>#REF!</v>
      </c>
      <c r="CH149" t="e">
        <f>AND(#REF!,"AAAAAE3u7lU=")</f>
        <v>#REF!</v>
      </c>
      <c r="CI149" t="e">
        <f>AND(#REF!,"AAAAAE3u7lY=")</f>
        <v>#REF!</v>
      </c>
      <c r="CJ149" t="e">
        <f>AND(#REF!,"AAAAAE3u7lc=")</f>
        <v>#REF!</v>
      </c>
      <c r="CK149" t="e">
        <f>AND(#REF!,"AAAAAE3u7lg=")</f>
        <v>#REF!</v>
      </c>
      <c r="CL149" t="e">
        <f>AND(#REF!,"AAAAAE3u7lk=")</f>
        <v>#REF!</v>
      </c>
      <c r="CM149" t="e">
        <f>AND(#REF!,"AAAAAE3u7lo=")</f>
        <v>#REF!</v>
      </c>
      <c r="CN149" t="e">
        <f>AND(#REF!,"AAAAAE3u7ls=")</f>
        <v>#REF!</v>
      </c>
      <c r="CO149" t="e">
        <f>AND(#REF!,"AAAAAE3u7lw=")</f>
        <v>#REF!</v>
      </c>
      <c r="CP149" t="e">
        <f>AND(#REF!,"AAAAAE3u7l0=")</f>
        <v>#REF!</v>
      </c>
      <c r="CQ149" t="e">
        <f>AND(#REF!,"AAAAAE3u7l4=")</f>
        <v>#REF!</v>
      </c>
      <c r="CR149" t="e">
        <f>AND(#REF!,"AAAAAE3u7l8=")</f>
        <v>#REF!</v>
      </c>
      <c r="CS149" t="e">
        <f>AND(#REF!,"AAAAAE3u7mA=")</f>
        <v>#REF!</v>
      </c>
      <c r="CT149" t="e">
        <f>AND(#REF!,"AAAAAE3u7mE=")</f>
        <v>#REF!</v>
      </c>
      <c r="CU149" t="e">
        <f>AND(#REF!,"AAAAAE3u7mI=")</f>
        <v>#REF!</v>
      </c>
      <c r="CV149" t="e">
        <f>AND(#REF!,"AAAAAE3u7mM=")</f>
        <v>#REF!</v>
      </c>
      <c r="CW149" t="e">
        <f>AND(#REF!,"AAAAAE3u7mQ=")</f>
        <v>#REF!</v>
      </c>
      <c r="CX149" t="e">
        <f>AND(#REF!,"AAAAAE3u7mU=")</f>
        <v>#REF!</v>
      </c>
      <c r="CY149" t="e">
        <f>AND(#REF!,"AAAAAE3u7mY=")</f>
        <v>#REF!</v>
      </c>
      <c r="CZ149" t="e">
        <f>AND(#REF!,"AAAAAE3u7mc=")</f>
        <v>#REF!</v>
      </c>
      <c r="DA149" t="e">
        <f>AND(#REF!,"AAAAAE3u7mg=")</f>
        <v>#REF!</v>
      </c>
      <c r="DB149" t="e">
        <f>AND(#REF!,"AAAAAE3u7mk=")</f>
        <v>#REF!</v>
      </c>
      <c r="DC149" t="e">
        <f>AND(#REF!,"AAAAAE3u7mo=")</f>
        <v>#REF!</v>
      </c>
      <c r="DD149" t="e">
        <f>AND(#REF!,"AAAAAE3u7ms=")</f>
        <v>#REF!</v>
      </c>
      <c r="DE149" t="e">
        <f>AND(#REF!,"AAAAAE3u7mw=")</f>
        <v>#REF!</v>
      </c>
      <c r="DF149" t="e">
        <f>AND(#REF!,"AAAAAE3u7m0=")</f>
        <v>#REF!</v>
      </c>
      <c r="DG149" t="e">
        <f>AND(#REF!,"AAAAAE3u7m4=")</f>
        <v>#REF!</v>
      </c>
      <c r="DH149" t="e">
        <f>AND(#REF!,"AAAAAE3u7m8=")</f>
        <v>#REF!</v>
      </c>
      <c r="DI149" t="e">
        <f>AND(#REF!,"AAAAAE3u7nA=")</f>
        <v>#REF!</v>
      </c>
      <c r="DJ149" t="e">
        <f>AND(#REF!,"AAAAAE3u7nE=")</f>
        <v>#REF!</v>
      </c>
      <c r="DK149" t="e">
        <f>AND(#REF!,"AAAAAE3u7nI=")</f>
        <v>#REF!</v>
      </c>
      <c r="DL149" t="e">
        <f>AND(#REF!,"AAAAAE3u7nM=")</f>
        <v>#REF!</v>
      </c>
      <c r="DM149" t="e">
        <f>AND(#REF!,"AAAAAE3u7nQ=")</f>
        <v>#REF!</v>
      </c>
      <c r="DN149" t="e">
        <f>AND(#REF!,"AAAAAE3u7nU=")</f>
        <v>#REF!</v>
      </c>
      <c r="DO149" t="e">
        <f>AND(#REF!,"AAAAAE3u7nY=")</f>
        <v>#REF!</v>
      </c>
      <c r="DP149" t="e">
        <f>AND(#REF!,"AAAAAE3u7nc=")</f>
        <v>#REF!</v>
      </c>
      <c r="DQ149" t="e">
        <f>AND(#REF!,"AAAAAE3u7ng=")</f>
        <v>#REF!</v>
      </c>
      <c r="DR149" t="e">
        <f>AND(#REF!,"AAAAAE3u7nk=")</f>
        <v>#REF!</v>
      </c>
      <c r="DS149" t="e">
        <f>AND(#REF!,"AAAAAE3u7no=")</f>
        <v>#REF!</v>
      </c>
      <c r="DT149" t="e">
        <f>AND(#REF!,"AAAAAE3u7ns=")</f>
        <v>#REF!</v>
      </c>
      <c r="DU149" t="e">
        <f>AND(#REF!,"AAAAAE3u7nw=")</f>
        <v>#REF!</v>
      </c>
      <c r="DV149" t="e">
        <f>AND(#REF!,"AAAAAE3u7n0=")</f>
        <v>#REF!</v>
      </c>
      <c r="DW149" t="e">
        <f>AND(#REF!,"AAAAAE3u7n4=")</f>
        <v>#REF!</v>
      </c>
      <c r="DX149" t="e">
        <f>AND(#REF!,"AAAAAE3u7n8=")</f>
        <v>#REF!</v>
      </c>
      <c r="DY149" t="e">
        <f>AND(#REF!,"AAAAAE3u7oA=")</f>
        <v>#REF!</v>
      </c>
      <c r="DZ149" t="e">
        <f>AND(#REF!,"AAAAAE3u7oE=")</f>
        <v>#REF!</v>
      </c>
      <c r="EA149" t="e">
        <f>AND(#REF!,"AAAAAE3u7oI=")</f>
        <v>#REF!</v>
      </c>
      <c r="EB149" t="e">
        <f>AND(#REF!,"AAAAAE3u7oM=")</f>
        <v>#REF!</v>
      </c>
      <c r="EC149" t="e">
        <f>AND(#REF!,"AAAAAE3u7oQ=")</f>
        <v>#REF!</v>
      </c>
      <c r="ED149" t="e">
        <f>AND(#REF!,"AAAAAE3u7oU=")</f>
        <v>#REF!</v>
      </c>
      <c r="EE149" t="e">
        <f>AND(#REF!,"AAAAAE3u7oY=")</f>
        <v>#REF!</v>
      </c>
      <c r="EF149" t="e">
        <f>AND(#REF!,"AAAAAE3u7oc=")</f>
        <v>#REF!</v>
      </c>
      <c r="EG149" t="e">
        <f>AND(#REF!,"AAAAAE3u7og=")</f>
        <v>#REF!</v>
      </c>
      <c r="EH149" t="e">
        <f>AND(#REF!,"AAAAAE3u7ok=")</f>
        <v>#REF!</v>
      </c>
      <c r="EI149" t="e">
        <f>AND(#REF!,"AAAAAE3u7oo=")</f>
        <v>#REF!</v>
      </c>
      <c r="EJ149" t="e">
        <f>AND(#REF!,"AAAAAE3u7os=")</f>
        <v>#REF!</v>
      </c>
      <c r="EK149" t="e">
        <f>AND(#REF!,"AAAAAE3u7ow=")</f>
        <v>#REF!</v>
      </c>
      <c r="EL149" t="e">
        <f>AND(#REF!,"AAAAAE3u7o0=")</f>
        <v>#REF!</v>
      </c>
      <c r="EM149" t="e">
        <f>AND(#REF!,"AAAAAE3u7o4=")</f>
        <v>#REF!</v>
      </c>
      <c r="EN149" t="e">
        <f>AND(#REF!,"AAAAAE3u7o8=")</f>
        <v>#REF!</v>
      </c>
      <c r="EO149" t="e">
        <f>AND(#REF!,"AAAAAE3u7pA=")</f>
        <v>#REF!</v>
      </c>
      <c r="EP149" t="e">
        <f>AND(#REF!,"AAAAAE3u7pE=")</f>
        <v>#REF!</v>
      </c>
      <c r="EQ149" t="e">
        <f>AND(#REF!,"AAAAAE3u7pI=")</f>
        <v>#REF!</v>
      </c>
      <c r="ER149" t="e">
        <f>AND(#REF!,"AAAAAE3u7pM=")</f>
        <v>#REF!</v>
      </c>
      <c r="ES149" t="e">
        <f>AND(#REF!,"AAAAAE3u7pQ=")</f>
        <v>#REF!</v>
      </c>
      <c r="ET149" t="e">
        <f>AND(#REF!,"AAAAAE3u7pU=")</f>
        <v>#REF!</v>
      </c>
      <c r="EU149" t="e">
        <f>AND(#REF!,"AAAAAE3u7pY=")</f>
        <v>#REF!</v>
      </c>
      <c r="EV149" t="e">
        <f>AND(#REF!,"AAAAAE3u7pc=")</f>
        <v>#REF!</v>
      </c>
      <c r="EW149" t="e">
        <f>AND(#REF!,"AAAAAE3u7pg=")</f>
        <v>#REF!</v>
      </c>
      <c r="EX149" t="e">
        <f>AND(#REF!,"AAAAAE3u7pk=")</f>
        <v>#REF!</v>
      </c>
      <c r="EY149" t="e">
        <f>AND(#REF!,"AAAAAE3u7po=")</f>
        <v>#REF!</v>
      </c>
      <c r="EZ149" t="e">
        <f>AND(#REF!,"AAAAAE3u7ps=")</f>
        <v>#REF!</v>
      </c>
      <c r="FA149" t="e">
        <f>AND(#REF!,"AAAAAE3u7pw=")</f>
        <v>#REF!</v>
      </c>
      <c r="FB149" t="e">
        <f>AND(#REF!,"AAAAAE3u7p0=")</f>
        <v>#REF!</v>
      </c>
      <c r="FC149" t="e">
        <f>AND(#REF!,"AAAAAE3u7p4=")</f>
        <v>#REF!</v>
      </c>
      <c r="FD149" t="e">
        <f>AND(#REF!,"AAAAAE3u7p8=")</f>
        <v>#REF!</v>
      </c>
      <c r="FE149" t="e">
        <f>AND(#REF!,"AAAAAE3u7qA=")</f>
        <v>#REF!</v>
      </c>
      <c r="FF149" t="e">
        <f>AND(#REF!,"AAAAAE3u7qE=")</f>
        <v>#REF!</v>
      </c>
      <c r="FG149" t="e">
        <f>AND(#REF!,"AAAAAE3u7qI=")</f>
        <v>#REF!</v>
      </c>
      <c r="FH149" t="e">
        <f>AND(#REF!,"AAAAAE3u7qM=")</f>
        <v>#REF!</v>
      </c>
      <c r="FI149" t="e">
        <f>AND(#REF!,"AAAAAE3u7qQ=")</f>
        <v>#REF!</v>
      </c>
      <c r="FJ149" t="e">
        <f>AND(#REF!,"AAAAAE3u7qU=")</f>
        <v>#REF!</v>
      </c>
      <c r="FK149" t="e">
        <f>AND(#REF!,"AAAAAE3u7qY=")</f>
        <v>#REF!</v>
      </c>
      <c r="FL149" t="e">
        <f>AND(#REF!,"AAAAAE3u7qc=")</f>
        <v>#REF!</v>
      </c>
      <c r="FM149" t="e">
        <f>AND(#REF!,"AAAAAE3u7qg=")</f>
        <v>#REF!</v>
      </c>
      <c r="FN149" t="e">
        <f>AND(#REF!,"AAAAAE3u7qk=")</f>
        <v>#REF!</v>
      </c>
      <c r="FO149" t="e">
        <f>AND(#REF!,"AAAAAE3u7qo=")</f>
        <v>#REF!</v>
      </c>
      <c r="FP149" t="e">
        <f>AND(#REF!,"AAAAAE3u7qs=")</f>
        <v>#REF!</v>
      </c>
      <c r="FQ149" t="e">
        <f>AND(#REF!,"AAAAAE3u7qw=")</f>
        <v>#REF!</v>
      </c>
      <c r="FR149" t="e">
        <f>AND(#REF!,"AAAAAE3u7q0=")</f>
        <v>#REF!</v>
      </c>
      <c r="FS149" t="e">
        <f>AND(#REF!,"AAAAAE3u7q4=")</f>
        <v>#REF!</v>
      </c>
      <c r="FT149" t="e">
        <f>AND(#REF!,"AAAAAE3u7q8=")</f>
        <v>#REF!</v>
      </c>
      <c r="FU149" t="e">
        <f>AND(#REF!,"AAAAAE3u7rA=")</f>
        <v>#REF!</v>
      </c>
      <c r="FV149" t="e">
        <f>AND(#REF!,"AAAAAE3u7rE=")</f>
        <v>#REF!</v>
      </c>
      <c r="FW149" t="e">
        <f>AND(#REF!,"AAAAAE3u7rI=")</f>
        <v>#REF!</v>
      </c>
      <c r="FX149" t="e">
        <f>AND(#REF!,"AAAAAE3u7rM=")</f>
        <v>#REF!</v>
      </c>
      <c r="FY149" t="e">
        <f>AND(#REF!,"AAAAAE3u7rQ=")</f>
        <v>#REF!</v>
      </c>
      <c r="FZ149" t="e">
        <f>AND(#REF!,"AAAAAE3u7rU=")</f>
        <v>#REF!</v>
      </c>
      <c r="GA149" t="e">
        <f>AND(#REF!,"AAAAAE3u7rY=")</f>
        <v>#REF!</v>
      </c>
      <c r="GB149" t="e">
        <f>AND(#REF!,"AAAAAE3u7rc=")</f>
        <v>#REF!</v>
      </c>
      <c r="GC149" t="e">
        <f>AND(#REF!,"AAAAAE3u7rg=")</f>
        <v>#REF!</v>
      </c>
      <c r="GD149" t="e">
        <f>AND(#REF!,"AAAAAE3u7rk=")</f>
        <v>#REF!</v>
      </c>
      <c r="GE149" t="e">
        <f>AND(#REF!,"AAAAAE3u7ro=")</f>
        <v>#REF!</v>
      </c>
      <c r="GF149" t="e">
        <f>AND(#REF!,"AAAAAE3u7rs=")</f>
        <v>#REF!</v>
      </c>
      <c r="GG149" t="e">
        <f>AND(#REF!,"AAAAAE3u7rw=")</f>
        <v>#REF!</v>
      </c>
      <c r="GH149" t="e">
        <f>AND(#REF!,"AAAAAE3u7r0=")</f>
        <v>#REF!</v>
      </c>
      <c r="GI149" t="e">
        <f>AND(#REF!,"AAAAAE3u7r4=")</f>
        <v>#REF!</v>
      </c>
      <c r="GJ149" t="e">
        <f>AND(#REF!,"AAAAAE3u7r8=")</f>
        <v>#REF!</v>
      </c>
      <c r="GK149" t="e">
        <f>AND(#REF!,"AAAAAE3u7sA=")</f>
        <v>#REF!</v>
      </c>
      <c r="GL149" t="e">
        <f>AND(#REF!,"AAAAAE3u7sE=")</f>
        <v>#REF!</v>
      </c>
      <c r="GM149" t="e">
        <f>AND(#REF!,"AAAAAE3u7sI=")</f>
        <v>#REF!</v>
      </c>
      <c r="GN149" t="e">
        <f>AND(#REF!,"AAAAAE3u7sM=")</f>
        <v>#REF!</v>
      </c>
      <c r="GO149" t="e">
        <f>AND(#REF!,"AAAAAE3u7sQ=")</f>
        <v>#REF!</v>
      </c>
      <c r="GP149" t="e">
        <f>AND(#REF!,"AAAAAE3u7sU=")</f>
        <v>#REF!</v>
      </c>
      <c r="GQ149" t="e">
        <f>AND(#REF!,"AAAAAE3u7sY=")</f>
        <v>#REF!</v>
      </c>
      <c r="GR149" t="e">
        <f>AND(#REF!,"AAAAAE3u7sc=")</f>
        <v>#REF!</v>
      </c>
      <c r="GS149" t="e">
        <f>AND(#REF!,"AAAAAE3u7sg=")</f>
        <v>#REF!</v>
      </c>
      <c r="GT149" t="e">
        <f>AND(#REF!,"AAAAAE3u7sk=")</f>
        <v>#REF!</v>
      </c>
      <c r="GU149" t="e">
        <f>AND(#REF!,"AAAAAE3u7so=")</f>
        <v>#REF!</v>
      </c>
      <c r="GV149" t="e">
        <f>AND(#REF!,"AAAAAE3u7ss=")</f>
        <v>#REF!</v>
      </c>
      <c r="GW149" t="e">
        <f>AND(#REF!,"AAAAAE3u7sw=")</f>
        <v>#REF!</v>
      </c>
      <c r="GX149" t="e">
        <f>AND(#REF!,"AAAAAE3u7s0=")</f>
        <v>#REF!</v>
      </c>
      <c r="GY149" t="e">
        <f>AND(#REF!,"AAAAAE3u7s4=")</f>
        <v>#REF!</v>
      </c>
      <c r="GZ149" t="e">
        <f>AND(#REF!,"AAAAAE3u7s8=")</f>
        <v>#REF!</v>
      </c>
      <c r="HA149" t="e">
        <f>AND(#REF!,"AAAAAE3u7tA=")</f>
        <v>#REF!</v>
      </c>
      <c r="HB149" t="e">
        <f>AND(#REF!,"AAAAAE3u7tE=")</f>
        <v>#REF!</v>
      </c>
      <c r="HC149" t="e">
        <f>AND(#REF!,"AAAAAE3u7tI=")</f>
        <v>#REF!</v>
      </c>
      <c r="HD149" t="e">
        <f>AND(#REF!,"AAAAAE3u7tM=")</f>
        <v>#REF!</v>
      </c>
      <c r="HE149" t="e">
        <f>AND(#REF!,"AAAAAE3u7tQ=")</f>
        <v>#REF!</v>
      </c>
      <c r="HF149" t="e">
        <f>AND(#REF!,"AAAAAE3u7tU=")</f>
        <v>#REF!</v>
      </c>
      <c r="HG149" t="e">
        <f>AND(#REF!,"AAAAAE3u7tY=")</f>
        <v>#REF!</v>
      </c>
      <c r="HH149" t="e">
        <f>AND(#REF!,"AAAAAE3u7tc=")</f>
        <v>#REF!</v>
      </c>
      <c r="HI149" t="e">
        <f>AND(#REF!,"AAAAAE3u7tg=")</f>
        <v>#REF!</v>
      </c>
      <c r="HJ149" t="e">
        <f>AND(#REF!,"AAAAAE3u7tk=")</f>
        <v>#REF!</v>
      </c>
      <c r="HK149" t="e">
        <f>AND(#REF!,"AAAAAE3u7to=")</f>
        <v>#REF!</v>
      </c>
      <c r="HL149" t="e">
        <f>AND(#REF!,"AAAAAE3u7ts=")</f>
        <v>#REF!</v>
      </c>
      <c r="HM149" t="e">
        <f>AND(#REF!,"AAAAAE3u7tw=")</f>
        <v>#REF!</v>
      </c>
      <c r="HN149" t="e">
        <f>AND(#REF!,"AAAAAE3u7t0=")</f>
        <v>#REF!</v>
      </c>
      <c r="HO149" t="e">
        <f>AND(#REF!,"AAAAAE3u7t4=")</f>
        <v>#REF!</v>
      </c>
      <c r="HP149" t="e">
        <f>AND(#REF!,"AAAAAE3u7t8=")</f>
        <v>#REF!</v>
      </c>
      <c r="HQ149" t="e">
        <f>AND(#REF!,"AAAAAE3u7uA=")</f>
        <v>#REF!</v>
      </c>
      <c r="HR149" t="e">
        <f>AND(#REF!,"AAAAAE3u7uE=")</f>
        <v>#REF!</v>
      </c>
      <c r="HS149" t="e">
        <f>AND(#REF!,"AAAAAE3u7uI=")</f>
        <v>#REF!</v>
      </c>
      <c r="HT149" t="e">
        <f>AND(#REF!,"AAAAAE3u7uM=")</f>
        <v>#REF!</v>
      </c>
      <c r="HU149" t="e">
        <f>AND(#REF!,"AAAAAE3u7uQ=")</f>
        <v>#REF!</v>
      </c>
      <c r="HV149" t="e">
        <f>AND(#REF!,"AAAAAE3u7uU=")</f>
        <v>#REF!</v>
      </c>
      <c r="HW149" t="e">
        <f>AND(#REF!,"AAAAAE3u7uY=")</f>
        <v>#REF!</v>
      </c>
      <c r="HX149" t="e">
        <f>AND(#REF!,"AAAAAE3u7uc=")</f>
        <v>#REF!</v>
      </c>
      <c r="HY149" t="e">
        <f>AND(#REF!,"AAAAAE3u7ug=")</f>
        <v>#REF!</v>
      </c>
      <c r="HZ149" t="e">
        <f>AND(#REF!,"AAAAAE3u7uk=")</f>
        <v>#REF!</v>
      </c>
      <c r="IA149" t="e">
        <f>AND(#REF!,"AAAAAE3u7uo=")</f>
        <v>#REF!</v>
      </c>
      <c r="IB149" t="e">
        <f>AND(#REF!,"AAAAAE3u7us=")</f>
        <v>#REF!</v>
      </c>
      <c r="IC149" t="e">
        <f>AND(#REF!,"AAAAAE3u7uw=")</f>
        <v>#REF!</v>
      </c>
      <c r="ID149" t="e">
        <f>AND(#REF!,"AAAAAE3u7u0=")</f>
        <v>#REF!</v>
      </c>
      <c r="IE149" t="e">
        <f>AND(#REF!,"AAAAAE3u7u4=")</f>
        <v>#REF!</v>
      </c>
      <c r="IF149" t="e">
        <f>AND(#REF!,"AAAAAE3u7u8=")</f>
        <v>#REF!</v>
      </c>
      <c r="IG149" t="e">
        <f>AND(#REF!,"AAAAAE3u7vA=")</f>
        <v>#REF!</v>
      </c>
      <c r="IH149" t="e">
        <f>AND(#REF!,"AAAAAE3u7vE=")</f>
        <v>#REF!</v>
      </c>
      <c r="II149" t="e">
        <f>AND(#REF!,"AAAAAE3u7vI=")</f>
        <v>#REF!</v>
      </c>
      <c r="IJ149" t="e">
        <f>AND(#REF!,"AAAAAE3u7vM=")</f>
        <v>#REF!</v>
      </c>
      <c r="IK149" t="e">
        <f>AND(#REF!,"AAAAAE3u7vQ=")</f>
        <v>#REF!</v>
      </c>
      <c r="IL149" t="e">
        <f>AND(#REF!,"AAAAAE3u7vU=")</f>
        <v>#REF!</v>
      </c>
      <c r="IM149" t="e">
        <f>AND(#REF!,"AAAAAE3u7vY=")</f>
        <v>#REF!</v>
      </c>
      <c r="IN149" t="e">
        <f>AND(#REF!,"AAAAAE3u7vc=")</f>
        <v>#REF!</v>
      </c>
      <c r="IO149" t="e">
        <f>AND(#REF!,"AAAAAE3u7vg=")</f>
        <v>#REF!</v>
      </c>
      <c r="IP149" t="e">
        <f>AND(#REF!,"AAAAAE3u7vk=")</f>
        <v>#REF!</v>
      </c>
      <c r="IQ149" t="e">
        <f>AND(#REF!,"AAAAAE3u7vo=")</f>
        <v>#REF!</v>
      </c>
      <c r="IR149" t="e">
        <f>AND(#REF!,"AAAAAE3u7vs=")</f>
        <v>#REF!</v>
      </c>
      <c r="IS149" t="e">
        <f>AND(#REF!,"AAAAAE3u7vw=")</f>
        <v>#REF!</v>
      </c>
      <c r="IT149" t="e">
        <f>AND(#REF!,"AAAAAE3u7v0=")</f>
        <v>#REF!</v>
      </c>
      <c r="IU149" t="e">
        <f>AND(#REF!,"AAAAAE3u7v4=")</f>
        <v>#REF!</v>
      </c>
      <c r="IV149" t="e">
        <f>IF(#REF!,"AAAAAE3u7v8=",0)</f>
        <v>#REF!</v>
      </c>
    </row>
    <row r="150" spans="1:256" x14ac:dyDescent="0.25">
      <c r="A150" t="e">
        <f>AND(#REF!,"AAAAAHGfuAA=")</f>
        <v>#REF!</v>
      </c>
      <c r="B150" t="e">
        <f>AND(#REF!,"AAAAAHGfuAE=")</f>
        <v>#REF!</v>
      </c>
      <c r="C150" t="e">
        <f>AND(#REF!,"AAAAAHGfuAI=")</f>
        <v>#REF!</v>
      </c>
      <c r="D150" t="e">
        <f>AND(#REF!,"AAAAAHGfuAM=")</f>
        <v>#REF!</v>
      </c>
      <c r="E150" t="e">
        <f>AND(#REF!,"AAAAAHGfuAQ=")</f>
        <v>#REF!</v>
      </c>
      <c r="F150" t="e">
        <f>AND(#REF!,"AAAAAHGfuAU=")</f>
        <v>#REF!</v>
      </c>
      <c r="G150" t="e">
        <f>AND(#REF!,"AAAAAHGfuAY=")</f>
        <v>#REF!</v>
      </c>
      <c r="H150" t="e">
        <f>AND(#REF!,"AAAAAHGfuAc=")</f>
        <v>#REF!</v>
      </c>
      <c r="I150" t="e">
        <f>AND(#REF!,"AAAAAHGfuAg=")</f>
        <v>#REF!</v>
      </c>
      <c r="J150" t="e">
        <f>AND(#REF!,"AAAAAHGfuAk=")</f>
        <v>#REF!</v>
      </c>
      <c r="K150" t="e">
        <f>AND(#REF!,"AAAAAHGfuAo=")</f>
        <v>#REF!</v>
      </c>
      <c r="L150" t="e">
        <f>AND(#REF!,"AAAAAHGfuAs=")</f>
        <v>#REF!</v>
      </c>
      <c r="M150" t="e">
        <f>AND(#REF!,"AAAAAHGfuAw=")</f>
        <v>#REF!</v>
      </c>
      <c r="N150" t="e">
        <f>AND(#REF!,"AAAAAHGfuA0=")</f>
        <v>#REF!</v>
      </c>
      <c r="O150" t="e">
        <f>AND(#REF!,"AAAAAHGfuA4=")</f>
        <v>#REF!</v>
      </c>
      <c r="P150" t="e">
        <f>AND(#REF!,"AAAAAHGfuA8=")</f>
        <v>#REF!</v>
      </c>
      <c r="Q150" t="e">
        <f>AND(#REF!,"AAAAAHGfuBA=")</f>
        <v>#REF!</v>
      </c>
      <c r="R150" t="e">
        <f>AND(#REF!,"AAAAAHGfuBE=")</f>
        <v>#REF!</v>
      </c>
      <c r="S150" t="e">
        <f>AND(#REF!,"AAAAAHGfuBI=")</f>
        <v>#REF!</v>
      </c>
      <c r="T150" t="e">
        <f>AND(#REF!,"AAAAAHGfuBM=")</f>
        <v>#REF!</v>
      </c>
      <c r="U150" t="e">
        <f>AND(#REF!,"AAAAAHGfuBQ=")</f>
        <v>#REF!</v>
      </c>
      <c r="V150" t="e">
        <f>AND(#REF!,"AAAAAHGfuBU=")</f>
        <v>#REF!</v>
      </c>
      <c r="W150" t="e">
        <f>AND(#REF!,"AAAAAHGfuBY=")</f>
        <v>#REF!</v>
      </c>
      <c r="X150" t="e">
        <f>AND(#REF!,"AAAAAHGfuBc=")</f>
        <v>#REF!</v>
      </c>
      <c r="Y150" t="e">
        <f>AND(#REF!,"AAAAAHGfuBg=")</f>
        <v>#REF!</v>
      </c>
      <c r="Z150" t="e">
        <f>AND(#REF!,"AAAAAHGfuBk=")</f>
        <v>#REF!</v>
      </c>
      <c r="AA150" t="e">
        <f>AND(#REF!,"AAAAAHGfuBo=")</f>
        <v>#REF!</v>
      </c>
      <c r="AB150" t="e">
        <f>AND(#REF!,"AAAAAHGfuBs=")</f>
        <v>#REF!</v>
      </c>
      <c r="AC150" t="e">
        <f>AND(#REF!,"AAAAAHGfuBw=")</f>
        <v>#REF!</v>
      </c>
      <c r="AD150" t="e">
        <f>AND(#REF!,"AAAAAHGfuB0=")</f>
        <v>#REF!</v>
      </c>
      <c r="AE150" t="e">
        <f>AND(#REF!,"AAAAAHGfuB4=")</f>
        <v>#REF!</v>
      </c>
      <c r="AF150" t="e">
        <f>AND(#REF!,"AAAAAHGfuB8=")</f>
        <v>#REF!</v>
      </c>
      <c r="AG150" t="e">
        <f>AND(#REF!,"AAAAAHGfuCA=")</f>
        <v>#REF!</v>
      </c>
      <c r="AH150" t="e">
        <f>AND(#REF!,"AAAAAHGfuCE=")</f>
        <v>#REF!</v>
      </c>
      <c r="AI150" t="e">
        <f>AND(#REF!,"AAAAAHGfuCI=")</f>
        <v>#REF!</v>
      </c>
      <c r="AJ150" t="e">
        <f>AND(#REF!,"AAAAAHGfuCM=")</f>
        <v>#REF!</v>
      </c>
      <c r="AK150" t="e">
        <f>AND(#REF!,"AAAAAHGfuCQ=")</f>
        <v>#REF!</v>
      </c>
      <c r="AL150" t="e">
        <f>AND(#REF!,"AAAAAHGfuCU=")</f>
        <v>#REF!</v>
      </c>
      <c r="AM150" t="e">
        <f>AND(#REF!,"AAAAAHGfuCY=")</f>
        <v>#REF!</v>
      </c>
      <c r="AN150" t="e">
        <f>AND(#REF!,"AAAAAHGfuCc=")</f>
        <v>#REF!</v>
      </c>
      <c r="AO150" t="e">
        <f>AND(#REF!,"AAAAAHGfuCg=")</f>
        <v>#REF!</v>
      </c>
      <c r="AP150" t="e">
        <f>AND(#REF!,"AAAAAHGfuCk=")</f>
        <v>#REF!</v>
      </c>
      <c r="AQ150" t="e">
        <f>AND(#REF!,"AAAAAHGfuCo=")</f>
        <v>#REF!</v>
      </c>
      <c r="AR150" t="e">
        <f>AND(#REF!,"AAAAAHGfuCs=")</f>
        <v>#REF!</v>
      </c>
      <c r="AS150" t="e">
        <f>AND(#REF!,"AAAAAHGfuCw=")</f>
        <v>#REF!</v>
      </c>
      <c r="AT150" t="e">
        <f>AND(#REF!,"AAAAAHGfuC0=")</f>
        <v>#REF!</v>
      </c>
      <c r="AU150" t="e">
        <f>AND(#REF!,"AAAAAHGfuC4=")</f>
        <v>#REF!</v>
      </c>
      <c r="AV150" t="e">
        <f>AND(#REF!,"AAAAAHGfuC8=")</f>
        <v>#REF!</v>
      </c>
      <c r="AW150" t="e">
        <f>AND(#REF!,"AAAAAHGfuDA=")</f>
        <v>#REF!</v>
      </c>
      <c r="AX150" t="e">
        <f>AND(#REF!,"AAAAAHGfuDE=")</f>
        <v>#REF!</v>
      </c>
      <c r="AY150" t="e">
        <f>AND(#REF!,"AAAAAHGfuDI=")</f>
        <v>#REF!</v>
      </c>
      <c r="AZ150" t="e">
        <f>AND(#REF!,"AAAAAHGfuDM=")</f>
        <v>#REF!</v>
      </c>
      <c r="BA150" t="e">
        <f>AND(#REF!,"AAAAAHGfuDQ=")</f>
        <v>#REF!</v>
      </c>
      <c r="BB150" t="e">
        <f>AND(#REF!,"AAAAAHGfuDU=")</f>
        <v>#REF!</v>
      </c>
      <c r="BC150" t="e">
        <f>AND(#REF!,"AAAAAHGfuDY=")</f>
        <v>#REF!</v>
      </c>
      <c r="BD150" t="e">
        <f>AND(#REF!,"AAAAAHGfuDc=")</f>
        <v>#REF!</v>
      </c>
      <c r="BE150" t="e">
        <f>AND(#REF!,"AAAAAHGfuDg=")</f>
        <v>#REF!</v>
      </c>
      <c r="BF150" t="e">
        <f>AND(#REF!,"AAAAAHGfuDk=")</f>
        <v>#REF!</v>
      </c>
      <c r="BG150" t="e">
        <f>AND(#REF!,"AAAAAHGfuDo=")</f>
        <v>#REF!</v>
      </c>
      <c r="BH150" t="e">
        <f>AND(#REF!,"AAAAAHGfuDs=")</f>
        <v>#REF!</v>
      </c>
      <c r="BI150" t="e">
        <f>AND(#REF!,"AAAAAHGfuDw=")</f>
        <v>#REF!</v>
      </c>
      <c r="BJ150" t="e">
        <f>AND(#REF!,"AAAAAHGfuD0=")</f>
        <v>#REF!</v>
      </c>
      <c r="BK150" t="e">
        <f>AND(#REF!,"AAAAAHGfuD4=")</f>
        <v>#REF!</v>
      </c>
      <c r="BL150" t="e">
        <f>AND(#REF!,"AAAAAHGfuD8=")</f>
        <v>#REF!</v>
      </c>
      <c r="BM150" t="e">
        <f>AND(#REF!,"AAAAAHGfuEA=")</f>
        <v>#REF!</v>
      </c>
      <c r="BN150" t="e">
        <f>AND(#REF!,"AAAAAHGfuEE=")</f>
        <v>#REF!</v>
      </c>
      <c r="BO150" t="e">
        <f>AND(#REF!,"AAAAAHGfuEI=")</f>
        <v>#REF!</v>
      </c>
      <c r="BP150" t="e">
        <f>AND(#REF!,"AAAAAHGfuEM=")</f>
        <v>#REF!</v>
      </c>
      <c r="BQ150" t="e">
        <f>AND(#REF!,"AAAAAHGfuEQ=")</f>
        <v>#REF!</v>
      </c>
      <c r="BR150" t="e">
        <f>AND(#REF!,"AAAAAHGfuEU=")</f>
        <v>#REF!</v>
      </c>
      <c r="BS150" t="e">
        <f>AND(#REF!,"AAAAAHGfuEY=")</f>
        <v>#REF!</v>
      </c>
      <c r="BT150" t="e">
        <f>AND(#REF!,"AAAAAHGfuEc=")</f>
        <v>#REF!</v>
      </c>
      <c r="BU150" t="e">
        <f>AND(#REF!,"AAAAAHGfuEg=")</f>
        <v>#REF!</v>
      </c>
      <c r="BV150" t="e">
        <f>AND(#REF!,"AAAAAHGfuEk=")</f>
        <v>#REF!</v>
      </c>
      <c r="BW150" t="e">
        <f>AND(#REF!,"AAAAAHGfuEo=")</f>
        <v>#REF!</v>
      </c>
      <c r="BX150" t="e">
        <f>AND(#REF!,"AAAAAHGfuEs=")</f>
        <v>#REF!</v>
      </c>
      <c r="BY150" t="e">
        <f>AND(#REF!,"AAAAAHGfuEw=")</f>
        <v>#REF!</v>
      </c>
      <c r="BZ150" t="e">
        <f>AND(#REF!,"AAAAAHGfuE0=")</f>
        <v>#REF!</v>
      </c>
      <c r="CA150" t="e">
        <f>AND(#REF!,"AAAAAHGfuE4=")</f>
        <v>#REF!</v>
      </c>
      <c r="CB150" t="e">
        <f>AND(#REF!,"AAAAAHGfuE8=")</f>
        <v>#REF!</v>
      </c>
      <c r="CC150" t="e">
        <f>AND(#REF!,"AAAAAHGfuFA=")</f>
        <v>#REF!</v>
      </c>
      <c r="CD150" t="e">
        <f>AND(#REF!,"AAAAAHGfuFE=")</f>
        <v>#REF!</v>
      </c>
      <c r="CE150" t="e">
        <f>AND(#REF!,"AAAAAHGfuFI=")</f>
        <v>#REF!</v>
      </c>
      <c r="CF150" t="e">
        <f>AND(#REF!,"AAAAAHGfuFM=")</f>
        <v>#REF!</v>
      </c>
      <c r="CG150" t="e">
        <f>AND(#REF!,"AAAAAHGfuFQ=")</f>
        <v>#REF!</v>
      </c>
      <c r="CH150" t="e">
        <f>AND(#REF!,"AAAAAHGfuFU=")</f>
        <v>#REF!</v>
      </c>
      <c r="CI150" t="e">
        <f>AND(#REF!,"AAAAAHGfuFY=")</f>
        <v>#REF!</v>
      </c>
      <c r="CJ150" t="e">
        <f>AND(#REF!,"AAAAAHGfuFc=")</f>
        <v>#REF!</v>
      </c>
      <c r="CK150" t="e">
        <f>AND(#REF!,"AAAAAHGfuFg=")</f>
        <v>#REF!</v>
      </c>
      <c r="CL150" t="e">
        <f>AND(#REF!,"AAAAAHGfuFk=")</f>
        <v>#REF!</v>
      </c>
      <c r="CM150" t="e">
        <f>AND(#REF!,"AAAAAHGfuFo=")</f>
        <v>#REF!</v>
      </c>
      <c r="CN150" t="e">
        <f>AND(#REF!,"AAAAAHGfuFs=")</f>
        <v>#REF!</v>
      </c>
      <c r="CO150" t="e">
        <f>AND(#REF!,"AAAAAHGfuFw=")</f>
        <v>#REF!</v>
      </c>
      <c r="CP150" t="e">
        <f>AND(#REF!,"AAAAAHGfuF0=")</f>
        <v>#REF!</v>
      </c>
      <c r="CQ150" t="e">
        <f>AND(#REF!,"AAAAAHGfuF4=")</f>
        <v>#REF!</v>
      </c>
      <c r="CR150" t="e">
        <f>AND(#REF!,"AAAAAHGfuF8=")</f>
        <v>#REF!</v>
      </c>
      <c r="CS150" t="e">
        <f>AND(#REF!,"AAAAAHGfuGA=")</f>
        <v>#REF!</v>
      </c>
      <c r="CT150" t="e">
        <f>AND(#REF!,"AAAAAHGfuGE=")</f>
        <v>#REF!</v>
      </c>
      <c r="CU150" t="e">
        <f>AND(#REF!,"AAAAAHGfuGI=")</f>
        <v>#REF!</v>
      </c>
      <c r="CV150" t="e">
        <f>AND(#REF!,"AAAAAHGfuGM=")</f>
        <v>#REF!</v>
      </c>
      <c r="CW150" t="e">
        <f>AND(#REF!,"AAAAAHGfuGQ=")</f>
        <v>#REF!</v>
      </c>
      <c r="CX150" t="e">
        <f>AND(#REF!,"AAAAAHGfuGU=")</f>
        <v>#REF!</v>
      </c>
      <c r="CY150" t="e">
        <f>AND(#REF!,"AAAAAHGfuGY=")</f>
        <v>#REF!</v>
      </c>
      <c r="CZ150" t="e">
        <f>AND(#REF!,"AAAAAHGfuGc=")</f>
        <v>#REF!</v>
      </c>
      <c r="DA150" t="e">
        <f>AND(#REF!,"AAAAAHGfuGg=")</f>
        <v>#REF!</v>
      </c>
      <c r="DB150" t="e">
        <f>AND(#REF!,"AAAAAHGfuGk=")</f>
        <v>#REF!</v>
      </c>
      <c r="DC150" t="e">
        <f>AND(#REF!,"AAAAAHGfuGo=")</f>
        <v>#REF!</v>
      </c>
      <c r="DD150" t="e">
        <f>AND(#REF!,"AAAAAHGfuGs=")</f>
        <v>#REF!</v>
      </c>
      <c r="DE150" t="e">
        <f>AND(#REF!,"AAAAAHGfuGw=")</f>
        <v>#REF!</v>
      </c>
      <c r="DF150" t="e">
        <f>AND(#REF!,"AAAAAHGfuG0=")</f>
        <v>#REF!</v>
      </c>
      <c r="DG150" t="e">
        <f>AND(#REF!,"AAAAAHGfuG4=")</f>
        <v>#REF!</v>
      </c>
      <c r="DH150" t="e">
        <f>AND(#REF!,"AAAAAHGfuG8=")</f>
        <v>#REF!</v>
      </c>
      <c r="DI150" t="e">
        <f>AND(#REF!,"AAAAAHGfuHA=")</f>
        <v>#REF!</v>
      </c>
      <c r="DJ150" t="e">
        <f>AND(#REF!,"AAAAAHGfuHE=")</f>
        <v>#REF!</v>
      </c>
      <c r="DK150" t="e">
        <f>AND(#REF!,"AAAAAHGfuHI=")</f>
        <v>#REF!</v>
      </c>
      <c r="DL150" t="e">
        <f>AND(#REF!,"AAAAAHGfuHM=")</f>
        <v>#REF!</v>
      </c>
      <c r="DM150" t="e">
        <f>AND(#REF!,"AAAAAHGfuHQ=")</f>
        <v>#REF!</v>
      </c>
      <c r="DN150" t="e">
        <f>AND(#REF!,"AAAAAHGfuHU=")</f>
        <v>#REF!</v>
      </c>
      <c r="DO150" t="e">
        <f>AND(#REF!,"AAAAAHGfuHY=")</f>
        <v>#REF!</v>
      </c>
      <c r="DP150" t="e">
        <f>AND(#REF!,"AAAAAHGfuHc=")</f>
        <v>#REF!</v>
      </c>
      <c r="DQ150" t="e">
        <f>AND(#REF!,"AAAAAHGfuHg=")</f>
        <v>#REF!</v>
      </c>
      <c r="DR150" t="e">
        <f>AND(#REF!,"AAAAAHGfuHk=")</f>
        <v>#REF!</v>
      </c>
      <c r="DS150" t="e">
        <f>AND(#REF!,"AAAAAHGfuHo=")</f>
        <v>#REF!</v>
      </c>
      <c r="DT150" t="e">
        <f>AND(#REF!,"AAAAAHGfuHs=")</f>
        <v>#REF!</v>
      </c>
      <c r="DU150" t="e">
        <f>AND(#REF!,"AAAAAHGfuHw=")</f>
        <v>#REF!</v>
      </c>
      <c r="DV150" t="e">
        <f>AND(#REF!,"AAAAAHGfuH0=")</f>
        <v>#REF!</v>
      </c>
      <c r="DW150" t="e">
        <f>AND(#REF!,"AAAAAHGfuH4=")</f>
        <v>#REF!</v>
      </c>
      <c r="DX150" t="e">
        <f>AND(#REF!,"AAAAAHGfuH8=")</f>
        <v>#REF!</v>
      </c>
      <c r="DY150" t="e">
        <f>AND(#REF!,"AAAAAHGfuIA=")</f>
        <v>#REF!</v>
      </c>
      <c r="DZ150" t="e">
        <f>AND(#REF!,"AAAAAHGfuIE=")</f>
        <v>#REF!</v>
      </c>
      <c r="EA150" t="e">
        <f>AND(#REF!,"AAAAAHGfuII=")</f>
        <v>#REF!</v>
      </c>
      <c r="EB150" t="e">
        <f>AND(#REF!,"AAAAAHGfuIM=")</f>
        <v>#REF!</v>
      </c>
      <c r="EC150" t="e">
        <f>AND(#REF!,"AAAAAHGfuIQ=")</f>
        <v>#REF!</v>
      </c>
      <c r="ED150" t="e">
        <f>AND(#REF!,"AAAAAHGfuIU=")</f>
        <v>#REF!</v>
      </c>
      <c r="EE150" t="e">
        <f>AND(#REF!,"AAAAAHGfuIY=")</f>
        <v>#REF!</v>
      </c>
      <c r="EF150" t="e">
        <f>AND(#REF!,"AAAAAHGfuIc=")</f>
        <v>#REF!</v>
      </c>
      <c r="EG150" t="e">
        <f>AND(#REF!,"AAAAAHGfuIg=")</f>
        <v>#REF!</v>
      </c>
      <c r="EH150" t="e">
        <f>AND(#REF!,"AAAAAHGfuIk=")</f>
        <v>#REF!</v>
      </c>
      <c r="EI150" t="e">
        <f>AND(#REF!,"AAAAAHGfuIo=")</f>
        <v>#REF!</v>
      </c>
      <c r="EJ150" t="e">
        <f>AND(#REF!,"AAAAAHGfuIs=")</f>
        <v>#REF!</v>
      </c>
      <c r="EK150" t="e">
        <f>AND(#REF!,"AAAAAHGfuIw=")</f>
        <v>#REF!</v>
      </c>
      <c r="EL150" t="e">
        <f>AND(#REF!,"AAAAAHGfuI0=")</f>
        <v>#REF!</v>
      </c>
      <c r="EM150" t="e">
        <f>AND(#REF!,"AAAAAHGfuI4=")</f>
        <v>#REF!</v>
      </c>
      <c r="EN150" t="e">
        <f>AND(#REF!,"AAAAAHGfuI8=")</f>
        <v>#REF!</v>
      </c>
      <c r="EO150" t="e">
        <f>AND(#REF!,"AAAAAHGfuJA=")</f>
        <v>#REF!</v>
      </c>
      <c r="EP150" t="e">
        <f>AND(#REF!,"AAAAAHGfuJE=")</f>
        <v>#REF!</v>
      </c>
      <c r="EQ150" t="e">
        <f>AND(#REF!,"AAAAAHGfuJI=")</f>
        <v>#REF!</v>
      </c>
      <c r="ER150" t="e">
        <f>AND(#REF!,"AAAAAHGfuJM=")</f>
        <v>#REF!</v>
      </c>
      <c r="ES150" t="e">
        <f>AND(#REF!,"AAAAAHGfuJQ=")</f>
        <v>#REF!</v>
      </c>
      <c r="ET150" t="e">
        <f>AND(#REF!,"AAAAAHGfuJU=")</f>
        <v>#REF!</v>
      </c>
      <c r="EU150" t="e">
        <f>AND(#REF!,"AAAAAHGfuJY=")</f>
        <v>#REF!</v>
      </c>
      <c r="EV150" t="e">
        <f>AND(#REF!,"AAAAAHGfuJc=")</f>
        <v>#REF!</v>
      </c>
      <c r="EW150" t="e">
        <f>AND(#REF!,"AAAAAHGfuJg=")</f>
        <v>#REF!</v>
      </c>
      <c r="EX150" t="e">
        <f>AND(#REF!,"AAAAAHGfuJk=")</f>
        <v>#REF!</v>
      </c>
      <c r="EY150" t="e">
        <f>AND(#REF!,"AAAAAHGfuJo=")</f>
        <v>#REF!</v>
      </c>
      <c r="EZ150" t="e">
        <f>AND(#REF!,"AAAAAHGfuJs=")</f>
        <v>#REF!</v>
      </c>
      <c r="FA150" t="e">
        <f>AND(#REF!,"AAAAAHGfuJw=")</f>
        <v>#REF!</v>
      </c>
      <c r="FB150" t="e">
        <f>AND(#REF!,"AAAAAHGfuJ0=")</f>
        <v>#REF!</v>
      </c>
      <c r="FC150" t="e">
        <f>AND(#REF!,"AAAAAHGfuJ4=")</f>
        <v>#REF!</v>
      </c>
      <c r="FD150" t="e">
        <f>AND(#REF!,"AAAAAHGfuJ8=")</f>
        <v>#REF!</v>
      </c>
      <c r="FE150" t="e">
        <f>AND(#REF!,"AAAAAHGfuKA=")</f>
        <v>#REF!</v>
      </c>
      <c r="FF150" t="e">
        <f>AND(#REF!,"AAAAAHGfuKE=")</f>
        <v>#REF!</v>
      </c>
      <c r="FG150" t="e">
        <f>AND(#REF!,"AAAAAHGfuKI=")</f>
        <v>#REF!</v>
      </c>
      <c r="FH150" t="e">
        <f>AND(#REF!,"AAAAAHGfuKM=")</f>
        <v>#REF!</v>
      </c>
      <c r="FI150" t="e">
        <f>AND(#REF!,"AAAAAHGfuKQ=")</f>
        <v>#REF!</v>
      </c>
      <c r="FJ150" t="e">
        <f>AND(#REF!,"AAAAAHGfuKU=")</f>
        <v>#REF!</v>
      </c>
      <c r="FK150" t="e">
        <f>AND(#REF!,"AAAAAHGfuKY=")</f>
        <v>#REF!</v>
      </c>
      <c r="FL150" t="e">
        <f>AND(#REF!,"AAAAAHGfuKc=")</f>
        <v>#REF!</v>
      </c>
      <c r="FM150" t="e">
        <f>AND(#REF!,"AAAAAHGfuKg=")</f>
        <v>#REF!</v>
      </c>
      <c r="FN150" t="e">
        <f>AND(#REF!,"AAAAAHGfuKk=")</f>
        <v>#REF!</v>
      </c>
      <c r="FO150" t="e">
        <f>AND(#REF!,"AAAAAHGfuKo=")</f>
        <v>#REF!</v>
      </c>
      <c r="FP150" t="e">
        <f>AND(#REF!,"AAAAAHGfuKs=")</f>
        <v>#REF!</v>
      </c>
      <c r="FQ150" t="e">
        <f>AND(#REF!,"AAAAAHGfuKw=")</f>
        <v>#REF!</v>
      </c>
      <c r="FR150" t="e">
        <f>AND(#REF!,"AAAAAHGfuK0=")</f>
        <v>#REF!</v>
      </c>
      <c r="FS150" t="e">
        <f>AND(#REF!,"AAAAAHGfuK4=")</f>
        <v>#REF!</v>
      </c>
      <c r="FT150" t="e">
        <f>AND(#REF!,"AAAAAHGfuK8=")</f>
        <v>#REF!</v>
      </c>
      <c r="FU150" t="e">
        <f>AND(#REF!,"AAAAAHGfuLA=")</f>
        <v>#REF!</v>
      </c>
      <c r="FV150" t="e">
        <f>AND(#REF!,"AAAAAHGfuLE=")</f>
        <v>#REF!</v>
      </c>
      <c r="FW150" t="e">
        <f>AND(#REF!,"AAAAAHGfuLI=")</f>
        <v>#REF!</v>
      </c>
      <c r="FX150" t="e">
        <f>AND(#REF!,"AAAAAHGfuLM=")</f>
        <v>#REF!</v>
      </c>
      <c r="FY150" t="e">
        <f>AND(#REF!,"AAAAAHGfuLQ=")</f>
        <v>#REF!</v>
      </c>
      <c r="FZ150" t="e">
        <f>AND(#REF!,"AAAAAHGfuLU=")</f>
        <v>#REF!</v>
      </c>
      <c r="GA150" t="e">
        <f>AND(#REF!,"AAAAAHGfuLY=")</f>
        <v>#REF!</v>
      </c>
      <c r="GB150" t="e">
        <f>AND(#REF!,"AAAAAHGfuLc=")</f>
        <v>#REF!</v>
      </c>
      <c r="GC150" t="e">
        <f>AND(#REF!,"AAAAAHGfuLg=")</f>
        <v>#REF!</v>
      </c>
      <c r="GD150" t="e">
        <f>AND(#REF!,"AAAAAHGfuLk=")</f>
        <v>#REF!</v>
      </c>
      <c r="GE150" t="e">
        <f>AND(#REF!,"AAAAAHGfuLo=")</f>
        <v>#REF!</v>
      </c>
      <c r="GF150" t="e">
        <f>AND(#REF!,"AAAAAHGfuLs=")</f>
        <v>#REF!</v>
      </c>
      <c r="GG150" t="e">
        <f>IF(#REF!,"AAAAAHGfuLw=",0)</f>
        <v>#REF!</v>
      </c>
      <c r="GH150" t="e">
        <f>AND(#REF!,"AAAAAHGfuL0=")</f>
        <v>#REF!</v>
      </c>
      <c r="GI150" t="e">
        <f>AND(#REF!,"AAAAAHGfuL4=")</f>
        <v>#REF!</v>
      </c>
      <c r="GJ150" t="e">
        <f>AND(#REF!,"AAAAAHGfuL8=")</f>
        <v>#REF!</v>
      </c>
      <c r="GK150" t="e">
        <f>AND(#REF!,"AAAAAHGfuMA=")</f>
        <v>#REF!</v>
      </c>
      <c r="GL150" t="e">
        <f>AND(#REF!,"AAAAAHGfuME=")</f>
        <v>#REF!</v>
      </c>
      <c r="GM150" t="e">
        <f>AND(#REF!,"AAAAAHGfuMI=")</f>
        <v>#REF!</v>
      </c>
      <c r="GN150" t="e">
        <f>AND(#REF!,"AAAAAHGfuMM=")</f>
        <v>#REF!</v>
      </c>
      <c r="GO150" t="e">
        <f>AND(#REF!,"AAAAAHGfuMQ=")</f>
        <v>#REF!</v>
      </c>
      <c r="GP150" t="e">
        <f>AND(#REF!,"AAAAAHGfuMU=")</f>
        <v>#REF!</v>
      </c>
      <c r="GQ150" t="e">
        <f>AND(#REF!,"AAAAAHGfuMY=")</f>
        <v>#REF!</v>
      </c>
      <c r="GR150" t="e">
        <f>AND(#REF!,"AAAAAHGfuMc=")</f>
        <v>#REF!</v>
      </c>
      <c r="GS150" t="e">
        <f>AND(#REF!,"AAAAAHGfuMg=")</f>
        <v>#REF!</v>
      </c>
      <c r="GT150" t="e">
        <f>AND(#REF!,"AAAAAHGfuMk=")</f>
        <v>#REF!</v>
      </c>
      <c r="GU150" t="e">
        <f>AND(#REF!,"AAAAAHGfuMo=")</f>
        <v>#REF!</v>
      </c>
      <c r="GV150" t="e">
        <f>AND(#REF!,"AAAAAHGfuMs=")</f>
        <v>#REF!</v>
      </c>
      <c r="GW150" t="e">
        <f>AND(#REF!,"AAAAAHGfuMw=")</f>
        <v>#REF!</v>
      </c>
      <c r="GX150" t="e">
        <f>AND(#REF!,"AAAAAHGfuM0=")</f>
        <v>#REF!</v>
      </c>
      <c r="GY150" t="e">
        <f>AND(#REF!,"AAAAAHGfuM4=")</f>
        <v>#REF!</v>
      </c>
      <c r="GZ150" t="e">
        <f>AND(#REF!,"AAAAAHGfuM8=")</f>
        <v>#REF!</v>
      </c>
      <c r="HA150" t="e">
        <f>AND(#REF!,"AAAAAHGfuNA=")</f>
        <v>#REF!</v>
      </c>
      <c r="HB150" t="e">
        <f>AND(#REF!,"AAAAAHGfuNE=")</f>
        <v>#REF!</v>
      </c>
      <c r="HC150" t="e">
        <f>AND(#REF!,"AAAAAHGfuNI=")</f>
        <v>#REF!</v>
      </c>
      <c r="HD150" t="e">
        <f>AND(#REF!,"AAAAAHGfuNM=")</f>
        <v>#REF!</v>
      </c>
      <c r="HE150" t="e">
        <f>AND(#REF!,"AAAAAHGfuNQ=")</f>
        <v>#REF!</v>
      </c>
      <c r="HF150" t="e">
        <f>AND(#REF!,"AAAAAHGfuNU=")</f>
        <v>#REF!</v>
      </c>
      <c r="HG150" t="e">
        <f>AND(#REF!,"AAAAAHGfuNY=")</f>
        <v>#REF!</v>
      </c>
      <c r="HH150" t="e">
        <f>AND(#REF!,"AAAAAHGfuNc=")</f>
        <v>#REF!</v>
      </c>
      <c r="HI150" t="e">
        <f>AND(#REF!,"AAAAAHGfuNg=")</f>
        <v>#REF!</v>
      </c>
      <c r="HJ150" t="e">
        <f>AND(#REF!,"AAAAAHGfuNk=")</f>
        <v>#REF!</v>
      </c>
      <c r="HK150" t="e">
        <f>AND(#REF!,"AAAAAHGfuNo=")</f>
        <v>#REF!</v>
      </c>
      <c r="HL150" t="e">
        <f>AND(#REF!,"AAAAAHGfuNs=")</f>
        <v>#REF!</v>
      </c>
      <c r="HM150" t="e">
        <f>AND(#REF!,"AAAAAHGfuNw=")</f>
        <v>#REF!</v>
      </c>
      <c r="HN150" t="e">
        <f>AND(#REF!,"AAAAAHGfuN0=")</f>
        <v>#REF!</v>
      </c>
      <c r="HO150" t="e">
        <f>AND(#REF!,"AAAAAHGfuN4=")</f>
        <v>#REF!</v>
      </c>
      <c r="HP150" t="e">
        <f>AND(#REF!,"AAAAAHGfuN8=")</f>
        <v>#REF!</v>
      </c>
      <c r="HQ150" t="e">
        <f>AND(#REF!,"AAAAAHGfuOA=")</f>
        <v>#REF!</v>
      </c>
      <c r="HR150" t="e">
        <f>AND(#REF!,"AAAAAHGfuOE=")</f>
        <v>#REF!</v>
      </c>
      <c r="HS150" t="e">
        <f>AND(#REF!,"AAAAAHGfuOI=")</f>
        <v>#REF!</v>
      </c>
      <c r="HT150" t="e">
        <f>AND(#REF!,"AAAAAHGfuOM=")</f>
        <v>#REF!</v>
      </c>
      <c r="HU150" t="e">
        <f>AND(#REF!,"AAAAAHGfuOQ=")</f>
        <v>#REF!</v>
      </c>
      <c r="HV150" t="e">
        <f>AND(#REF!,"AAAAAHGfuOU=")</f>
        <v>#REF!</v>
      </c>
      <c r="HW150" t="e">
        <f>AND(#REF!,"AAAAAHGfuOY=")</f>
        <v>#REF!</v>
      </c>
      <c r="HX150" t="e">
        <f>AND(#REF!,"AAAAAHGfuOc=")</f>
        <v>#REF!</v>
      </c>
      <c r="HY150" t="e">
        <f>AND(#REF!,"AAAAAHGfuOg=")</f>
        <v>#REF!</v>
      </c>
      <c r="HZ150" t="e">
        <f>AND(#REF!,"AAAAAHGfuOk=")</f>
        <v>#REF!</v>
      </c>
      <c r="IA150" t="e">
        <f>AND(#REF!,"AAAAAHGfuOo=")</f>
        <v>#REF!</v>
      </c>
      <c r="IB150" t="e">
        <f>AND(#REF!,"AAAAAHGfuOs=")</f>
        <v>#REF!</v>
      </c>
      <c r="IC150" t="e">
        <f>AND(#REF!,"AAAAAHGfuOw=")</f>
        <v>#REF!</v>
      </c>
      <c r="ID150" t="e">
        <f>AND(#REF!,"AAAAAHGfuO0=")</f>
        <v>#REF!</v>
      </c>
      <c r="IE150" t="e">
        <f>AND(#REF!,"AAAAAHGfuO4=")</f>
        <v>#REF!</v>
      </c>
      <c r="IF150" t="e">
        <f>AND(#REF!,"AAAAAHGfuO8=")</f>
        <v>#REF!</v>
      </c>
      <c r="IG150" t="e">
        <f>AND(#REF!,"AAAAAHGfuPA=")</f>
        <v>#REF!</v>
      </c>
      <c r="IH150" t="e">
        <f>AND(#REF!,"AAAAAHGfuPE=")</f>
        <v>#REF!</v>
      </c>
      <c r="II150" t="e">
        <f>AND(#REF!,"AAAAAHGfuPI=")</f>
        <v>#REF!</v>
      </c>
      <c r="IJ150" t="e">
        <f>AND(#REF!,"AAAAAHGfuPM=")</f>
        <v>#REF!</v>
      </c>
      <c r="IK150" t="e">
        <f>AND(#REF!,"AAAAAHGfuPQ=")</f>
        <v>#REF!</v>
      </c>
      <c r="IL150" t="e">
        <f>AND(#REF!,"AAAAAHGfuPU=")</f>
        <v>#REF!</v>
      </c>
      <c r="IM150" t="e">
        <f>AND(#REF!,"AAAAAHGfuPY=")</f>
        <v>#REF!</v>
      </c>
      <c r="IN150" t="e">
        <f>AND(#REF!,"AAAAAHGfuPc=")</f>
        <v>#REF!</v>
      </c>
      <c r="IO150" t="e">
        <f>AND(#REF!,"AAAAAHGfuPg=")</f>
        <v>#REF!</v>
      </c>
      <c r="IP150" t="e">
        <f>AND(#REF!,"AAAAAHGfuPk=")</f>
        <v>#REF!</v>
      </c>
      <c r="IQ150" t="e">
        <f>AND(#REF!,"AAAAAHGfuPo=")</f>
        <v>#REF!</v>
      </c>
      <c r="IR150" t="e">
        <f>AND(#REF!,"AAAAAHGfuPs=")</f>
        <v>#REF!</v>
      </c>
      <c r="IS150" t="e">
        <f>AND(#REF!,"AAAAAHGfuPw=")</f>
        <v>#REF!</v>
      </c>
      <c r="IT150" t="e">
        <f>AND(#REF!,"AAAAAHGfuP0=")</f>
        <v>#REF!</v>
      </c>
      <c r="IU150" t="e">
        <f>AND(#REF!,"AAAAAHGfuP4=")</f>
        <v>#REF!</v>
      </c>
      <c r="IV150" t="e">
        <f>AND(#REF!,"AAAAAHGfuP8=")</f>
        <v>#REF!</v>
      </c>
    </row>
    <row r="151" spans="1:256" x14ac:dyDescent="0.25">
      <c r="A151" t="e">
        <f>AND(#REF!,"AAAAADv6+QA=")</f>
        <v>#REF!</v>
      </c>
      <c r="B151" t="e">
        <f>AND(#REF!,"AAAAADv6+QE=")</f>
        <v>#REF!</v>
      </c>
      <c r="C151" t="e">
        <f>AND(#REF!,"AAAAADv6+QI=")</f>
        <v>#REF!</v>
      </c>
      <c r="D151" t="e">
        <f>AND(#REF!,"AAAAADv6+QM=")</f>
        <v>#REF!</v>
      </c>
      <c r="E151" t="e">
        <f>AND(#REF!,"AAAAADv6+QQ=")</f>
        <v>#REF!</v>
      </c>
      <c r="F151" t="e">
        <f>AND(#REF!,"AAAAADv6+QU=")</f>
        <v>#REF!</v>
      </c>
      <c r="G151" t="e">
        <f>AND(#REF!,"AAAAADv6+QY=")</f>
        <v>#REF!</v>
      </c>
      <c r="H151" t="e">
        <f>AND(#REF!,"AAAAADv6+Qc=")</f>
        <v>#REF!</v>
      </c>
      <c r="I151" t="e">
        <f>AND(#REF!,"AAAAADv6+Qg=")</f>
        <v>#REF!</v>
      </c>
      <c r="J151" t="e">
        <f>AND(#REF!,"AAAAADv6+Qk=")</f>
        <v>#REF!</v>
      </c>
      <c r="K151" t="e">
        <f>AND(#REF!,"AAAAADv6+Qo=")</f>
        <v>#REF!</v>
      </c>
      <c r="L151" t="e">
        <f>AND(#REF!,"AAAAADv6+Qs=")</f>
        <v>#REF!</v>
      </c>
      <c r="M151" t="e">
        <f>AND(#REF!,"AAAAADv6+Qw=")</f>
        <v>#REF!</v>
      </c>
      <c r="N151" t="e">
        <f>AND(#REF!,"AAAAADv6+Q0=")</f>
        <v>#REF!</v>
      </c>
      <c r="O151" t="e">
        <f>AND(#REF!,"AAAAADv6+Q4=")</f>
        <v>#REF!</v>
      </c>
      <c r="P151" t="e">
        <f>AND(#REF!,"AAAAADv6+Q8=")</f>
        <v>#REF!</v>
      </c>
      <c r="Q151" t="e">
        <f>AND(#REF!,"AAAAADv6+RA=")</f>
        <v>#REF!</v>
      </c>
      <c r="R151" t="e">
        <f>AND(#REF!,"AAAAADv6+RE=")</f>
        <v>#REF!</v>
      </c>
      <c r="S151" t="e">
        <f>AND(#REF!,"AAAAADv6+RI=")</f>
        <v>#REF!</v>
      </c>
      <c r="T151" t="e">
        <f>AND(#REF!,"AAAAADv6+RM=")</f>
        <v>#REF!</v>
      </c>
      <c r="U151" t="e">
        <f>AND(#REF!,"AAAAADv6+RQ=")</f>
        <v>#REF!</v>
      </c>
      <c r="V151" t="e">
        <f>AND(#REF!,"AAAAADv6+RU=")</f>
        <v>#REF!</v>
      </c>
      <c r="W151" t="e">
        <f>AND(#REF!,"AAAAADv6+RY=")</f>
        <v>#REF!</v>
      </c>
      <c r="X151" t="e">
        <f>AND(#REF!,"AAAAADv6+Rc=")</f>
        <v>#REF!</v>
      </c>
      <c r="Y151" t="e">
        <f>AND(#REF!,"AAAAADv6+Rg=")</f>
        <v>#REF!</v>
      </c>
      <c r="Z151" t="e">
        <f>AND(#REF!,"AAAAADv6+Rk=")</f>
        <v>#REF!</v>
      </c>
      <c r="AA151" t="e">
        <f>AND(#REF!,"AAAAADv6+Ro=")</f>
        <v>#REF!</v>
      </c>
      <c r="AB151" t="e">
        <f>AND(#REF!,"AAAAADv6+Rs=")</f>
        <v>#REF!</v>
      </c>
      <c r="AC151" t="e">
        <f>AND(#REF!,"AAAAADv6+Rw=")</f>
        <v>#REF!</v>
      </c>
      <c r="AD151" t="e">
        <f>AND(#REF!,"AAAAADv6+R0=")</f>
        <v>#REF!</v>
      </c>
      <c r="AE151" t="e">
        <f>AND(#REF!,"AAAAADv6+R4=")</f>
        <v>#REF!</v>
      </c>
      <c r="AF151" t="e">
        <f>AND(#REF!,"AAAAADv6+R8=")</f>
        <v>#REF!</v>
      </c>
      <c r="AG151" t="e">
        <f>AND(#REF!,"AAAAADv6+SA=")</f>
        <v>#REF!</v>
      </c>
      <c r="AH151" t="e">
        <f>AND(#REF!,"AAAAADv6+SE=")</f>
        <v>#REF!</v>
      </c>
      <c r="AI151" t="e">
        <f>AND(#REF!,"AAAAADv6+SI=")</f>
        <v>#REF!</v>
      </c>
      <c r="AJ151" t="e">
        <f>AND(#REF!,"AAAAADv6+SM=")</f>
        <v>#REF!</v>
      </c>
      <c r="AK151" t="e">
        <f>AND(#REF!,"AAAAADv6+SQ=")</f>
        <v>#REF!</v>
      </c>
      <c r="AL151" t="e">
        <f>AND(#REF!,"AAAAADv6+SU=")</f>
        <v>#REF!</v>
      </c>
      <c r="AM151" t="e">
        <f>AND(#REF!,"AAAAADv6+SY=")</f>
        <v>#REF!</v>
      </c>
      <c r="AN151" t="e">
        <f>AND(#REF!,"AAAAADv6+Sc=")</f>
        <v>#REF!</v>
      </c>
      <c r="AO151" t="e">
        <f>AND(#REF!,"AAAAADv6+Sg=")</f>
        <v>#REF!</v>
      </c>
      <c r="AP151" t="e">
        <f>AND(#REF!,"AAAAADv6+Sk=")</f>
        <v>#REF!</v>
      </c>
      <c r="AQ151" t="e">
        <f>AND(#REF!,"AAAAADv6+So=")</f>
        <v>#REF!</v>
      </c>
      <c r="AR151" t="e">
        <f>AND(#REF!,"AAAAADv6+Ss=")</f>
        <v>#REF!</v>
      </c>
      <c r="AS151" t="e">
        <f>AND(#REF!,"AAAAADv6+Sw=")</f>
        <v>#REF!</v>
      </c>
      <c r="AT151" t="e">
        <f>AND(#REF!,"AAAAADv6+S0=")</f>
        <v>#REF!</v>
      </c>
      <c r="AU151" t="e">
        <f>AND(#REF!,"AAAAADv6+S4=")</f>
        <v>#REF!</v>
      </c>
      <c r="AV151" t="e">
        <f>AND(#REF!,"AAAAADv6+S8=")</f>
        <v>#REF!</v>
      </c>
      <c r="AW151" t="e">
        <f>AND(#REF!,"AAAAADv6+TA=")</f>
        <v>#REF!</v>
      </c>
      <c r="AX151" t="e">
        <f>AND(#REF!,"AAAAADv6+TE=")</f>
        <v>#REF!</v>
      </c>
      <c r="AY151" t="e">
        <f>AND(#REF!,"AAAAADv6+TI=")</f>
        <v>#REF!</v>
      </c>
      <c r="AZ151" t="e">
        <f>AND(#REF!,"AAAAADv6+TM=")</f>
        <v>#REF!</v>
      </c>
      <c r="BA151" t="e">
        <f>AND(#REF!,"AAAAADv6+TQ=")</f>
        <v>#REF!</v>
      </c>
      <c r="BB151" t="e">
        <f>AND(#REF!,"AAAAADv6+TU=")</f>
        <v>#REF!</v>
      </c>
      <c r="BC151" t="e">
        <f>AND(#REF!,"AAAAADv6+TY=")</f>
        <v>#REF!</v>
      </c>
      <c r="BD151" t="e">
        <f>AND(#REF!,"AAAAADv6+Tc=")</f>
        <v>#REF!</v>
      </c>
      <c r="BE151" t="e">
        <f>AND(#REF!,"AAAAADv6+Tg=")</f>
        <v>#REF!</v>
      </c>
      <c r="BF151" t="e">
        <f>AND(#REF!,"AAAAADv6+Tk=")</f>
        <v>#REF!</v>
      </c>
      <c r="BG151" t="e">
        <f>AND(#REF!,"AAAAADv6+To=")</f>
        <v>#REF!</v>
      </c>
      <c r="BH151" t="e">
        <f>AND(#REF!,"AAAAADv6+Ts=")</f>
        <v>#REF!</v>
      </c>
      <c r="BI151" t="e">
        <f>AND(#REF!,"AAAAADv6+Tw=")</f>
        <v>#REF!</v>
      </c>
      <c r="BJ151" t="e">
        <f>AND(#REF!,"AAAAADv6+T0=")</f>
        <v>#REF!</v>
      </c>
      <c r="BK151" t="e">
        <f>AND(#REF!,"AAAAADv6+T4=")</f>
        <v>#REF!</v>
      </c>
      <c r="BL151" t="e">
        <f>AND(#REF!,"AAAAADv6+T8=")</f>
        <v>#REF!</v>
      </c>
      <c r="BM151" t="e">
        <f>AND(#REF!,"AAAAADv6+UA=")</f>
        <v>#REF!</v>
      </c>
      <c r="BN151" t="e">
        <f>AND(#REF!,"AAAAADv6+UE=")</f>
        <v>#REF!</v>
      </c>
      <c r="BO151" t="e">
        <f>AND(#REF!,"AAAAADv6+UI=")</f>
        <v>#REF!</v>
      </c>
      <c r="BP151" t="e">
        <f>AND(#REF!,"AAAAADv6+UM=")</f>
        <v>#REF!</v>
      </c>
      <c r="BQ151" t="e">
        <f>AND(#REF!,"AAAAADv6+UQ=")</f>
        <v>#REF!</v>
      </c>
      <c r="BR151" t="e">
        <f>AND(#REF!,"AAAAADv6+UU=")</f>
        <v>#REF!</v>
      </c>
      <c r="BS151" t="e">
        <f>AND(#REF!,"AAAAADv6+UY=")</f>
        <v>#REF!</v>
      </c>
      <c r="BT151" t="e">
        <f>AND(#REF!,"AAAAADv6+Uc=")</f>
        <v>#REF!</v>
      </c>
      <c r="BU151" t="e">
        <f>AND(#REF!,"AAAAADv6+Ug=")</f>
        <v>#REF!</v>
      </c>
      <c r="BV151" t="e">
        <f>AND(#REF!,"AAAAADv6+Uk=")</f>
        <v>#REF!</v>
      </c>
      <c r="BW151" t="e">
        <f>AND(#REF!,"AAAAADv6+Uo=")</f>
        <v>#REF!</v>
      </c>
      <c r="BX151" t="e">
        <f>AND(#REF!,"AAAAADv6+Us=")</f>
        <v>#REF!</v>
      </c>
      <c r="BY151" t="e">
        <f>AND(#REF!,"AAAAADv6+Uw=")</f>
        <v>#REF!</v>
      </c>
      <c r="BZ151" t="e">
        <f>AND(#REF!,"AAAAADv6+U0=")</f>
        <v>#REF!</v>
      </c>
      <c r="CA151" t="e">
        <f>AND(#REF!,"AAAAADv6+U4=")</f>
        <v>#REF!</v>
      </c>
      <c r="CB151" t="e">
        <f>AND(#REF!,"AAAAADv6+U8=")</f>
        <v>#REF!</v>
      </c>
      <c r="CC151" t="e">
        <f>AND(#REF!,"AAAAADv6+VA=")</f>
        <v>#REF!</v>
      </c>
      <c r="CD151" t="e">
        <f>AND(#REF!,"AAAAADv6+VE=")</f>
        <v>#REF!</v>
      </c>
      <c r="CE151" t="e">
        <f>AND(#REF!,"AAAAADv6+VI=")</f>
        <v>#REF!</v>
      </c>
      <c r="CF151" t="e">
        <f>AND(#REF!,"AAAAADv6+VM=")</f>
        <v>#REF!</v>
      </c>
      <c r="CG151" t="e">
        <f>AND(#REF!,"AAAAADv6+VQ=")</f>
        <v>#REF!</v>
      </c>
      <c r="CH151" t="e">
        <f>AND(#REF!,"AAAAADv6+VU=")</f>
        <v>#REF!</v>
      </c>
      <c r="CI151" t="e">
        <f>AND(#REF!,"AAAAADv6+VY=")</f>
        <v>#REF!</v>
      </c>
      <c r="CJ151" t="e">
        <f>AND(#REF!,"AAAAADv6+Vc=")</f>
        <v>#REF!</v>
      </c>
      <c r="CK151" t="e">
        <f>AND(#REF!,"AAAAADv6+Vg=")</f>
        <v>#REF!</v>
      </c>
      <c r="CL151" t="e">
        <f>AND(#REF!,"AAAAADv6+Vk=")</f>
        <v>#REF!</v>
      </c>
      <c r="CM151" t="e">
        <f>AND(#REF!,"AAAAADv6+Vo=")</f>
        <v>#REF!</v>
      </c>
      <c r="CN151" t="e">
        <f>AND(#REF!,"AAAAADv6+Vs=")</f>
        <v>#REF!</v>
      </c>
      <c r="CO151" t="e">
        <f>AND(#REF!,"AAAAADv6+Vw=")</f>
        <v>#REF!</v>
      </c>
      <c r="CP151" t="e">
        <f>AND(#REF!,"AAAAADv6+V0=")</f>
        <v>#REF!</v>
      </c>
      <c r="CQ151" t="e">
        <f>AND(#REF!,"AAAAADv6+V4=")</f>
        <v>#REF!</v>
      </c>
      <c r="CR151" t="e">
        <f>AND(#REF!,"AAAAADv6+V8=")</f>
        <v>#REF!</v>
      </c>
      <c r="CS151" t="e">
        <f>AND(#REF!,"AAAAADv6+WA=")</f>
        <v>#REF!</v>
      </c>
      <c r="CT151" t="e">
        <f>AND(#REF!,"AAAAADv6+WE=")</f>
        <v>#REF!</v>
      </c>
      <c r="CU151" t="e">
        <f>AND(#REF!,"AAAAADv6+WI=")</f>
        <v>#REF!</v>
      </c>
      <c r="CV151" t="e">
        <f>AND(#REF!,"AAAAADv6+WM=")</f>
        <v>#REF!</v>
      </c>
      <c r="CW151" t="e">
        <f>AND(#REF!,"AAAAADv6+WQ=")</f>
        <v>#REF!</v>
      </c>
      <c r="CX151" t="e">
        <f>AND(#REF!,"AAAAADv6+WU=")</f>
        <v>#REF!</v>
      </c>
      <c r="CY151" t="e">
        <f>AND(#REF!,"AAAAADv6+WY=")</f>
        <v>#REF!</v>
      </c>
      <c r="CZ151" t="e">
        <f>AND(#REF!,"AAAAADv6+Wc=")</f>
        <v>#REF!</v>
      </c>
      <c r="DA151" t="e">
        <f>AND(#REF!,"AAAAADv6+Wg=")</f>
        <v>#REF!</v>
      </c>
      <c r="DB151" t="e">
        <f>AND(#REF!,"AAAAADv6+Wk=")</f>
        <v>#REF!</v>
      </c>
      <c r="DC151" t="e">
        <f>AND(#REF!,"AAAAADv6+Wo=")</f>
        <v>#REF!</v>
      </c>
      <c r="DD151" t="e">
        <f>AND(#REF!,"AAAAADv6+Ws=")</f>
        <v>#REF!</v>
      </c>
      <c r="DE151" t="e">
        <f>AND(#REF!,"AAAAADv6+Ww=")</f>
        <v>#REF!</v>
      </c>
      <c r="DF151" t="e">
        <f>AND(#REF!,"AAAAADv6+W0=")</f>
        <v>#REF!</v>
      </c>
      <c r="DG151" t="e">
        <f>AND(#REF!,"AAAAADv6+W4=")</f>
        <v>#REF!</v>
      </c>
      <c r="DH151" t="e">
        <f>AND(#REF!,"AAAAADv6+W8=")</f>
        <v>#REF!</v>
      </c>
      <c r="DI151" t="e">
        <f>AND(#REF!,"AAAAADv6+XA=")</f>
        <v>#REF!</v>
      </c>
      <c r="DJ151" t="e">
        <f>AND(#REF!,"AAAAADv6+XE=")</f>
        <v>#REF!</v>
      </c>
      <c r="DK151" t="e">
        <f>AND(#REF!,"AAAAADv6+XI=")</f>
        <v>#REF!</v>
      </c>
      <c r="DL151" t="e">
        <f>AND(#REF!,"AAAAADv6+XM=")</f>
        <v>#REF!</v>
      </c>
      <c r="DM151" t="e">
        <f>AND(#REF!,"AAAAADv6+XQ=")</f>
        <v>#REF!</v>
      </c>
      <c r="DN151" t="e">
        <f>AND(#REF!,"AAAAADv6+XU=")</f>
        <v>#REF!</v>
      </c>
      <c r="DO151" t="e">
        <f>AND(#REF!,"AAAAADv6+XY=")</f>
        <v>#REF!</v>
      </c>
      <c r="DP151" t="e">
        <f>AND(#REF!,"AAAAADv6+Xc=")</f>
        <v>#REF!</v>
      </c>
      <c r="DQ151" t="e">
        <f>AND(#REF!,"AAAAADv6+Xg=")</f>
        <v>#REF!</v>
      </c>
      <c r="DR151" t="e">
        <f>IF(#REF!,"AAAAADv6+Xk=",0)</f>
        <v>#REF!</v>
      </c>
      <c r="DS151" t="e">
        <f>AND(#REF!,"AAAAADv6+Xo=")</f>
        <v>#REF!</v>
      </c>
      <c r="DT151" t="e">
        <f>AND(#REF!,"AAAAADv6+Xs=")</f>
        <v>#REF!</v>
      </c>
      <c r="DU151" t="e">
        <f>AND(#REF!,"AAAAADv6+Xw=")</f>
        <v>#REF!</v>
      </c>
      <c r="DV151" t="e">
        <f>AND(#REF!,"AAAAADv6+X0=")</f>
        <v>#REF!</v>
      </c>
      <c r="DW151" t="e">
        <f>AND(#REF!,"AAAAADv6+X4=")</f>
        <v>#REF!</v>
      </c>
      <c r="DX151" t="e">
        <f>AND(#REF!,"AAAAADv6+X8=")</f>
        <v>#REF!</v>
      </c>
      <c r="DY151" t="e">
        <f>AND(#REF!,"AAAAADv6+YA=")</f>
        <v>#REF!</v>
      </c>
      <c r="DZ151" t="e">
        <f>AND(#REF!,"AAAAADv6+YE=")</f>
        <v>#REF!</v>
      </c>
      <c r="EA151" t="e">
        <f>AND(#REF!,"AAAAADv6+YI=")</f>
        <v>#REF!</v>
      </c>
      <c r="EB151" t="e">
        <f>AND(#REF!,"AAAAADv6+YM=")</f>
        <v>#REF!</v>
      </c>
      <c r="EC151" t="e">
        <f>AND(#REF!,"AAAAADv6+YQ=")</f>
        <v>#REF!</v>
      </c>
      <c r="ED151" t="e">
        <f>AND(#REF!,"AAAAADv6+YU=")</f>
        <v>#REF!</v>
      </c>
      <c r="EE151" t="e">
        <f>AND(#REF!,"AAAAADv6+YY=")</f>
        <v>#REF!</v>
      </c>
      <c r="EF151" t="e">
        <f>AND(#REF!,"AAAAADv6+Yc=")</f>
        <v>#REF!</v>
      </c>
      <c r="EG151" t="e">
        <f>AND(#REF!,"AAAAADv6+Yg=")</f>
        <v>#REF!</v>
      </c>
      <c r="EH151" t="e">
        <f>AND(#REF!,"AAAAADv6+Yk=")</f>
        <v>#REF!</v>
      </c>
      <c r="EI151" t="e">
        <f>AND(#REF!,"AAAAADv6+Yo=")</f>
        <v>#REF!</v>
      </c>
      <c r="EJ151" t="e">
        <f>AND(#REF!,"AAAAADv6+Ys=")</f>
        <v>#REF!</v>
      </c>
      <c r="EK151" t="e">
        <f>AND(#REF!,"AAAAADv6+Yw=")</f>
        <v>#REF!</v>
      </c>
      <c r="EL151" t="e">
        <f>AND(#REF!,"AAAAADv6+Y0=")</f>
        <v>#REF!</v>
      </c>
      <c r="EM151" t="e">
        <f>AND(#REF!,"AAAAADv6+Y4=")</f>
        <v>#REF!</v>
      </c>
      <c r="EN151" t="e">
        <f>AND(#REF!,"AAAAADv6+Y8=")</f>
        <v>#REF!</v>
      </c>
      <c r="EO151" t="e">
        <f>AND(#REF!,"AAAAADv6+ZA=")</f>
        <v>#REF!</v>
      </c>
      <c r="EP151" t="e">
        <f>AND(#REF!,"AAAAADv6+ZE=")</f>
        <v>#REF!</v>
      </c>
      <c r="EQ151" t="e">
        <f>AND(#REF!,"AAAAADv6+ZI=")</f>
        <v>#REF!</v>
      </c>
      <c r="ER151" t="e">
        <f>AND(#REF!,"AAAAADv6+ZM=")</f>
        <v>#REF!</v>
      </c>
      <c r="ES151" t="e">
        <f>AND(#REF!,"AAAAADv6+ZQ=")</f>
        <v>#REF!</v>
      </c>
      <c r="ET151" t="e">
        <f>AND(#REF!,"AAAAADv6+ZU=")</f>
        <v>#REF!</v>
      </c>
      <c r="EU151" t="e">
        <f>AND(#REF!,"AAAAADv6+ZY=")</f>
        <v>#REF!</v>
      </c>
      <c r="EV151" t="e">
        <f>AND(#REF!,"AAAAADv6+Zc=")</f>
        <v>#REF!</v>
      </c>
      <c r="EW151" t="e">
        <f>AND(#REF!,"AAAAADv6+Zg=")</f>
        <v>#REF!</v>
      </c>
      <c r="EX151" t="e">
        <f>AND(#REF!,"AAAAADv6+Zk=")</f>
        <v>#REF!</v>
      </c>
      <c r="EY151" t="e">
        <f>AND(#REF!,"AAAAADv6+Zo=")</f>
        <v>#REF!</v>
      </c>
      <c r="EZ151" t="e">
        <f>AND(#REF!,"AAAAADv6+Zs=")</f>
        <v>#REF!</v>
      </c>
      <c r="FA151" t="e">
        <f>AND(#REF!,"AAAAADv6+Zw=")</f>
        <v>#REF!</v>
      </c>
      <c r="FB151" t="e">
        <f>AND(#REF!,"AAAAADv6+Z0=")</f>
        <v>#REF!</v>
      </c>
      <c r="FC151" t="e">
        <f>AND(#REF!,"AAAAADv6+Z4=")</f>
        <v>#REF!</v>
      </c>
      <c r="FD151" t="e">
        <f>AND(#REF!,"AAAAADv6+Z8=")</f>
        <v>#REF!</v>
      </c>
      <c r="FE151" t="e">
        <f>AND(#REF!,"AAAAADv6+aA=")</f>
        <v>#REF!</v>
      </c>
      <c r="FF151" t="e">
        <f>AND(#REF!,"AAAAADv6+aE=")</f>
        <v>#REF!</v>
      </c>
      <c r="FG151" t="e">
        <f>AND(#REF!,"AAAAADv6+aI=")</f>
        <v>#REF!</v>
      </c>
      <c r="FH151" t="e">
        <f>AND(#REF!,"AAAAADv6+aM=")</f>
        <v>#REF!</v>
      </c>
      <c r="FI151" t="e">
        <f>AND(#REF!,"AAAAADv6+aQ=")</f>
        <v>#REF!</v>
      </c>
      <c r="FJ151" t="e">
        <f>AND(#REF!,"AAAAADv6+aU=")</f>
        <v>#REF!</v>
      </c>
      <c r="FK151" t="e">
        <f>AND(#REF!,"AAAAADv6+aY=")</f>
        <v>#REF!</v>
      </c>
      <c r="FL151" t="e">
        <f>AND(#REF!,"AAAAADv6+ac=")</f>
        <v>#REF!</v>
      </c>
      <c r="FM151" t="e">
        <f>AND(#REF!,"AAAAADv6+ag=")</f>
        <v>#REF!</v>
      </c>
      <c r="FN151" t="e">
        <f>AND(#REF!,"AAAAADv6+ak=")</f>
        <v>#REF!</v>
      </c>
      <c r="FO151" t="e">
        <f>AND(#REF!,"AAAAADv6+ao=")</f>
        <v>#REF!</v>
      </c>
      <c r="FP151" t="e">
        <f>AND(#REF!,"AAAAADv6+as=")</f>
        <v>#REF!</v>
      </c>
      <c r="FQ151" t="e">
        <f>AND(#REF!,"AAAAADv6+aw=")</f>
        <v>#REF!</v>
      </c>
      <c r="FR151" t="e">
        <f>AND(#REF!,"AAAAADv6+a0=")</f>
        <v>#REF!</v>
      </c>
      <c r="FS151" t="e">
        <f>AND(#REF!,"AAAAADv6+a4=")</f>
        <v>#REF!</v>
      </c>
      <c r="FT151" t="e">
        <f>AND(#REF!,"AAAAADv6+a8=")</f>
        <v>#REF!</v>
      </c>
      <c r="FU151" t="e">
        <f>AND(#REF!,"AAAAADv6+bA=")</f>
        <v>#REF!</v>
      </c>
      <c r="FV151" t="e">
        <f>AND(#REF!,"AAAAADv6+bE=")</f>
        <v>#REF!</v>
      </c>
      <c r="FW151" t="e">
        <f>AND(#REF!,"AAAAADv6+bI=")</f>
        <v>#REF!</v>
      </c>
      <c r="FX151" t="e">
        <f>AND(#REF!,"AAAAADv6+bM=")</f>
        <v>#REF!</v>
      </c>
      <c r="FY151" t="e">
        <f>AND(#REF!,"AAAAADv6+bQ=")</f>
        <v>#REF!</v>
      </c>
      <c r="FZ151" t="e">
        <f>AND(#REF!,"AAAAADv6+bU=")</f>
        <v>#REF!</v>
      </c>
      <c r="GA151" t="e">
        <f>AND(#REF!,"AAAAADv6+bY=")</f>
        <v>#REF!</v>
      </c>
      <c r="GB151" t="e">
        <f>AND(#REF!,"AAAAADv6+bc=")</f>
        <v>#REF!</v>
      </c>
      <c r="GC151" t="e">
        <f>AND(#REF!,"AAAAADv6+bg=")</f>
        <v>#REF!</v>
      </c>
      <c r="GD151" t="e">
        <f>AND(#REF!,"AAAAADv6+bk=")</f>
        <v>#REF!</v>
      </c>
      <c r="GE151" t="e">
        <f>AND(#REF!,"AAAAADv6+bo=")</f>
        <v>#REF!</v>
      </c>
      <c r="GF151" t="e">
        <f>AND(#REF!,"AAAAADv6+bs=")</f>
        <v>#REF!</v>
      </c>
      <c r="GG151" t="e">
        <f>AND(#REF!,"AAAAADv6+bw=")</f>
        <v>#REF!</v>
      </c>
      <c r="GH151" t="e">
        <f>AND(#REF!,"AAAAADv6+b0=")</f>
        <v>#REF!</v>
      </c>
      <c r="GI151" t="e">
        <f>AND(#REF!,"AAAAADv6+b4=")</f>
        <v>#REF!</v>
      </c>
      <c r="GJ151" t="e">
        <f>AND(#REF!,"AAAAADv6+b8=")</f>
        <v>#REF!</v>
      </c>
      <c r="GK151" t="e">
        <f>AND(#REF!,"AAAAADv6+cA=")</f>
        <v>#REF!</v>
      </c>
      <c r="GL151" t="e">
        <f>AND(#REF!,"AAAAADv6+cE=")</f>
        <v>#REF!</v>
      </c>
      <c r="GM151" t="e">
        <f>AND(#REF!,"AAAAADv6+cI=")</f>
        <v>#REF!</v>
      </c>
      <c r="GN151" t="e">
        <f>AND(#REF!,"AAAAADv6+cM=")</f>
        <v>#REF!</v>
      </c>
      <c r="GO151" t="e">
        <f>AND(#REF!,"AAAAADv6+cQ=")</f>
        <v>#REF!</v>
      </c>
      <c r="GP151" t="e">
        <f>AND(#REF!,"AAAAADv6+cU=")</f>
        <v>#REF!</v>
      </c>
      <c r="GQ151" t="e">
        <f>AND(#REF!,"AAAAADv6+cY=")</f>
        <v>#REF!</v>
      </c>
      <c r="GR151" t="e">
        <f>AND(#REF!,"AAAAADv6+cc=")</f>
        <v>#REF!</v>
      </c>
      <c r="GS151" t="e">
        <f>AND(#REF!,"AAAAADv6+cg=")</f>
        <v>#REF!</v>
      </c>
      <c r="GT151" t="e">
        <f>AND(#REF!,"AAAAADv6+ck=")</f>
        <v>#REF!</v>
      </c>
      <c r="GU151" t="e">
        <f>AND(#REF!,"AAAAADv6+co=")</f>
        <v>#REF!</v>
      </c>
      <c r="GV151" t="e">
        <f>AND(#REF!,"AAAAADv6+cs=")</f>
        <v>#REF!</v>
      </c>
      <c r="GW151" t="e">
        <f>AND(#REF!,"AAAAADv6+cw=")</f>
        <v>#REF!</v>
      </c>
      <c r="GX151" t="e">
        <f>AND(#REF!,"AAAAADv6+c0=")</f>
        <v>#REF!</v>
      </c>
      <c r="GY151" t="e">
        <f>AND(#REF!,"AAAAADv6+c4=")</f>
        <v>#REF!</v>
      </c>
      <c r="GZ151" t="e">
        <f>AND(#REF!,"AAAAADv6+c8=")</f>
        <v>#REF!</v>
      </c>
      <c r="HA151" t="e">
        <f>AND(#REF!,"AAAAADv6+dA=")</f>
        <v>#REF!</v>
      </c>
      <c r="HB151" t="e">
        <f>AND(#REF!,"AAAAADv6+dE=")</f>
        <v>#REF!</v>
      </c>
      <c r="HC151" t="e">
        <f>AND(#REF!,"AAAAADv6+dI=")</f>
        <v>#REF!</v>
      </c>
      <c r="HD151" t="e">
        <f>AND(#REF!,"AAAAADv6+dM=")</f>
        <v>#REF!</v>
      </c>
      <c r="HE151" t="e">
        <f>AND(#REF!,"AAAAADv6+dQ=")</f>
        <v>#REF!</v>
      </c>
      <c r="HF151" t="e">
        <f>AND(#REF!,"AAAAADv6+dU=")</f>
        <v>#REF!</v>
      </c>
      <c r="HG151" t="e">
        <f>AND(#REF!,"AAAAADv6+dY=")</f>
        <v>#REF!</v>
      </c>
      <c r="HH151" t="e">
        <f>AND(#REF!,"AAAAADv6+dc=")</f>
        <v>#REF!</v>
      </c>
      <c r="HI151" t="e">
        <f>AND(#REF!,"AAAAADv6+dg=")</f>
        <v>#REF!</v>
      </c>
      <c r="HJ151" t="e">
        <f>AND(#REF!,"AAAAADv6+dk=")</f>
        <v>#REF!</v>
      </c>
      <c r="HK151" t="e">
        <f>AND(#REF!,"AAAAADv6+do=")</f>
        <v>#REF!</v>
      </c>
      <c r="HL151" t="e">
        <f>AND(#REF!,"AAAAADv6+ds=")</f>
        <v>#REF!</v>
      </c>
      <c r="HM151" t="e">
        <f>AND(#REF!,"AAAAADv6+dw=")</f>
        <v>#REF!</v>
      </c>
      <c r="HN151" t="e">
        <f>AND(#REF!,"AAAAADv6+d0=")</f>
        <v>#REF!</v>
      </c>
      <c r="HO151" t="e">
        <f>AND(#REF!,"AAAAADv6+d4=")</f>
        <v>#REF!</v>
      </c>
      <c r="HP151" t="e">
        <f>AND(#REF!,"AAAAADv6+d8=")</f>
        <v>#REF!</v>
      </c>
      <c r="HQ151" t="e">
        <f>AND(#REF!,"AAAAADv6+eA=")</f>
        <v>#REF!</v>
      </c>
      <c r="HR151" t="e">
        <f>AND(#REF!,"AAAAADv6+eE=")</f>
        <v>#REF!</v>
      </c>
      <c r="HS151" t="e">
        <f>AND(#REF!,"AAAAADv6+eI=")</f>
        <v>#REF!</v>
      </c>
      <c r="HT151" t="e">
        <f>AND(#REF!,"AAAAADv6+eM=")</f>
        <v>#REF!</v>
      </c>
      <c r="HU151" t="e">
        <f>AND(#REF!,"AAAAADv6+eQ=")</f>
        <v>#REF!</v>
      </c>
      <c r="HV151" t="e">
        <f>AND(#REF!,"AAAAADv6+eU=")</f>
        <v>#REF!</v>
      </c>
      <c r="HW151" t="e">
        <f>AND(#REF!,"AAAAADv6+eY=")</f>
        <v>#REF!</v>
      </c>
      <c r="HX151" t="e">
        <f>AND(#REF!,"AAAAADv6+ec=")</f>
        <v>#REF!</v>
      </c>
      <c r="HY151" t="e">
        <f>AND(#REF!,"AAAAADv6+eg=")</f>
        <v>#REF!</v>
      </c>
      <c r="HZ151" t="e">
        <f>AND(#REF!,"AAAAADv6+ek=")</f>
        <v>#REF!</v>
      </c>
      <c r="IA151" t="e">
        <f>AND(#REF!,"AAAAADv6+eo=")</f>
        <v>#REF!</v>
      </c>
      <c r="IB151" t="e">
        <f>AND(#REF!,"AAAAADv6+es=")</f>
        <v>#REF!</v>
      </c>
      <c r="IC151" t="e">
        <f>AND(#REF!,"AAAAADv6+ew=")</f>
        <v>#REF!</v>
      </c>
      <c r="ID151" t="e">
        <f>AND(#REF!,"AAAAADv6+e0=")</f>
        <v>#REF!</v>
      </c>
      <c r="IE151" t="e">
        <f>AND(#REF!,"AAAAADv6+e4=")</f>
        <v>#REF!</v>
      </c>
      <c r="IF151" t="e">
        <f>AND(#REF!,"AAAAADv6+e8=")</f>
        <v>#REF!</v>
      </c>
      <c r="IG151" t="e">
        <f>AND(#REF!,"AAAAADv6+fA=")</f>
        <v>#REF!</v>
      </c>
      <c r="IH151" t="e">
        <f>AND(#REF!,"AAAAADv6+fE=")</f>
        <v>#REF!</v>
      </c>
      <c r="II151" t="e">
        <f>AND(#REF!,"AAAAADv6+fI=")</f>
        <v>#REF!</v>
      </c>
      <c r="IJ151" t="e">
        <f>AND(#REF!,"AAAAADv6+fM=")</f>
        <v>#REF!</v>
      </c>
      <c r="IK151" t="e">
        <f>AND(#REF!,"AAAAADv6+fQ=")</f>
        <v>#REF!</v>
      </c>
      <c r="IL151" t="e">
        <f>AND(#REF!,"AAAAADv6+fU=")</f>
        <v>#REF!</v>
      </c>
      <c r="IM151" t="e">
        <f>AND(#REF!,"AAAAADv6+fY=")</f>
        <v>#REF!</v>
      </c>
      <c r="IN151" t="e">
        <f>AND(#REF!,"AAAAADv6+fc=")</f>
        <v>#REF!</v>
      </c>
      <c r="IO151" t="e">
        <f>AND(#REF!,"AAAAADv6+fg=")</f>
        <v>#REF!</v>
      </c>
      <c r="IP151" t="e">
        <f>AND(#REF!,"AAAAADv6+fk=")</f>
        <v>#REF!</v>
      </c>
      <c r="IQ151" t="e">
        <f>AND(#REF!,"AAAAADv6+fo=")</f>
        <v>#REF!</v>
      </c>
      <c r="IR151" t="e">
        <f>AND(#REF!,"AAAAADv6+fs=")</f>
        <v>#REF!</v>
      </c>
      <c r="IS151" t="e">
        <f>AND(#REF!,"AAAAADv6+fw=")</f>
        <v>#REF!</v>
      </c>
      <c r="IT151" t="e">
        <f>AND(#REF!,"AAAAADv6+f0=")</f>
        <v>#REF!</v>
      </c>
      <c r="IU151" t="e">
        <f>AND(#REF!,"AAAAADv6+f4=")</f>
        <v>#REF!</v>
      </c>
      <c r="IV151" t="e">
        <f>AND(#REF!,"AAAAADv6+f8=")</f>
        <v>#REF!</v>
      </c>
    </row>
    <row r="152" spans="1:256" x14ac:dyDescent="0.25">
      <c r="A152" t="e">
        <f>AND(#REF!,"AAAAAF7uLQA=")</f>
        <v>#REF!</v>
      </c>
      <c r="B152" t="e">
        <f>AND(#REF!,"AAAAAF7uLQE=")</f>
        <v>#REF!</v>
      </c>
      <c r="C152" t="e">
        <f>AND(#REF!,"AAAAAF7uLQI=")</f>
        <v>#REF!</v>
      </c>
      <c r="D152" t="e">
        <f>AND(#REF!,"AAAAAF7uLQM=")</f>
        <v>#REF!</v>
      </c>
      <c r="E152" t="e">
        <f>AND(#REF!,"AAAAAF7uLQQ=")</f>
        <v>#REF!</v>
      </c>
      <c r="F152" t="e">
        <f>AND(#REF!,"AAAAAF7uLQU=")</f>
        <v>#REF!</v>
      </c>
      <c r="G152" t="e">
        <f>AND(#REF!,"AAAAAF7uLQY=")</f>
        <v>#REF!</v>
      </c>
      <c r="H152" t="e">
        <f>AND(#REF!,"AAAAAF7uLQc=")</f>
        <v>#REF!</v>
      </c>
      <c r="I152" t="e">
        <f>AND(#REF!,"AAAAAF7uLQg=")</f>
        <v>#REF!</v>
      </c>
      <c r="J152" t="e">
        <f>AND(#REF!,"AAAAAF7uLQk=")</f>
        <v>#REF!</v>
      </c>
      <c r="K152" t="e">
        <f>AND(#REF!,"AAAAAF7uLQo=")</f>
        <v>#REF!</v>
      </c>
      <c r="L152" t="e">
        <f>AND(#REF!,"AAAAAF7uLQs=")</f>
        <v>#REF!</v>
      </c>
      <c r="M152" t="e">
        <f>AND(#REF!,"AAAAAF7uLQw=")</f>
        <v>#REF!</v>
      </c>
      <c r="N152" t="e">
        <f>AND(#REF!,"AAAAAF7uLQ0=")</f>
        <v>#REF!</v>
      </c>
      <c r="O152" t="e">
        <f>AND(#REF!,"AAAAAF7uLQ4=")</f>
        <v>#REF!</v>
      </c>
      <c r="P152" t="e">
        <f>AND(#REF!,"AAAAAF7uLQ8=")</f>
        <v>#REF!</v>
      </c>
      <c r="Q152" t="e">
        <f>AND(#REF!,"AAAAAF7uLRA=")</f>
        <v>#REF!</v>
      </c>
      <c r="R152" t="e">
        <f>AND(#REF!,"AAAAAF7uLRE=")</f>
        <v>#REF!</v>
      </c>
      <c r="S152" t="e">
        <f>AND(#REF!,"AAAAAF7uLRI=")</f>
        <v>#REF!</v>
      </c>
      <c r="T152" t="e">
        <f>AND(#REF!,"AAAAAF7uLRM=")</f>
        <v>#REF!</v>
      </c>
      <c r="U152" t="e">
        <f>AND(#REF!,"AAAAAF7uLRQ=")</f>
        <v>#REF!</v>
      </c>
      <c r="V152" t="e">
        <f>AND(#REF!,"AAAAAF7uLRU=")</f>
        <v>#REF!</v>
      </c>
      <c r="W152" t="e">
        <f>AND(#REF!,"AAAAAF7uLRY=")</f>
        <v>#REF!</v>
      </c>
      <c r="X152" t="e">
        <f>AND(#REF!,"AAAAAF7uLRc=")</f>
        <v>#REF!</v>
      </c>
      <c r="Y152" t="e">
        <f>AND(#REF!,"AAAAAF7uLRg=")</f>
        <v>#REF!</v>
      </c>
      <c r="Z152" t="e">
        <f>AND(#REF!,"AAAAAF7uLRk=")</f>
        <v>#REF!</v>
      </c>
      <c r="AA152" t="e">
        <f>AND(#REF!,"AAAAAF7uLRo=")</f>
        <v>#REF!</v>
      </c>
      <c r="AB152" t="e">
        <f>AND(#REF!,"AAAAAF7uLRs=")</f>
        <v>#REF!</v>
      </c>
      <c r="AC152" t="e">
        <f>AND(#REF!,"AAAAAF7uLRw=")</f>
        <v>#REF!</v>
      </c>
      <c r="AD152" t="e">
        <f>AND(#REF!,"AAAAAF7uLR0=")</f>
        <v>#REF!</v>
      </c>
      <c r="AE152" t="e">
        <f>AND(#REF!,"AAAAAF7uLR4=")</f>
        <v>#REF!</v>
      </c>
      <c r="AF152" t="e">
        <f>AND(#REF!,"AAAAAF7uLR8=")</f>
        <v>#REF!</v>
      </c>
      <c r="AG152" t="e">
        <f>AND(#REF!,"AAAAAF7uLSA=")</f>
        <v>#REF!</v>
      </c>
      <c r="AH152" t="e">
        <f>AND(#REF!,"AAAAAF7uLSE=")</f>
        <v>#REF!</v>
      </c>
      <c r="AI152" t="e">
        <f>AND(#REF!,"AAAAAF7uLSI=")</f>
        <v>#REF!</v>
      </c>
      <c r="AJ152" t="e">
        <f>AND(#REF!,"AAAAAF7uLSM=")</f>
        <v>#REF!</v>
      </c>
      <c r="AK152" t="e">
        <f>AND(#REF!,"AAAAAF7uLSQ=")</f>
        <v>#REF!</v>
      </c>
      <c r="AL152" t="e">
        <f>AND(#REF!,"AAAAAF7uLSU=")</f>
        <v>#REF!</v>
      </c>
      <c r="AM152" t="e">
        <f>AND(#REF!,"AAAAAF7uLSY=")</f>
        <v>#REF!</v>
      </c>
      <c r="AN152" t="e">
        <f>AND(#REF!,"AAAAAF7uLSc=")</f>
        <v>#REF!</v>
      </c>
      <c r="AO152" t="e">
        <f>AND(#REF!,"AAAAAF7uLSg=")</f>
        <v>#REF!</v>
      </c>
      <c r="AP152" t="e">
        <f>AND(#REF!,"AAAAAF7uLSk=")</f>
        <v>#REF!</v>
      </c>
      <c r="AQ152" t="e">
        <f>AND(#REF!,"AAAAAF7uLSo=")</f>
        <v>#REF!</v>
      </c>
      <c r="AR152" t="e">
        <f>AND(#REF!,"AAAAAF7uLSs=")</f>
        <v>#REF!</v>
      </c>
      <c r="AS152" t="e">
        <f>AND(#REF!,"AAAAAF7uLSw=")</f>
        <v>#REF!</v>
      </c>
      <c r="AT152" t="e">
        <f>AND(#REF!,"AAAAAF7uLS0=")</f>
        <v>#REF!</v>
      </c>
      <c r="AU152" t="e">
        <f>AND(#REF!,"AAAAAF7uLS4=")</f>
        <v>#REF!</v>
      </c>
      <c r="AV152" t="e">
        <f>AND(#REF!,"AAAAAF7uLS8=")</f>
        <v>#REF!</v>
      </c>
      <c r="AW152" t="e">
        <f>AND(#REF!,"AAAAAF7uLTA=")</f>
        <v>#REF!</v>
      </c>
      <c r="AX152" t="e">
        <f>AND(#REF!,"AAAAAF7uLTE=")</f>
        <v>#REF!</v>
      </c>
      <c r="AY152" t="e">
        <f>AND(#REF!,"AAAAAF7uLTI=")</f>
        <v>#REF!</v>
      </c>
      <c r="AZ152" t="e">
        <f>AND(#REF!,"AAAAAF7uLTM=")</f>
        <v>#REF!</v>
      </c>
      <c r="BA152" t="e">
        <f>AND(#REF!,"AAAAAF7uLTQ=")</f>
        <v>#REF!</v>
      </c>
      <c r="BB152" t="e">
        <f>AND(#REF!,"AAAAAF7uLTU=")</f>
        <v>#REF!</v>
      </c>
      <c r="BC152" t="e">
        <f>IF(#REF!,"AAAAAF7uLTY=",0)</f>
        <v>#REF!</v>
      </c>
      <c r="BD152" t="e">
        <f>AND(#REF!,"AAAAAF7uLTc=")</f>
        <v>#REF!</v>
      </c>
      <c r="BE152" t="e">
        <f>AND(#REF!,"AAAAAF7uLTg=")</f>
        <v>#REF!</v>
      </c>
      <c r="BF152" t="e">
        <f>AND(#REF!,"AAAAAF7uLTk=")</f>
        <v>#REF!</v>
      </c>
      <c r="BG152" t="e">
        <f>AND(#REF!,"AAAAAF7uLTo=")</f>
        <v>#REF!</v>
      </c>
      <c r="BH152" t="e">
        <f>AND(#REF!,"AAAAAF7uLTs=")</f>
        <v>#REF!</v>
      </c>
      <c r="BI152" t="e">
        <f>AND(#REF!,"AAAAAF7uLTw=")</f>
        <v>#REF!</v>
      </c>
      <c r="BJ152" t="e">
        <f>AND(#REF!,"AAAAAF7uLT0=")</f>
        <v>#REF!</v>
      </c>
      <c r="BK152" t="e">
        <f>AND(#REF!,"AAAAAF7uLT4=")</f>
        <v>#REF!</v>
      </c>
      <c r="BL152" t="e">
        <f>AND(#REF!,"AAAAAF7uLT8=")</f>
        <v>#REF!</v>
      </c>
      <c r="BM152" t="e">
        <f>AND(#REF!,"AAAAAF7uLUA=")</f>
        <v>#REF!</v>
      </c>
      <c r="BN152" t="e">
        <f>AND(#REF!,"AAAAAF7uLUE=")</f>
        <v>#REF!</v>
      </c>
      <c r="BO152" t="e">
        <f>AND(#REF!,"AAAAAF7uLUI=")</f>
        <v>#REF!</v>
      </c>
      <c r="BP152" t="e">
        <f>AND(#REF!,"AAAAAF7uLUM=")</f>
        <v>#REF!</v>
      </c>
      <c r="BQ152" t="e">
        <f>AND(#REF!,"AAAAAF7uLUQ=")</f>
        <v>#REF!</v>
      </c>
      <c r="BR152" t="e">
        <f>AND(#REF!,"AAAAAF7uLUU=")</f>
        <v>#REF!</v>
      </c>
      <c r="BS152" t="e">
        <f>AND(#REF!,"AAAAAF7uLUY=")</f>
        <v>#REF!</v>
      </c>
      <c r="BT152" t="e">
        <f>AND(#REF!,"AAAAAF7uLUc=")</f>
        <v>#REF!</v>
      </c>
      <c r="BU152" t="e">
        <f>AND(#REF!,"AAAAAF7uLUg=")</f>
        <v>#REF!</v>
      </c>
      <c r="BV152" t="e">
        <f>AND(#REF!,"AAAAAF7uLUk=")</f>
        <v>#REF!</v>
      </c>
      <c r="BW152" t="e">
        <f>AND(#REF!,"AAAAAF7uLUo=")</f>
        <v>#REF!</v>
      </c>
      <c r="BX152" t="e">
        <f>AND(#REF!,"AAAAAF7uLUs=")</f>
        <v>#REF!</v>
      </c>
      <c r="BY152" t="e">
        <f>AND(#REF!,"AAAAAF7uLUw=")</f>
        <v>#REF!</v>
      </c>
      <c r="BZ152" t="e">
        <f>AND(#REF!,"AAAAAF7uLU0=")</f>
        <v>#REF!</v>
      </c>
      <c r="CA152" t="e">
        <f>AND(#REF!,"AAAAAF7uLU4=")</f>
        <v>#REF!</v>
      </c>
      <c r="CB152" t="e">
        <f>AND(#REF!,"AAAAAF7uLU8=")</f>
        <v>#REF!</v>
      </c>
      <c r="CC152" t="e">
        <f>AND(#REF!,"AAAAAF7uLVA=")</f>
        <v>#REF!</v>
      </c>
      <c r="CD152" t="e">
        <f>AND(#REF!,"AAAAAF7uLVE=")</f>
        <v>#REF!</v>
      </c>
      <c r="CE152" t="e">
        <f>AND(#REF!,"AAAAAF7uLVI=")</f>
        <v>#REF!</v>
      </c>
      <c r="CF152" t="e">
        <f>AND(#REF!,"AAAAAF7uLVM=")</f>
        <v>#REF!</v>
      </c>
      <c r="CG152" t="e">
        <f>AND(#REF!,"AAAAAF7uLVQ=")</f>
        <v>#REF!</v>
      </c>
      <c r="CH152" t="e">
        <f>AND(#REF!,"AAAAAF7uLVU=")</f>
        <v>#REF!</v>
      </c>
      <c r="CI152" t="e">
        <f>AND(#REF!,"AAAAAF7uLVY=")</f>
        <v>#REF!</v>
      </c>
      <c r="CJ152" t="e">
        <f>AND(#REF!,"AAAAAF7uLVc=")</f>
        <v>#REF!</v>
      </c>
      <c r="CK152" t="e">
        <f>AND(#REF!,"AAAAAF7uLVg=")</f>
        <v>#REF!</v>
      </c>
      <c r="CL152" t="e">
        <f>AND(#REF!,"AAAAAF7uLVk=")</f>
        <v>#REF!</v>
      </c>
      <c r="CM152" t="e">
        <f>AND(#REF!,"AAAAAF7uLVo=")</f>
        <v>#REF!</v>
      </c>
      <c r="CN152" t="e">
        <f>AND(#REF!,"AAAAAF7uLVs=")</f>
        <v>#REF!</v>
      </c>
      <c r="CO152" t="e">
        <f>AND(#REF!,"AAAAAF7uLVw=")</f>
        <v>#REF!</v>
      </c>
      <c r="CP152" t="e">
        <f>AND(#REF!,"AAAAAF7uLV0=")</f>
        <v>#REF!</v>
      </c>
      <c r="CQ152" t="e">
        <f>AND(#REF!,"AAAAAF7uLV4=")</f>
        <v>#REF!</v>
      </c>
      <c r="CR152" t="e">
        <f>AND(#REF!,"AAAAAF7uLV8=")</f>
        <v>#REF!</v>
      </c>
      <c r="CS152" t="e">
        <f>AND(#REF!,"AAAAAF7uLWA=")</f>
        <v>#REF!</v>
      </c>
      <c r="CT152" t="e">
        <f>AND(#REF!,"AAAAAF7uLWE=")</f>
        <v>#REF!</v>
      </c>
      <c r="CU152" t="e">
        <f>AND(#REF!,"AAAAAF7uLWI=")</f>
        <v>#REF!</v>
      </c>
      <c r="CV152" t="e">
        <f>AND(#REF!,"AAAAAF7uLWM=")</f>
        <v>#REF!</v>
      </c>
      <c r="CW152" t="e">
        <f>AND(#REF!,"AAAAAF7uLWQ=")</f>
        <v>#REF!</v>
      </c>
      <c r="CX152" t="e">
        <f>AND(#REF!,"AAAAAF7uLWU=")</f>
        <v>#REF!</v>
      </c>
      <c r="CY152" t="e">
        <f>AND(#REF!,"AAAAAF7uLWY=")</f>
        <v>#REF!</v>
      </c>
      <c r="CZ152" t="e">
        <f>AND(#REF!,"AAAAAF7uLWc=")</f>
        <v>#REF!</v>
      </c>
      <c r="DA152" t="e">
        <f>AND(#REF!,"AAAAAF7uLWg=")</f>
        <v>#REF!</v>
      </c>
      <c r="DB152" t="e">
        <f>AND(#REF!,"AAAAAF7uLWk=")</f>
        <v>#REF!</v>
      </c>
      <c r="DC152" t="e">
        <f>AND(#REF!,"AAAAAF7uLWo=")</f>
        <v>#REF!</v>
      </c>
      <c r="DD152" t="e">
        <f>AND(#REF!,"AAAAAF7uLWs=")</f>
        <v>#REF!</v>
      </c>
      <c r="DE152" t="e">
        <f>AND(#REF!,"AAAAAF7uLWw=")</f>
        <v>#REF!</v>
      </c>
      <c r="DF152" t="e">
        <f>AND(#REF!,"AAAAAF7uLW0=")</f>
        <v>#REF!</v>
      </c>
      <c r="DG152" t="e">
        <f>AND(#REF!,"AAAAAF7uLW4=")</f>
        <v>#REF!</v>
      </c>
      <c r="DH152" t="e">
        <f>AND(#REF!,"AAAAAF7uLW8=")</f>
        <v>#REF!</v>
      </c>
      <c r="DI152" t="e">
        <f>AND(#REF!,"AAAAAF7uLXA=")</f>
        <v>#REF!</v>
      </c>
      <c r="DJ152" t="e">
        <f>AND(#REF!,"AAAAAF7uLXE=")</f>
        <v>#REF!</v>
      </c>
      <c r="DK152" t="e">
        <f>AND(#REF!,"AAAAAF7uLXI=")</f>
        <v>#REF!</v>
      </c>
      <c r="DL152" t="e">
        <f>AND(#REF!,"AAAAAF7uLXM=")</f>
        <v>#REF!</v>
      </c>
      <c r="DM152" t="e">
        <f>AND(#REF!,"AAAAAF7uLXQ=")</f>
        <v>#REF!</v>
      </c>
      <c r="DN152" t="e">
        <f>AND(#REF!,"AAAAAF7uLXU=")</f>
        <v>#REF!</v>
      </c>
      <c r="DO152" t="e">
        <f>AND(#REF!,"AAAAAF7uLXY=")</f>
        <v>#REF!</v>
      </c>
      <c r="DP152" t="e">
        <f>AND(#REF!,"AAAAAF7uLXc=")</f>
        <v>#REF!</v>
      </c>
      <c r="DQ152" t="e">
        <f>AND(#REF!,"AAAAAF7uLXg=")</f>
        <v>#REF!</v>
      </c>
      <c r="DR152" t="e">
        <f>AND(#REF!,"AAAAAF7uLXk=")</f>
        <v>#REF!</v>
      </c>
      <c r="DS152" t="e">
        <f>AND(#REF!,"AAAAAF7uLXo=")</f>
        <v>#REF!</v>
      </c>
      <c r="DT152" t="e">
        <f>AND(#REF!,"AAAAAF7uLXs=")</f>
        <v>#REF!</v>
      </c>
      <c r="DU152" t="e">
        <f>AND(#REF!,"AAAAAF7uLXw=")</f>
        <v>#REF!</v>
      </c>
      <c r="DV152" t="e">
        <f>AND(#REF!,"AAAAAF7uLX0=")</f>
        <v>#REF!</v>
      </c>
      <c r="DW152" t="e">
        <f>AND(#REF!,"AAAAAF7uLX4=")</f>
        <v>#REF!</v>
      </c>
      <c r="DX152" t="e">
        <f>AND(#REF!,"AAAAAF7uLX8=")</f>
        <v>#REF!</v>
      </c>
      <c r="DY152" t="e">
        <f>AND(#REF!,"AAAAAF7uLYA=")</f>
        <v>#REF!</v>
      </c>
      <c r="DZ152" t="e">
        <f>AND(#REF!,"AAAAAF7uLYE=")</f>
        <v>#REF!</v>
      </c>
      <c r="EA152" t="e">
        <f>AND(#REF!,"AAAAAF7uLYI=")</f>
        <v>#REF!</v>
      </c>
      <c r="EB152" t="e">
        <f>AND(#REF!,"AAAAAF7uLYM=")</f>
        <v>#REF!</v>
      </c>
      <c r="EC152" t="e">
        <f>AND(#REF!,"AAAAAF7uLYQ=")</f>
        <v>#REF!</v>
      </c>
      <c r="ED152" t="e">
        <f>AND(#REF!,"AAAAAF7uLYU=")</f>
        <v>#REF!</v>
      </c>
      <c r="EE152" t="e">
        <f>AND(#REF!,"AAAAAF7uLYY=")</f>
        <v>#REF!</v>
      </c>
      <c r="EF152" t="e">
        <f>AND(#REF!,"AAAAAF7uLYc=")</f>
        <v>#REF!</v>
      </c>
      <c r="EG152" t="e">
        <f>AND(#REF!,"AAAAAF7uLYg=")</f>
        <v>#REF!</v>
      </c>
      <c r="EH152" t="e">
        <f>AND(#REF!,"AAAAAF7uLYk=")</f>
        <v>#REF!</v>
      </c>
      <c r="EI152" t="e">
        <f>AND(#REF!,"AAAAAF7uLYo=")</f>
        <v>#REF!</v>
      </c>
      <c r="EJ152" t="e">
        <f>AND(#REF!,"AAAAAF7uLYs=")</f>
        <v>#REF!</v>
      </c>
      <c r="EK152" t="e">
        <f>AND(#REF!,"AAAAAF7uLYw=")</f>
        <v>#REF!</v>
      </c>
      <c r="EL152" t="e">
        <f>AND(#REF!,"AAAAAF7uLY0=")</f>
        <v>#REF!</v>
      </c>
      <c r="EM152" t="e">
        <f>AND(#REF!,"AAAAAF7uLY4=")</f>
        <v>#REF!</v>
      </c>
      <c r="EN152" t="e">
        <f>AND(#REF!,"AAAAAF7uLY8=")</f>
        <v>#REF!</v>
      </c>
      <c r="EO152" t="e">
        <f>AND(#REF!,"AAAAAF7uLZA=")</f>
        <v>#REF!</v>
      </c>
      <c r="EP152" t="e">
        <f>AND(#REF!,"AAAAAF7uLZE=")</f>
        <v>#REF!</v>
      </c>
      <c r="EQ152" t="e">
        <f>AND(#REF!,"AAAAAF7uLZI=")</f>
        <v>#REF!</v>
      </c>
      <c r="ER152" t="e">
        <f>AND(#REF!,"AAAAAF7uLZM=")</f>
        <v>#REF!</v>
      </c>
      <c r="ES152" t="e">
        <f>AND(#REF!,"AAAAAF7uLZQ=")</f>
        <v>#REF!</v>
      </c>
      <c r="ET152" t="e">
        <f>AND(#REF!,"AAAAAF7uLZU=")</f>
        <v>#REF!</v>
      </c>
      <c r="EU152" t="e">
        <f>AND(#REF!,"AAAAAF7uLZY=")</f>
        <v>#REF!</v>
      </c>
      <c r="EV152" t="e">
        <f>AND(#REF!,"AAAAAF7uLZc=")</f>
        <v>#REF!</v>
      </c>
      <c r="EW152" t="e">
        <f>AND(#REF!,"AAAAAF7uLZg=")</f>
        <v>#REF!</v>
      </c>
      <c r="EX152" t="e">
        <f>AND(#REF!,"AAAAAF7uLZk=")</f>
        <v>#REF!</v>
      </c>
      <c r="EY152" t="e">
        <f>AND(#REF!,"AAAAAF7uLZo=")</f>
        <v>#REF!</v>
      </c>
      <c r="EZ152" t="e">
        <f>AND(#REF!,"AAAAAF7uLZs=")</f>
        <v>#REF!</v>
      </c>
      <c r="FA152" t="e">
        <f>AND(#REF!,"AAAAAF7uLZw=")</f>
        <v>#REF!</v>
      </c>
      <c r="FB152" t="e">
        <f>AND(#REF!,"AAAAAF7uLZ0=")</f>
        <v>#REF!</v>
      </c>
      <c r="FC152" t="e">
        <f>AND(#REF!,"AAAAAF7uLZ4=")</f>
        <v>#REF!</v>
      </c>
      <c r="FD152" t="e">
        <f>AND(#REF!,"AAAAAF7uLZ8=")</f>
        <v>#REF!</v>
      </c>
      <c r="FE152" t="e">
        <f>AND(#REF!,"AAAAAF7uLaA=")</f>
        <v>#REF!</v>
      </c>
      <c r="FF152" t="e">
        <f>AND(#REF!,"AAAAAF7uLaE=")</f>
        <v>#REF!</v>
      </c>
      <c r="FG152" t="e">
        <f>AND(#REF!,"AAAAAF7uLaI=")</f>
        <v>#REF!</v>
      </c>
      <c r="FH152" t="e">
        <f>AND(#REF!,"AAAAAF7uLaM=")</f>
        <v>#REF!</v>
      </c>
      <c r="FI152" t="e">
        <f>AND(#REF!,"AAAAAF7uLaQ=")</f>
        <v>#REF!</v>
      </c>
      <c r="FJ152" t="e">
        <f>AND(#REF!,"AAAAAF7uLaU=")</f>
        <v>#REF!</v>
      </c>
      <c r="FK152" t="e">
        <f>AND(#REF!,"AAAAAF7uLaY=")</f>
        <v>#REF!</v>
      </c>
      <c r="FL152" t="e">
        <f>AND(#REF!,"AAAAAF7uLac=")</f>
        <v>#REF!</v>
      </c>
      <c r="FM152" t="e">
        <f>AND(#REF!,"AAAAAF7uLag=")</f>
        <v>#REF!</v>
      </c>
      <c r="FN152" t="e">
        <f>AND(#REF!,"AAAAAF7uLak=")</f>
        <v>#REF!</v>
      </c>
      <c r="FO152" t="e">
        <f>AND(#REF!,"AAAAAF7uLao=")</f>
        <v>#REF!</v>
      </c>
      <c r="FP152" t="e">
        <f>AND(#REF!,"AAAAAF7uLas=")</f>
        <v>#REF!</v>
      </c>
      <c r="FQ152" t="e">
        <f>AND(#REF!,"AAAAAF7uLaw=")</f>
        <v>#REF!</v>
      </c>
      <c r="FR152" t="e">
        <f>AND(#REF!,"AAAAAF7uLa0=")</f>
        <v>#REF!</v>
      </c>
      <c r="FS152" t="e">
        <f>AND(#REF!,"AAAAAF7uLa4=")</f>
        <v>#REF!</v>
      </c>
      <c r="FT152" t="e">
        <f>AND(#REF!,"AAAAAF7uLa8=")</f>
        <v>#REF!</v>
      </c>
      <c r="FU152" t="e">
        <f>AND(#REF!,"AAAAAF7uLbA=")</f>
        <v>#REF!</v>
      </c>
      <c r="FV152" t="e">
        <f>AND(#REF!,"AAAAAF7uLbE=")</f>
        <v>#REF!</v>
      </c>
      <c r="FW152" t="e">
        <f>AND(#REF!,"AAAAAF7uLbI=")</f>
        <v>#REF!</v>
      </c>
      <c r="FX152" t="e">
        <f>AND(#REF!,"AAAAAF7uLbM=")</f>
        <v>#REF!</v>
      </c>
      <c r="FY152" t="e">
        <f>AND(#REF!,"AAAAAF7uLbQ=")</f>
        <v>#REF!</v>
      </c>
      <c r="FZ152" t="e">
        <f>AND(#REF!,"AAAAAF7uLbU=")</f>
        <v>#REF!</v>
      </c>
      <c r="GA152" t="e">
        <f>AND(#REF!,"AAAAAF7uLbY=")</f>
        <v>#REF!</v>
      </c>
      <c r="GB152" t="e">
        <f>AND(#REF!,"AAAAAF7uLbc=")</f>
        <v>#REF!</v>
      </c>
      <c r="GC152" t="e">
        <f>AND(#REF!,"AAAAAF7uLbg=")</f>
        <v>#REF!</v>
      </c>
      <c r="GD152" t="e">
        <f>AND(#REF!,"AAAAAF7uLbk=")</f>
        <v>#REF!</v>
      </c>
      <c r="GE152" t="e">
        <f>AND(#REF!,"AAAAAF7uLbo=")</f>
        <v>#REF!</v>
      </c>
      <c r="GF152" t="e">
        <f>AND(#REF!,"AAAAAF7uLbs=")</f>
        <v>#REF!</v>
      </c>
      <c r="GG152" t="e">
        <f>AND(#REF!,"AAAAAF7uLbw=")</f>
        <v>#REF!</v>
      </c>
      <c r="GH152" t="e">
        <f>AND(#REF!,"AAAAAF7uLb0=")</f>
        <v>#REF!</v>
      </c>
      <c r="GI152" t="e">
        <f>AND(#REF!,"AAAAAF7uLb4=")</f>
        <v>#REF!</v>
      </c>
      <c r="GJ152" t="e">
        <f>AND(#REF!,"AAAAAF7uLb8=")</f>
        <v>#REF!</v>
      </c>
      <c r="GK152" t="e">
        <f>AND(#REF!,"AAAAAF7uLcA=")</f>
        <v>#REF!</v>
      </c>
      <c r="GL152" t="e">
        <f>AND(#REF!,"AAAAAF7uLcE=")</f>
        <v>#REF!</v>
      </c>
      <c r="GM152" t="e">
        <f>AND(#REF!,"AAAAAF7uLcI=")</f>
        <v>#REF!</v>
      </c>
      <c r="GN152" t="e">
        <f>AND(#REF!,"AAAAAF7uLcM=")</f>
        <v>#REF!</v>
      </c>
      <c r="GO152" t="e">
        <f>AND(#REF!,"AAAAAF7uLcQ=")</f>
        <v>#REF!</v>
      </c>
      <c r="GP152" t="e">
        <f>AND(#REF!,"AAAAAF7uLcU=")</f>
        <v>#REF!</v>
      </c>
      <c r="GQ152" t="e">
        <f>AND(#REF!,"AAAAAF7uLcY=")</f>
        <v>#REF!</v>
      </c>
      <c r="GR152" t="e">
        <f>AND(#REF!,"AAAAAF7uLcc=")</f>
        <v>#REF!</v>
      </c>
      <c r="GS152" t="e">
        <f>AND(#REF!,"AAAAAF7uLcg=")</f>
        <v>#REF!</v>
      </c>
      <c r="GT152" t="e">
        <f>AND(#REF!,"AAAAAF7uLck=")</f>
        <v>#REF!</v>
      </c>
      <c r="GU152" t="e">
        <f>AND(#REF!,"AAAAAF7uLco=")</f>
        <v>#REF!</v>
      </c>
      <c r="GV152" t="e">
        <f>AND(#REF!,"AAAAAF7uLcs=")</f>
        <v>#REF!</v>
      </c>
      <c r="GW152" t="e">
        <f>AND(#REF!,"AAAAAF7uLcw=")</f>
        <v>#REF!</v>
      </c>
      <c r="GX152" t="e">
        <f>AND(#REF!,"AAAAAF7uLc0=")</f>
        <v>#REF!</v>
      </c>
      <c r="GY152" t="e">
        <f>AND(#REF!,"AAAAAF7uLc4=")</f>
        <v>#REF!</v>
      </c>
      <c r="GZ152" t="e">
        <f>AND(#REF!,"AAAAAF7uLc8=")</f>
        <v>#REF!</v>
      </c>
      <c r="HA152" t="e">
        <f>AND(#REF!,"AAAAAF7uLdA=")</f>
        <v>#REF!</v>
      </c>
      <c r="HB152" t="e">
        <f>AND(#REF!,"AAAAAF7uLdE=")</f>
        <v>#REF!</v>
      </c>
      <c r="HC152" t="e">
        <f>AND(#REF!,"AAAAAF7uLdI=")</f>
        <v>#REF!</v>
      </c>
      <c r="HD152" t="e">
        <f>AND(#REF!,"AAAAAF7uLdM=")</f>
        <v>#REF!</v>
      </c>
      <c r="HE152" t="e">
        <f>AND(#REF!,"AAAAAF7uLdQ=")</f>
        <v>#REF!</v>
      </c>
      <c r="HF152" t="e">
        <f>AND(#REF!,"AAAAAF7uLdU=")</f>
        <v>#REF!</v>
      </c>
      <c r="HG152" t="e">
        <f>AND(#REF!,"AAAAAF7uLdY=")</f>
        <v>#REF!</v>
      </c>
      <c r="HH152" t="e">
        <f>AND(#REF!,"AAAAAF7uLdc=")</f>
        <v>#REF!</v>
      </c>
      <c r="HI152" t="e">
        <f>AND(#REF!,"AAAAAF7uLdg=")</f>
        <v>#REF!</v>
      </c>
      <c r="HJ152" t="e">
        <f>AND(#REF!,"AAAAAF7uLdk=")</f>
        <v>#REF!</v>
      </c>
      <c r="HK152" t="e">
        <f>AND(#REF!,"AAAAAF7uLdo=")</f>
        <v>#REF!</v>
      </c>
      <c r="HL152" t="e">
        <f>AND(#REF!,"AAAAAF7uLds=")</f>
        <v>#REF!</v>
      </c>
      <c r="HM152" t="e">
        <f>AND(#REF!,"AAAAAF7uLdw=")</f>
        <v>#REF!</v>
      </c>
      <c r="HN152" t="e">
        <f>AND(#REF!,"AAAAAF7uLd0=")</f>
        <v>#REF!</v>
      </c>
      <c r="HO152" t="e">
        <f>AND(#REF!,"AAAAAF7uLd4=")</f>
        <v>#REF!</v>
      </c>
      <c r="HP152" t="e">
        <f>AND(#REF!,"AAAAAF7uLd8=")</f>
        <v>#REF!</v>
      </c>
      <c r="HQ152" t="e">
        <f>AND(#REF!,"AAAAAF7uLeA=")</f>
        <v>#REF!</v>
      </c>
      <c r="HR152" t="e">
        <f>AND(#REF!,"AAAAAF7uLeE=")</f>
        <v>#REF!</v>
      </c>
      <c r="HS152" t="e">
        <f>AND(#REF!,"AAAAAF7uLeI=")</f>
        <v>#REF!</v>
      </c>
      <c r="HT152" t="e">
        <f>AND(#REF!,"AAAAAF7uLeM=")</f>
        <v>#REF!</v>
      </c>
      <c r="HU152" t="e">
        <f>AND(#REF!,"AAAAAF7uLeQ=")</f>
        <v>#REF!</v>
      </c>
      <c r="HV152" t="e">
        <f>AND(#REF!,"AAAAAF7uLeU=")</f>
        <v>#REF!</v>
      </c>
      <c r="HW152" t="e">
        <f>AND(#REF!,"AAAAAF7uLeY=")</f>
        <v>#REF!</v>
      </c>
      <c r="HX152" t="e">
        <f>AND(#REF!,"AAAAAF7uLec=")</f>
        <v>#REF!</v>
      </c>
      <c r="HY152" t="e">
        <f>AND(#REF!,"AAAAAF7uLeg=")</f>
        <v>#REF!</v>
      </c>
      <c r="HZ152" t="e">
        <f>AND(#REF!,"AAAAAF7uLek=")</f>
        <v>#REF!</v>
      </c>
      <c r="IA152" t="e">
        <f>AND(#REF!,"AAAAAF7uLeo=")</f>
        <v>#REF!</v>
      </c>
      <c r="IB152" t="e">
        <f>AND(#REF!,"AAAAAF7uLes=")</f>
        <v>#REF!</v>
      </c>
      <c r="IC152" t="e">
        <f>AND(#REF!,"AAAAAF7uLew=")</f>
        <v>#REF!</v>
      </c>
      <c r="ID152" t="e">
        <f>AND(#REF!,"AAAAAF7uLe0=")</f>
        <v>#REF!</v>
      </c>
      <c r="IE152" t="e">
        <f>AND(#REF!,"AAAAAF7uLe4=")</f>
        <v>#REF!</v>
      </c>
      <c r="IF152" t="e">
        <f>AND(#REF!,"AAAAAF7uLe8=")</f>
        <v>#REF!</v>
      </c>
      <c r="IG152" t="e">
        <f>AND(#REF!,"AAAAAF7uLfA=")</f>
        <v>#REF!</v>
      </c>
      <c r="IH152" t="e">
        <f>AND(#REF!,"AAAAAF7uLfE=")</f>
        <v>#REF!</v>
      </c>
      <c r="II152" t="e">
        <f>AND(#REF!,"AAAAAF7uLfI=")</f>
        <v>#REF!</v>
      </c>
      <c r="IJ152" t="e">
        <f>IF(#REF!,"AAAAAF7uLfM=",0)</f>
        <v>#REF!</v>
      </c>
      <c r="IK152" t="e">
        <f>AND(#REF!,"AAAAAF7uLfQ=")</f>
        <v>#REF!</v>
      </c>
      <c r="IL152" t="e">
        <f>AND(#REF!,"AAAAAF7uLfU=")</f>
        <v>#REF!</v>
      </c>
      <c r="IM152" t="e">
        <f>AND(#REF!,"AAAAAF7uLfY=")</f>
        <v>#REF!</v>
      </c>
      <c r="IN152" t="e">
        <f>AND(#REF!,"AAAAAF7uLfc=")</f>
        <v>#REF!</v>
      </c>
      <c r="IO152" t="e">
        <f>AND(#REF!,"AAAAAF7uLfg=")</f>
        <v>#REF!</v>
      </c>
      <c r="IP152" t="e">
        <f>AND(#REF!,"AAAAAF7uLfk=")</f>
        <v>#REF!</v>
      </c>
      <c r="IQ152" t="e">
        <f>AND(#REF!,"AAAAAF7uLfo=")</f>
        <v>#REF!</v>
      </c>
      <c r="IR152" t="e">
        <f>AND(#REF!,"AAAAAF7uLfs=")</f>
        <v>#REF!</v>
      </c>
      <c r="IS152" t="e">
        <f>AND(#REF!,"AAAAAF7uLfw=")</f>
        <v>#REF!</v>
      </c>
      <c r="IT152" t="e">
        <f>AND(#REF!,"AAAAAF7uLf0=")</f>
        <v>#REF!</v>
      </c>
      <c r="IU152" t="e">
        <f>AND(#REF!,"AAAAAF7uLf4=")</f>
        <v>#REF!</v>
      </c>
      <c r="IV152" t="e">
        <f>AND(#REF!,"AAAAAF7uLf8=")</f>
        <v>#REF!</v>
      </c>
    </row>
    <row r="153" spans="1:256" x14ac:dyDescent="0.25">
      <c r="A153" t="e">
        <f>AND(#REF!,"AAAAAH5//wA=")</f>
        <v>#REF!</v>
      </c>
      <c r="B153" t="e">
        <f>AND(#REF!,"AAAAAH5//wE=")</f>
        <v>#REF!</v>
      </c>
      <c r="C153" t="e">
        <f>AND(#REF!,"AAAAAH5//wI=")</f>
        <v>#REF!</v>
      </c>
      <c r="D153" t="e">
        <f>AND(#REF!,"AAAAAH5//wM=")</f>
        <v>#REF!</v>
      </c>
      <c r="E153" t="e">
        <f>AND(#REF!,"AAAAAH5//wQ=")</f>
        <v>#REF!</v>
      </c>
      <c r="F153" t="e">
        <f>AND(#REF!,"AAAAAH5//wU=")</f>
        <v>#REF!</v>
      </c>
      <c r="G153" t="e">
        <f>AND(#REF!,"AAAAAH5//wY=")</f>
        <v>#REF!</v>
      </c>
      <c r="H153" t="e">
        <f>AND(#REF!,"AAAAAH5//wc=")</f>
        <v>#REF!</v>
      </c>
      <c r="I153" t="e">
        <f>AND(#REF!,"AAAAAH5//wg=")</f>
        <v>#REF!</v>
      </c>
      <c r="J153" t="e">
        <f>AND(#REF!,"AAAAAH5//wk=")</f>
        <v>#REF!</v>
      </c>
      <c r="K153" t="e">
        <f>AND(#REF!,"AAAAAH5//wo=")</f>
        <v>#REF!</v>
      </c>
      <c r="L153" t="e">
        <f>AND(#REF!,"AAAAAH5//ws=")</f>
        <v>#REF!</v>
      </c>
      <c r="M153" t="e">
        <f>AND(#REF!,"AAAAAH5//ww=")</f>
        <v>#REF!</v>
      </c>
      <c r="N153" t="e">
        <f>AND(#REF!,"AAAAAH5//w0=")</f>
        <v>#REF!</v>
      </c>
      <c r="O153" t="e">
        <f>AND(#REF!,"AAAAAH5//w4=")</f>
        <v>#REF!</v>
      </c>
      <c r="P153" t="e">
        <f>AND(#REF!,"AAAAAH5//w8=")</f>
        <v>#REF!</v>
      </c>
      <c r="Q153" t="e">
        <f>AND(#REF!,"AAAAAH5//xA=")</f>
        <v>#REF!</v>
      </c>
      <c r="R153" t="e">
        <f>AND(#REF!,"AAAAAH5//xE=")</f>
        <v>#REF!</v>
      </c>
      <c r="S153" t="e">
        <f>AND(#REF!,"AAAAAH5//xI=")</f>
        <v>#REF!</v>
      </c>
      <c r="T153" t="e">
        <f>AND(#REF!,"AAAAAH5//xM=")</f>
        <v>#REF!</v>
      </c>
      <c r="U153" t="e">
        <f>AND(#REF!,"AAAAAH5//xQ=")</f>
        <v>#REF!</v>
      </c>
      <c r="V153" t="e">
        <f>AND(#REF!,"AAAAAH5//xU=")</f>
        <v>#REF!</v>
      </c>
      <c r="W153" t="e">
        <f>AND(#REF!,"AAAAAH5//xY=")</f>
        <v>#REF!</v>
      </c>
      <c r="X153" t="e">
        <f>AND(#REF!,"AAAAAH5//xc=")</f>
        <v>#REF!</v>
      </c>
      <c r="Y153" t="e">
        <f>AND(#REF!,"AAAAAH5//xg=")</f>
        <v>#REF!</v>
      </c>
      <c r="Z153" t="e">
        <f>AND(#REF!,"AAAAAH5//xk=")</f>
        <v>#REF!</v>
      </c>
      <c r="AA153" t="e">
        <f>AND(#REF!,"AAAAAH5//xo=")</f>
        <v>#REF!</v>
      </c>
      <c r="AB153" t="e">
        <f>AND(#REF!,"AAAAAH5//xs=")</f>
        <v>#REF!</v>
      </c>
      <c r="AC153" t="e">
        <f>AND(#REF!,"AAAAAH5//xw=")</f>
        <v>#REF!</v>
      </c>
      <c r="AD153" t="e">
        <f>AND(#REF!,"AAAAAH5//x0=")</f>
        <v>#REF!</v>
      </c>
      <c r="AE153" t="e">
        <f>AND(#REF!,"AAAAAH5//x4=")</f>
        <v>#REF!</v>
      </c>
      <c r="AF153" t="e">
        <f>AND(#REF!,"AAAAAH5//x8=")</f>
        <v>#REF!</v>
      </c>
      <c r="AG153" t="e">
        <f>AND(#REF!,"AAAAAH5//yA=")</f>
        <v>#REF!</v>
      </c>
      <c r="AH153" t="e">
        <f>AND(#REF!,"AAAAAH5//yE=")</f>
        <v>#REF!</v>
      </c>
      <c r="AI153" t="e">
        <f>AND(#REF!,"AAAAAH5//yI=")</f>
        <v>#REF!</v>
      </c>
      <c r="AJ153" t="e">
        <f>AND(#REF!,"AAAAAH5//yM=")</f>
        <v>#REF!</v>
      </c>
      <c r="AK153" t="e">
        <f>AND(#REF!,"AAAAAH5//yQ=")</f>
        <v>#REF!</v>
      </c>
      <c r="AL153" t="e">
        <f>AND(#REF!,"AAAAAH5//yU=")</f>
        <v>#REF!</v>
      </c>
      <c r="AM153" t="e">
        <f>AND(#REF!,"AAAAAH5//yY=")</f>
        <v>#REF!</v>
      </c>
      <c r="AN153" t="e">
        <f>AND(#REF!,"AAAAAH5//yc=")</f>
        <v>#REF!</v>
      </c>
      <c r="AO153" t="e">
        <f>AND(#REF!,"AAAAAH5//yg=")</f>
        <v>#REF!</v>
      </c>
      <c r="AP153" t="e">
        <f>AND(#REF!,"AAAAAH5//yk=")</f>
        <v>#REF!</v>
      </c>
      <c r="AQ153" t="e">
        <f>AND(#REF!,"AAAAAH5//yo=")</f>
        <v>#REF!</v>
      </c>
      <c r="AR153" t="e">
        <f>AND(#REF!,"AAAAAH5//ys=")</f>
        <v>#REF!</v>
      </c>
      <c r="AS153" t="e">
        <f>AND(#REF!,"AAAAAH5//yw=")</f>
        <v>#REF!</v>
      </c>
      <c r="AT153" t="e">
        <f>AND(#REF!,"AAAAAH5//y0=")</f>
        <v>#REF!</v>
      </c>
      <c r="AU153" t="e">
        <f>AND(#REF!,"AAAAAH5//y4=")</f>
        <v>#REF!</v>
      </c>
      <c r="AV153" t="e">
        <f>AND(#REF!,"AAAAAH5//y8=")</f>
        <v>#REF!</v>
      </c>
      <c r="AW153" t="e">
        <f>AND(#REF!,"AAAAAH5//zA=")</f>
        <v>#REF!</v>
      </c>
      <c r="AX153" t="e">
        <f>AND(#REF!,"AAAAAH5//zE=")</f>
        <v>#REF!</v>
      </c>
      <c r="AY153" t="e">
        <f>AND(#REF!,"AAAAAH5//zI=")</f>
        <v>#REF!</v>
      </c>
      <c r="AZ153" t="e">
        <f>AND(#REF!,"AAAAAH5//zM=")</f>
        <v>#REF!</v>
      </c>
      <c r="BA153" t="e">
        <f>AND(#REF!,"AAAAAH5//zQ=")</f>
        <v>#REF!</v>
      </c>
      <c r="BB153" t="e">
        <f>AND(#REF!,"AAAAAH5//zU=")</f>
        <v>#REF!</v>
      </c>
      <c r="BC153" t="e">
        <f>AND(#REF!,"AAAAAH5//zY=")</f>
        <v>#REF!</v>
      </c>
      <c r="BD153" t="e">
        <f>AND(#REF!,"AAAAAH5//zc=")</f>
        <v>#REF!</v>
      </c>
      <c r="BE153" t="e">
        <f>AND(#REF!,"AAAAAH5//zg=")</f>
        <v>#REF!</v>
      </c>
      <c r="BF153" t="e">
        <f>AND(#REF!,"AAAAAH5//zk=")</f>
        <v>#REF!</v>
      </c>
      <c r="BG153" t="e">
        <f>AND(#REF!,"AAAAAH5//zo=")</f>
        <v>#REF!</v>
      </c>
      <c r="BH153" t="e">
        <f>AND(#REF!,"AAAAAH5//zs=")</f>
        <v>#REF!</v>
      </c>
      <c r="BI153" t="e">
        <f>AND(#REF!,"AAAAAH5//zw=")</f>
        <v>#REF!</v>
      </c>
      <c r="BJ153" t="e">
        <f>AND(#REF!,"AAAAAH5//z0=")</f>
        <v>#REF!</v>
      </c>
      <c r="BK153" t="e">
        <f>AND(#REF!,"AAAAAH5//z4=")</f>
        <v>#REF!</v>
      </c>
      <c r="BL153" t="e">
        <f>AND(#REF!,"AAAAAH5//z8=")</f>
        <v>#REF!</v>
      </c>
      <c r="BM153" t="e">
        <f>AND(#REF!,"AAAAAH5//0A=")</f>
        <v>#REF!</v>
      </c>
      <c r="BN153" t="e">
        <f>AND(#REF!,"AAAAAH5//0E=")</f>
        <v>#REF!</v>
      </c>
      <c r="BO153" t="e">
        <f>AND(#REF!,"AAAAAH5//0I=")</f>
        <v>#REF!</v>
      </c>
      <c r="BP153" t="e">
        <f>AND(#REF!,"AAAAAH5//0M=")</f>
        <v>#REF!</v>
      </c>
      <c r="BQ153" t="e">
        <f>AND(#REF!,"AAAAAH5//0Q=")</f>
        <v>#REF!</v>
      </c>
      <c r="BR153" t="e">
        <f>AND(#REF!,"AAAAAH5//0U=")</f>
        <v>#REF!</v>
      </c>
      <c r="BS153" t="e">
        <f>AND(#REF!,"AAAAAH5//0Y=")</f>
        <v>#REF!</v>
      </c>
      <c r="BT153" t="e">
        <f>AND(#REF!,"AAAAAH5//0c=")</f>
        <v>#REF!</v>
      </c>
      <c r="BU153" t="e">
        <f>AND(#REF!,"AAAAAH5//0g=")</f>
        <v>#REF!</v>
      </c>
      <c r="BV153" t="e">
        <f>AND(#REF!,"AAAAAH5//0k=")</f>
        <v>#REF!</v>
      </c>
      <c r="BW153" t="e">
        <f>AND(#REF!,"AAAAAH5//0o=")</f>
        <v>#REF!</v>
      </c>
      <c r="BX153" t="e">
        <f>AND(#REF!,"AAAAAH5//0s=")</f>
        <v>#REF!</v>
      </c>
      <c r="BY153" t="e">
        <f>AND(#REF!,"AAAAAH5//0w=")</f>
        <v>#REF!</v>
      </c>
      <c r="BZ153" t="e">
        <f>AND(#REF!,"AAAAAH5//00=")</f>
        <v>#REF!</v>
      </c>
      <c r="CA153" t="e">
        <f>AND(#REF!,"AAAAAH5//04=")</f>
        <v>#REF!</v>
      </c>
      <c r="CB153" t="e">
        <f>AND(#REF!,"AAAAAH5//08=")</f>
        <v>#REF!</v>
      </c>
      <c r="CC153" t="e">
        <f>AND(#REF!,"AAAAAH5//1A=")</f>
        <v>#REF!</v>
      </c>
      <c r="CD153" t="e">
        <f>AND(#REF!,"AAAAAH5//1E=")</f>
        <v>#REF!</v>
      </c>
      <c r="CE153" t="e">
        <f>AND(#REF!,"AAAAAH5//1I=")</f>
        <v>#REF!</v>
      </c>
      <c r="CF153" t="e">
        <f>AND(#REF!,"AAAAAH5//1M=")</f>
        <v>#REF!</v>
      </c>
      <c r="CG153" t="e">
        <f>AND(#REF!,"AAAAAH5//1Q=")</f>
        <v>#REF!</v>
      </c>
      <c r="CH153" t="e">
        <f>AND(#REF!,"AAAAAH5//1U=")</f>
        <v>#REF!</v>
      </c>
      <c r="CI153" t="e">
        <f>AND(#REF!,"AAAAAH5//1Y=")</f>
        <v>#REF!</v>
      </c>
      <c r="CJ153" t="e">
        <f>AND(#REF!,"AAAAAH5//1c=")</f>
        <v>#REF!</v>
      </c>
      <c r="CK153" t="e">
        <f>AND(#REF!,"AAAAAH5//1g=")</f>
        <v>#REF!</v>
      </c>
      <c r="CL153" t="e">
        <f>AND(#REF!,"AAAAAH5//1k=")</f>
        <v>#REF!</v>
      </c>
      <c r="CM153" t="e">
        <f>AND(#REF!,"AAAAAH5//1o=")</f>
        <v>#REF!</v>
      </c>
      <c r="CN153" t="e">
        <f>AND(#REF!,"AAAAAH5//1s=")</f>
        <v>#REF!</v>
      </c>
      <c r="CO153" t="e">
        <f>AND(#REF!,"AAAAAH5//1w=")</f>
        <v>#REF!</v>
      </c>
      <c r="CP153" t="e">
        <f>AND(#REF!,"AAAAAH5//10=")</f>
        <v>#REF!</v>
      </c>
      <c r="CQ153" t="e">
        <f>AND(#REF!,"AAAAAH5//14=")</f>
        <v>#REF!</v>
      </c>
      <c r="CR153" t="e">
        <f>AND(#REF!,"AAAAAH5//18=")</f>
        <v>#REF!</v>
      </c>
      <c r="CS153" t="e">
        <f>AND(#REF!,"AAAAAH5//2A=")</f>
        <v>#REF!</v>
      </c>
      <c r="CT153" t="e">
        <f>AND(#REF!,"AAAAAH5//2E=")</f>
        <v>#REF!</v>
      </c>
      <c r="CU153" t="e">
        <f>AND(#REF!,"AAAAAH5//2I=")</f>
        <v>#REF!</v>
      </c>
      <c r="CV153" t="e">
        <f>AND(#REF!,"AAAAAH5//2M=")</f>
        <v>#REF!</v>
      </c>
      <c r="CW153" t="e">
        <f>AND(#REF!,"AAAAAH5//2Q=")</f>
        <v>#REF!</v>
      </c>
      <c r="CX153" t="e">
        <f>AND(#REF!,"AAAAAH5//2U=")</f>
        <v>#REF!</v>
      </c>
      <c r="CY153" t="e">
        <f>AND(#REF!,"AAAAAH5//2Y=")</f>
        <v>#REF!</v>
      </c>
      <c r="CZ153" t="e">
        <f>AND(#REF!,"AAAAAH5//2c=")</f>
        <v>#REF!</v>
      </c>
      <c r="DA153" t="e">
        <f>AND(#REF!,"AAAAAH5//2g=")</f>
        <v>#REF!</v>
      </c>
      <c r="DB153" t="e">
        <f>AND(#REF!,"AAAAAH5//2k=")</f>
        <v>#REF!</v>
      </c>
      <c r="DC153" t="e">
        <f>AND(#REF!,"AAAAAH5//2o=")</f>
        <v>#REF!</v>
      </c>
      <c r="DD153" t="e">
        <f>AND(#REF!,"AAAAAH5//2s=")</f>
        <v>#REF!</v>
      </c>
      <c r="DE153" t="e">
        <f>AND(#REF!,"AAAAAH5//2w=")</f>
        <v>#REF!</v>
      </c>
      <c r="DF153" t="e">
        <f>AND(#REF!,"AAAAAH5//20=")</f>
        <v>#REF!</v>
      </c>
      <c r="DG153" t="e">
        <f>AND(#REF!,"AAAAAH5//24=")</f>
        <v>#REF!</v>
      </c>
      <c r="DH153" t="e">
        <f>AND(#REF!,"AAAAAH5//28=")</f>
        <v>#REF!</v>
      </c>
      <c r="DI153" t="e">
        <f>AND(#REF!,"AAAAAH5//3A=")</f>
        <v>#REF!</v>
      </c>
      <c r="DJ153" t="e">
        <f>AND(#REF!,"AAAAAH5//3E=")</f>
        <v>#REF!</v>
      </c>
      <c r="DK153" t="e">
        <f>AND(#REF!,"AAAAAH5//3I=")</f>
        <v>#REF!</v>
      </c>
      <c r="DL153" t="e">
        <f>AND(#REF!,"AAAAAH5//3M=")</f>
        <v>#REF!</v>
      </c>
      <c r="DM153" t="e">
        <f>AND(#REF!,"AAAAAH5//3Q=")</f>
        <v>#REF!</v>
      </c>
      <c r="DN153" t="e">
        <f>AND(#REF!,"AAAAAH5//3U=")</f>
        <v>#REF!</v>
      </c>
      <c r="DO153" t="e">
        <f>AND(#REF!,"AAAAAH5//3Y=")</f>
        <v>#REF!</v>
      </c>
      <c r="DP153" t="e">
        <f>AND(#REF!,"AAAAAH5//3c=")</f>
        <v>#REF!</v>
      </c>
      <c r="DQ153" t="e">
        <f>AND(#REF!,"AAAAAH5//3g=")</f>
        <v>#REF!</v>
      </c>
      <c r="DR153" t="e">
        <f>AND(#REF!,"AAAAAH5//3k=")</f>
        <v>#REF!</v>
      </c>
      <c r="DS153" t="e">
        <f>AND(#REF!,"AAAAAH5//3o=")</f>
        <v>#REF!</v>
      </c>
      <c r="DT153" t="e">
        <f>AND(#REF!,"AAAAAH5//3s=")</f>
        <v>#REF!</v>
      </c>
      <c r="DU153" t="e">
        <f>AND(#REF!,"AAAAAH5//3w=")</f>
        <v>#REF!</v>
      </c>
      <c r="DV153" t="e">
        <f>AND(#REF!,"AAAAAH5//30=")</f>
        <v>#REF!</v>
      </c>
      <c r="DW153" t="e">
        <f>AND(#REF!,"AAAAAH5//34=")</f>
        <v>#REF!</v>
      </c>
      <c r="DX153" t="e">
        <f>AND(#REF!,"AAAAAH5//38=")</f>
        <v>#REF!</v>
      </c>
      <c r="DY153" t="e">
        <f>AND(#REF!,"AAAAAH5//4A=")</f>
        <v>#REF!</v>
      </c>
      <c r="DZ153" t="e">
        <f>AND(#REF!,"AAAAAH5//4E=")</f>
        <v>#REF!</v>
      </c>
      <c r="EA153" t="e">
        <f>AND(#REF!,"AAAAAH5//4I=")</f>
        <v>#REF!</v>
      </c>
      <c r="EB153" t="e">
        <f>AND(#REF!,"AAAAAH5//4M=")</f>
        <v>#REF!</v>
      </c>
      <c r="EC153" t="e">
        <f>AND(#REF!,"AAAAAH5//4Q=")</f>
        <v>#REF!</v>
      </c>
      <c r="ED153" t="e">
        <f>AND(#REF!,"AAAAAH5//4U=")</f>
        <v>#REF!</v>
      </c>
      <c r="EE153" t="e">
        <f>AND(#REF!,"AAAAAH5//4Y=")</f>
        <v>#REF!</v>
      </c>
      <c r="EF153" t="e">
        <f>AND(#REF!,"AAAAAH5//4c=")</f>
        <v>#REF!</v>
      </c>
      <c r="EG153" t="e">
        <f>AND(#REF!,"AAAAAH5//4g=")</f>
        <v>#REF!</v>
      </c>
      <c r="EH153" t="e">
        <f>AND(#REF!,"AAAAAH5//4k=")</f>
        <v>#REF!</v>
      </c>
      <c r="EI153" t="e">
        <f>AND(#REF!,"AAAAAH5//4o=")</f>
        <v>#REF!</v>
      </c>
      <c r="EJ153" t="e">
        <f>AND(#REF!,"AAAAAH5//4s=")</f>
        <v>#REF!</v>
      </c>
      <c r="EK153" t="e">
        <f>AND(#REF!,"AAAAAH5//4w=")</f>
        <v>#REF!</v>
      </c>
      <c r="EL153" t="e">
        <f>AND(#REF!,"AAAAAH5//40=")</f>
        <v>#REF!</v>
      </c>
      <c r="EM153" t="e">
        <f>AND(#REF!,"AAAAAH5//44=")</f>
        <v>#REF!</v>
      </c>
      <c r="EN153" t="e">
        <f>AND(#REF!,"AAAAAH5//48=")</f>
        <v>#REF!</v>
      </c>
      <c r="EO153" t="e">
        <f>AND(#REF!,"AAAAAH5//5A=")</f>
        <v>#REF!</v>
      </c>
      <c r="EP153" t="e">
        <f>AND(#REF!,"AAAAAH5//5E=")</f>
        <v>#REF!</v>
      </c>
      <c r="EQ153" t="e">
        <f>AND(#REF!,"AAAAAH5//5I=")</f>
        <v>#REF!</v>
      </c>
      <c r="ER153" t="e">
        <f>AND(#REF!,"AAAAAH5//5M=")</f>
        <v>#REF!</v>
      </c>
      <c r="ES153" t="e">
        <f>AND(#REF!,"AAAAAH5//5Q=")</f>
        <v>#REF!</v>
      </c>
      <c r="ET153" t="e">
        <f>AND(#REF!,"AAAAAH5//5U=")</f>
        <v>#REF!</v>
      </c>
      <c r="EU153" t="e">
        <f>AND(#REF!,"AAAAAH5//5Y=")</f>
        <v>#REF!</v>
      </c>
      <c r="EV153" t="e">
        <f>AND(#REF!,"AAAAAH5//5c=")</f>
        <v>#REF!</v>
      </c>
      <c r="EW153" t="e">
        <f>AND(#REF!,"AAAAAH5//5g=")</f>
        <v>#REF!</v>
      </c>
      <c r="EX153" t="e">
        <f>AND(#REF!,"AAAAAH5//5k=")</f>
        <v>#REF!</v>
      </c>
      <c r="EY153" t="e">
        <f>AND(#REF!,"AAAAAH5//5o=")</f>
        <v>#REF!</v>
      </c>
      <c r="EZ153" t="e">
        <f>AND(#REF!,"AAAAAH5//5s=")</f>
        <v>#REF!</v>
      </c>
      <c r="FA153" t="e">
        <f>AND(#REF!,"AAAAAH5//5w=")</f>
        <v>#REF!</v>
      </c>
      <c r="FB153" t="e">
        <f>AND(#REF!,"AAAAAH5//50=")</f>
        <v>#REF!</v>
      </c>
      <c r="FC153" t="e">
        <f>AND(#REF!,"AAAAAH5//54=")</f>
        <v>#REF!</v>
      </c>
      <c r="FD153" t="e">
        <f>AND(#REF!,"AAAAAH5//58=")</f>
        <v>#REF!</v>
      </c>
      <c r="FE153" t="e">
        <f>AND(#REF!,"AAAAAH5//6A=")</f>
        <v>#REF!</v>
      </c>
      <c r="FF153" t="e">
        <f>AND(#REF!,"AAAAAH5//6E=")</f>
        <v>#REF!</v>
      </c>
      <c r="FG153" t="e">
        <f>AND(#REF!,"AAAAAH5//6I=")</f>
        <v>#REF!</v>
      </c>
      <c r="FH153" t="e">
        <f>AND(#REF!,"AAAAAH5//6M=")</f>
        <v>#REF!</v>
      </c>
      <c r="FI153" t="e">
        <f>AND(#REF!,"AAAAAH5//6Q=")</f>
        <v>#REF!</v>
      </c>
      <c r="FJ153" t="e">
        <f>AND(#REF!,"AAAAAH5//6U=")</f>
        <v>#REF!</v>
      </c>
      <c r="FK153" t="e">
        <f>AND(#REF!,"AAAAAH5//6Y=")</f>
        <v>#REF!</v>
      </c>
      <c r="FL153" t="e">
        <f>AND(#REF!,"AAAAAH5//6c=")</f>
        <v>#REF!</v>
      </c>
      <c r="FM153" t="e">
        <f>AND(#REF!,"AAAAAH5//6g=")</f>
        <v>#REF!</v>
      </c>
      <c r="FN153" t="e">
        <f>AND(#REF!,"AAAAAH5//6k=")</f>
        <v>#REF!</v>
      </c>
      <c r="FO153" t="e">
        <f>AND(#REF!,"AAAAAH5//6o=")</f>
        <v>#REF!</v>
      </c>
      <c r="FP153" t="e">
        <f>AND(#REF!,"AAAAAH5//6s=")</f>
        <v>#REF!</v>
      </c>
      <c r="FQ153" t="e">
        <f>AND(#REF!,"AAAAAH5//6w=")</f>
        <v>#REF!</v>
      </c>
      <c r="FR153" t="e">
        <f>AND(#REF!,"AAAAAH5//60=")</f>
        <v>#REF!</v>
      </c>
      <c r="FS153" t="e">
        <f>AND(#REF!,"AAAAAH5//64=")</f>
        <v>#REF!</v>
      </c>
      <c r="FT153" t="e">
        <f>AND(#REF!,"AAAAAH5//68=")</f>
        <v>#REF!</v>
      </c>
      <c r="FU153" t="e">
        <f>IF(#REF!,"AAAAAH5//7A=",0)</f>
        <v>#REF!</v>
      </c>
      <c r="FV153" t="e">
        <f>AND(#REF!,"AAAAAH5//7E=")</f>
        <v>#REF!</v>
      </c>
      <c r="FW153" t="e">
        <f>AND(#REF!,"AAAAAH5//7I=")</f>
        <v>#REF!</v>
      </c>
      <c r="FX153" t="e">
        <f>AND(#REF!,"AAAAAH5//7M=")</f>
        <v>#REF!</v>
      </c>
      <c r="FY153" t="e">
        <f>AND(#REF!,"AAAAAH5//7Q=")</f>
        <v>#REF!</v>
      </c>
      <c r="FZ153" t="e">
        <f>AND(#REF!,"AAAAAH5//7U=")</f>
        <v>#REF!</v>
      </c>
      <c r="GA153" t="e">
        <f>AND(#REF!,"AAAAAH5//7Y=")</f>
        <v>#REF!</v>
      </c>
      <c r="GB153" t="e">
        <f>AND(#REF!,"AAAAAH5//7c=")</f>
        <v>#REF!</v>
      </c>
      <c r="GC153" t="e">
        <f>AND(#REF!,"AAAAAH5//7g=")</f>
        <v>#REF!</v>
      </c>
      <c r="GD153" t="e">
        <f>AND(#REF!,"AAAAAH5//7k=")</f>
        <v>#REF!</v>
      </c>
      <c r="GE153" t="e">
        <f>AND(#REF!,"AAAAAH5//7o=")</f>
        <v>#REF!</v>
      </c>
      <c r="GF153" t="e">
        <f>AND(#REF!,"AAAAAH5//7s=")</f>
        <v>#REF!</v>
      </c>
      <c r="GG153" t="e">
        <f>AND(#REF!,"AAAAAH5//7w=")</f>
        <v>#REF!</v>
      </c>
      <c r="GH153" t="e">
        <f>AND(#REF!,"AAAAAH5//70=")</f>
        <v>#REF!</v>
      </c>
      <c r="GI153" t="e">
        <f>AND(#REF!,"AAAAAH5//74=")</f>
        <v>#REF!</v>
      </c>
      <c r="GJ153" t="e">
        <f>AND(#REF!,"AAAAAH5//78=")</f>
        <v>#REF!</v>
      </c>
      <c r="GK153" t="e">
        <f>AND(#REF!,"AAAAAH5//8A=")</f>
        <v>#REF!</v>
      </c>
      <c r="GL153" t="e">
        <f>AND(#REF!,"AAAAAH5//8E=")</f>
        <v>#REF!</v>
      </c>
      <c r="GM153" t="e">
        <f>AND(#REF!,"AAAAAH5//8I=")</f>
        <v>#REF!</v>
      </c>
      <c r="GN153" t="e">
        <f>AND(#REF!,"AAAAAH5//8M=")</f>
        <v>#REF!</v>
      </c>
      <c r="GO153" t="e">
        <f>AND(#REF!,"AAAAAH5//8Q=")</f>
        <v>#REF!</v>
      </c>
      <c r="GP153" t="e">
        <f>AND(#REF!,"AAAAAH5//8U=")</f>
        <v>#REF!</v>
      </c>
      <c r="GQ153" t="e">
        <f>AND(#REF!,"AAAAAH5//8Y=")</f>
        <v>#REF!</v>
      </c>
      <c r="GR153" t="e">
        <f>AND(#REF!,"AAAAAH5//8c=")</f>
        <v>#REF!</v>
      </c>
      <c r="GS153" t="e">
        <f>AND(#REF!,"AAAAAH5//8g=")</f>
        <v>#REF!</v>
      </c>
      <c r="GT153" t="e">
        <f>AND(#REF!,"AAAAAH5//8k=")</f>
        <v>#REF!</v>
      </c>
      <c r="GU153" t="e">
        <f>AND(#REF!,"AAAAAH5//8o=")</f>
        <v>#REF!</v>
      </c>
      <c r="GV153" t="e">
        <f>AND(#REF!,"AAAAAH5//8s=")</f>
        <v>#REF!</v>
      </c>
      <c r="GW153" t="e">
        <f>AND(#REF!,"AAAAAH5//8w=")</f>
        <v>#REF!</v>
      </c>
      <c r="GX153" t="e">
        <f>AND(#REF!,"AAAAAH5//80=")</f>
        <v>#REF!</v>
      </c>
      <c r="GY153" t="e">
        <f>AND(#REF!,"AAAAAH5//84=")</f>
        <v>#REF!</v>
      </c>
      <c r="GZ153" t="e">
        <f>AND(#REF!,"AAAAAH5//88=")</f>
        <v>#REF!</v>
      </c>
      <c r="HA153" t="e">
        <f>AND(#REF!,"AAAAAH5//9A=")</f>
        <v>#REF!</v>
      </c>
      <c r="HB153" t="e">
        <f>AND(#REF!,"AAAAAH5//9E=")</f>
        <v>#REF!</v>
      </c>
      <c r="HC153" t="e">
        <f>AND(#REF!,"AAAAAH5//9I=")</f>
        <v>#REF!</v>
      </c>
      <c r="HD153" t="e">
        <f>AND(#REF!,"AAAAAH5//9M=")</f>
        <v>#REF!</v>
      </c>
      <c r="HE153" t="e">
        <f>AND(#REF!,"AAAAAH5//9Q=")</f>
        <v>#REF!</v>
      </c>
      <c r="HF153" t="e">
        <f>AND(#REF!,"AAAAAH5//9U=")</f>
        <v>#REF!</v>
      </c>
      <c r="HG153" t="e">
        <f>AND(#REF!,"AAAAAH5//9Y=")</f>
        <v>#REF!</v>
      </c>
      <c r="HH153" t="e">
        <f>AND(#REF!,"AAAAAH5//9c=")</f>
        <v>#REF!</v>
      </c>
      <c r="HI153" t="e">
        <f>AND(#REF!,"AAAAAH5//9g=")</f>
        <v>#REF!</v>
      </c>
      <c r="HJ153" t="e">
        <f>AND(#REF!,"AAAAAH5//9k=")</f>
        <v>#REF!</v>
      </c>
      <c r="HK153" t="e">
        <f>AND(#REF!,"AAAAAH5//9o=")</f>
        <v>#REF!</v>
      </c>
      <c r="HL153" t="e">
        <f>AND(#REF!,"AAAAAH5//9s=")</f>
        <v>#REF!</v>
      </c>
      <c r="HM153" t="e">
        <f>AND(#REF!,"AAAAAH5//9w=")</f>
        <v>#REF!</v>
      </c>
      <c r="HN153" t="e">
        <f>AND(#REF!,"AAAAAH5//90=")</f>
        <v>#REF!</v>
      </c>
      <c r="HO153" t="e">
        <f>AND(#REF!,"AAAAAH5//94=")</f>
        <v>#REF!</v>
      </c>
      <c r="HP153" t="e">
        <f>AND(#REF!,"AAAAAH5//98=")</f>
        <v>#REF!</v>
      </c>
      <c r="HQ153" t="e">
        <f>AND(#REF!,"AAAAAH5//+A=")</f>
        <v>#REF!</v>
      </c>
      <c r="HR153" t="e">
        <f>AND(#REF!,"AAAAAH5//+E=")</f>
        <v>#REF!</v>
      </c>
      <c r="HS153" t="e">
        <f>AND(#REF!,"AAAAAH5//+I=")</f>
        <v>#REF!</v>
      </c>
      <c r="HT153" t="e">
        <f>AND(#REF!,"AAAAAH5//+M=")</f>
        <v>#REF!</v>
      </c>
      <c r="HU153" t="e">
        <f>AND(#REF!,"AAAAAH5//+Q=")</f>
        <v>#REF!</v>
      </c>
      <c r="HV153" t="e">
        <f>AND(#REF!,"AAAAAH5//+U=")</f>
        <v>#REF!</v>
      </c>
      <c r="HW153" t="e">
        <f>AND(#REF!,"AAAAAH5//+Y=")</f>
        <v>#REF!</v>
      </c>
      <c r="HX153" t="e">
        <f>AND(#REF!,"AAAAAH5//+c=")</f>
        <v>#REF!</v>
      </c>
      <c r="HY153" t="e">
        <f>AND(#REF!,"AAAAAH5//+g=")</f>
        <v>#REF!</v>
      </c>
      <c r="HZ153" t="e">
        <f>AND(#REF!,"AAAAAH5//+k=")</f>
        <v>#REF!</v>
      </c>
      <c r="IA153" t="e">
        <f>AND(#REF!,"AAAAAH5//+o=")</f>
        <v>#REF!</v>
      </c>
      <c r="IB153" t="e">
        <f>AND(#REF!,"AAAAAH5//+s=")</f>
        <v>#REF!</v>
      </c>
      <c r="IC153" t="e">
        <f>AND(#REF!,"AAAAAH5//+w=")</f>
        <v>#REF!</v>
      </c>
      <c r="ID153" t="e">
        <f>AND(#REF!,"AAAAAH5//+0=")</f>
        <v>#REF!</v>
      </c>
      <c r="IE153" t="e">
        <f>AND(#REF!,"AAAAAH5//+4=")</f>
        <v>#REF!</v>
      </c>
      <c r="IF153" t="e">
        <f>AND(#REF!,"AAAAAH5//+8=")</f>
        <v>#REF!</v>
      </c>
      <c r="IG153" t="e">
        <f>AND(#REF!,"AAAAAH5///A=")</f>
        <v>#REF!</v>
      </c>
      <c r="IH153" t="e">
        <f>AND(#REF!,"AAAAAH5///E=")</f>
        <v>#REF!</v>
      </c>
      <c r="II153" t="e">
        <f>AND(#REF!,"AAAAAH5///I=")</f>
        <v>#REF!</v>
      </c>
      <c r="IJ153" t="e">
        <f>AND(#REF!,"AAAAAH5///M=")</f>
        <v>#REF!</v>
      </c>
      <c r="IK153" t="e">
        <f>AND(#REF!,"AAAAAH5///Q=")</f>
        <v>#REF!</v>
      </c>
      <c r="IL153" t="e">
        <f>AND(#REF!,"AAAAAH5///U=")</f>
        <v>#REF!</v>
      </c>
      <c r="IM153" t="e">
        <f>AND(#REF!,"AAAAAH5///Y=")</f>
        <v>#REF!</v>
      </c>
      <c r="IN153" t="e">
        <f>AND(#REF!,"AAAAAH5///c=")</f>
        <v>#REF!</v>
      </c>
      <c r="IO153" t="e">
        <f>AND(#REF!,"AAAAAH5///g=")</f>
        <v>#REF!</v>
      </c>
      <c r="IP153" t="e">
        <f>AND(#REF!,"AAAAAH5///k=")</f>
        <v>#REF!</v>
      </c>
      <c r="IQ153" t="e">
        <f>AND(#REF!,"AAAAAH5///o=")</f>
        <v>#REF!</v>
      </c>
      <c r="IR153" t="e">
        <f>AND(#REF!,"AAAAAH5///s=")</f>
        <v>#REF!</v>
      </c>
      <c r="IS153" t="e">
        <f>AND(#REF!,"AAAAAH5///w=")</f>
        <v>#REF!</v>
      </c>
      <c r="IT153" t="e">
        <f>AND(#REF!,"AAAAAH5///0=")</f>
        <v>#REF!</v>
      </c>
      <c r="IU153" t="e">
        <f>AND(#REF!,"AAAAAH5///4=")</f>
        <v>#REF!</v>
      </c>
      <c r="IV153" t="e">
        <f>AND(#REF!,"AAAAAH5///8=")</f>
        <v>#REF!</v>
      </c>
    </row>
    <row r="154" spans="1:256" x14ac:dyDescent="0.25">
      <c r="A154" t="e">
        <f>AND(#REF!,"AAAAAGWv3wA=")</f>
        <v>#REF!</v>
      </c>
      <c r="B154" t="e">
        <f>AND(#REF!,"AAAAAGWv3wE=")</f>
        <v>#REF!</v>
      </c>
      <c r="C154" t="e">
        <f>AND(#REF!,"AAAAAGWv3wI=")</f>
        <v>#REF!</v>
      </c>
      <c r="D154" t="e">
        <f>AND(#REF!,"AAAAAGWv3wM=")</f>
        <v>#REF!</v>
      </c>
      <c r="E154" t="e">
        <f>AND(#REF!,"AAAAAGWv3wQ=")</f>
        <v>#REF!</v>
      </c>
      <c r="F154" t="e">
        <f>AND(#REF!,"AAAAAGWv3wU=")</f>
        <v>#REF!</v>
      </c>
      <c r="G154" t="e">
        <f>AND(#REF!,"AAAAAGWv3wY=")</f>
        <v>#REF!</v>
      </c>
      <c r="H154" t="e">
        <f>AND(#REF!,"AAAAAGWv3wc=")</f>
        <v>#REF!</v>
      </c>
      <c r="I154" t="e">
        <f>AND(#REF!,"AAAAAGWv3wg=")</f>
        <v>#REF!</v>
      </c>
      <c r="J154" t="e">
        <f>AND(#REF!,"AAAAAGWv3wk=")</f>
        <v>#REF!</v>
      </c>
      <c r="K154" t="e">
        <f>AND(#REF!,"AAAAAGWv3wo=")</f>
        <v>#REF!</v>
      </c>
      <c r="L154" t="e">
        <f>AND(#REF!,"AAAAAGWv3ws=")</f>
        <v>#REF!</v>
      </c>
      <c r="M154" t="e">
        <f>AND(#REF!,"AAAAAGWv3ww=")</f>
        <v>#REF!</v>
      </c>
      <c r="N154" t="e">
        <f>AND(#REF!,"AAAAAGWv3w0=")</f>
        <v>#REF!</v>
      </c>
      <c r="O154" t="e">
        <f>AND(#REF!,"AAAAAGWv3w4=")</f>
        <v>#REF!</v>
      </c>
      <c r="P154" t="e">
        <f>AND(#REF!,"AAAAAGWv3w8=")</f>
        <v>#REF!</v>
      </c>
      <c r="Q154" t="e">
        <f>AND(#REF!,"AAAAAGWv3xA=")</f>
        <v>#REF!</v>
      </c>
      <c r="R154" t="e">
        <f>AND(#REF!,"AAAAAGWv3xE=")</f>
        <v>#REF!</v>
      </c>
      <c r="S154" t="e">
        <f>AND(#REF!,"AAAAAGWv3xI=")</f>
        <v>#REF!</v>
      </c>
      <c r="T154" t="e">
        <f>AND(#REF!,"AAAAAGWv3xM=")</f>
        <v>#REF!</v>
      </c>
      <c r="U154" t="e">
        <f>AND(#REF!,"AAAAAGWv3xQ=")</f>
        <v>#REF!</v>
      </c>
      <c r="V154" t="e">
        <f>AND(#REF!,"AAAAAGWv3xU=")</f>
        <v>#REF!</v>
      </c>
      <c r="W154" t="e">
        <f>AND(#REF!,"AAAAAGWv3xY=")</f>
        <v>#REF!</v>
      </c>
      <c r="X154" t="e">
        <f>AND(#REF!,"AAAAAGWv3xc=")</f>
        <v>#REF!</v>
      </c>
      <c r="Y154" t="e">
        <f>AND(#REF!,"AAAAAGWv3xg=")</f>
        <v>#REF!</v>
      </c>
      <c r="Z154" t="e">
        <f>AND(#REF!,"AAAAAGWv3xk=")</f>
        <v>#REF!</v>
      </c>
      <c r="AA154" t="e">
        <f>AND(#REF!,"AAAAAGWv3xo=")</f>
        <v>#REF!</v>
      </c>
      <c r="AB154" t="e">
        <f>AND(#REF!,"AAAAAGWv3xs=")</f>
        <v>#REF!</v>
      </c>
      <c r="AC154" t="e">
        <f>AND(#REF!,"AAAAAGWv3xw=")</f>
        <v>#REF!</v>
      </c>
      <c r="AD154" t="e">
        <f>AND(#REF!,"AAAAAGWv3x0=")</f>
        <v>#REF!</v>
      </c>
      <c r="AE154" t="e">
        <f>AND(#REF!,"AAAAAGWv3x4=")</f>
        <v>#REF!</v>
      </c>
      <c r="AF154" t="e">
        <f>AND(#REF!,"AAAAAGWv3x8=")</f>
        <v>#REF!</v>
      </c>
      <c r="AG154" t="e">
        <f>AND(#REF!,"AAAAAGWv3yA=")</f>
        <v>#REF!</v>
      </c>
      <c r="AH154" t="e">
        <f>AND(#REF!,"AAAAAGWv3yE=")</f>
        <v>#REF!</v>
      </c>
      <c r="AI154" t="e">
        <f>AND(#REF!,"AAAAAGWv3yI=")</f>
        <v>#REF!</v>
      </c>
      <c r="AJ154" t="e">
        <f>AND(#REF!,"AAAAAGWv3yM=")</f>
        <v>#REF!</v>
      </c>
      <c r="AK154" t="e">
        <f>AND(#REF!,"AAAAAGWv3yQ=")</f>
        <v>#REF!</v>
      </c>
      <c r="AL154" t="e">
        <f>AND(#REF!,"AAAAAGWv3yU=")</f>
        <v>#REF!</v>
      </c>
      <c r="AM154" t="e">
        <f>AND(#REF!,"AAAAAGWv3yY=")</f>
        <v>#REF!</v>
      </c>
      <c r="AN154" t="e">
        <f>AND(#REF!,"AAAAAGWv3yc=")</f>
        <v>#REF!</v>
      </c>
      <c r="AO154" t="e">
        <f>AND(#REF!,"AAAAAGWv3yg=")</f>
        <v>#REF!</v>
      </c>
      <c r="AP154" t="e">
        <f>AND(#REF!,"AAAAAGWv3yk=")</f>
        <v>#REF!</v>
      </c>
      <c r="AQ154" t="e">
        <f>AND(#REF!,"AAAAAGWv3yo=")</f>
        <v>#REF!</v>
      </c>
      <c r="AR154" t="e">
        <f>AND(#REF!,"AAAAAGWv3ys=")</f>
        <v>#REF!</v>
      </c>
      <c r="AS154" t="e">
        <f>AND(#REF!,"AAAAAGWv3yw=")</f>
        <v>#REF!</v>
      </c>
      <c r="AT154" t="e">
        <f>AND(#REF!,"AAAAAGWv3y0=")</f>
        <v>#REF!</v>
      </c>
      <c r="AU154" t="e">
        <f>AND(#REF!,"AAAAAGWv3y4=")</f>
        <v>#REF!</v>
      </c>
      <c r="AV154" t="e">
        <f>AND(#REF!,"AAAAAGWv3y8=")</f>
        <v>#REF!</v>
      </c>
      <c r="AW154" t="e">
        <f>AND(#REF!,"AAAAAGWv3zA=")</f>
        <v>#REF!</v>
      </c>
      <c r="AX154" t="e">
        <f>AND(#REF!,"AAAAAGWv3zE=")</f>
        <v>#REF!</v>
      </c>
      <c r="AY154" t="e">
        <f>AND(#REF!,"AAAAAGWv3zI=")</f>
        <v>#REF!</v>
      </c>
      <c r="AZ154" t="e">
        <f>AND(#REF!,"AAAAAGWv3zM=")</f>
        <v>#REF!</v>
      </c>
      <c r="BA154" t="e">
        <f>AND(#REF!,"AAAAAGWv3zQ=")</f>
        <v>#REF!</v>
      </c>
      <c r="BB154" t="e">
        <f>AND(#REF!,"AAAAAGWv3zU=")</f>
        <v>#REF!</v>
      </c>
      <c r="BC154" t="e">
        <f>AND(#REF!,"AAAAAGWv3zY=")</f>
        <v>#REF!</v>
      </c>
      <c r="BD154" t="e">
        <f>AND(#REF!,"AAAAAGWv3zc=")</f>
        <v>#REF!</v>
      </c>
      <c r="BE154" t="e">
        <f>AND(#REF!,"AAAAAGWv3zg=")</f>
        <v>#REF!</v>
      </c>
      <c r="BF154" t="e">
        <f>AND(#REF!,"AAAAAGWv3zk=")</f>
        <v>#REF!</v>
      </c>
      <c r="BG154" t="e">
        <f>AND(#REF!,"AAAAAGWv3zo=")</f>
        <v>#REF!</v>
      </c>
      <c r="BH154" t="e">
        <f>AND(#REF!,"AAAAAGWv3zs=")</f>
        <v>#REF!</v>
      </c>
      <c r="BI154" t="e">
        <f>AND(#REF!,"AAAAAGWv3zw=")</f>
        <v>#REF!</v>
      </c>
      <c r="BJ154" t="e">
        <f>AND(#REF!,"AAAAAGWv3z0=")</f>
        <v>#REF!</v>
      </c>
      <c r="BK154" t="e">
        <f>AND(#REF!,"AAAAAGWv3z4=")</f>
        <v>#REF!</v>
      </c>
      <c r="BL154" t="e">
        <f>AND(#REF!,"AAAAAGWv3z8=")</f>
        <v>#REF!</v>
      </c>
      <c r="BM154" t="e">
        <f>AND(#REF!,"AAAAAGWv30A=")</f>
        <v>#REF!</v>
      </c>
      <c r="BN154" t="e">
        <f>AND(#REF!,"AAAAAGWv30E=")</f>
        <v>#REF!</v>
      </c>
      <c r="BO154" t="e">
        <f>AND(#REF!,"AAAAAGWv30I=")</f>
        <v>#REF!</v>
      </c>
      <c r="BP154" t="e">
        <f>AND(#REF!,"AAAAAGWv30M=")</f>
        <v>#REF!</v>
      </c>
      <c r="BQ154" t="e">
        <f>AND(#REF!,"AAAAAGWv30Q=")</f>
        <v>#REF!</v>
      </c>
      <c r="BR154" t="e">
        <f>AND(#REF!,"AAAAAGWv30U=")</f>
        <v>#REF!</v>
      </c>
      <c r="BS154" t="e">
        <f>AND(#REF!,"AAAAAGWv30Y=")</f>
        <v>#REF!</v>
      </c>
      <c r="BT154" t="e">
        <f>AND(#REF!,"AAAAAGWv30c=")</f>
        <v>#REF!</v>
      </c>
      <c r="BU154" t="e">
        <f>AND(#REF!,"AAAAAGWv30g=")</f>
        <v>#REF!</v>
      </c>
      <c r="BV154" t="e">
        <f>AND(#REF!,"AAAAAGWv30k=")</f>
        <v>#REF!</v>
      </c>
      <c r="BW154" t="e">
        <f>AND(#REF!,"AAAAAGWv30o=")</f>
        <v>#REF!</v>
      </c>
      <c r="BX154" t="e">
        <f>AND(#REF!,"AAAAAGWv30s=")</f>
        <v>#REF!</v>
      </c>
      <c r="BY154" t="e">
        <f>AND(#REF!,"AAAAAGWv30w=")</f>
        <v>#REF!</v>
      </c>
      <c r="BZ154" t="e">
        <f>AND(#REF!,"AAAAAGWv300=")</f>
        <v>#REF!</v>
      </c>
      <c r="CA154" t="e">
        <f>AND(#REF!,"AAAAAGWv304=")</f>
        <v>#REF!</v>
      </c>
      <c r="CB154" t="e">
        <f>AND(#REF!,"AAAAAGWv308=")</f>
        <v>#REF!</v>
      </c>
      <c r="CC154" t="e">
        <f>AND(#REF!,"AAAAAGWv31A=")</f>
        <v>#REF!</v>
      </c>
      <c r="CD154" t="e">
        <f>AND(#REF!,"AAAAAGWv31E=")</f>
        <v>#REF!</v>
      </c>
      <c r="CE154" t="e">
        <f>AND(#REF!,"AAAAAGWv31I=")</f>
        <v>#REF!</v>
      </c>
      <c r="CF154" t="e">
        <f>AND(#REF!,"AAAAAGWv31M=")</f>
        <v>#REF!</v>
      </c>
      <c r="CG154" t="e">
        <f>AND(#REF!,"AAAAAGWv31Q=")</f>
        <v>#REF!</v>
      </c>
      <c r="CH154" t="e">
        <f>AND(#REF!,"AAAAAGWv31U=")</f>
        <v>#REF!</v>
      </c>
      <c r="CI154" t="e">
        <f>AND(#REF!,"AAAAAGWv31Y=")</f>
        <v>#REF!</v>
      </c>
      <c r="CJ154" t="e">
        <f>AND(#REF!,"AAAAAGWv31c=")</f>
        <v>#REF!</v>
      </c>
      <c r="CK154" t="e">
        <f>AND(#REF!,"AAAAAGWv31g=")</f>
        <v>#REF!</v>
      </c>
      <c r="CL154" t="e">
        <f>AND(#REF!,"AAAAAGWv31k=")</f>
        <v>#REF!</v>
      </c>
      <c r="CM154" t="e">
        <f>AND(#REF!,"AAAAAGWv31o=")</f>
        <v>#REF!</v>
      </c>
      <c r="CN154" t="e">
        <f>AND(#REF!,"AAAAAGWv31s=")</f>
        <v>#REF!</v>
      </c>
      <c r="CO154" t="e">
        <f>AND(#REF!,"AAAAAGWv31w=")</f>
        <v>#REF!</v>
      </c>
      <c r="CP154" t="e">
        <f>AND(#REF!,"AAAAAGWv310=")</f>
        <v>#REF!</v>
      </c>
      <c r="CQ154" t="e">
        <f>AND(#REF!,"AAAAAGWv314=")</f>
        <v>#REF!</v>
      </c>
      <c r="CR154" t="e">
        <f>AND(#REF!,"AAAAAGWv318=")</f>
        <v>#REF!</v>
      </c>
      <c r="CS154" t="e">
        <f>AND(#REF!,"AAAAAGWv32A=")</f>
        <v>#REF!</v>
      </c>
      <c r="CT154" t="e">
        <f>AND(#REF!,"AAAAAGWv32E=")</f>
        <v>#REF!</v>
      </c>
      <c r="CU154" t="e">
        <f>AND(#REF!,"AAAAAGWv32I=")</f>
        <v>#REF!</v>
      </c>
      <c r="CV154" t="e">
        <f>AND(#REF!,"AAAAAGWv32M=")</f>
        <v>#REF!</v>
      </c>
      <c r="CW154" t="e">
        <f>AND(#REF!,"AAAAAGWv32Q=")</f>
        <v>#REF!</v>
      </c>
      <c r="CX154" t="e">
        <f>AND(#REF!,"AAAAAGWv32U=")</f>
        <v>#REF!</v>
      </c>
      <c r="CY154" t="e">
        <f>AND(#REF!,"AAAAAGWv32Y=")</f>
        <v>#REF!</v>
      </c>
      <c r="CZ154" t="e">
        <f>AND(#REF!,"AAAAAGWv32c=")</f>
        <v>#REF!</v>
      </c>
      <c r="DA154" t="e">
        <f>AND(#REF!,"AAAAAGWv32g=")</f>
        <v>#REF!</v>
      </c>
      <c r="DB154" t="e">
        <f>AND(#REF!,"AAAAAGWv32k=")</f>
        <v>#REF!</v>
      </c>
      <c r="DC154" t="e">
        <f>AND(#REF!,"AAAAAGWv32o=")</f>
        <v>#REF!</v>
      </c>
      <c r="DD154" t="e">
        <f>AND(#REF!,"AAAAAGWv32s=")</f>
        <v>#REF!</v>
      </c>
      <c r="DE154" t="e">
        <f>AND(#REF!,"AAAAAGWv32w=")</f>
        <v>#REF!</v>
      </c>
      <c r="DF154" t="e">
        <f>IF(#REF!,"AAAAAGWv320=",0)</f>
        <v>#REF!</v>
      </c>
      <c r="DG154" t="e">
        <f>AND(#REF!,"AAAAAGWv324=")</f>
        <v>#REF!</v>
      </c>
      <c r="DH154" t="e">
        <f>AND(#REF!,"AAAAAGWv328=")</f>
        <v>#REF!</v>
      </c>
      <c r="DI154" t="e">
        <f>AND(#REF!,"AAAAAGWv33A=")</f>
        <v>#REF!</v>
      </c>
      <c r="DJ154" t="e">
        <f>AND(#REF!,"AAAAAGWv33E=")</f>
        <v>#REF!</v>
      </c>
      <c r="DK154" t="e">
        <f>AND(#REF!,"AAAAAGWv33I=")</f>
        <v>#REF!</v>
      </c>
      <c r="DL154" t="e">
        <f>AND(#REF!,"AAAAAGWv33M=")</f>
        <v>#REF!</v>
      </c>
      <c r="DM154" t="e">
        <f>AND(#REF!,"AAAAAGWv33Q=")</f>
        <v>#REF!</v>
      </c>
      <c r="DN154" t="e">
        <f>AND(#REF!,"AAAAAGWv33U=")</f>
        <v>#REF!</v>
      </c>
      <c r="DO154" t="e">
        <f>AND(#REF!,"AAAAAGWv33Y=")</f>
        <v>#REF!</v>
      </c>
      <c r="DP154" t="e">
        <f>AND(#REF!,"AAAAAGWv33c=")</f>
        <v>#REF!</v>
      </c>
      <c r="DQ154" t="e">
        <f>AND(#REF!,"AAAAAGWv33g=")</f>
        <v>#REF!</v>
      </c>
      <c r="DR154" t="e">
        <f>AND(#REF!,"AAAAAGWv33k=")</f>
        <v>#REF!</v>
      </c>
      <c r="DS154" t="e">
        <f>AND(#REF!,"AAAAAGWv33o=")</f>
        <v>#REF!</v>
      </c>
      <c r="DT154" t="e">
        <f>AND(#REF!,"AAAAAGWv33s=")</f>
        <v>#REF!</v>
      </c>
      <c r="DU154" t="e">
        <f>AND(#REF!,"AAAAAGWv33w=")</f>
        <v>#REF!</v>
      </c>
      <c r="DV154" t="e">
        <f>AND(#REF!,"AAAAAGWv330=")</f>
        <v>#REF!</v>
      </c>
      <c r="DW154" t="e">
        <f>AND(#REF!,"AAAAAGWv334=")</f>
        <v>#REF!</v>
      </c>
      <c r="DX154" t="e">
        <f>AND(#REF!,"AAAAAGWv338=")</f>
        <v>#REF!</v>
      </c>
      <c r="DY154" t="e">
        <f>AND(#REF!,"AAAAAGWv34A=")</f>
        <v>#REF!</v>
      </c>
      <c r="DZ154" t="e">
        <f>AND(#REF!,"AAAAAGWv34E=")</f>
        <v>#REF!</v>
      </c>
      <c r="EA154" t="e">
        <f>AND(#REF!,"AAAAAGWv34I=")</f>
        <v>#REF!</v>
      </c>
      <c r="EB154" t="e">
        <f>AND(#REF!,"AAAAAGWv34M=")</f>
        <v>#REF!</v>
      </c>
      <c r="EC154" t="e">
        <f>AND(#REF!,"AAAAAGWv34Q=")</f>
        <v>#REF!</v>
      </c>
      <c r="ED154" t="e">
        <f>AND(#REF!,"AAAAAGWv34U=")</f>
        <v>#REF!</v>
      </c>
      <c r="EE154" t="e">
        <f>AND(#REF!,"AAAAAGWv34Y=")</f>
        <v>#REF!</v>
      </c>
      <c r="EF154" t="e">
        <f>AND(#REF!,"AAAAAGWv34c=")</f>
        <v>#REF!</v>
      </c>
      <c r="EG154" t="e">
        <f>AND(#REF!,"AAAAAGWv34g=")</f>
        <v>#REF!</v>
      </c>
      <c r="EH154" t="e">
        <f>AND(#REF!,"AAAAAGWv34k=")</f>
        <v>#REF!</v>
      </c>
      <c r="EI154" t="e">
        <f>AND(#REF!,"AAAAAGWv34o=")</f>
        <v>#REF!</v>
      </c>
      <c r="EJ154" t="e">
        <f>AND(#REF!,"AAAAAGWv34s=")</f>
        <v>#REF!</v>
      </c>
      <c r="EK154" t="e">
        <f>AND(#REF!,"AAAAAGWv34w=")</f>
        <v>#REF!</v>
      </c>
      <c r="EL154" t="e">
        <f>AND(#REF!,"AAAAAGWv340=")</f>
        <v>#REF!</v>
      </c>
      <c r="EM154" t="e">
        <f>AND(#REF!,"AAAAAGWv344=")</f>
        <v>#REF!</v>
      </c>
      <c r="EN154" t="e">
        <f>AND(#REF!,"AAAAAGWv348=")</f>
        <v>#REF!</v>
      </c>
      <c r="EO154" t="e">
        <f>AND(#REF!,"AAAAAGWv35A=")</f>
        <v>#REF!</v>
      </c>
      <c r="EP154" t="e">
        <f>AND(#REF!,"AAAAAGWv35E=")</f>
        <v>#REF!</v>
      </c>
      <c r="EQ154" t="e">
        <f>AND(#REF!,"AAAAAGWv35I=")</f>
        <v>#REF!</v>
      </c>
      <c r="ER154" t="e">
        <f>AND(#REF!,"AAAAAGWv35M=")</f>
        <v>#REF!</v>
      </c>
      <c r="ES154" t="e">
        <f>AND(#REF!,"AAAAAGWv35Q=")</f>
        <v>#REF!</v>
      </c>
      <c r="ET154" t="e">
        <f>AND(#REF!,"AAAAAGWv35U=")</f>
        <v>#REF!</v>
      </c>
      <c r="EU154" t="e">
        <f>AND(#REF!,"AAAAAGWv35Y=")</f>
        <v>#REF!</v>
      </c>
      <c r="EV154" t="e">
        <f>AND(#REF!,"AAAAAGWv35c=")</f>
        <v>#REF!</v>
      </c>
      <c r="EW154" t="e">
        <f>AND(#REF!,"AAAAAGWv35g=")</f>
        <v>#REF!</v>
      </c>
      <c r="EX154" t="e">
        <f>AND(#REF!,"AAAAAGWv35k=")</f>
        <v>#REF!</v>
      </c>
      <c r="EY154" t="e">
        <f>AND(#REF!,"AAAAAGWv35o=")</f>
        <v>#REF!</v>
      </c>
      <c r="EZ154" t="e">
        <f>AND(#REF!,"AAAAAGWv35s=")</f>
        <v>#REF!</v>
      </c>
      <c r="FA154" t="e">
        <f>AND(#REF!,"AAAAAGWv35w=")</f>
        <v>#REF!</v>
      </c>
      <c r="FB154" t="e">
        <f>AND(#REF!,"AAAAAGWv350=")</f>
        <v>#REF!</v>
      </c>
      <c r="FC154" t="e">
        <f>AND(#REF!,"AAAAAGWv354=")</f>
        <v>#REF!</v>
      </c>
      <c r="FD154" t="e">
        <f>AND(#REF!,"AAAAAGWv358=")</f>
        <v>#REF!</v>
      </c>
      <c r="FE154" t="e">
        <f>AND(#REF!,"AAAAAGWv36A=")</f>
        <v>#REF!</v>
      </c>
      <c r="FF154" t="e">
        <f>AND(#REF!,"AAAAAGWv36E=")</f>
        <v>#REF!</v>
      </c>
      <c r="FG154" t="e">
        <f>AND(#REF!,"AAAAAGWv36I=")</f>
        <v>#REF!</v>
      </c>
      <c r="FH154" t="e">
        <f>AND(#REF!,"AAAAAGWv36M=")</f>
        <v>#REF!</v>
      </c>
      <c r="FI154" t="e">
        <f>AND(#REF!,"AAAAAGWv36Q=")</f>
        <v>#REF!</v>
      </c>
      <c r="FJ154" t="e">
        <f>AND(#REF!,"AAAAAGWv36U=")</f>
        <v>#REF!</v>
      </c>
      <c r="FK154" t="e">
        <f>AND(#REF!,"AAAAAGWv36Y=")</f>
        <v>#REF!</v>
      </c>
      <c r="FL154" t="e">
        <f>AND(#REF!,"AAAAAGWv36c=")</f>
        <v>#REF!</v>
      </c>
      <c r="FM154" t="e">
        <f>AND(#REF!,"AAAAAGWv36g=")</f>
        <v>#REF!</v>
      </c>
      <c r="FN154" t="e">
        <f>AND(#REF!,"AAAAAGWv36k=")</f>
        <v>#REF!</v>
      </c>
      <c r="FO154" t="e">
        <f>AND(#REF!,"AAAAAGWv36o=")</f>
        <v>#REF!</v>
      </c>
      <c r="FP154" t="e">
        <f>AND(#REF!,"AAAAAGWv36s=")</f>
        <v>#REF!</v>
      </c>
      <c r="FQ154" t="e">
        <f>AND(#REF!,"AAAAAGWv36w=")</f>
        <v>#REF!</v>
      </c>
      <c r="FR154" t="e">
        <f>AND(#REF!,"AAAAAGWv360=")</f>
        <v>#REF!</v>
      </c>
      <c r="FS154" t="e">
        <f>AND(#REF!,"AAAAAGWv364=")</f>
        <v>#REF!</v>
      </c>
      <c r="FT154" t="e">
        <f>AND(#REF!,"AAAAAGWv368=")</f>
        <v>#REF!</v>
      </c>
      <c r="FU154" t="e">
        <f>AND(#REF!,"AAAAAGWv37A=")</f>
        <v>#REF!</v>
      </c>
      <c r="FV154" t="e">
        <f>AND(#REF!,"AAAAAGWv37E=")</f>
        <v>#REF!</v>
      </c>
      <c r="FW154" t="e">
        <f>AND(#REF!,"AAAAAGWv37I=")</f>
        <v>#REF!</v>
      </c>
      <c r="FX154" t="e">
        <f>AND(#REF!,"AAAAAGWv37M=")</f>
        <v>#REF!</v>
      </c>
      <c r="FY154" t="e">
        <f>AND(#REF!,"AAAAAGWv37Q=")</f>
        <v>#REF!</v>
      </c>
      <c r="FZ154" t="e">
        <f>AND(#REF!,"AAAAAGWv37U=")</f>
        <v>#REF!</v>
      </c>
      <c r="GA154" t="e">
        <f>AND(#REF!,"AAAAAGWv37Y=")</f>
        <v>#REF!</v>
      </c>
      <c r="GB154" t="e">
        <f>AND(#REF!,"AAAAAGWv37c=")</f>
        <v>#REF!</v>
      </c>
      <c r="GC154" t="e">
        <f>AND(#REF!,"AAAAAGWv37g=")</f>
        <v>#REF!</v>
      </c>
      <c r="GD154" t="e">
        <f>AND(#REF!,"AAAAAGWv37k=")</f>
        <v>#REF!</v>
      </c>
      <c r="GE154" t="e">
        <f>AND(#REF!,"AAAAAGWv37o=")</f>
        <v>#REF!</v>
      </c>
      <c r="GF154" t="e">
        <f>AND(#REF!,"AAAAAGWv37s=")</f>
        <v>#REF!</v>
      </c>
      <c r="GG154" t="e">
        <f>AND(#REF!,"AAAAAGWv37w=")</f>
        <v>#REF!</v>
      </c>
      <c r="GH154" t="e">
        <f>AND(#REF!,"AAAAAGWv370=")</f>
        <v>#REF!</v>
      </c>
      <c r="GI154" t="e">
        <f>AND(#REF!,"AAAAAGWv374=")</f>
        <v>#REF!</v>
      </c>
      <c r="GJ154" t="e">
        <f>AND(#REF!,"AAAAAGWv378=")</f>
        <v>#REF!</v>
      </c>
      <c r="GK154" t="e">
        <f>AND(#REF!,"AAAAAGWv38A=")</f>
        <v>#REF!</v>
      </c>
      <c r="GL154" t="e">
        <f>AND(#REF!,"AAAAAGWv38E=")</f>
        <v>#REF!</v>
      </c>
      <c r="GM154" t="e">
        <f>AND(#REF!,"AAAAAGWv38I=")</f>
        <v>#REF!</v>
      </c>
      <c r="GN154" t="e">
        <f>AND(#REF!,"AAAAAGWv38M=")</f>
        <v>#REF!</v>
      </c>
      <c r="GO154" t="e">
        <f>AND(#REF!,"AAAAAGWv38Q=")</f>
        <v>#REF!</v>
      </c>
      <c r="GP154" t="e">
        <f>AND(#REF!,"AAAAAGWv38U=")</f>
        <v>#REF!</v>
      </c>
      <c r="GQ154" t="e">
        <f>AND(#REF!,"AAAAAGWv38Y=")</f>
        <v>#REF!</v>
      </c>
      <c r="GR154" t="e">
        <f>AND(#REF!,"AAAAAGWv38c=")</f>
        <v>#REF!</v>
      </c>
      <c r="GS154" t="e">
        <f>AND(#REF!,"AAAAAGWv38g=")</f>
        <v>#REF!</v>
      </c>
      <c r="GT154" t="e">
        <f>AND(#REF!,"AAAAAGWv38k=")</f>
        <v>#REF!</v>
      </c>
      <c r="GU154" t="e">
        <f>AND(#REF!,"AAAAAGWv38o=")</f>
        <v>#REF!</v>
      </c>
      <c r="GV154" t="e">
        <f>AND(#REF!,"AAAAAGWv38s=")</f>
        <v>#REF!</v>
      </c>
      <c r="GW154" t="e">
        <f>AND(#REF!,"AAAAAGWv38w=")</f>
        <v>#REF!</v>
      </c>
      <c r="GX154" t="e">
        <f>AND(#REF!,"AAAAAGWv380=")</f>
        <v>#REF!</v>
      </c>
      <c r="GY154" t="e">
        <f>AND(#REF!,"AAAAAGWv384=")</f>
        <v>#REF!</v>
      </c>
      <c r="GZ154" t="e">
        <f>AND(#REF!,"AAAAAGWv388=")</f>
        <v>#REF!</v>
      </c>
      <c r="HA154" t="e">
        <f>AND(#REF!,"AAAAAGWv39A=")</f>
        <v>#REF!</v>
      </c>
      <c r="HB154" t="e">
        <f>AND(#REF!,"AAAAAGWv39E=")</f>
        <v>#REF!</v>
      </c>
      <c r="HC154" t="e">
        <f>AND(#REF!,"AAAAAGWv39I=")</f>
        <v>#REF!</v>
      </c>
      <c r="HD154" t="e">
        <f>AND(#REF!,"AAAAAGWv39M=")</f>
        <v>#REF!</v>
      </c>
      <c r="HE154" t="e">
        <f>AND(#REF!,"AAAAAGWv39Q=")</f>
        <v>#REF!</v>
      </c>
      <c r="HF154" t="e">
        <f>AND(#REF!,"AAAAAGWv39U=")</f>
        <v>#REF!</v>
      </c>
      <c r="HG154" t="e">
        <f>AND(#REF!,"AAAAAGWv39Y=")</f>
        <v>#REF!</v>
      </c>
      <c r="HH154" t="e">
        <f>AND(#REF!,"AAAAAGWv39c=")</f>
        <v>#REF!</v>
      </c>
      <c r="HI154" t="e">
        <f>AND(#REF!,"AAAAAGWv39g=")</f>
        <v>#REF!</v>
      </c>
      <c r="HJ154" t="e">
        <f>AND(#REF!,"AAAAAGWv39k=")</f>
        <v>#REF!</v>
      </c>
      <c r="HK154" t="e">
        <f>AND(#REF!,"AAAAAGWv39o=")</f>
        <v>#REF!</v>
      </c>
      <c r="HL154" t="e">
        <f>AND(#REF!,"AAAAAGWv39s=")</f>
        <v>#REF!</v>
      </c>
      <c r="HM154" t="e">
        <f>AND(#REF!,"AAAAAGWv39w=")</f>
        <v>#REF!</v>
      </c>
      <c r="HN154" t="e">
        <f>AND(#REF!,"AAAAAGWv390=")</f>
        <v>#REF!</v>
      </c>
      <c r="HO154" t="e">
        <f>AND(#REF!,"AAAAAGWv394=")</f>
        <v>#REF!</v>
      </c>
      <c r="HP154" t="e">
        <f>AND(#REF!,"AAAAAGWv398=")</f>
        <v>#REF!</v>
      </c>
      <c r="HQ154" t="e">
        <f>AND(#REF!,"AAAAAGWv3+A=")</f>
        <v>#REF!</v>
      </c>
      <c r="HR154" t="e">
        <f>AND(#REF!,"AAAAAGWv3+E=")</f>
        <v>#REF!</v>
      </c>
      <c r="HS154" t="e">
        <f>AND(#REF!,"AAAAAGWv3+I=")</f>
        <v>#REF!</v>
      </c>
      <c r="HT154" t="e">
        <f>AND(#REF!,"AAAAAGWv3+M=")</f>
        <v>#REF!</v>
      </c>
      <c r="HU154" t="e">
        <f>AND(#REF!,"AAAAAGWv3+Q=")</f>
        <v>#REF!</v>
      </c>
      <c r="HV154" t="e">
        <f>AND(#REF!,"AAAAAGWv3+U=")</f>
        <v>#REF!</v>
      </c>
      <c r="HW154" t="e">
        <f>AND(#REF!,"AAAAAGWv3+Y=")</f>
        <v>#REF!</v>
      </c>
      <c r="HX154" t="e">
        <f>AND(#REF!,"AAAAAGWv3+c=")</f>
        <v>#REF!</v>
      </c>
      <c r="HY154" t="e">
        <f>AND(#REF!,"AAAAAGWv3+g=")</f>
        <v>#REF!</v>
      </c>
      <c r="HZ154" t="e">
        <f>AND(#REF!,"AAAAAGWv3+k=")</f>
        <v>#REF!</v>
      </c>
      <c r="IA154" t="e">
        <f>AND(#REF!,"AAAAAGWv3+o=")</f>
        <v>#REF!</v>
      </c>
      <c r="IB154" t="e">
        <f>AND(#REF!,"AAAAAGWv3+s=")</f>
        <v>#REF!</v>
      </c>
      <c r="IC154" t="e">
        <f>AND(#REF!,"AAAAAGWv3+w=")</f>
        <v>#REF!</v>
      </c>
      <c r="ID154" t="e">
        <f>AND(#REF!,"AAAAAGWv3+0=")</f>
        <v>#REF!</v>
      </c>
      <c r="IE154" t="e">
        <f>AND(#REF!,"AAAAAGWv3+4=")</f>
        <v>#REF!</v>
      </c>
      <c r="IF154" t="e">
        <f>AND(#REF!,"AAAAAGWv3+8=")</f>
        <v>#REF!</v>
      </c>
      <c r="IG154" t="e">
        <f>AND(#REF!,"AAAAAGWv3/A=")</f>
        <v>#REF!</v>
      </c>
      <c r="IH154" t="e">
        <f>AND(#REF!,"AAAAAGWv3/E=")</f>
        <v>#REF!</v>
      </c>
      <c r="II154" t="e">
        <f>AND(#REF!,"AAAAAGWv3/I=")</f>
        <v>#REF!</v>
      </c>
      <c r="IJ154" t="e">
        <f>AND(#REF!,"AAAAAGWv3/M=")</f>
        <v>#REF!</v>
      </c>
      <c r="IK154" t="e">
        <f>AND(#REF!,"AAAAAGWv3/Q=")</f>
        <v>#REF!</v>
      </c>
      <c r="IL154" t="e">
        <f>AND(#REF!,"AAAAAGWv3/U=")</f>
        <v>#REF!</v>
      </c>
      <c r="IM154" t="e">
        <f>AND(#REF!,"AAAAAGWv3/Y=")</f>
        <v>#REF!</v>
      </c>
      <c r="IN154" t="e">
        <f>AND(#REF!,"AAAAAGWv3/c=")</f>
        <v>#REF!</v>
      </c>
      <c r="IO154" t="e">
        <f>AND(#REF!,"AAAAAGWv3/g=")</f>
        <v>#REF!</v>
      </c>
      <c r="IP154" t="e">
        <f>AND(#REF!,"AAAAAGWv3/k=")</f>
        <v>#REF!</v>
      </c>
      <c r="IQ154" t="e">
        <f>AND(#REF!,"AAAAAGWv3/o=")</f>
        <v>#REF!</v>
      </c>
      <c r="IR154" t="e">
        <f>AND(#REF!,"AAAAAGWv3/s=")</f>
        <v>#REF!</v>
      </c>
      <c r="IS154" t="e">
        <f>AND(#REF!,"AAAAAGWv3/w=")</f>
        <v>#REF!</v>
      </c>
      <c r="IT154" t="e">
        <f>AND(#REF!,"AAAAAGWv3/0=")</f>
        <v>#REF!</v>
      </c>
      <c r="IU154" t="e">
        <f>AND(#REF!,"AAAAAGWv3/4=")</f>
        <v>#REF!</v>
      </c>
      <c r="IV154" t="e">
        <f>AND(#REF!,"AAAAAGWv3/8=")</f>
        <v>#REF!</v>
      </c>
    </row>
    <row r="155" spans="1:256" x14ac:dyDescent="0.25">
      <c r="A155" t="e">
        <f>AND(#REF!,"AAAAADn3/wA=")</f>
        <v>#REF!</v>
      </c>
      <c r="B155" t="e">
        <f>AND(#REF!,"AAAAADn3/wE=")</f>
        <v>#REF!</v>
      </c>
      <c r="C155" t="e">
        <f>AND(#REF!,"AAAAADn3/wI=")</f>
        <v>#REF!</v>
      </c>
      <c r="D155" t="e">
        <f>AND(#REF!,"AAAAADn3/wM=")</f>
        <v>#REF!</v>
      </c>
      <c r="E155" t="e">
        <f>AND(#REF!,"AAAAADn3/wQ=")</f>
        <v>#REF!</v>
      </c>
      <c r="F155" t="e">
        <f>AND(#REF!,"AAAAADn3/wU=")</f>
        <v>#REF!</v>
      </c>
      <c r="G155" t="e">
        <f>AND(#REF!,"AAAAADn3/wY=")</f>
        <v>#REF!</v>
      </c>
      <c r="H155" t="e">
        <f>AND(#REF!,"AAAAADn3/wc=")</f>
        <v>#REF!</v>
      </c>
      <c r="I155" t="e">
        <f>AND(#REF!,"AAAAADn3/wg=")</f>
        <v>#REF!</v>
      </c>
      <c r="J155" t="e">
        <f>AND(#REF!,"AAAAADn3/wk=")</f>
        <v>#REF!</v>
      </c>
      <c r="K155" t="e">
        <f>AND(#REF!,"AAAAADn3/wo=")</f>
        <v>#REF!</v>
      </c>
      <c r="L155" t="e">
        <f>AND(#REF!,"AAAAADn3/ws=")</f>
        <v>#REF!</v>
      </c>
      <c r="M155" t="e">
        <f>AND(#REF!,"AAAAADn3/ww=")</f>
        <v>#REF!</v>
      </c>
      <c r="N155" t="e">
        <f>AND(#REF!,"AAAAADn3/w0=")</f>
        <v>#REF!</v>
      </c>
      <c r="O155" t="e">
        <f>AND(#REF!,"AAAAADn3/w4=")</f>
        <v>#REF!</v>
      </c>
      <c r="P155" t="e">
        <f>AND(#REF!,"AAAAADn3/w8=")</f>
        <v>#REF!</v>
      </c>
      <c r="Q155" t="e">
        <f>AND(#REF!,"AAAAADn3/xA=")</f>
        <v>#REF!</v>
      </c>
      <c r="R155" t="e">
        <f>AND(#REF!,"AAAAADn3/xE=")</f>
        <v>#REF!</v>
      </c>
      <c r="S155" t="e">
        <f>AND(#REF!,"AAAAADn3/xI=")</f>
        <v>#REF!</v>
      </c>
      <c r="T155" t="e">
        <f>AND(#REF!,"AAAAADn3/xM=")</f>
        <v>#REF!</v>
      </c>
      <c r="U155" t="e">
        <f>AND(#REF!,"AAAAADn3/xQ=")</f>
        <v>#REF!</v>
      </c>
      <c r="V155" t="e">
        <f>AND(#REF!,"AAAAADn3/xU=")</f>
        <v>#REF!</v>
      </c>
      <c r="W155" t="e">
        <f>AND(#REF!,"AAAAADn3/xY=")</f>
        <v>#REF!</v>
      </c>
      <c r="X155" t="e">
        <f>AND(#REF!,"AAAAADn3/xc=")</f>
        <v>#REF!</v>
      </c>
      <c r="Y155" t="e">
        <f>AND(#REF!,"AAAAADn3/xg=")</f>
        <v>#REF!</v>
      </c>
      <c r="Z155" t="e">
        <f>AND(#REF!,"AAAAADn3/xk=")</f>
        <v>#REF!</v>
      </c>
      <c r="AA155" t="e">
        <f>AND(#REF!,"AAAAADn3/xo=")</f>
        <v>#REF!</v>
      </c>
      <c r="AB155" t="e">
        <f>AND(#REF!,"AAAAADn3/xs=")</f>
        <v>#REF!</v>
      </c>
      <c r="AC155" t="e">
        <f>AND(#REF!,"AAAAADn3/xw=")</f>
        <v>#REF!</v>
      </c>
      <c r="AD155" t="e">
        <f>AND(#REF!,"AAAAADn3/x0=")</f>
        <v>#REF!</v>
      </c>
      <c r="AE155" t="e">
        <f>AND(#REF!,"AAAAADn3/x4=")</f>
        <v>#REF!</v>
      </c>
      <c r="AF155" t="e">
        <f>AND(#REF!,"AAAAADn3/x8=")</f>
        <v>#REF!</v>
      </c>
      <c r="AG155" t="e">
        <f>AND(#REF!,"AAAAADn3/yA=")</f>
        <v>#REF!</v>
      </c>
      <c r="AH155" t="e">
        <f>AND(#REF!,"AAAAADn3/yE=")</f>
        <v>#REF!</v>
      </c>
      <c r="AI155" t="e">
        <f>AND(#REF!,"AAAAADn3/yI=")</f>
        <v>#REF!</v>
      </c>
      <c r="AJ155" t="e">
        <f>AND(#REF!,"AAAAADn3/yM=")</f>
        <v>#REF!</v>
      </c>
      <c r="AK155" t="e">
        <f>AND(#REF!,"AAAAADn3/yQ=")</f>
        <v>#REF!</v>
      </c>
      <c r="AL155" t="e">
        <f>AND(#REF!,"AAAAADn3/yU=")</f>
        <v>#REF!</v>
      </c>
      <c r="AM155" t="e">
        <f>AND(#REF!,"AAAAADn3/yY=")</f>
        <v>#REF!</v>
      </c>
      <c r="AN155" t="e">
        <f>AND(#REF!,"AAAAADn3/yc=")</f>
        <v>#REF!</v>
      </c>
      <c r="AO155" t="e">
        <f>AND(#REF!,"AAAAADn3/yg=")</f>
        <v>#REF!</v>
      </c>
      <c r="AP155" t="e">
        <f>AND(#REF!,"AAAAADn3/yk=")</f>
        <v>#REF!</v>
      </c>
      <c r="AQ155" t="e">
        <f>IF(#REF!,"AAAAADn3/yo=",0)</f>
        <v>#REF!</v>
      </c>
      <c r="AR155" t="e">
        <f>AND(#REF!,"AAAAADn3/ys=")</f>
        <v>#REF!</v>
      </c>
      <c r="AS155" t="e">
        <f>AND(#REF!,"AAAAADn3/yw=")</f>
        <v>#REF!</v>
      </c>
      <c r="AT155" t="e">
        <f>AND(#REF!,"AAAAADn3/y0=")</f>
        <v>#REF!</v>
      </c>
      <c r="AU155" t="e">
        <f>AND(#REF!,"AAAAADn3/y4=")</f>
        <v>#REF!</v>
      </c>
      <c r="AV155" t="e">
        <f>AND(#REF!,"AAAAADn3/y8=")</f>
        <v>#REF!</v>
      </c>
      <c r="AW155" t="e">
        <f>AND(#REF!,"AAAAADn3/zA=")</f>
        <v>#REF!</v>
      </c>
      <c r="AX155" t="e">
        <f>AND(#REF!,"AAAAADn3/zE=")</f>
        <v>#REF!</v>
      </c>
      <c r="AY155" t="e">
        <f>AND(#REF!,"AAAAADn3/zI=")</f>
        <v>#REF!</v>
      </c>
      <c r="AZ155" t="e">
        <f>AND(#REF!,"AAAAADn3/zM=")</f>
        <v>#REF!</v>
      </c>
      <c r="BA155" t="e">
        <f>AND(#REF!,"AAAAADn3/zQ=")</f>
        <v>#REF!</v>
      </c>
      <c r="BB155" t="e">
        <f>AND(#REF!,"AAAAADn3/zU=")</f>
        <v>#REF!</v>
      </c>
      <c r="BC155" t="e">
        <f>AND(#REF!,"AAAAADn3/zY=")</f>
        <v>#REF!</v>
      </c>
      <c r="BD155" t="e">
        <f>AND(#REF!,"AAAAADn3/zc=")</f>
        <v>#REF!</v>
      </c>
      <c r="BE155" t="e">
        <f>AND(#REF!,"AAAAADn3/zg=")</f>
        <v>#REF!</v>
      </c>
      <c r="BF155" t="e">
        <f>AND(#REF!,"AAAAADn3/zk=")</f>
        <v>#REF!</v>
      </c>
      <c r="BG155" t="e">
        <f>AND(#REF!,"AAAAADn3/zo=")</f>
        <v>#REF!</v>
      </c>
      <c r="BH155" t="e">
        <f>AND(#REF!,"AAAAADn3/zs=")</f>
        <v>#REF!</v>
      </c>
      <c r="BI155" t="e">
        <f>AND(#REF!,"AAAAADn3/zw=")</f>
        <v>#REF!</v>
      </c>
      <c r="BJ155" t="e">
        <f>AND(#REF!,"AAAAADn3/z0=")</f>
        <v>#REF!</v>
      </c>
      <c r="BK155" t="e">
        <f>AND(#REF!,"AAAAADn3/z4=")</f>
        <v>#REF!</v>
      </c>
      <c r="BL155" t="e">
        <f>AND(#REF!,"AAAAADn3/z8=")</f>
        <v>#REF!</v>
      </c>
      <c r="BM155" t="e">
        <f>AND(#REF!,"AAAAADn3/0A=")</f>
        <v>#REF!</v>
      </c>
      <c r="BN155" t="e">
        <f>AND(#REF!,"AAAAADn3/0E=")</f>
        <v>#REF!</v>
      </c>
      <c r="BO155" t="e">
        <f>AND(#REF!,"AAAAADn3/0I=")</f>
        <v>#REF!</v>
      </c>
      <c r="BP155" t="e">
        <f>AND(#REF!,"AAAAADn3/0M=")</f>
        <v>#REF!</v>
      </c>
      <c r="BQ155" t="e">
        <f>AND(#REF!,"AAAAADn3/0Q=")</f>
        <v>#REF!</v>
      </c>
      <c r="BR155" t="e">
        <f>AND(#REF!,"AAAAADn3/0U=")</f>
        <v>#REF!</v>
      </c>
      <c r="BS155" t="e">
        <f>AND(#REF!,"AAAAADn3/0Y=")</f>
        <v>#REF!</v>
      </c>
      <c r="BT155" t="e">
        <f>AND(#REF!,"AAAAADn3/0c=")</f>
        <v>#REF!</v>
      </c>
      <c r="BU155" t="e">
        <f>AND(#REF!,"AAAAADn3/0g=")</f>
        <v>#REF!</v>
      </c>
      <c r="BV155" t="e">
        <f>AND(#REF!,"AAAAADn3/0k=")</f>
        <v>#REF!</v>
      </c>
      <c r="BW155" t="e">
        <f>AND(#REF!,"AAAAADn3/0o=")</f>
        <v>#REF!</v>
      </c>
      <c r="BX155" t="e">
        <f>AND(#REF!,"AAAAADn3/0s=")</f>
        <v>#REF!</v>
      </c>
      <c r="BY155" t="e">
        <f>AND(#REF!,"AAAAADn3/0w=")</f>
        <v>#REF!</v>
      </c>
      <c r="BZ155" t="e">
        <f>AND(#REF!,"AAAAADn3/00=")</f>
        <v>#REF!</v>
      </c>
      <c r="CA155" t="e">
        <f>AND(#REF!,"AAAAADn3/04=")</f>
        <v>#REF!</v>
      </c>
      <c r="CB155" t="e">
        <f>AND(#REF!,"AAAAADn3/08=")</f>
        <v>#REF!</v>
      </c>
      <c r="CC155" t="e">
        <f>AND(#REF!,"AAAAADn3/1A=")</f>
        <v>#REF!</v>
      </c>
      <c r="CD155" t="e">
        <f>AND(#REF!,"AAAAADn3/1E=")</f>
        <v>#REF!</v>
      </c>
      <c r="CE155" t="e">
        <f>AND(#REF!,"AAAAADn3/1I=")</f>
        <v>#REF!</v>
      </c>
      <c r="CF155" t="e">
        <f>AND(#REF!,"AAAAADn3/1M=")</f>
        <v>#REF!</v>
      </c>
      <c r="CG155" t="e">
        <f>AND(#REF!,"AAAAADn3/1Q=")</f>
        <v>#REF!</v>
      </c>
      <c r="CH155" t="e">
        <f>AND(#REF!,"AAAAADn3/1U=")</f>
        <v>#REF!</v>
      </c>
      <c r="CI155" t="e">
        <f>AND(#REF!,"AAAAADn3/1Y=")</f>
        <v>#REF!</v>
      </c>
      <c r="CJ155" t="e">
        <f>AND(#REF!,"AAAAADn3/1c=")</f>
        <v>#REF!</v>
      </c>
      <c r="CK155" t="e">
        <f>AND(#REF!,"AAAAADn3/1g=")</f>
        <v>#REF!</v>
      </c>
      <c r="CL155" t="e">
        <f>AND(#REF!,"AAAAADn3/1k=")</f>
        <v>#REF!</v>
      </c>
      <c r="CM155" t="e">
        <f>AND(#REF!,"AAAAADn3/1o=")</f>
        <v>#REF!</v>
      </c>
      <c r="CN155" t="e">
        <f>AND(#REF!,"AAAAADn3/1s=")</f>
        <v>#REF!</v>
      </c>
      <c r="CO155" t="e">
        <f>AND(#REF!,"AAAAADn3/1w=")</f>
        <v>#REF!</v>
      </c>
      <c r="CP155" t="e">
        <f>AND(#REF!,"AAAAADn3/10=")</f>
        <v>#REF!</v>
      </c>
      <c r="CQ155" t="e">
        <f>AND(#REF!,"AAAAADn3/14=")</f>
        <v>#REF!</v>
      </c>
      <c r="CR155" t="e">
        <f>AND(#REF!,"AAAAADn3/18=")</f>
        <v>#REF!</v>
      </c>
      <c r="CS155" t="e">
        <f>AND(#REF!,"AAAAADn3/2A=")</f>
        <v>#REF!</v>
      </c>
      <c r="CT155" t="e">
        <f>AND(#REF!,"AAAAADn3/2E=")</f>
        <v>#REF!</v>
      </c>
      <c r="CU155" t="e">
        <f>AND(#REF!,"AAAAADn3/2I=")</f>
        <v>#REF!</v>
      </c>
      <c r="CV155" t="e">
        <f>AND(#REF!,"AAAAADn3/2M=")</f>
        <v>#REF!</v>
      </c>
      <c r="CW155" t="e">
        <f>AND(#REF!,"AAAAADn3/2Q=")</f>
        <v>#REF!</v>
      </c>
      <c r="CX155" t="e">
        <f>AND(#REF!,"AAAAADn3/2U=")</f>
        <v>#REF!</v>
      </c>
      <c r="CY155" t="e">
        <f>AND(#REF!,"AAAAADn3/2Y=")</f>
        <v>#REF!</v>
      </c>
      <c r="CZ155" t="e">
        <f>AND(#REF!,"AAAAADn3/2c=")</f>
        <v>#REF!</v>
      </c>
      <c r="DA155" t="e">
        <f>AND(#REF!,"AAAAADn3/2g=")</f>
        <v>#REF!</v>
      </c>
      <c r="DB155" t="e">
        <f>AND(#REF!,"AAAAADn3/2k=")</f>
        <v>#REF!</v>
      </c>
      <c r="DC155" t="e">
        <f>AND(#REF!,"AAAAADn3/2o=")</f>
        <v>#REF!</v>
      </c>
      <c r="DD155" t="e">
        <f>AND(#REF!,"AAAAADn3/2s=")</f>
        <v>#REF!</v>
      </c>
      <c r="DE155" t="e">
        <f>AND(#REF!,"AAAAADn3/2w=")</f>
        <v>#REF!</v>
      </c>
      <c r="DF155" t="e">
        <f>AND(#REF!,"AAAAADn3/20=")</f>
        <v>#REF!</v>
      </c>
      <c r="DG155" t="e">
        <f>AND(#REF!,"AAAAADn3/24=")</f>
        <v>#REF!</v>
      </c>
      <c r="DH155" t="e">
        <f>AND(#REF!,"AAAAADn3/28=")</f>
        <v>#REF!</v>
      </c>
      <c r="DI155" t="e">
        <f>AND(#REF!,"AAAAADn3/3A=")</f>
        <v>#REF!</v>
      </c>
      <c r="DJ155" t="e">
        <f>AND(#REF!,"AAAAADn3/3E=")</f>
        <v>#REF!</v>
      </c>
      <c r="DK155" t="e">
        <f>AND(#REF!,"AAAAADn3/3I=")</f>
        <v>#REF!</v>
      </c>
      <c r="DL155" t="e">
        <f>AND(#REF!,"AAAAADn3/3M=")</f>
        <v>#REF!</v>
      </c>
      <c r="DM155" t="e">
        <f>AND(#REF!,"AAAAADn3/3Q=")</f>
        <v>#REF!</v>
      </c>
      <c r="DN155" t="e">
        <f>AND(#REF!,"AAAAADn3/3U=")</f>
        <v>#REF!</v>
      </c>
      <c r="DO155" t="e">
        <f>AND(#REF!,"AAAAADn3/3Y=")</f>
        <v>#REF!</v>
      </c>
      <c r="DP155" t="e">
        <f>AND(#REF!,"AAAAADn3/3c=")</f>
        <v>#REF!</v>
      </c>
      <c r="DQ155" t="e">
        <f>AND(#REF!,"AAAAADn3/3g=")</f>
        <v>#REF!</v>
      </c>
      <c r="DR155" t="e">
        <f>AND(#REF!,"AAAAADn3/3k=")</f>
        <v>#REF!</v>
      </c>
      <c r="DS155" t="e">
        <f>AND(#REF!,"AAAAADn3/3o=")</f>
        <v>#REF!</v>
      </c>
      <c r="DT155" t="e">
        <f>AND(#REF!,"AAAAADn3/3s=")</f>
        <v>#REF!</v>
      </c>
      <c r="DU155" t="e">
        <f>AND(#REF!,"AAAAADn3/3w=")</f>
        <v>#REF!</v>
      </c>
      <c r="DV155" t="e">
        <f>AND(#REF!,"AAAAADn3/30=")</f>
        <v>#REF!</v>
      </c>
      <c r="DW155" t="e">
        <f>AND(#REF!,"AAAAADn3/34=")</f>
        <v>#REF!</v>
      </c>
      <c r="DX155" t="e">
        <f>AND(#REF!,"AAAAADn3/38=")</f>
        <v>#REF!</v>
      </c>
      <c r="DY155" t="e">
        <f>AND(#REF!,"AAAAADn3/4A=")</f>
        <v>#REF!</v>
      </c>
      <c r="DZ155" t="e">
        <f>AND(#REF!,"AAAAADn3/4E=")</f>
        <v>#REF!</v>
      </c>
      <c r="EA155" t="e">
        <f>AND(#REF!,"AAAAADn3/4I=")</f>
        <v>#REF!</v>
      </c>
      <c r="EB155" t="e">
        <f>AND(#REF!,"AAAAADn3/4M=")</f>
        <v>#REF!</v>
      </c>
      <c r="EC155" t="e">
        <f>AND(#REF!,"AAAAADn3/4Q=")</f>
        <v>#REF!</v>
      </c>
      <c r="ED155" t="e">
        <f>AND(#REF!,"AAAAADn3/4U=")</f>
        <v>#REF!</v>
      </c>
      <c r="EE155" t="e">
        <f>AND(#REF!,"AAAAADn3/4Y=")</f>
        <v>#REF!</v>
      </c>
      <c r="EF155" t="e">
        <f>AND(#REF!,"AAAAADn3/4c=")</f>
        <v>#REF!</v>
      </c>
      <c r="EG155" t="e">
        <f>AND(#REF!,"AAAAADn3/4g=")</f>
        <v>#REF!</v>
      </c>
      <c r="EH155" t="e">
        <f>AND(#REF!,"AAAAADn3/4k=")</f>
        <v>#REF!</v>
      </c>
      <c r="EI155" t="e">
        <f>AND(#REF!,"AAAAADn3/4o=")</f>
        <v>#REF!</v>
      </c>
      <c r="EJ155" t="e">
        <f>AND(#REF!,"AAAAADn3/4s=")</f>
        <v>#REF!</v>
      </c>
      <c r="EK155" t="e">
        <f>AND(#REF!,"AAAAADn3/4w=")</f>
        <v>#REF!</v>
      </c>
      <c r="EL155" t="e">
        <f>AND(#REF!,"AAAAADn3/40=")</f>
        <v>#REF!</v>
      </c>
      <c r="EM155" t="e">
        <f>AND(#REF!,"AAAAADn3/44=")</f>
        <v>#REF!</v>
      </c>
      <c r="EN155" t="e">
        <f>AND(#REF!,"AAAAADn3/48=")</f>
        <v>#REF!</v>
      </c>
      <c r="EO155" t="e">
        <f>AND(#REF!,"AAAAADn3/5A=")</f>
        <v>#REF!</v>
      </c>
      <c r="EP155" t="e">
        <f>AND(#REF!,"AAAAADn3/5E=")</f>
        <v>#REF!</v>
      </c>
      <c r="EQ155" t="e">
        <f>AND(#REF!,"AAAAADn3/5I=")</f>
        <v>#REF!</v>
      </c>
      <c r="ER155" t="e">
        <f>AND(#REF!,"AAAAADn3/5M=")</f>
        <v>#REF!</v>
      </c>
      <c r="ES155" t="e">
        <f>AND(#REF!,"AAAAADn3/5Q=")</f>
        <v>#REF!</v>
      </c>
      <c r="ET155" t="e">
        <f>AND(#REF!,"AAAAADn3/5U=")</f>
        <v>#REF!</v>
      </c>
      <c r="EU155" t="e">
        <f>AND(#REF!,"AAAAADn3/5Y=")</f>
        <v>#REF!</v>
      </c>
      <c r="EV155" t="e">
        <f>AND(#REF!,"AAAAADn3/5c=")</f>
        <v>#REF!</v>
      </c>
      <c r="EW155" t="e">
        <f>AND(#REF!,"AAAAADn3/5g=")</f>
        <v>#REF!</v>
      </c>
      <c r="EX155" t="e">
        <f>AND(#REF!,"AAAAADn3/5k=")</f>
        <v>#REF!</v>
      </c>
      <c r="EY155" t="e">
        <f>AND(#REF!,"AAAAADn3/5o=")</f>
        <v>#REF!</v>
      </c>
      <c r="EZ155" t="e">
        <f>AND(#REF!,"AAAAADn3/5s=")</f>
        <v>#REF!</v>
      </c>
      <c r="FA155" t="e">
        <f>AND(#REF!,"AAAAADn3/5w=")</f>
        <v>#REF!</v>
      </c>
      <c r="FB155" t="e">
        <f>AND(#REF!,"AAAAADn3/50=")</f>
        <v>#REF!</v>
      </c>
      <c r="FC155" t="e">
        <f>AND(#REF!,"AAAAADn3/54=")</f>
        <v>#REF!</v>
      </c>
      <c r="FD155" t="e">
        <f>AND(#REF!,"AAAAADn3/58=")</f>
        <v>#REF!</v>
      </c>
      <c r="FE155" t="e">
        <f>AND(#REF!,"AAAAADn3/6A=")</f>
        <v>#REF!</v>
      </c>
      <c r="FF155" t="e">
        <f>AND(#REF!,"AAAAADn3/6E=")</f>
        <v>#REF!</v>
      </c>
      <c r="FG155" t="e">
        <f>AND(#REF!,"AAAAADn3/6I=")</f>
        <v>#REF!</v>
      </c>
      <c r="FH155" t="e">
        <f>AND(#REF!,"AAAAADn3/6M=")</f>
        <v>#REF!</v>
      </c>
      <c r="FI155" t="e">
        <f>AND(#REF!,"AAAAADn3/6Q=")</f>
        <v>#REF!</v>
      </c>
      <c r="FJ155" t="e">
        <f>AND(#REF!,"AAAAADn3/6U=")</f>
        <v>#REF!</v>
      </c>
      <c r="FK155" t="e">
        <f>AND(#REF!,"AAAAADn3/6Y=")</f>
        <v>#REF!</v>
      </c>
      <c r="FL155" t="e">
        <f>AND(#REF!,"AAAAADn3/6c=")</f>
        <v>#REF!</v>
      </c>
      <c r="FM155" t="e">
        <f>AND(#REF!,"AAAAADn3/6g=")</f>
        <v>#REF!</v>
      </c>
      <c r="FN155" t="e">
        <f>AND(#REF!,"AAAAADn3/6k=")</f>
        <v>#REF!</v>
      </c>
      <c r="FO155" t="e">
        <f>AND(#REF!,"AAAAADn3/6o=")</f>
        <v>#REF!</v>
      </c>
      <c r="FP155" t="e">
        <f>AND(#REF!,"AAAAADn3/6s=")</f>
        <v>#REF!</v>
      </c>
      <c r="FQ155" t="e">
        <f>AND(#REF!,"AAAAADn3/6w=")</f>
        <v>#REF!</v>
      </c>
      <c r="FR155" t="e">
        <f>AND(#REF!,"AAAAADn3/60=")</f>
        <v>#REF!</v>
      </c>
      <c r="FS155" t="e">
        <f>AND(#REF!,"AAAAADn3/64=")</f>
        <v>#REF!</v>
      </c>
      <c r="FT155" t="e">
        <f>AND(#REF!,"AAAAADn3/68=")</f>
        <v>#REF!</v>
      </c>
      <c r="FU155" t="e">
        <f>AND(#REF!,"AAAAADn3/7A=")</f>
        <v>#REF!</v>
      </c>
      <c r="FV155" t="e">
        <f>AND(#REF!,"AAAAADn3/7E=")</f>
        <v>#REF!</v>
      </c>
      <c r="FW155" t="e">
        <f>AND(#REF!,"AAAAADn3/7I=")</f>
        <v>#REF!</v>
      </c>
      <c r="FX155" t="e">
        <f>AND(#REF!,"AAAAADn3/7M=")</f>
        <v>#REF!</v>
      </c>
      <c r="FY155" t="e">
        <f>AND(#REF!,"AAAAADn3/7Q=")</f>
        <v>#REF!</v>
      </c>
      <c r="FZ155" t="e">
        <f>AND(#REF!,"AAAAADn3/7U=")</f>
        <v>#REF!</v>
      </c>
      <c r="GA155" t="e">
        <f>AND(#REF!,"AAAAADn3/7Y=")</f>
        <v>#REF!</v>
      </c>
      <c r="GB155" t="e">
        <f>AND(#REF!,"AAAAADn3/7c=")</f>
        <v>#REF!</v>
      </c>
      <c r="GC155" t="e">
        <f>AND(#REF!,"AAAAADn3/7g=")</f>
        <v>#REF!</v>
      </c>
      <c r="GD155" t="e">
        <f>AND(#REF!,"AAAAADn3/7k=")</f>
        <v>#REF!</v>
      </c>
      <c r="GE155" t="e">
        <f>AND(#REF!,"AAAAADn3/7o=")</f>
        <v>#REF!</v>
      </c>
      <c r="GF155" t="e">
        <f>AND(#REF!,"AAAAADn3/7s=")</f>
        <v>#REF!</v>
      </c>
      <c r="GG155" t="e">
        <f>AND(#REF!,"AAAAADn3/7w=")</f>
        <v>#REF!</v>
      </c>
      <c r="GH155" t="e">
        <f>AND(#REF!,"AAAAADn3/70=")</f>
        <v>#REF!</v>
      </c>
      <c r="GI155" t="e">
        <f>AND(#REF!,"AAAAADn3/74=")</f>
        <v>#REF!</v>
      </c>
      <c r="GJ155" t="e">
        <f>AND(#REF!,"AAAAADn3/78=")</f>
        <v>#REF!</v>
      </c>
      <c r="GK155" t="e">
        <f>AND(#REF!,"AAAAADn3/8A=")</f>
        <v>#REF!</v>
      </c>
      <c r="GL155" t="e">
        <f>AND(#REF!,"AAAAADn3/8E=")</f>
        <v>#REF!</v>
      </c>
      <c r="GM155" t="e">
        <f>AND(#REF!,"AAAAADn3/8I=")</f>
        <v>#REF!</v>
      </c>
      <c r="GN155" t="e">
        <f>AND(#REF!,"AAAAADn3/8M=")</f>
        <v>#REF!</v>
      </c>
      <c r="GO155" t="e">
        <f>AND(#REF!,"AAAAADn3/8Q=")</f>
        <v>#REF!</v>
      </c>
      <c r="GP155" t="e">
        <f>AND(#REF!,"AAAAADn3/8U=")</f>
        <v>#REF!</v>
      </c>
      <c r="GQ155" t="e">
        <f>AND(#REF!,"AAAAADn3/8Y=")</f>
        <v>#REF!</v>
      </c>
      <c r="GR155" t="e">
        <f>AND(#REF!,"AAAAADn3/8c=")</f>
        <v>#REF!</v>
      </c>
      <c r="GS155" t="e">
        <f>AND(#REF!,"AAAAADn3/8g=")</f>
        <v>#REF!</v>
      </c>
      <c r="GT155" t="e">
        <f>AND(#REF!,"AAAAADn3/8k=")</f>
        <v>#REF!</v>
      </c>
      <c r="GU155" t="e">
        <f>AND(#REF!,"AAAAADn3/8o=")</f>
        <v>#REF!</v>
      </c>
      <c r="GV155" t="e">
        <f>AND(#REF!,"AAAAADn3/8s=")</f>
        <v>#REF!</v>
      </c>
      <c r="GW155" t="e">
        <f>AND(#REF!,"AAAAADn3/8w=")</f>
        <v>#REF!</v>
      </c>
      <c r="GX155" t="e">
        <f>AND(#REF!,"AAAAADn3/80=")</f>
        <v>#REF!</v>
      </c>
      <c r="GY155" t="e">
        <f>AND(#REF!,"AAAAADn3/84=")</f>
        <v>#REF!</v>
      </c>
      <c r="GZ155" t="e">
        <f>AND(#REF!,"AAAAADn3/88=")</f>
        <v>#REF!</v>
      </c>
      <c r="HA155" t="e">
        <f>AND(#REF!,"AAAAADn3/9A=")</f>
        <v>#REF!</v>
      </c>
      <c r="HB155" t="e">
        <f>AND(#REF!,"AAAAADn3/9E=")</f>
        <v>#REF!</v>
      </c>
      <c r="HC155" t="e">
        <f>AND(#REF!,"AAAAADn3/9I=")</f>
        <v>#REF!</v>
      </c>
      <c r="HD155" t="e">
        <f>AND(#REF!,"AAAAADn3/9M=")</f>
        <v>#REF!</v>
      </c>
      <c r="HE155" t="e">
        <f>AND(#REF!,"AAAAADn3/9Q=")</f>
        <v>#REF!</v>
      </c>
      <c r="HF155" t="e">
        <f>AND(#REF!,"AAAAADn3/9U=")</f>
        <v>#REF!</v>
      </c>
      <c r="HG155" t="e">
        <f>AND(#REF!,"AAAAADn3/9Y=")</f>
        <v>#REF!</v>
      </c>
      <c r="HH155" t="e">
        <f>AND(#REF!,"AAAAADn3/9c=")</f>
        <v>#REF!</v>
      </c>
      <c r="HI155" t="e">
        <f>AND(#REF!,"AAAAADn3/9g=")</f>
        <v>#REF!</v>
      </c>
      <c r="HJ155" t="e">
        <f>AND(#REF!,"AAAAADn3/9k=")</f>
        <v>#REF!</v>
      </c>
      <c r="HK155" t="e">
        <f>AND(#REF!,"AAAAADn3/9o=")</f>
        <v>#REF!</v>
      </c>
      <c r="HL155" t="e">
        <f>AND(#REF!,"AAAAADn3/9s=")</f>
        <v>#REF!</v>
      </c>
      <c r="HM155" t="e">
        <f>AND(#REF!,"AAAAADn3/9w=")</f>
        <v>#REF!</v>
      </c>
      <c r="HN155" t="e">
        <f>AND(#REF!,"AAAAADn3/90=")</f>
        <v>#REF!</v>
      </c>
      <c r="HO155" t="e">
        <f>AND(#REF!,"AAAAADn3/94=")</f>
        <v>#REF!</v>
      </c>
      <c r="HP155" t="e">
        <f>AND(#REF!,"AAAAADn3/98=")</f>
        <v>#REF!</v>
      </c>
      <c r="HQ155" t="e">
        <f>AND(#REF!,"AAAAADn3/+A=")</f>
        <v>#REF!</v>
      </c>
      <c r="HR155" t="e">
        <f>AND(#REF!,"AAAAADn3/+E=")</f>
        <v>#REF!</v>
      </c>
      <c r="HS155" t="e">
        <f>AND(#REF!,"AAAAADn3/+I=")</f>
        <v>#REF!</v>
      </c>
      <c r="HT155" t="e">
        <f>AND(#REF!,"AAAAADn3/+M=")</f>
        <v>#REF!</v>
      </c>
      <c r="HU155" t="e">
        <f>AND(#REF!,"AAAAADn3/+Q=")</f>
        <v>#REF!</v>
      </c>
      <c r="HV155" t="e">
        <f>AND(#REF!,"AAAAADn3/+U=")</f>
        <v>#REF!</v>
      </c>
      <c r="HW155" t="e">
        <f>AND(#REF!,"AAAAADn3/+Y=")</f>
        <v>#REF!</v>
      </c>
      <c r="HX155" t="e">
        <f>IF(#REF!,"AAAAADn3/+c=",0)</f>
        <v>#REF!</v>
      </c>
      <c r="HY155" t="e">
        <f>AND(#REF!,"AAAAADn3/+g=")</f>
        <v>#REF!</v>
      </c>
      <c r="HZ155" t="e">
        <f>AND(#REF!,"AAAAADn3/+k=")</f>
        <v>#REF!</v>
      </c>
      <c r="IA155" t="e">
        <f>AND(#REF!,"AAAAADn3/+o=")</f>
        <v>#REF!</v>
      </c>
      <c r="IB155" t="e">
        <f>AND(#REF!,"AAAAADn3/+s=")</f>
        <v>#REF!</v>
      </c>
      <c r="IC155" t="e">
        <f>AND(#REF!,"AAAAADn3/+w=")</f>
        <v>#REF!</v>
      </c>
      <c r="ID155" t="e">
        <f>AND(#REF!,"AAAAADn3/+0=")</f>
        <v>#REF!</v>
      </c>
      <c r="IE155" t="e">
        <f>AND(#REF!,"AAAAADn3/+4=")</f>
        <v>#REF!</v>
      </c>
      <c r="IF155" t="e">
        <f>AND(#REF!,"AAAAADn3/+8=")</f>
        <v>#REF!</v>
      </c>
      <c r="IG155" t="e">
        <f>AND(#REF!,"AAAAADn3//A=")</f>
        <v>#REF!</v>
      </c>
      <c r="IH155" t="e">
        <f>AND(#REF!,"AAAAADn3//E=")</f>
        <v>#REF!</v>
      </c>
      <c r="II155" t="e">
        <f>AND(#REF!,"AAAAADn3//I=")</f>
        <v>#REF!</v>
      </c>
      <c r="IJ155" t="e">
        <f>AND(#REF!,"AAAAADn3//M=")</f>
        <v>#REF!</v>
      </c>
      <c r="IK155" t="e">
        <f>AND(#REF!,"AAAAADn3//Q=")</f>
        <v>#REF!</v>
      </c>
      <c r="IL155" t="e">
        <f>AND(#REF!,"AAAAADn3//U=")</f>
        <v>#REF!</v>
      </c>
      <c r="IM155" t="e">
        <f>AND(#REF!,"AAAAADn3//Y=")</f>
        <v>#REF!</v>
      </c>
      <c r="IN155" t="e">
        <f>AND(#REF!,"AAAAADn3//c=")</f>
        <v>#REF!</v>
      </c>
      <c r="IO155" t="e">
        <f>AND(#REF!,"AAAAADn3//g=")</f>
        <v>#REF!</v>
      </c>
      <c r="IP155" t="e">
        <f>AND(#REF!,"AAAAADn3//k=")</f>
        <v>#REF!</v>
      </c>
      <c r="IQ155" t="e">
        <f>AND(#REF!,"AAAAADn3//o=")</f>
        <v>#REF!</v>
      </c>
      <c r="IR155" t="e">
        <f>AND(#REF!,"AAAAADn3//s=")</f>
        <v>#REF!</v>
      </c>
      <c r="IS155" t="e">
        <f>AND(#REF!,"AAAAADn3//w=")</f>
        <v>#REF!</v>
      </c>
      <c r="IT155" t="e">
        <f>AND(#REF!,"AAAAADn3//0=")</f>
        <v>#REF!</v>
      </c>
      <c r="IU155" t="e">
        <f>AND(#REF!,"AAAAADn3//4=")</f>
        <v>#REF!</v>
      </c>
      <c r="IV155" t="e">
        <f>AND(#REF!,"AAAAADn3//8=")</f>
        <v>#REF!</v>
      </c>
    </row>
    <row r="156" spans="1:256" x14ac:dyDescent="0.25">
      <c r="A156" t="e">
        <f>AND(#REF!,"AAAAAHXXIwA=")</f>
        <v>#REF!</v>
      </c>
      <c r="B156" t="e">
        <f>AND(#REF!,"AAAAAHXXIwE=")</f>
        <v>#REF!</v>
      </c>
      <c r="C156" t="e">
        <f>AND(#REF!,"AAAAAHXXIwI=")</f>
        <v>#REF!</v>
      </c>
      <c r="D156" t="e">
        <f>AND(#REF!,"AAAAAHXXIwM=")</f>
        <v>#REF!</v>
      </c>
      <c r="E156" t="e">
        <f>AND(#REF!,"AAAAAHXXIwQ=")</f>
        <v>#REF!</v>
      </c>
      <c r="F156" t="e">
        <f>AND(#REF!,"AAAAAHXXIwU=")</f>
        <v>#REF!</v>
      </c>
      <c r="G156" t="e">
        <f>AND(#REF!,"AAAAAHXXIwY=")</f>
        <v>#REF!</v>
      </c>
      <c r="H156" t="e">
        <f>AND(#REF!,"AAAAAHXXIwc=")</f>
        <v>#REF!</v>
      </c>
      <c r="I156" t="e">
        <f>AND(#REF!,"AAAAAHXXIwg=")</f>
        <v>#REF!</v>
      </c>
      <c r="J156" t="e">
        <f>AND(#REF!,"AAAAAHXXIwk=")</f>
        <v>#REF!</v>
      </c>
      <c r="K156" t="e">
        <f>AND(#REF!,"AAAAAHXXIwo=")</f>
        <v>#REF!</v>
      </c>
      <c r="L156" t="e">
        <f>AND(#REF!,"AAAAAHXXIws=")</f>
        <v>#REF!</v>
      </c>
      <c r="M156" t="e">
        <f>AND(#REF!,"AAAAAHXXIww=")</f>
        <v>#REF!</v>
      </c>
      <c r="N156" t="e">
        <f>AND(#REF!,"AAAAAHXXIw0=")</f>
        <v>#REF!</v>
      </c>
      <c r="O156" t="e">
        <f>AND(#REF!,"AAAAAHXXIw4=")</f>
        <v>#REF!</v>
      </c>
      <c r="P156" t="e">
        <f>AND(#REF!,"AAAAAHXXIw8=")</f>
        <v>#REF!</v>
      </c>
      <c r="Q156" t="e">
        <f>AND(#REF!,"AAAAAHXXIxA=")</f>
        <v>#REF!</v>
      </c>
      <c r="R156" t="e">
        <f>AND(#REF!,"AAAAAHXXIxE=")</f>
        <v>#REF!</v>
      </c>
      <c r="S156" t="e">
        <f>AND(#REF!,"AAAAAHXXIxI=")</f>
        <v>#REF!</v>
      </c>
      <c r="T156" t="e">
        <f>AND(#REF!,"AAAAAHXXIxM=")</f>
        <v>#REF!</v>
      </c>
      <c r="U156" t="e">
        <f>AND(#REF!,"AAAAAHXXIxQ=")</f>
        <v>#REF!</v>
      </c>
      <c r="V156" t="e">
        <f>AND(#REF!,"AAAAAHXXIxU=")</f>
        <v>#REF!</v>
      </c>
      <c r="W156" t="e">
        <f>AND(#REF!,"AAAAAHXXIxY=")</f>
        <v>#REF!</v>
      </c>
      <c r="X156" t="e">
        <f>AND(#REF!,"AAAAAHXXIxc=")</f>
        <v>#REF!</v>
      </c>
      <c r="Y156" t="e">
        <f>AND(#REF!,"AAAAAHXXIxg=")</f>
        <v>#REF!</v>
      </c>
      <c r="Z156" t="e">
        <f>AND(#REF!,"AAAAAHXXIxk=")</f>
        <v>#REF!</v>
      </c>
      <c r="AA156" t="e">
        <f>AND(#REF!,"AAAAAHXXIxo=")</f>
        <v>#REF!</v>
      </c>
      <c r="AB156" t="e">
        <f>AND(#REF!,"AAAAAHXXIxs=")</f>
        <v>#REF!</v>
      </c>
      <c r="AC156" t="e">
        <f>AND(#REF!,"AAAAAHXXIxw=")</f>
        <v>#REF!</v>
      </c>
      <c r="AD156" t="e">
        <f>AND(#REF!,"AAAAAHXXIx0=")</f>
        <v>#REF!</v>
      </c>
      <c r="AE156" t="e">
        <f>AND(#REF!,"AAAAAHXXIx4=")</f>
        <v>#REF!</v>
      </c>
      <c r="AF156" t="e">
        <f>AND(#REF!,"AAAAAHXXIx8=")</f>
        <v>#REF!</v>
      </c>
      <c r="AG156" t="e">
        <f>AND(#REF!,"AAAAAHXXIyA=")</f>
        <v>#REF!</v>
      </c>
      <c r="AH156" t="e">
        <f>AND(#REF!,"AAAAAHXXIyE=")</f>
        <v>#REF!</v>
      </c>
      <c r="AI156" t="e">
        <f>AND(#REF!,"AAAAAHXXIyI=")</f>
        <v>#REF!</v>
      </c>
      <c r="AJ156" t="e">
        <f>AND(#REF!,"AAAAAHXXIyM=")</f>
        <v>#REF!</v>
      </c>
      <c r="AK156" t="e">
        <f>AND(#REF!,"AAAAAHXXIyQ=")</f>
        <v>#REF!</v>
      </c>
      <c r="AL156" t="e">
        <f>AND(#REF!,"AAAAAHXXIyU=")</f>
        <v>#REF!</v>
      </c>
      <c r="AM156" t="e">
        <f>AND(#REF!,"AAAAAHXXIyY=")</f>
        <v>#REF!</v>
      </c>
      <c r="AN156" t="e">
        <f>AND(#REF!,"AAAAAHXXIyc=")</f>
        <v>#REF!</v>
      </c>
      <c r="AO156" t="e">
        <f>AND(#REF!,"AAAAAHXXIyg=")</f>
        <v>#REF!</v>
      </c>
      <c r="AP156" t="e">
        <f>AND(#REF!,"AAAAAHXXIyk=")</f>
        <v>#REF!</v>
      </c>
      <c r="AQ156" t="e">
        <f>AND(#REF!,"AAAAAHXXIyo=")</f>
        <v>#REF!</v>
      </c>
      <c r="AR156" t="e">
        <f>AND(#REF!,"AAAAAHXXIys=")</f>
        <v>#REF!</v>
      </c>
      <c r="AS156" t="e">
        <f>AND(#REF!,"AAAAAHXXIyw=")</f>
        <v>#REF!</v>
      </c>
      <c r="AT156" t="e">
        <f>AND(#REF!,"AAAAAHXXIy0=")</f>
        <v>#REF!</v>
      </c>
      <c r="AU156" t="e">
        <f>AND(#REF!,"AAAAAHXXIy4=")</f>
        <v>#REF!</v>
      </c>
      <c r="AV156" t="e">
        <f>AND(#REF!,"AAAAAHXXIy8=")</f>
        <v>#REF!</v>
      </c>
      <c r="AW156" t="e">
        <f>AND(#REF!,"AAAAAHXXIzA=")</f>
        <v>#REF!</v>
      </c>
      <c r="AX156" t="e">
        <f>AND(#REF!,"AAAAAHXXIzE=")</f>
        <v>#REF!</v>
      </c>
      <c r="AY156" t="e">
        <f>AND(#REF!,"AAAAAHXXIzI=")</f>
        <v>#REF!</v>
      </c>
      <c r="AZ156" t="e">
        <f>AND(#REF!,"AAAAAHXXIzM=")</f>
        <v>#REF!</v>
      </c>
      <c r="BA156" t="e">
        <f>AND(#REF!,"AAAAAHXXIzQ=")</f>
        <v>#REF!</v>
      </c>
      <c r="BB156" t="e">
        <f>AND(#REF!,"AAAAAHXXIzU=")</f>
        <v>#REF!</v>
      </c>
      <c r="BC156" t="e">
        <f>AND(#REF!,"AAAAAHXXIzY=")</f>
        <v>#REF!</v>
      </c>
      <c r="BD156" t="e">
        <f>AND(#REF!,"AAAAAHXXIzc=")</f>
        <v>#REF!</v>
      </c>
      <c r="BE156" t="e">
        <f>AND(#REF!,"AAAAAHXXIzg=")</f>
        <v>#REF!</v>
      </c>
      <c r="BF156" t="e">
        <f>AND(#REF!,"AAAAAHXXIzk=")</f>
        <v>#REF!</v>
      </c>
      <c r="BG156" t="e">
        <f>AND(#REF!,"AAAAAHXXIzo=")</f>
        <v>#REF!</v>
      </c>
      <c r="BH156" t="e">
        <f>AND(#REF!,"AAAAAHXXIzs=")</f>
        <v>#REF!</v>
      </c>
      <c r="BI156" t="e">
        <f>AND(#REF!,"AAAAAHXXIzw=")</f>
        <v>#REF!</v>
      </c>
      <c r="BJ156" t="e">
        <f>AND(#REF!,"AAAAAHXXIz0=")</f>
        <v>#REF!</v>
      </c>
      <c r="BK156" t="e">
        <f>AND(#REF!,"AAAAAHXXIz4=")</f>
        <v>#REF!</v>
      </c>
      <c r="BL156" t="e">
        <f>AND(#REF!,"AAAAAHXXIz8=")</f>
        <v>#REF!</v>
      </c>
      <c r="BM156" t="e">
        <f>AND(#REF!,"AAAAAHXXI0A=")</f>
        <v>#REF!</v>
      </c>
      <c r="BN156" t="e">
        <f>AND(#REF!,"AAAAAHXXI0E=")</f>
        <v>#REF!</v>
      </c>
      <c r="BO156" t="e">
        <f>AND(#REF!,"AAAAAHXXI0I=")</f>
        <v>#REF!</v>
      </c>
      <c r="BP156" t="e">
        <f>AND(#REF!,"AAAAAHXXI0M=")</f>
        <v>#REF!</v>
      </c>
      <c r="BQ156" t="e">
        <f>AND(#REF!,"AAAAAHXXI0Q=")</f>
        <v>#REF!</v>
      </c>
      <c r="BR156" t="e">
        <f>AND(#REF!,"AAAAAHXXI0U=")</f>
        <v>#REF!</v>
      </c>
      <c r="BS156" t="e">
        <f>AND(#REF!,"AAAAAHXXI0Y=")</f>
        <v>#REF!</v>
      </c>
      <c r="BT156" t="e">
        <f>AND(#REF!,"AAAAAHXXI0c=")</f>
        <v>#REF!</v>
      </c>
      <c r="BU156" t="e">
        <f>AND(#REF!,"AAAAAHXXI0g=")</f>
        <v>#REF!</v>
      </c>
      <c r="BV156" t="e">
        <f>AND(#REF!,"AAAAAHXXI0k=")</f>
        <v>#REF!</v>
      </c>
      <c r="BW156" t="e">
        <f>AND(#REF!,"AAAAAHXXI0o=")</f>
        <v>#REF!</v>
      </c>
      <c r="BX156" t="e">
        <f>AND(#REF!,"AAAAAHXXI0s=")</f>
        <v>#REF!</v>
      </c>
      <c r="BY156" t="e">
        <f>AND(#REF!,"AAAAAHXXI0w=")</f>
        <v>#REF!</v>
      </c>
      <c r="BZ156" t="e">
        <f>AND(#REF!,"AAAAAHXXI00=")</f>
        <v>#REF!</v>
      </c>
      <c r="CA156" t="e">
        <f>AND(#REF!,"AAAAAHXXI04=")</f>
        <v>#REF!</v>
      </c>
      <c r="CB156" t="e">
        <f>AND(#REF!,"AAAAAHXXI08=")</f>
        <v>#REF!</v>
      </c>
      <c r="CC156" t="e">
        <f>AND(#REF!,"AAAAAHXXI1A=")</f>
        <v>#REF!</v>
      </c>
      <c r="CD156" t="e">
        <f>AND(#REF!,"AAAAAHXXI1E=")</f>
        <v>#REF!</v>
      </c>
      <c r="CE156" t="e">
        <f>AND(#REF!,"AAAAAHXXI1I=")</f>
        <v>#REF!</v>
      </c>
      <c r="CF156" t="e">
        <f>AND(#REF!,"AAAAAHXXI1M=")</f>
        <v>#REF!</v>
      </c>
      <c r="CG156" t="e">
        <f>AND(#REF!,"AAAAAHXXI1Q=")</f>
        <v>#REF!</v>
      </c>
      <c r="CH156" t="e">
        <f>AND(#REF!,"AAAAAHXXI1U=")</f>
        <v>#REF!</v>
      </c>
      <c r="CI156" t="e">
        <f>AND(#REF!,"AAAAAHXXI1Y=")</f>
        <v>#REF!</v>
      </c>
      <c r="CJ156" t="e">
        <f>AND(#REF!,"AAAAAHXXI1c=")</f>
        <v>#REF!</v>
      </c>
      <c r="CK156" t="e">
        <f>AND(#REF!,"AAAAAHXXI1g=")</f>
        <v>#REF!</v>
      </c>
      <c r="CL156" t="e">
        <f>AND(#REF!,"AAAAAHXXI1k=")</f>
        <v>#REF!</v>
      </c>
      <c r="CM156" t="e">
        <f>AND(#REF!,"AAAAAHXXI1o=")</f>
        <v>#REF!</v>
      </c>
      <c r="CN156" t="e">
        <f>AND(#REF!,"AAAAAHXXI1s=")</f>
        <v>#REF!</v>
      </c>
      <c r="CO156" t="e">
        <f>AND(#REF!,"AAAAAHXXI1w=")</f>
        <v>#REF!</v>
      </c>
      <c r="CP156" t="e">
        <f>AND(#REF!,"AAAAAHXXI10=")</f>
        <v>#REF!</v>
      </c>
      <c r="CQ156" t="e">
        <f>AND(#REF!,"AAAAAHXXI14=")</f>
        <v>#REF!</v>
      </c>
      <c r="CR156" t="e">
        <f>AND(#REF!,"AAAAAHXXI18=")</f>
        <v>#REF!</v>
      </c>
      <c r="CS156" t="e">
        <f>AND(#REF!,"AAAAAHXXI2A=")</f>
        <v>#REF!</v>
      </c>
      <c r="CT156" t="e">
        <f>AND(#REF!,"AAAAAHXXI2E=")</f>
        <v>#REF!</v>
      </c>
      <c r="CU156" t="e">
        <f>AND(#REF!,"AAAAAHXXI2I=")</f>
        <v>#REF!</v>
      </c>
      <c r="CV156" t="e">
        <f>AND(#REF!,"AAAAAHXXI2M=")</f>
        <v>#REF!</v>
      </c>
      <c r="CW156" t="e">
        <f>AND(#REF!,"AAAAAHXXI2Q=")</f>
        <v>#REF!</v>
      </c>
      <c r="CX156" t="e">
        <f>AND(#REF!,"AAAAAHXXI2U=")</f>
        <v>#REF!</v>
      </c>
      <c r="CY156" t="e">
        <f>AND(#REF!,"AAAAAHXXI2Y=")</f>
        <v>#REF!</v>
      </c>
      <c r="CZ156" t="e">
        <f>AND(#REF!,"AAAAAHXXI2c=")</f>
        <v>#REF!</v>
      </c>
      <c r="DA156" t="e">
        <f>AND(#REF!,"AAAAAHXXI2g=")</f>
        <v>#REF!</v>
      </c>
      <c r="DB156" t="e">
        <f>AND(#REF!,"AAAAAHXXI2k=")</f>
        <v>#REF!</v>
      </c>
      <c r="DC156" t="e">
        <f>AND(#REF!,"AAAAAHXXI2o=")</f>
        <v>#REF!</v>
      </c>
      <c r="DD156" t="e">
        <f>AND(#REF!,"AAAAAHXXI2s=")</f>
        <v>#REF!</v>
      </c>
      <c r="DE156" t="e">
        <f>AND(#REF!,"AAAAAHXXI2w=")</f>
        <v>#REF!</v>
      </c>
      <c r="DF156" t="e">
        <f>AND(#REF!,"AAAAAHXXI20=")</f>
        <v>#REF!</v>
      </c>
      <c r="DG156" t="e">
        <f>AND(#REF!,"AAAAAHXXI24=")</f>
        <v>#REF!</v>
      </c>
      <c r="DH156" t="e">
        <f>AND(#REF!,"AAAAAHXXI28=")</f>
        <v>#REF!</v>
      </c>
      <c r="DI156" t="e">
        <f>AND(#REF!,"AAAAAHXXI3A=")</f>
        <v>#REF!</v>
      </c>
      <c r="DJ156" t="e">
        <f>AND(#REF!,"AAAAAHXXI3E=")</f>
        <v>#REF!</v>
      </c>
      <c r="DK156" t="e">
        <f>AND(#REF!,"AAAAAHXXI3I=")</f>
        <v>#REF!</v>
      </c>
      <c r="DL156" t="e">
        <f>AND(#REF!,"AAAAAHXXI3M=")</f>
        <v>#REF!</v>
      </c>
      <c r="DM156" t="e">
        <f>AND(#REF!,"AAAAAHXXI3Q=")</f>
        <v>#REF!</v>
      </c>
      <c r="DN156" t="e">
        <f>AND(#REF!,"AAAAAHXXI3U=")</f>
        <v>#REF!</v>
      </c>
      <c r="DO156" t="e">
        <f>AND(#REF!,"AAAAAHXXI3Y=")</f>
        <v>#REF!</v>
      </c>
      <c r="DP156" t="e">
        <f>AND(#REF!,"AAAAAHXXI3c=")</f>
        <v>#REF!</v>
      </c>
      <c r="DQ156" t="e">
        <f>AND(#REF!,"AAAAAHXXI3g=")</f>
        <v>#REF!</v>
      </c>
      <c r="DR156" t="e">
        <f>AND(#REF!,"AAAAAHXXI3k=")</f>
        <v>#REF!</v>
      </c>
      <c r="DS156" t="e">
        <f>AND(#REF!,"AAAAAHXXI3o=")</f>
        <v>#REF!</v>
      </c>
      <c r="DT156" t="e">
        <f>AND(#REF!,"AAAAAHXXI3s=")</f>
        <v>#REF!</v>
      </c>
      <c r="DU156" t="e">
        <f>AND(#REF!,"AAAAAHXXI3w=")</f>
        <v>#REF!</v>
      </c>
      <c r="DV156" t="e">
        <f>AND(#REF!,"AAAAAHXXI30=")</f>
        <v>#REF!</v>
      </c>
      <c r="DW156" t="e">
        <f>AND(#REF!,"AAAAAHXXI34=")</f>
        <v>#REF!</v>
      </c>
      <c r="DX156" t="e">
        <f>AND(#REF!,"AAAAAHXXI38=")</f>
        <v>#REF!</v>
      </c>
      <c r="DY156" t="e">
        <f>AND(#REF!,"AAAAAHXXI4A=")</f>
        <v>#REF!</v>
      </c>
      <c r="DZ156" t="e">
        <f>AND(#REF!,"AAAAAHXXI4E=")</f>
        <v>#REF!</v>
      </c>
      <c r="EA156" t="e">
        <f>AND(#REF!,"AAAAAHXXI4I=")</f>
        <v>#REF!</v>
      </c>
      <c r="EB156" t="e">
        <f>AND(#REF!,"AAAAAHXXI4M=")</f>
        <v>#REF!</v>
      </c>
      <c r="EC156" t="e">
        <f>AND(#REF!,"AAAAAHXXI4Q=")</f>
        <v>#REF!</v>
      </c>
      <c r="ED156" t="e">
        <f>AND(#REF!,"AAAAAHXXI4U=")</f>
        <v>#REF!</v>
      </c>
      <c r="EE156" t="e">
        <f>AND(#REF!,"AAAAAHXXI4Y=")</f>
        <v>#REF!</v>
      </c>
      <c r="EF156" t="e">
        <f>AND(#REF!,"AAAAAHXXI4c=")</f>
        <v>#REF!</v>
      </c>
      <c r="EG156" t="e">
        <f>AND(#REF!,"AAAAAHXXI4g=")</f>
        <v>#REF!</v>
      </c>
      <c r="EH156" t="e">
        <f>AND(#REF!,"AAAAAHXXI4k=")</f>
        <v>#REF!</v>
      </c>
      <c r="EI156" t="e">
        <f>AND(#REF!,"AAAAAHXXI4o=")</f>
        <v>#REF!</v>
      </c>
      <c r="EJ156" t="e">
        <f>AND(#REF!,"AAAAAHXXI4s=")</f>
        <v>#REF!</v>
      </c>
      <c r="EK156" t="e">
        <f>AND(#REF!,"AAAAAHXXI4w=")</f>
        <v>#REF!</v>
      </c>
      <c r="EL156" t="e">
        <f>AND(#REF!,"AAAAAHXXI40=")</f>
        <v>#REF!</v>
      </c>
      <c r="EM156" t="e">
        <f>AND(#REF!,"AAAAAHXXI44=")</f>
        <v>#REF!</v>
      </c>
      <c r="EN156" t="e">
        <f>AND(#REF!,"AAAAAHXXI48=")</f>
        <v>#REF!</v>
      </c>
      <c r="EO156" t="e">
        <f>AND(#REF!,"AAAAAHXXI5A=")</f>
        <v>#REF!</v>
      </c>
      <c r="EP156" t="e">
        <f>AND(#REF!,"AAAAAHXXI5E=")</f>
        <v>#REF!</v>
      </c>
      <c r="EQ156" t="e">
        <f>AND(#REF!,"AAAAAHXXI5I=")</f>
        <v>#REF!</v>
      </c>
      <c r="ER156" t="e">
        <f>AND(#REF!,"AAAAAHXXI5M=")</f>
        <v>#REF!</v>
      </c>
      <c r="ES156" t="e">
        <f>AND(#REF!,"AAAAAHXXI5Q=")</f>
        <v>#REF!</v>
      </c>
      <c r="ET156" t="e">
        <f>AND(#REF!,"AAAAAHXXI5U=")</f>
        <v>#REF!</v>
      </c>
      <c r="EU156" t="e">
        <f>AND(#REF!,"AAAAAHXXI5Y=")</f>
        <v>#REF!</v>
      </c>
      <c r="EV156" t="e">
        <f>AND(#REF!,"AAAAAHXXI5c=")</f>
        <v>#REF!</v>
      </c>
      <c r="EW156" t="e">
        <f>AND(#REF!,"AAAAAHXXI5g=")</f>
        <v>#REF!</v>
      </c>
      <c r="EX156" t="e">
        <f>AND(#REF!,"AAAAAHXXI5k=")</f>
        <v>#REF!</v>
      </c>
      <c r="EY156" t="e">
        <f>AND(#REF!,"AAAAAHXXI5o=")</f>
        <v>#REF!</v>
      </c>
      <c r="EZ156" t="e">
        <f>AND(#REF!,"AAAAAHXXI5s=")</f>
        <v>#REF!</v>
      </c>
      <c r="FA156" t="e">
        <f>AND(#REF!,"AAAAAHXXI5w=")</f>
        <v>#REF!</v>
      </c>
      <c r="FB156" t="e">
        <f>AND(#REF!,"AAAAAHXXI50=")</f>
        <v>#REF!</v>
      </c>
      <c r="FC156" t="e">
        <f>AND(#REF!,"AAAAAHXXI54=")</f>
        <v>#REF!</v>
      </c>
      <c r="FD156" t="e">
        <f>AND(#REF!,"AAAAAHXXI58=")</f>
        <v>#REF!</v>
      </c>
      <c r="FE156" t="e">
        <f>AND(#REF!,"AAAAAHXXI6A=")</f>
        <v>#REF!</v>
      </c>
      <c r="FF156" t="e">
        <f>AND(#REF!,"AAAAAHXXI6E=")</f>
        <v>#REF!</v>
      </c>
      <c r="FG156" t="e">
        <f>AND(#REF!,"AAAAAHXXI6I=")</f>
        <v>#REF!</v>
      </c>
      <c r="FH156" t="e">
        <f>AND(#REF!,"AAAAAHXXI6M=")</f>
        <v>#REF!</v>
      </c>
      <c r="FI156" t="e">
        <f>IF(#REF!,"AAAAAHXXI6Q=",0)</f>
        <v>#REF!</v>
      </c>
      <c r="FJ156" t="e">
        <f>AND(#REF!,"AAAAAHXXI6U=")</f>
        <v>#REF!</v>
      </c>
      <c r="FK156" t="e">
        <f>AND(#REF!,"AAAAAHXXI6Y=")</f>
        <v>#REF!</v>
      </c>
      <c r="FL156" t="e">
        <f>AND(#REF!,"AAAAAHXXI6c=")</f>
        <v>#REF!</v>
      </c>
      <c r="FM156" t="e">
        <f>AND(#REF!,"AAAAAHXXI6g=")</f>
        <v>#REF!</v>
      </c>
      <c r="FN156" t="e">
        <f>AND(#REF!,"AAAAAHXXI6k=")</f>
        <v>#REF!</v>
      </c>
      <c r="FO156" t="e">
        <f>AND(#REF!,"AAAAAHXXI6o=")</f>
        <v>#REF!</v>
      </c>
      <c r="FP156" t="e">
        <f>AND(#REF!,"AAAAAHXXI6s=")</f>
        <v>#REF!</v>
      </c>
      <c r="FQ156" t="e">
        <f>AND(#REF!,"AAAAAHXXI6w=")</f>
        <v>#REF!</v>
      </c>
      <c r="FR156" t="e">
        <f>AND(#REF!,"AAAAAHXXI60=")</f>
        <v>#REF!</v>
      </c>
      <c r="FS156" t="e">
        <f>AND(#REF!,"AAAAAHXXI64=")</f>
        <v>#REF!</v>
      </c>
      <c r="FT156" t="e">
        <f>AND(#REF!,"AAAAAHXXI68=")</f>
        <v>#REF!</v>
      </c>
      <c r="FU156" t="e">
        <f>AND(#REF!,"AAAAAHXXI7A=")</f>
        <v>#REF!</v>
      </c>
      <c r="FV156" t="e">
        <f>AND(#REF!,"AAAAAHXXI7E=")</f>
        <v>#REF!</v>
      </c>
      <c r="FW156" t="e">
        <f>AND(#REF!,"AAAAAHXXI7I=")</f>
        <v>#REF!</v>
      </c>
      <c r="FX156" t="e">
        <f>AND(#REF!,"AAAAAHXXI7M=")</f>
        <v>#REF!</v>
      </c>
      <c r="FY156" t="e">
        <f>AND(#REF!,"AAAAAHXXI7Q=")</f>
        <v>#REF!</v>
      </c>
      <c r="FZ156" t="e">
        <f>AND(#REF!,"AAAAAHXXI7U=")</f>
        <v>#REF!</v>
      </c>
      <c r="GA156" t="e">
        <f>AND(#REF!,"AAAAAHXXI7Y=")</f>
        <v>#REF!</v>
      </c>
      <c r="GB156" t="e">
        <f>AND(#REF!,"AAAAAHXXI7c=")</f>
        <v>#REF!</v>
      </c>
      <c r="GC156" t="e">
        <f>AND(#REF!,"AAAAAHXXI7g=")</f>
        <v>#REF!</v>
      </c>
      <c r="GD156" t="e">
        <f>AND(#REF!,"AAAAAHXXI7k=")</f>
        <v>#REF!</v>
      </c>
      <c r="GE156" t="e">
        <f>AND(#REF!,"AAAAAHXXI7o=")</f>
        <v>#REF!</v>
      </c>
      <c r="GF156" t="e">
        <f>AND(#REF!,"AAAAAHXXI7s=")</f>
        <v>#REF!</v>
      </c>
      <c r="GG156" t="e">
        <f>AND(#REF!,"AAAAAHXXI7w=")</f>
        <v>#REF!</v>
      </c>
      <c r="GH156" t="e">
        <f>AND(#REF!,"AAAAAHXXI70=")</f>
        <v>#REF!</v>
      </c>
      <c r="GI156" t="e">
        <f>AND(#REF!,"AAAAAHXXI74=")</f>
        <v>#REF!</v>
      </c>
      <c r="GJ156" t="e">
        <f>AND(#REF!,"AAAAAHXXI78=")</f>
        <v>#REF!</v>
      </c>
      <c r="GK156" t="e">
        <f>AND(#REF!,"AAAAAHXXI8A=")</f>
        <v>#REF!</v>
      </c>
      <c r="GL156" t="e">
        <f>AND(#REF!,"AAAAAHXXI8E=")</f>
        <v>#REF!</v>
      </c>
      <c r="GM156" t="e">
        <f>AND(#REF!,"AAAAAHXXI8I=")</f>
        <v>#REF!</v>
      </c>
      <c r="GN156" t="e">
        <f>AND(#REF!,"AAAAAHXXI8M=")</f>
        <v>#REF!</v>
      </c>
      <c r="GO156" t="e">
        <f>AND(#REF!,"AAAAAHXXI8Q=")</f>
        <v>#REF!</v>
      </c>
      <c r="GP156" t="e">
        <f>AND(#REF!,"AAAAAHXXI8U=")</f>
        <v>#REF!</v>
      </c>
      <c r="GQ156" t="e">
        <f>AND(#REF!,"AAAAAHXXI8Y=")</f>
        <v>#REF!</v>
      </c>
      <c r="GR156" t="e">
        <f>AND(#REF!,"AAAAAHXXI8c=")</f>
        <v>#REF!</v>
      </c>
      <c r="GS156" t="e">
        <f>AND(#REF!,"AAAAAHXXI8g=")</f>
        <v>#REF!</v>
      </c>
      <c r="GT156" t="e">
        <f>AND(#REF!,"AAAAAHXXI8k=")</f>
        <v>#REF!</v>
      </c>
      <c r="GU156" t="e">
        <f>AND(#REF!,"AAAAAHXXI8o=")</f>
        <v>#REF!</v>
      </c>
      <c r="GV156" t="e">
        <f>AND(#REF!,"AAAAAHXXI8s=")</f>
        <v>#REF!</v>
      </c>
      <c r="GW156" t="e">
        <f>AND(#REF!,"AAAAAHXXI8w=")</f>
        <v>#REF!</v>
      </c>
      <c r="GX156" t="e">
        <f>AND(#REF!,"AAAAAHXXI80=")</f>
        <v>#REF!</v>
      </c>
      <c r="GY156" t="e">
        <f>AND(#REF!,"AAAAAHXXI84=")</f>
        <v>#REF!</v>
      </c>
      <c r="GZ156" t="e">
        <f>AND(#REF!,"AAAAAHXXI88=")</f>
        <v>#REF!</v>
      </c>
      <c r="HA156" t="e">
        <f>AND(#REF!,"AAAAAHXXI9A=")</f>
        <v>#REF!</v>
      </c>
      <c r="HB156" t="e">
        <f>AND(#REF!,"AAAAAHXXI9E=")</f>
        <v>#REF!</v>
      </c>
      <c r="HC156" t="e">
        <f>AND(#REF!,"AAAAAHXXI9I=")</f>
        <v>#REF!</v>
      </c>
      <c r="HD156" t="e">
        <f>AND(#REF!,"AAAAAHXXI9M=")</f>
        <v>#REF!</v>
      </c>
      <c r="HE156" t="e">
        <f>AND(#REF!,"AAAAAHXXI9Q=")</f>
        <v>#REF!</v>
      </c>
      <c r="HF156" t="e">
        <f>AND(#REF!,"AAAAAHXXI9U=")</f>
        <v>#REF!</v>
      </c>
      <c r="HG156" t="e">
        <f>AND(#REF!,"AAAAAHXXI9Y=")</f>
        <v>#REF!</v>
      </c>
      <c r="HH156" t="e">
        <f>AND(#REF!,"AAAAAHXXI9c=")</f>
        <v>#REF!</v>
      </c>
      <c r="HI156" t="e">
        <f>AND(#REF!,"AAAAAHXXI9g=")</f>
        <v>#REF!</v>
      </c>
      <c r="HJ156" t="e">
        <f>AND(#REF!,"AAAAAHXXI9k=")</f>
        <v>#REF!</v>
      </c>
      <c r="HK156" t="e">
        <f>AND(#REF!,"AAAAAHXXI9o=")</f>
        <v>#REF!</v>
      </c>
      <c r="HL156" t="e">
        <f>AND(#REF!,"AAAAAHXXI9s=")</f>
        <v>#REF!</v>
      </c>
      <c r="HM156" t="e">
        <f>AND(#REF!,"AAAAAHXXI9w=")</f>
        <v>#REF!</v>
      </c>
      <c r="HN156" t="e">
        <f>AND(#REF!,"AAAAAHXXI90=")</f>
        <v>#REF!</v>
      </c>
      <c r="HO156" t="e">
        <f>AND(#REF!,"AAAAAHXXI94=")</f>
        <v>#REF!</v>
      </c>
      <c r="HP156" t="e">
        <f>AND(#REF!,"AAAAAHXXI98=")</f>
        <v>#REF!</v>
      </c>
      <c r="HQ156" t="e">
        <f>AND(#REF!,"AAAAAHXXI+A=")</f>
        <v>#REF!</v>
      </c>
      <c r="HR156" t="e">
        <f>AND(#REF!,"AAAAAHXXI+E=")</f>
        <v>#REF!</v>
      </c>
      <c r="HS156" t="e">
        <f>AND(#REF!,"AAAAAHXXI+I=")</f>
        <v>#REF!</v>
      </c>
      <c r="HT156" t="e">
        <f>AND(#REF!,"AAAAAHXXI+M=")</f>
        <v>#REF!</v>
      </c>
      <c r="HU156" t="e">
        <f>AND(#REF!,"AAAAAHXXI+Q=")</f>
        <v>#REF!</v>
      </c>
      <c r="HV156" t="e">
        <f>AND(#REF!,"AAAAAHXXI+U=")</f>
        <v>#REF!</v>
      </c>
      <c r="HW156" t="e">
        <f>AND(#REF!,"AAAAAHXXI+Y=")</f>
        <v>#REF!</v>
      </c>
      <c r="HX156" t="e">
        <f>AND(#REF!,"AAAAAHXXI+c=")</f>
        <v>#REF!</v>
      </c>
      <c r="HY156" t="e">
        <f>AND(#REF!,"AAAAAHXXI+g=")</f>
        <v>#REF!</v>
      </c>
      <c r="HZ156" t="e">
        <f>AND(#REF!,"AAAAAHXXI+k=")</f>
        <v>#REF!</v>
      </c>
      <c r="IA156" t="e">
        <f>AND(#REF!,"AAAAAHXXI+o=")</f>
        <v>#REF!</v>
      </c>
      <c r="IB156" t="e">
        <f>AND(#REF!,"AAAAAHXXI+s=")</f>
        <v>#REF!</v>
      </c>
      <c r="IC156" t="e">
        <f>AND(#REF!,"AAAAAHXXI+w=")</f>
        <v>#REF!</v>
      </c>
      <c r="ID156" t="e">
        <f>AND(#REF!,"AAAAAHXXI+0=")</f>
        <v>#REF!</v>
      </c>
      <c r="IE156" t="e">
        <f>AND(#REF!,"AAAAAHXXI+4=")</f>
        <v>#REF!</v>
      </c>
      <c r="IF156" t="e">
        <f>AND(#REF!,"AAAAAHXXI+8=")</f>
        <v>#REF!</v>
      </c>
      <c r="IG156" t="e">
        <f>AND(#REF!,"AAAAAHXXI/A=")</f>
        <v>#REF!</v>
      </c>
      <c r="IH156" t="e">
        <f>AND(#REF!,"AAAAAHXXI/E=")</f>
        <v>#REF!</v>
      </c>
      <c r="II156" t="e">
        <f>AND(#REF!,"AAAAAHXXI/I=")</f>
        <v>#REF!</v>
      </c>
      <c r="IJ156" t="e">
        <f>AND(#REF!,"AAAAAHXXI/M=")</f>
        <v>#REF!</v>
      </c>
      <c r="IK156" t="e">
        <f>AND(#REF!,"AAAAAHXXI/Q=")</f>
        <v>#REF!</v>
      </c>
      <c r="IL156" t="e">
        <f>AND(#REF!,"AAAAAHXXI/U=")</f>
        <v>#REF!</v>
      </c>
      <c r="IM156" t="e">
        <f>AND(#REF!,"AAAAAHXXI/Y=")</f>
        <v>#REF!</v>
      </c>
      <c r="IN156" t="e">
        <f>AND(#REF!,"AAAAAHXXI/c=")</f>
        <v>#REF!</v>
      </c>
      <c r="IO156" t="e">
        <f>AND(#REF!,"AAAAAHXXI/g=")</f>
        <v>#REF!</v>
      </c>
      <c r="IP156" t="e">
        <f>AND(#REF!,"AAAAAHXXI/k=")</f>
        <v>#REF!</v>
      </c>
      <c r="IQ156" t="e">
        <f>AND(#REF!,"AAAAAHXXI/o=")</f>
        <v>#REF!</v>
      </c>
      <c r="IR156" t="e">
        <f>AND(#REF!,"AAAAAHXXI/s=")</f>
        <v>#REF!</v>
      </c>
      <c r="IS156" t="e">
        <f>AND(#REF!,"AAAAAHXXI/w=")</f>
        <v>#REF!</v>
      </c>
      <c r="IT156" t="e">
        <f>AND(#REF!,"AAAAAHXXI/0=")</f>
        <v>#REF!</v>
      </c>
      <c r="IU156" t="e">
        <f>AND(#REF!,"AAAAAHXXI/4=")</f>
        <v>#REF!</v>
      </c>
      <c r="IV156" t="e">
        <f>AND(#REF!,"AAAAAHXXI/8=")</f>
        <v>#REF!</v>
      </c>
    </row>
    <row r="157" spans="1:256" x14ac:dyDescent="0.25">
      <c r="A157" t="e">
        <f>AND(#REF!,"AAAAADd98wA=")</f>
        <v>#REF!</v>
      </c>
      <c r="B157" t="e">
        <f>AND(#REF!,"AAAAADd98wE=")</f>
        <v>#REF!</v>
      </c>
      <c r="C157" t="e">
        <f>AND(#REF!,"AAAAADd98wI=")</f>
        <v>#REF!</v>
      </c>
      <c r="D157" t="e">
        <f>AND(#REF!,"AAAAADd98wM=")</f>
        <v>#REF!</v>
      </c>
      <c r="E157" t="e">
        <f>AND(#REF!,"AAAAADd98wQ=")</f>
        <v>#REF!</v>
      </c>
      <c r="F157" t="e">
        <f>AND(#REF!,"AAAAADd98wU=")</f>
        <v>#REF!</v>
      </c>
      <c r="G157" t="e">
        <f>AND(#REF!,"AAAAADd98wY=")</f>
        <v>#REF!</v>
      </c>
      <c r="H157" t="e">
        <f>AND(#REF!,"AAAAADd98wc=")</f>
        <v>#REF!</v>
      </c>
      <c r="I157" t="e">
        <f>AND(#REF!,"AAAAADd98wg=")</f>
        <v>#REF!</v>
      </c>
      <c r="J157" t="e">
        <f>AND(#REF!,"AAAAADd98wk=")</f>
        <v>#REF!</v>
      </c>
      <c r="K157" t="e">
        <f>AND(#REF!,"AAAAADd98wo=")</f>
        <v>#REF!</v>
      </c>
      <c r="L157" t="e">
        <f>AND(#REF!,"AAAAADd98ws=")</f>
        <v>#REF!</v>
      </c>
      <c r="M157" t="e">
        <f>AND(#REF!,"AAAAADd98ww=")</f>
        <v>#REF!</v>
      </c>
      <c r="N157" t="e">
        <f>AND(#REF!,"AAAAADd98w0=")</f>
        <v>#REF!</v>
      </c>
      <c r="O157" t="e">
        <f>AND(#REF!,"AAAAADd98w4=")</f>
        <v>#REF!</v>
      </c>
      <c r="P157" t="e">
        <f>AND(#REF!,"AAAAADd98w8=")</f>
        <v>#REF!</v>
      </c>
      <c r="Q157" t="e">
        <f>AND(#REF!,"AAAAADd98xA=")</f>
        <v>#REF!</v>
      </c>
      <c r="R157" t="e">
        <f>AND(#REF!,"AAAAADd98xE=")</f>
        <v>#REF!</v>
      </c>
      <c r="S157" t="e">
        <f>AND(#REF!,"AAAAADd98xI=")</f>
        <v>#REF!</v>
      </c>
      <c r="T157" t="e">
        <f>AND(#REF!,"AAAAADd98xM=")</f>
        <v>#REF!</v>
      </c>
      <c r="U157" t="e">
        <f>AND(#REF!,"AAAAADd98xQ=")</f>
        <v>#REF!</v>
      </c>
      <c r="V157" t="e">
        <f>AND(#REF!,"AAAAADd98xU=")</f>
        <v>#REF!</v>
      </c>
      <c r="W157" t="e">
        <f>AND(#REF!,"AAAAADd98xY=")</f>
        <v>#REF!</v>
      </c>
      <c r="X157" t="e">
        <f>AND(#REF!,"AAAAADd98xc=")</f>
        <v>#REF!</v>
      </c>
      <c r="Y157" t="e">
        <f>AND(#REF!,"AAAAADd98xg=")</f>
        <v>#REF!</v>
      </c>
      <c r="Z157" t="e">
        <f>AND(#REF!,"AAAAADd98xk=")</f>
        <v>#REF!</v>
      </c>
      <c r="AA157" t="e">
        <f>AND(#REF!,"AAAAADd98xo=")</f>
        <v>#REF!</v>
      </c>
      <c r="AB157" t="e">
        <f>AND(#REF!,"AAAAADd98xs=")</f>
        <v>#REF!</v>
      </c>
      <c r="AC157" t="e">
        <f>AND(#REF!,"AAAAADd98xw=")</f>
        <v>#REF!</v>
      </c>
      <c r="AD157" t="e">
        <f>AND(#REF!,"AAAAADd98x0=")</f>
        <v>#REF!</v>
      </c>
      <c r="AE157" t="e">
        <f>AND(#REF!,"AAAAADd98x4=")</f>
        <v>#REF!</v>
      </c>
      <c r="AF157" t="e">
        <f>AND(#REF!,"AAAAADd98x8=")</f>
        <v>#REF!</v>
      </c>
      <c r="AG157" t="e">
        <f>AND(#REF!,"AAAAADd98yA=")</f>
        <v>#REF!</v>
      </c>
      <c r="AH157" t="e">
        <f>AND(#REF!,"AAAAADd98yE=")</f>
        <v>#REF!</v>
      </c>
      <c r="AI157" t="e">
        <f>AND(#REF!,"AAAAADd98yI=")</f>
        <v>#REF!</v>
      </c>
      <c r="AJ157" t="e">
        <f>AND(#REF!,"AAAAADd98yM=")</f>
        <v>#REF!</v>
      </c>
      <c r="AK157" t="e">
        <f>AND(#REF!,"AAAAADd98yQ=")</f>
        <v>#REF!</v>
      </c>
      <c r="AL157" t="e">
        <f>AND(#REF!,"AAAAADd98yU=")</f>
        <v>#REF!</v>
      </c>
      <c r="AM157" t="e">
        <f>AND(#REF!,"AAAAADd98yY=")</f>
        <v>#REF!</v>
      </c>
      <c r="AN157" t="e">
        <f>AND(#REF!,"AAAAADd98yc=")</f>
        <v>#REF!</v>
      </c>
      <c r="AO157" t="e">
        <f>AND(#REF!,"AAAAADd98yg=")</f>
        <v>#REF!</v>
      </c>
      <c r="AP157" t="e">
        <f>AND(#REF!,"AAAAADd98yk=")</f>
        <v>#REF!</v>
      </c>
      <c r="AQ157" t="e">
        <f>AND(#REF!,"AAAAADd98yo=")</f>
        <v>#REF!</v>
      </c>
      <c r="AR157" t="e">
        <f>AND(#REF!,"AAAAADd98ys=")</f>
        <v>#REF!</v>
      </c>
      <c r="AS157" t="e">
        <f>AND(#REF!,"AAAAADd98yw=")</f>
        <v>#REF!</v>
      </c>
      <c r="AT157" t="e">
        <f>AND(#REF!,"AAAAADd98y0=")</f>
        <v>#REF!</v>
      </c>
      <c r="AU157" t="e">
        <f>AND(#REF!,"AAAAADd98y4=")</f>
        <v>#REF!</v>
      </c>
      <c r="AV157" t="e">
        <f>AND(#REF!,"AAAAADd98y8=")</f>
        <v>#REF!</v>
      </c>
      <c r="AW157" t="e">
        <f>AND(#REF!,"AAAAADd98zA=")</f>
        <v>#REF!</v>
      </c>
      <c r="AX157" t="e">
        <f>AND(#REF!,"AAAAADd98zE=")</f>
        <v>#REF!</v>
      </c>
      <c r="AY157" t="e">
        <f>AND(#REF!,"AAAAADd98zI=")</f>
        <v>#REF!</v>
      </c>
      <c r="AZ157" t="e">
        <f>AND(#REF!,"AAAAADd98zM=")</f>
        <v>#REF!</v>
      </c>
      <c r="BA157" t="e">
        <f>AND(#REF!,"AAAAADd98zQ=")</f>
        <v>#REF!</v>
      </c>
      <c r="BB157" t="e">
        <f>AND(#REF!,"AAAAADd98zU=")</f>
        <v>#REF!</v>
      </c>
      <c r="BC157" t="e">
        <f>AND(#REF!,"AAAAADd98zY=")</f>
        <v>#REF!</v>
      </c>
      <c r="BD157" t="e">
        <f>AND(#REF!,"AAAAADd98zc=")</f>
        <v>#REF!</v>
      </c>
      <c r="BE157" t="e">
        <f>AND(#REF!,"AAAAADd98zg=")</f>
        <v>#REF!</v>
      </c>
      <c r="BF157" t="e">
        <f>AND(#REF!,"AAAAADd98zk=")</f>
        <v>#REF!</v>
      </c>
      <c r="BG157" t="e">
        <f>AND(#REF!,"AAAAADd98zo=")</f>
        <v>#REF!</v>
      </c>
      <c r="BH157" t="e">
        <f>AND(#REF!,"AAAAADd98zs=")</f>
        <v>#REF!</v>
      </c>
      <c r="BI157" t="e">
        <f>AND(#REF!,"AAAAADd98zw=")</f>
        <v>#REF!</v>
      </c>
      <c r="BJ157" t="e">
        <f>AND(#REF!,"AAAAADd98z0=")</f>
        <v>#REF!</v>
      </c>
      <c r="BK157" t="e">
        <f>AND(#REF!,"AAAAADd98z4=")</f>
        <v>#REF!</v>
      </c>
      <c r="BL157" t="e">
        <f>AND(#REF!,"AAAAADd98z8=")</f>
        <v>#REF!</v>
      </c>
      <c r="BM157" t="e">
        <f>AND(#REF!,"AAAAADd980A=")</f>
        <v>#REF!</v>
      </c>
      <c r="BN157" t="e">
        <f>AND(#REF!,"AAAAADd980E=")</f>
        <v>#REF!</v>
      </c>
      <c r="BO157" t="e">
        <f>AND(#REF!,"AAAAADd980I=")</f>
        <v>#REF!</v>
      </c>
      <c r="BP157" t="e">
        <f>AND(#REF!,"AAAAADd980M=")</f>
        <v>#REF!</v>
      </c>
      <c r="BQ157" t="e">
        <f>AND(#REF!,"AAAAADd980Q=")</f>
        <v>#REF!</v>
      </c>
      <c r="BR157" t="e">
        <f>AND(#REF!,"AAAAADd980U=")</f>
        <v>#REF!</v>
      </c>
      <c r="BS157" t="e">
        <f>AND(#REF!,"AAAAADd980Y=")</f>
        <v>#REF!</v>
      </c>
      <c r="BT157" t="e">
        <f>AND(#REF!,"AAAAADd980c=")</f>
        <v>#REF!</v>
      </c>
      <c r="BU157" t="e">
        <f>AND(#REF!,"AAAAADd980g=")</f>
        <v>#REF!</v>
      </c>
      <c r="BV157" t="e">
        <f>AND(#REF!,"AAAAADd980k=")</f>
        <v>#REF!</v>
      </c>
      <c r="BW157" t="e">
        <f>AND(#REF!,"AAAAADd980o=")</f>
        <v>#REF!</v>
      </c>
      <c r="BX157" t="e">
        <f>AND(#REF!,"AAAAADd980s=")</f>
        <v>#REF!</v>
      </c>
      <c r="BY157" t="e">
        <f>AND(#REF!,"AAAAADd980w=")</f>
        <v>#REF!</v>
      </c>
      <c r="BZ157" t="e">
        <f>AND(#REF!,"AAAAADd9800=")</f>
        <v>#REF!</v>
      </c>
      <c r="CA157" t="e">
        <f>AND(#REF!,"AAAAADd9804=")</f>
        <v>#REF!</v>
      </c>
      <c r="CB157" t="e">
        <f>AND(#REF!,"AAAAADd9808=")</f>
        <v>#REF!</v>
      </c>
      <c r="CC157" t="e">
        <f>AND(#REF!,"AAAAADd981A=")</f>
        <v>#REF!</v>
      </c>
      <c r="CD157" t="e">
        <f>AND(#REF!,"AAAAADd981E=")</f>
        <v>#REF!</v>
      </c>
      <c r="CE157" t="e">
        <f>AND(#REF!,"AAAAADd981I=")</f>
        <v>#REF!</v>
      </c>
      <c r="CF157" t="e">
        <f>AND(#REF!,"AAAAADd981M=")</f>
        <v>#REF!</v>
      </c>
      <c r="CG157" t="e">
        <f>AND(#REF!,"AAAAADd981Q=")</f>
        <v>#REF!</v>
      </c>
      <c r="CH157" t="e">
        <f>AND(#REF!,"AAAAADd981U=")</f>
        <v>#REF!</v>
      </c>
      <c r="CI157" t="e">
        <f>AND(#REF!,"AAAAADd981Y=")</f>
        <v>#REF!</v>
      </c>
      <c r="CJ157" t="e">
        <f>AND(#REF!,"AAAAADd981c=")</f>
        <v>#REF!</v>
      </c>
      <c r="CK157" t="e">
        <f>AND(#REF!,"AAAAADd981g=")</f>
        <v>#REF!</v>
      </c>
      <c r="CL157" t="e">
        <f>AND(#REF!,"AAAAADd981k=")</f>
        <v>#REF!</v>
      </c>
      <c r="CM157" t="e">
        <f>AND(#REF!,"AAAAADd981o=")</f>
        <v>#REF!</v>
      </c>
      <c r="CN157" t="e">
        <f>AND(#REF!,"AAAAADd981s=")</f>
        <v>#REF!</v>
      </c>
      <c r="CO157" t="e">
        <f>AND(#REF!,"AAAAADd981w=")</f>
        <v>#REF!</v>
      </c>
      <c r="CP157" t="e">
        <f>AND(#REF!,"AAAAADd9810=")</f>
        <v>#REF!</v>
      </c>
      <c r="CQ157" t="e">
        <f>AND(#REF!,"AAAAADd9814=")</f>
        <v>#REF!</v>
      </c>
      <c r="CR157" t="e">
        <f>AND(#REF!,"AAAAADd9818=")</f>
        <v>#REF!</v>
      </c>
      <c r="CS157" t="e">
        <f>AND(#REF!,"AAAAADd982A=")</f>
        <v>#REF!</v>
      </c>
      <c r="CT157" t="e">
        <f>IF(#REF!,"AAAAADd982E=",0)</f>
        <v>#REF!</v>
      </c>
      <c r="CU157" t="e">
        <f>AND(#REF!,"AAAAADd982I=")</f>
        <v>#REF!</v>
      </c>
      <c r="CV157" t="e">
        <f>AND(#REF!,"AAAAADd982M=")</f>
        <v>#REF!</v>
      </c>
      <c r="CW157" t="e">
        <f>AND(#REF!,"AAAAADd982Q=")</f>
        <v>#REF!</v>
      </c>
      <c r="CX157" t="e">
        <f>AND(#REF!,"AAAAADd982U=")</f>
        <v>#REF!</v>
      </c>
      <c r="CY157" t="e">
        <f>AND(#REF!,"AAAAADd982Y=")</f>
        <v>#REF!</v>
      </c>
      <c r="CZ157" t="e">
        <f>AND(#REF!,"AAAAADd982c=")</f>
        <v>#REF!</v>
      </c>
      <c r="DA157" t="e">
        <f>AND(#REF!,"AAAAADd982g=")</f>
        <v>#REF!</v>
      </c>
      <c r="DB157" t="e">
        <f>AND(#REF!,"AAAAADd982k=")</f>
        <v>#REF!</v>
      </c>
      <c r="DC157" t="e">
        <f>AND(#REF!,"AAAAADd982o=")</f>
        <v>#REF!</v>
      </c>
      <c r="DD157" t="e">
        <f>AND(#REF!,"AAAAADd982s=")</f>
        <v>#REF!</v>
      </c>
      <c r="DE157" t="e">
        <f>AND(#REF!,"AAAAADd982w=")</f>
        <v>#REF!</v>
      </c>
      <c r="DF157" t="e">
        <f>AND(#REF!,"AAAAADd9820=")</f>
        <v>#REF!</v>
      </c>
      <c r="DG157" t="e">
        <f>AND(#REF!,"AAAAADd9824=")</f>
        <v>#REF!</v>
      </c>
      <c r="DH157" t="e">
        <f>AND(#REF!,"AAAAADd9828=")</f>
        <v>#REF!</v>
      </c>
      <c r="DI157" t="e">
        <f>AND(#REF!,"AAAAADd983A=")</f>
        <v>#REF!</v>
      </c>
      <c r="DJ157" t="e">
        <f>AND(#REF!,"AAAAADd983E=")</f>
        <v>#REF!</v>
      </c>
      <c r="DK157" t="e">
        <f>AND(#REF!,"AAAAADd983I=")</f>
        <v>#REF!</v>
      </c>
      <c r="DL157" t="e">
        <f>AND(#REF!,"AAAAADd983M=")</f>
        <v>#REF!</v>
      </c>
      <c r="DM157" t="e">
        <f>AND(#REF!,"AAAAADd983Q=")</f>
        <v>#REF!</v>
      </c>
      <c r="DN157" t="e">
        <f>AND(#REF!,"AAAAADd983U=")</f>
        <v>#REF!</v>
      </c>
      <c r="DO157" t="e">
        <f>AND(#REF!,"AAAAADd983Y=")</f>
        <v>#REF!</v>
      </c>
      <c r="DP157" t="e">
        <f>AND(#REF!,"AAAAADd983c=")</f>
        <v>#REF!</v>
      </c>
      <c r="DQ157" t="e">
        <f>AND(#REF!,"AAAAADd983g=")</f>
        <v>#REF!</v>
      </c>
      <c r="DR157" t="e">
        <f>AND(#REF!,"AAAAADd983k=")</f>
        <v>#REF!</v>
      </c>
      <c r="DS157" t="e">
        <f>AND(#REF!,"AAAAADd983o=")</f>
        <v>#REF!</v>
      </c>
      <c r="DT157" t="e">
        <f>AND(#REF!,"AAAAADd983s=")</f>
        <v>#REF!</v>
      </c>
      <c r="DU157" t="e">
        <f>AND(#REF!,"AAAAADd983w=")</f>
        <v>#REF!</v>
      </c>
      <c r="DV157" t="e">
        <f>AND(#REF!,"AAAAADd9830=")</f>
        <v>#REF!</v>
      </c>
      <c r="DW157" t="e">
        <f>AND(#REF!,"AAAAADd9834=")</f>
        <v>#REF!</v>
      </c>
      <c r="DX157" t="e">
        <f>AND(#REF!,"AAAAADd9838=")</f>
        <v>#REF!</v>
      </c>
      <c r="DY157" t="e">
        <f>AND(#REF!,"AAAAADd984A=")</f>
        <v>#REF!</v>
      </c>
      <c r="DZ157" t="e">
        <f>AND(#REF!,"AAAAADd984E=")</f>
        <v>#REF!</v>
      </c>
      <c r="EA157" t="e">
        <f>AND(#REF!,"AAAAADd984I=")</f>
        <v>#REF!</v>
      </c>
      <c r="EB157" t="e">
        <f>AND(#REF!,"AAAAADd984M=")</f>
        <v>#REF!</v>
      </c>
      <c r="EC157" t="e">
        <f>AND(#REF!,"AAAAADd984Q=")</f>
        <v>#REF!</v>
      </c>
      <c r="ED157" t="e">
        <f>AND(#REF!,"AAAAADd984U=")</f>
        <v>#REF!</v>
      </c>
      <c r="EE157" t="e">
        <f>AND(#REF!,"AAAAADd984Y=")</f>
        <v>#REF!</v>
      </c>
      <c r="EF157" t="e">
        <f>AND(#REF!,"AAAAADd984c=")</f>
        <v>#REF!</v>
      </c>
      <c r="EG157" t="e">
        <f>AND(#REF!,"AAAAADd984g=")</f>
        <v>#REF!</v>
      </c>
      <c r="EH157" t="e">
        <f>AND(#REF!,"AAAAADd984k=")</f>
        <v>#REF!</v>
      </c>
      <c r="EI157" t="e">
        <f>AND(#REF!,"AAAAADd984o=")</f>
        <v>#REF!</v>
      </c>
      <c r="EJ157" t="e">
        <f>AND(#REF!,"AAAAADd984s=")</f>
        <v>#REF!</v>
      </c>
      <c r="EK157" t="e">
        <f>AND(#REF!,"AAAAADd984w=")</f>
        <v>#REF!</v>
      </c>
      <c r="EL157" t="e">
        <f>AND(#REF!,"AAAAADd9840=")</f>
        <v>#REF!</v>
      </c>
      <c r="EM157" t="e">
        <f>AND(#REF!,"AAAAADd9844=")</f>
        <v>#REF!</v>
      </c>
      <c r="EN157" t="e">
        <f>AND(#REF!,"AAAAADd9848=")</f>
        <v>#REF!</v>
      </c>
      <c r="EO157" t="e">
        <f>AND(#REF!,"AAAAADd985A=")</f>
        <v>#REF!</v>
      </c>
      <c r="EP157" t="e">
        <f>AND(#REF!,"AAAAADd985E=")</f>
        <v>#REF!</v>
      </c>
      <c r="EQ157" t="e">
        <f>AND(#REF!,"AAAAADd985I=")</f>
        <v>#REF!</v>
      </c>
      <c r="ER157" t="e">
        <f>AND(#REF!,"AAAAADd985M=")</f>
        <v>#REF!</v>
      </c>
      <c r="ES157" t="e">
        <f>AND(#REF!,"AAAAADd985Q=")</f>
        <v>#REF!</v>
      </c>
      <c r="ET157" t="e">
        <f>AND(#REF!,"AAAAADd985U=")</f>
        <v>#REF!</v>
      </c>
      <c r="EU157" t="e">
        <f>AND(#REF!,"AAAAADd985Y=")</f>
        <v>#REF!</v>
      </c>
      <c r="EV157" t="e">
        <f>AND(#REF!,"AAAAADd985c=")</f>
        <v>#REF!</v>
      </c>
      <c r="EW157" t="e">
        <f>AND(#REF!,"AAAAADd985g=")</f>
        <v>#REF!</v>
      </c>
      <c r="EX157" t="e">
        <f>AND(#REF!,"AAAAADd985k=")</f>
        <v>#REF!</v>
      </c>
      <c r="EY157" t="e">
        <f>AND(#REF!,"AAAAADd985o=")</f>
        <v>#REF!</v>
      </c>
      <c r="EZ157" t="e">
        <f>AND(#REF!,"AAAAADd985s=")</f>
        <v>#REF!</v>
      </c>
      <c r="FA157" t="e">
        <f>AND(#REF!,"AAAAADd985w=")</f>
        <v>#REF!</v>
      </c>
      <c r="FB157" t="e">
        <f>AND(#REF!,"AAAAADd9850=")</f>
        <v>#REF!</v>
      </c>
      <c r="FC157" t="e">
        <f>AND(#REF!,"AAAAADd9854=")</f>
        <v>#REF!</v>
      </c>
      <c r="FD157" t="e">
        <f>AND(#REF!,"AAAAADd9858=")</f>
        <v>#REF!</v>
      </c>
      <c r="FE157" t="e">
        <f>AND(#REF!,"AAAAADd986A=")</f>
        <v>#REF!</v>
      </c>
      <c r="FF157" t="e">
        <f>AND(#REF!,"AAAAADd986E=")</f>
        <v>#REF!</v>
      </c>
      <c r="FG157" t="e">
        <f>AND(#REF!,"AAAAADd986I=")</f>
        <v>#REF!</v>
      </c>
      <c r="FH157" t="e">
        <f>AND(#REF!,"AAAAADd986M=")</f>
        <v>#REF!</v>
      </c>
      <c r="FI157" t="e">
        <f>AND(#REF!,"AAAAADd986Q=")</f>
        <v>#REF!</v>
      </c>
      <c r="FJ157" t="e">
        <f>AND(#REF!,"AAAAADd986U=")</f>
        <v>#REF!</v>
      </c>
      <c r="FK157" t="e">
        <f>AND(#REF!,"AAAAADd986Y=")</f>
        <v>#REF!</v>
      </c>
      <c r="FL157" t="e">
        <f>AND(#REF!,"AAAAADd986c=")</f>
        <v>#REF!</v>
      </c>
      <c r="FM157" t="e">
        <f>AND(#REF!,"AAAAADd986g=")</f>
        <v>#REF!</v>
      </c>
      <c r="FN157" t="e">
        <f>AND(#REF!,"AAAAADd986k=")</f>
        <v>#REF!</v>
      </c>
      <c r="FO157" t="e">
        <f>AND(#REF!,"AAAAADd986o=")</f>
        <v>#REF!</v>
      </c>
      <c r="FP157" t="e">
        <f>AND(#REF!,"AAAAADd986s=")</f>
        <v>#REF!</v>
      </c>
      <c r="FQ157" t="e">
        <f>AND(#REF!,"AAAAADd986w=")</f>
        <v>#REF!</v>
      </c>
      <c r="FR157" t="e">
        <f>AND(#REF!,"AAAAADd9860=")</f>
        <v>#REF!</v>
      </c>
      <c r="FS157" t="e">
        <f>AND(#REF!,"AAAAADd9864=")</f>
        <v>#REF!</v>
      </c>
      <c r="FT157" t="e">
        <f>AND(#REF!,"AAAAADd9868=")</f>
        <v>#REF!</v>
      </c>
      <c r="FU157" t="e">
        <f>AND(#REF!,"AAAAADd987A=")</f>
        <v>#REF!</v>
      </c>
      <c r="FV157" t="e">
        <f>AND(#REF!,"AAAAADd987E=")</f>
        <v>#REF!</v>
      </c>
      <c r="FW157" t="e">
        <f>AND(#REF!,"AAAAADd987I=")</f>
        <v>#REF!</v>
      </c>
      <c r="FX157" t="e">
        <f>AND(#REF!,"AAAAADd987M=")</f>
        <v>#REF!</v>
      </c>
      <c r="FY157" t="e">
        <f>AND(#REF!,"AAAAADd987Q=")</f>
        <v>#REF!</v>
      </c>
      <c r="FZ157" t="e">
        <f>AND(#REF!,"AAAAADd987U=")</f>
        <v>#REF!</v>
      </c>
      <c r="GA157" t="e">
        <f>AND(#REF!,"AAAAADd987Y=")</f>
        <v>#REF!</v>
      </c>
      <c r="GB157" t="e">
        <f>AND(#REF!,"AAAAADd987c=")</f>
        <v>#REF!</v>
      </c>
      <c r="GC157" t="e">
        <f>AND(#REF!,"AAAAADd987g=")</f>
        <v>#REF!</v>
      </c>
      <c r="GD157" t="e">
        <f>AND(#REF!,"AAAAADd987k=")</f>
        <v>#REF!</v>
      </c>
      <c r="GE157" t="e">
        <f>AND(#REF!,"AAAAADd987o=")</f>
        <v>#REF!</v>
      </c>
      <c r="GF157" t="e">
        <f>AND(#REF!,"AAAAADd987s=")</f>
        <v>#REF!</v>
      </c>
      <c r="GG157" t="e">
        <f>AND(#REF!,"AAAAADd987w=")</f>
        <v>#REF!</v>
      </c>
      <c r="GH157" t="e">
        <f>AND(#REF!,"AAAAADd9870=")</f>
        <v>#REF!</v>
      </c>
      <c r="GI157" t="e">
        <f>AND(#REF!,"AAAAADd9874=")</f>
        <v>#REF!</v>
      </c>
      <c r="GJ157" t="e">
        <f>AND(#REF!,"AAAAADd9878=")</f>
        <v>#REF!</v>
      </c>
      <c r="GK157" t="e">
        <f>AND(#REF!,"AAAAADd988A=")</f>
        <v>#REF!</v>
      </c>
      <c r="GL157" t="e">
        <f>AND(#REF!,"AAAAADd988E=")</f>
        <v>#REF!</v>
      </c>
      <c r="GM157" t="e">
        <f>AND(#REF!,"AAAAADd988I=")</f>
        <v>#REF!</v>
      </c>
      <c r="GN157" t="e">
        <f>AND(#REF!,"AAAAADd988M=")</f>
        <v>#REF!</v>
      </c>
      <c r="GO157" t="e">
        <f>AND(#REF!,"AAAAADd988Q=")</f>
        <v>#REF!</v>
      </c>
      <c r="GP157" t="e">
        <f>AND(#REF!,"AAAAADd988U=")</f>
        <v>#REF!</v>
      </c>
      <c r="GQ157" t="e">
        <f>AND(#REF!,"AAAAADd988Y=")</f>
        <v>#REF!</v>
      </c>
      <c r="GR157" t="e">
        <f>AND(#REF!,"AAAAADd988c=")</f>
        <v>#REF!</v>
      </c>
      <c r="GS157" t="e">
        <f>AND(#REF!,"AAAAADd988g=")</f>
        <v>#REF!</v>
      </c>
      <c r="GT157" t="e">
        <f>AND(#REF!,"AAAAADd988k=")</f>
        <v>#REF!</v>
      </c>
      <c r="GU157" t="e">
        <f>AND(#REF!,"AAAAADd988o=")</f>
        <v>#REF!</v>
      </c>
      <c r="GV157" t="e">
        <f>AND(#REF!,"AAAAADd988s=")</f>
        <v>#REF!</v>
      </c>
      <c r="GW157" t="e">
        <f>AND(#REF!,"AAAAADd988w=")</f>
        <v>#REF!</v>
      </c>
      <c r="GX157" t="e">
        <f>AND(#REF!,"AAAAADd9880=")</f>
        <v>#REF!</v>
      </c>
      <c r="GY157" t="e">
        <f>AND(#REF!,"AAAAADd9884=")</f>
        <v>#REF!</v>
      </c>
      <c r="GZ157" t="e">
        <f>AND(#REF!,"AAAAADd9888=")</f>
        <v>#REF!</v>
      </c>
      <c r="HA157" t="e">
        <f>AND(#REF!,"AAAAADd989A=")</f>
        <v>#REF!</v>
      </c>
      <c r="HB157" t="e">
        <f>AND(#REF!,"AAAAADd989E=")</f>
        <v>#REF!</v>
      </c>
      <c r="HC157" t="e">
        <f>AND(#REF!,"AAAAADd989I=")</f>
        <v>#REF!</v>
      </c>
      <c r="HD157" t="e">
        <f>AND(#REF!,"AAAAADd989M=")</f>
        <v>#REF!</v>
      </c>
      <c r="HE157" t="e">
        <f>AND(#REF!,"AAAAADd989Q=")</f>
        <v>#REF!</v>
      </c>
      <c r="HF157" t="e">
        <f>AND(#REF!,"AAAAADd989U=")</f>
        <v>#REF!</v>
      </c>
      <c r="HG157" t="e">
        <f>AND(#REF!,"AAAAADd989Y=")</f>
        <v>#REF!</v>
      </c>
      <c r="HH157" t="e">
        <f>AND(#REF!,"AAAAADd989c=")</f>
        <v>#REF!</v>
      </c>
      <c r="HI157" t="e">
        <f>AND(#REF!,"AAAAADd989g=")</f>
        <v>#REF!</v>
      </c>
      <c r="HJ157" t="e">
        <f>AND(#REF!,"AAAAADd989k=")</f>
        <v>#REF!</v>
      </c>
      <c r="HK157" t="e">
        <f>AND(#REF!,"AAAAADd989o=")</f>
        <v>#REF!</v>
      </c>
      <c r="HL157" t="e">
        <f>AND(#REF!,"AAAAADd989s=")</f>
        <v>#REF!</v>
      </c>
      <c r="HM157" t="e">
        <f>AND(#REF!,"AAAAADd989w=")</f>
        <v>#REF!</v>
      </c>
      <c r="HN157" t="e">
        <f>AND(#REF!,"AAAAADd9890=")</f>
        <v>#REF!</v>
      </c>
      <c r="HO157" t="e">
        <f>AND(#REF!,"AAAAADd9894=")</f>
        <v>#REF!</v>
      </c>
      <c r="HP157" t="e">
        <f>AND(#REF!,"AAAAADd9898=")</f>
        <v>#REF!</v>
      </c>
      <c r="HQ157" t="e">
        <f>AND(#REF!,"AAAAADd98+A=")</f>
        <v>#REF!</v>
      </c>
      <c r="HR157" t="e">
        <f>AND(#REF!,"AAAAADd98+E=")</f>
        <v>#REF!</v>
      </c>
      <c r="HS157" t="e">
        <f>AND(#REF!,"AAAAADd98+I=")</f>
        <v>#REF!</v>
      </c>
      <c r="HT157" t="e">
        <f>AND(#REF!,"AAAAADd98+M=")</f>
        <v>#REF!</v>
      </c>
      <c r="HU157" t="e">
        <f>AND(#REF!,"AAAAADd98+Q=")</f>
        <v>#REF!</v>
      </c>
      <c r="HV157" t="e">
        <f>AND(#REF!,"AAAAADd98+U=")</f>
        <v>#REF!</v>
      </c>
      <c r="HW157" t="e">
        <f>AND(#REF!,"AAAAADd98+Y=")</f>
        <v>#REF!</v>
      </c>
      <c r="HX157" t="e">
        <f>AND(#REF!,"AAAAADd98+c=")</f>
        <v>#REF!</v>
      </c>
      <c r="HY157" t="e">
        <f>AND(#REF!,"AAAAADd98+g=")</f>
        <v>#REF!</v>
      </c>
      <c r="HZ157" t="e">
        <f>AND(#REF!,"AAAAADd98+k=")</f>
        <v>#REF!</v>
      </c>
      <c r="IA157" t="e">
        <f>AND(#REF!,"AAAAADd98+o=")</f>
        <v>#REF!</v>
      </c>
      <c r="IB157" t="e">
        <f>AND(#REF!,"AAAAADd98+s=")</f>
        <v>#REF!</v>
      </c>
      <c r="IC157" t="e">
        <f>AND(#REF!,"AAAAADd98+w=")</f>
        <v>#REF!</v>
      </c>
      <c r="ID157" t="e">
        <f>AND(#REF!,"AAAAADd98+0=")</f>
        <v>#REF!</v>
      </c>
      <c r="IE157" t="e">
        <f>AND(#REF!,"AAAAADd98+4=")</f>
        <v>#REF!</v>
      </c>
      <c r="IF157" t="e">
        <f>AND(#REF!,"AAAAADd98+8=")</f>
        <v>#REF!</v>
      </c>
      <c r="IG157" t="e">
        <f>AND(#REF!,"AAAAADd98/A=")</f>
        <v>#REF!</v>
      </c>
      <c r="IH157" t="e">
        <f>AND(#REF!,"AAAAADd98/E=")</f>
        <v>#REF!</v>
      </c>
      <c r="II157" t="e">
        <f>AND(#REF!,"AAAAADd98/I=")</f>
        <v>#REF!</v>
      </c>
      <c r="IJ157" t="e">
        <f>AND(#REF!,"AAAAADd98/M=")</f>
        <v>#REF!</v>
      </c>
      <c r="IK157" t="e">
        <f>AND(#REF!,"AAAAADd98/Q=")</f>
        <v>#REF!</v>
      </c>
      <c r="IL157" t="e">
        <f>AND(#REF!,"AAAAADd98/U=")</f>
        <v>#REF!</v>
      </c>
      <c r="IM157" t="e">
        <f>AND(#REF!,"AAAAADd98/Y=")</f>
        <v>#REF!</v>
      </c>
      <c r="IN157" t="e">
        <f>AND(#REF!,"AAAAADd98/c=")</f>
        <v>#REF!</v>
      </c>
      <c r="IO157" t="e">
        <f>AND(#REF!,"AAAAADd98/g=")</f>
        <v>#REF!</v>
      </c>
      <c r="IP157" t="e">
        <f>AND(#REF!,"AAAAADd98/k=")</f>
        <v>#REF!</v>
      </c>
      <c r="IQ157" t="e">
        <f>AND(#REF!,"AAAAADd98/o=")</f>
        <v>#REF!</v>
      </c>
      <c r="IR157" t="e">
        <f>AND(#REF!,"AAAAADd98/s=")</f>
        <v>#REF!</v>
      </c>
      <c r="IS157" t="e">
        <f>AND(#REF!,"AAAAADd98/w=")</f>
        <v>#REF!</v>
      </c>
      <c r="IT157" t="e">
        <f>AND(#REF!,"AAAAADd98/0=")</f>
        <v>#REF!</v>
      </c>
      <c r="IU157" t="e">
        <f>AND(#REF!,"AAAAADd98/4=")</f>
        <v>#REF!</v>
      </c>
      <c r="IV157" t="e">
        <f>AND(#REF!,"AAAAADd98/8=")</f>
        <v>#REF!</v>
      </c>
    </row>
    <row r="158" spans="1:256" x14ac:dyDescent="0.25">
      <c r="A158" t="e">
        <f>AND(#REF!,"AAAAAG2U/QA=")</f>
        <v>#REF!</v>
      </c>
      <c r="B158" t="e">
        <f>AND(#REF!,"AAAAAG2U/QE=")</f>
        <v>#REF!</v>
      </c>
      <c r="C158" t="e">
        <f>AND(#REF!,"AAAAAG2U/QI=")</f>
        <v>#REF!</v>
      </c>
      <c r="D158" t="e">
        <f>AND(#REF!,"AAAAAG2U/QM=")</f>
        <v>#REF!</v>
      </c>
      <c r="E158" t="e">
        <f>AND(#REF!,"AAAAAG2U/QQ=")</f>
        <v>#REF!</v>
      </c>
      <c r="F158" t="e">
        <f>AND(#REF!,"AAAAAG2U/QU=")</f>
        <v>#REF!</v>
      </c>
      <c r="G158" t="e">
        <f>AND(#REF!,"AAAAAG2U/QY=")</f>
        <v>#REF!</v>
      </c>
      <c r="H158" t="e">
        <f>AND(#REF!,"AAAAAG2U/Qc=")</f>
        <v>#REF!</v>
      </c>
      <c r="I158" t="e">
        <f>AND(#REF!,"AAAAAG2U/Qg=")</f>
        <v>#REF!</v>
      </c>
      <c r="J158" t="e">
        <f>AND(#REF!,"AAAAAG2U/Qk=")</f>
        <v>#REF!</v>
      </c>
      <c r="K158" t="e">
        <f>AND(#REF!,"AAAAAG2U/Qo=")</f>
        <v>#REF!</v>
      </c>
      <c r="L158" t="e">
        <f>AND(#REF!,"AAAAAG2U/Qs=")</f>
        <v>#REF!</v>
      </c>
      <c r="M158" t="e">
        <f>AND(#REF!,"AAAAAG2U/Qw=")</f>
        <v>#REF!</v>
      </c>
      <c r="N158" t="e">
        <f>AND(#REF!,"AAAAAG2U/Q0=")</f>
        <v>#REF!</v>
      </c>
      <c r="O158" t="e">
        <f>AND(#REF!,"AAAAAG2U/Q4=")</f>
        <v>#REF!</v>
      </c>
      <c r="P158" t="e">
        <f>AND(#REF!,"AAAAAG2U/Q8=")</f>
        <v>#REF!</v>
      </c>
      <c r="Q158" t="e">
        <f>AND(#REF!,"AAAAAG2U/RA=")</f>
        <v>#REF!</v>
      </c>
      <c r="R158" t="e">
        <f>AND(#REF!,"AAAAAG2U/RE=")</f>
        <v>#REF!</v>
      </c>
      <c r="S158" t="e">
        <f>AND(#REF!,"AAAAAG2U/RI=")</f>
        <v>#REF!</v>
      </c>
      <c r="T158" t="e">
        <f>AND(#REF!,"AAAAAG2U/RM=")</f>
        <v>#REF!</v>
      </c>
      <c r="U158" t="e">
        <f>AND(#REF!,"AAAAAG2U/RQ=")</f>
        <v>#REF!</v>
      </c>
      <c r="V158" t="e">
        <f>AND(#REF!,"AAAAAG2U/RU=")</f>
        <v>#REF!</v>
      </c>
      <c r="W158" t="e">
        <f>AND(#REF!,"AAAAAG2U/RY=")</f>
        <v>#REF!</v>
      </c>
      <c r="X158" t="e">
        <f>AND(#REF!,"AAAAAG2U/Rc=")</f>
        <v>#REF!</v>
      </c>
      <c r="Y158" t="e">
        <f>AND(#REF!,"AAAAAG2U/Rg=")</f>
        <v>#REF!</v>
      </c>
      <c r="Z158" t="e">
        <f>AND(#REF!,"AAAAAG2U/Rk=")</f>
        <v>#REF!</v>
      </c>
      <c r="AA158" t="e">
        <f>AND(#REF!,"AAAAAG2U/Ro=")</f>
        <v>#REF!</v>
      </c>
      <c r="AB158" t="e">
        <f>AND(#REF!,"AAAAAG2U/Rs=")</f>
        <v>#REF!</v>
      </c>
      <c r="AC158" t="e">
        <f>AND(#REF!,"AAAAAG2U/Rw=")</f>
        <v>#REF!</v>
      </c>
      <c r="AD158" t="e">
        <f>AND(#REF!,"AAAAAG2U/R0=")</f>
        <v>#REF!</v>
      </c>
      <c r="AE158" t="e">
        <f>IF(#REF!,"AAAAAG2U/R4=",0)</f>
        <v>#REF!</v>
      </c>
      <c r="AF158" t="e">
        <f>AND(#REF!,"AAAAAG2U/R8=")</f>
        <v>#REF!</v>
      </c>
      <c r="AG158" t="e">
        <f>AND(#REF!,"AAAAAG2U/SA=")</f>
        <v>#REF!</v>
      </c>
      <c r="AH158" t="e">
        <f>AND(#REF!,"AAAAAG2U/SE=")</f>
        <v>#REF!</v>
      </c>
      <c r="AI158" t="e">
        <f>AND(#REF!,"AAAAAG2U/SI=")</f>
        <v>#REF!</v>
      </c>
      <c r="AJ158" t="e">
        <f>AND(#REF!,"AAAAAG2U/SM=")</f>
        <v>#REF!</v>
      </c>
      <c r="AK158" t="e">
        <f>AND(#REF!,"AAAAAG2U/SQ=")</f>
        <v>#REF!</v>
      </c>
      <c r="AL158" t="e">
        <f>AND(#REF!,"AAAAAG2U/SU=")</f>
        <v>#REF!</v>
      </c>
      <c r="AM158" t="e">
        <f>AND(#REF!,"AAAAAG2U/SY=")</f>
        <v>#REF!</v>
      </c>
      <c r="AN158" t="e">
        <f>AND(#REF!,"AAAAAG2U/Sc=")</f>
        <v>#REF!</v>
      </c>
      <c r="AO158" t="e">
        <f>AND(#REF!,"AAAAAG2U/Sg=")</f>
        <v>#REF!</v>
      </c>
      <c r="AP158" t="e">
        <f>AND(#REF!,"AAAAAG2U/Sk=")</f>
        <v>#REF!</v>
      </c>
      <c r="AQ158" t="e">
        <f>AND(#REF!,"AAAAAG2U/So=")</f>
        <v>#REF!</v>
      </c>
      <c r="AR158" t="e">
        <f>AND(#REF!,"AAAAAG2U/Ss=")</f>
        <v>#REF!</v>
      </c>
      <c r="AS158" t="e">
        <f>AND(#REF!,"AAAAAG2U/Sw=")</f>
        <v>#REF!</v>
      </c>
      <c r="AT158" t="e">
        <f>AND(#REF!,"AAAAAG2U/S0=")</f>
        <v>#REF!</v>
      </c>
      <c r="AU158" t="e">
        <f>AND(#REF!,"AAAAAG2U/S4=")</f>
        <v>#REF!</v>
      </c>
      <c r="AV158" t="e">
        <f>AND(#REF!,"AAAAAG2U/S8=")</f>
        <v>#REF!</v>
      </c>
      <c r="AW158" t="e">
        <f>AND(#REF!,"AAAAAG2U/TA=")</f>
        <v>#REF!</v>
      </c>
      <c r="AX158" t="e">
        <f>AND(#REF!,"AAAAAG2U/TE=")</f>
        <v>#REF!</v>
      </c>
      <c r="AY158" t="e">
        <f>AND(#REF!,"AAAAAG2U/TI=")</f>
        <v>#REF!</v>
      </c>
      <c r="AZ158" t="e">
        <f>AND(#REF!,"AAAAAG2U/TM=")</f>
        <v>#REF!</v>
      </c>
      <c r="BA158" t="e">
        <f>AND(#REF!,"AAAAAG2U/TQ=")</f>
        <v>#REF!</v>
      </c>
      <c r="BB158" t="e">
        <f>AND(#REF!,"AAAAAG2U/TU=")</f>
        <v>#REF!</v>
      </c>
      <c r="BC158" t="e">
        <f>AND(#REF!,"AAAAAG2U/TY=")</f>
        <v>#REF!</v>
      </c>
      <c r="BD158" t="e">
        <f>AND(#REF!,"AAAAAG2U/Tc=")</f>
        <v>#REF!</v>
      </c>
      <c r="BE158" t="e">
        <f>AND(#REF!,"AAAAAG2U/Tg=")</f>
        <v>#REF!</v>
      </c>
      <c r="BF158" t="e">
        <f>AND(#REF!,"AAAAAG2U/Tk=")</f>
        <v>#REF!</v>
      </c>
      <c r="BG158" t="e">
        <f>AND(#REF!,"AAAAAG2U/To=")</f>
        <v>#REF!</v>
      </c>
      <c r="BH158" t="e">
        <f>AND(#REF!,"AAAAAG2U/Ts=")</f>
        <v>#REF!</v>
      </c>
      <c r="BI158" t="e">
        <f>AND(#REF!,"AAAAAG2U/Tw=")</f>
        <v>#REF!</v>
      </c>
      <c r="BJ158" t="e">
        <f>AND(#REF!,"AAAAAG2U/T0=")</f>
        <v>#REF!</v>
      </c>
      <c r="BK158" t="e">
        <f>AND(#REF!,"AAAAAG2U/T4=")</f>
        <v>#REF!</v>
      </c>
      <c r="BL158" t="e">
        <f>AND(#REF!,"AAAAAG2U/T8=")</f>
        <v>#REF!</v>
      </c>
      <c r="BM158" t="e">
        <f>AND(#REF!,"AAAAAG2U/UA=")</f>
        <v>#REF!</v>
      </c>
      <c r="BN158" t="e">
        <f>AND(#REF!,"AAAAAG2U/UE=")</f>
        <v>#REF!</v>
      </c>
      <c r="BO158" t="e">
        <f>AND(#REF!,"AAAAAG2U/UI=")</f>
        <v>#REF!</v>
      </c>
      <c r="BP158" t="e">
        <f>AND(#REF!,"AAAAAG2U/UM=")</f>
        <v>#REF!</v>
      </c>
      <c r="BQ158" t="e">
        <f>AND(#REF!,"AAAAAG2U/UQ=")</f>
        <v>#REF!</v>
      </c>
      <c r="BR158" t="e">
        <f>AND(#REF!,"AAAAAG2U/UU=")</f>
        <v>#REF!</v>
      </c>
      <c r="BS158" t="e">
        <f>AND(#REF!,"AAAAAG2U/UY=")</f>
        <v>#REF!</v>
      </c>
      <c r="BT158" t="e">
        <f>AND(#REF!,"AAAAAG2U/Uc=")</f>
        <v>#REF!</v>
      </c>
      <c r="BU158" t="e">
        <f>AND(#REF!,"AAAAAG2U/Ug=")</f>
        <v>#REF!</v>
      </c>
      <c r="BV158" t="e">
        <f>AND(#REF!,"AAAAAG2U/Uk=")</f>
        <v>#REF!</v>
      </c>
      <c r="BW158" t="e">
        <f>AND(#REF!,"AAAAAG2U/Uo=")</f>
        <v>#REF!</v>
      </c>
      <c r="BX158" t="e">
        <f>AND(#REF!,"AAAAAG2U/Us=")</f>
        <v>#REF!</v>
      </c>
      <c r="BY158" t="e">
        <f>AND(#REF!,"AAAAAG2U/Uw=")</f>
        <v>#REF!</v>
      </c>
      <c r="BZ158" t="e">
        <f>AND(#REF!,"AAAAAG2U/U0=")</f>
        <v>#REF!</v>
      </c>
      <c r="CA158" t="e">
        <f>AND(#REF!,"AAAAAG2U/U4=")</f>
        <v>#REF!</v>
      </c>
      <c r="CB158" t="e">
        <f>AND(#REF!,"AAAAAG2U/U8=")</f>
        <v>#REF!</v>
      </c>
      <c r="CC158" t="e">
        <f>AND(#REF!,"AAAAAG2U/VA=")</f>
        <v>#REF!</v>
      </c>
      <c r="CD158" t="e">
        <f>AND(#REF!,"AAAAAG2U/VE=")</f>
        <v>#REF!</v>
      </c>
      <c r="CE158" t="e">
        <f>AND(#REF!,"AAAAAG2U/VI=")</f>
        <v>#REF!</v>
      </c>
      <c r="CF158" t="e">
        <f>AND(#REF!,"AAAAAG2U/VM=")</f>
        <v>#REF!</v>
      </c>
      <c r="CG158" t="e">
        <f>AND(#REF!,"AAAAAG2U/VQ=")</f>
        <v>#REF!</v>
      </c>
      <c r="CH158" t="e">
        <f>AND(#REF!,"AAAAAG2U/VU=")</f>
        <v>#REF!</v>
      </c>
      <c r="CI158" t="e">
        <f>AND(#REF!,"AAAAAG2U/VY=")</f>
        <v>#REF!</v>
      </c>
      <c r="CJ158" t="e">
        <f>AND(#REF!,"AAAAAG2U/Vc=")</f>
        <v>#REF!</v>
      </c>
      <c r="CK158" t="e">
        <f>AND(#REF!,"AAAAAG2U/Vg=")</f>
        <v>#REF!</v>
      </c>
      <c r="CL158" t="e">
        <f>AND(#REF!,"AAAAAG2U/Vk=")</f>
        <v>#REF!</v>
      </c>
      <c r="CM158" t="e">
        <f>AND(#REF!,"AAAAAG2U/Vo=")</f>
        <v>#REF!</v>
      </c>
      <c r="CN158" t="e">
        <f>AND(#REF!,"AAAAAG2U/Vs=")</f>
        <v>#REF!</v>
      </c>
      <c r="CO158" t="e">
        <f>AND(#REF!,"AAAAAG2U/Vw=")</f>
        <v>#REF!</v>
      </c>
      <c r="CP158" t="e">
        <f>AND(#REF!,"AAAAAG2U/V0=")</f>
        <v>#REF!</v>
      </c>
      <c r="CQ158" t="e">
        <f>AND(#REF!,"AAAAAG2U/V4=")</f>
        <v>#REF!</v>
      </c>
      <c r="CR158" t="e">
        <f>AND(#REF!,"AAAAAG2U/V8=")</f>
        <v>#REF!</v>
      </c>
      <c r="CS158" t="e">
        <f>AND(#REF!,"AAAAAG2U/WA=")</f>
        <v>#REF!</v>
      </c>
      <c r="CT158" t="e">
        <f>AND(#REF!,"AAAAAG2U/WE=")</f>
        <v>#REF!</v>
      </c>
      <c r="CU158" t="e">
        <f>AND(#REF!,"AAAAAG2U/WI=")</f>
        <v>#REF!</v>
      </c>
      <c r="CV158" t="e">
        <f>AND(#REF!,"AAAAAG2U/WM=")</f>
        <v>#REF!</v>
      </c>
      <c r="CW158" t="e">
        <f>AND(#REF!,"AAAAAG2U/WQ=")</f>
        <v>#REF!</v>
      </c>
      <c r="CX158" t="e">
        <f>AND(#REF!,"AAAAAG2U/WU=")</f>
        <v>#REF!</v>
      </c>
      <c r="CY158" t="e">
        <f>AND(#REF!,"AAAAAG2U/WY=")</f>
        <v>#REF!</v>
      </c>
      <c r="CZ158" t="e">
        <f>AND(#REF!,"AAAAAG2U/Wc=")</f>
        <v>#REF!</v>
      </c>
      <c r="DA158" t="e">
        <f>AND(#REF!,"AAAAAG2U/Wg=")</f>
        <v>#REF!</v>
      </c>
      <c r="DB158" t="e">
        <f>AND(#REF!,"AAAAAG2U/Wk=")</f>
        <v>#REF!</v>
      </c>
      <c r="DC158" t="e">
        <f>AND(#REF!,"AAAAAG2U/Wo=")</f>
        <v>#REF!</v>
      </c>
      <c r="DD158" t="e">
        <f>AND(#REF!,"AAAAAG2U/Ws=")</f>
        <v>#REF!</v>
      </c>
      <c r="DE158" t="e">
        <f>AND(#REF!,"AAAAAG2U/Ww=")</f>
        <v>#REF!</v>
      </c>
      <c r="DF158" t="e">
        <f>AND(#REF!,"AAAAAG2U/W0=")</f>
        <v>#REF!</v>
      </c>
      <c r="DG158" t="e">
        <f>AND(#REF!,"AAAAAG2U/W4=")</f>
        <v>#REF!</v>
      </c>
      <c r="DH158" t="e">
        <f>AND(#REF!,"AAAAAG2U/W8=")</f>
        <v>#REF!</v>
      </c>
      <c r="DI158" t="e">
        <f>AND(#REF!,"AAAAAG2U/XA=")</f>
        <v>#REF!</v>
      </c>
      <c r="DJ158" t="e">
        <f>AND(#REF!,"AAAAAG2U/XE=")</f>
        <v>#REF!</v>
      </c>
      <c r="DK158" t="e">
        <f>AND(#REF!,"AAAAAG2U/XI=")</f>
        <v>#REF!</v>
      </c>
      <c r="DL158" t="e">
        <f>AND(#REF!,"AAAAAG2U/XM=")</f>
        <v>#REF!</v>
      </c>
      <c r="DM158" t="e">
        <f>AND(#REF!,"AAAAAG2U/XQ=")</f>
        <v>#REF!</v>
      </c>
      <c r="DN158" t="e">
        <f>AND(#REF!,"AAAAAG2U/XU=")</f>
        <v>#REF!</v>
      </c>
      <c r="DO158" t="e">
        <f>AND(#REF!,"AAAAAG2U/XY=")</f>
        <v>#REF!</v>
      </c>
      <c r="DP158" t="e">
        <f>AND(#REF!,"AAAAAG2U/Xc=")</f>
        <v>#REF!</v>
      </c>
      <c r="DQ158" t="e">
        <f>AND(#REF!,"AAAAAG2U/Xg=")</f>
        <v>#REF!</v>
      </c>
      <c r="DR158" t="e">
        <f>AND(#REF!,"AAAAAG2U/Xk=")</f>
        <v>#REF!</v>
      </c>
      <c r="DS158" t="e">
        <f>AND(#REF!,"AAAAAG2U/Xo=")</f>
        <v>#REF!</v>
      </c>
      <c r="DT158" t="e">
        <f>AND(#REF!,"AAAAAG2U/Xs=")</f>
        <v>#REF!</v>
      </c>
      <c r="DU158" t="e">
        <f>AND(#REF!,"AAAAAG2U/Xw=")</f>
        <v>#REF!</v>
      </c>
      <c r="DV158" t="e">
        <f>AND(#REF!,"AAAAAG2U/X0=")</f>
        <v>#REF!</v>
      </c>
      <c r="DW158" t="e">
        <f>AND(#REF!,"AAAAAG2U/X4=")</f>
        <v>#REF!</v>
      </c>
      <c r="DX158" t="e">
        <f>AND(#REF!,"AAAAAG2U/X8=")</f>
        <v>#REF!</v>
      </c>
      <c r="DY158" t="e">
        <f>AND(#REF!,"AAAAAG2U/YA=")</f>
        <v>#REF!</v>
      </c>
      <c r="DZ158" t="e">
        <f>AND(#REF!,"AAAAAG2U/YE=")</f>
        <v>#REF!</v>
      </c>
      <c r="EA158" t="e">
        <f>AND(#REF!,"AAAAAG2U/YI=")</f>
        <v>#REF!</v>
      </c>
      <c r="EB158" t="e">
        <f>AND(#REF!,"AAAAAG2U/YM=")</f>
        <v>#REF!</v>
      </c>
      <c r="EC158" t="e">
        <f>AND(#REF!,"AAAAAG2U/YQ=")</f>
        <v>#REF!</v>
      </c>
      <c r="ED158" t="e">
        <f>AND(#REF!,"AAAAAG2U/YU=")</f>
        <v>#REF!</v>
      </c>
      <c r="EE158" t="e">
        <f>AND(#REF!,"AAAAAG2U/YY=")</f>
        <v>#REF!</v>
      </c>
      <c r="EF158" t="e">
        <f>AND(#REF!,"AAAAAG2U/Yc=")</f>
        <v>#REF!</v>
      </c>
      <c r="EG158" t="e">
        <f>AND(#REF!,"AAAAAG2U/Yg=")</f>
        <v>#REF!</v>
      </c>
      <c r="EH158" t="e">
        <f>AND(#REF!,"AAAAAG2U/Yk=")</f>
        <v>#REF!</v>
      </c>
      <c r="EI158" t="e">
        <f>AND(#REF!,"AAAAAG2U/Yo=")</f>
        <v>#REF!</v>
      </c>
      <c r="EJ158" t="e">
        <f>AND(#REF!,"AAAAAG2U/Ys=")</f>
        <v>#REF!</v>
      </c>
      <c r="EK158" t="e">
        <f>AND(#REF!,"AAAAAG2U/Yw=")</f>
        <v>#REF!</v>
      </c>
      <c r="EL158" t="e">
        <f>AND(#REF!,"AAAAAG2U/Y0=")</f>
        <v>#REF!</v>
      </c>
      <c r="EM158" t="e">
        <f>AND(#REF!,"AAAAAG2U/Y4=")</f>
        <v>#REF!</v>
      </c>
      <c r="EN158" t="e">
        <f>AND(#REF!,"AAAAAG2U/Y8=")</f>
        <v>#REF!</v>
      </c>
      <c r="EO158" t="e">
        <f>AND(#REF!,"AAAAAG2U/ZA=")</f>
        <v>#REF!</v>
      </c>
      <c r="EP158" t="e">
        <f>AND(#REF!,"AAAAAG2U/ZE=")</f>
        <v>#REF!</v>
      </c>
      <c r="EQ158" t="e">
        <f>AND(#REF!,"AAAAAG2U/ZI=")</f>
        <v>#REF!</v>
      </c>
      <c r="ER158" t="e">
        <f>AND(#REF!,"AAAAAG2U/ZM=")</f>
        <v>#REF!</v>
      </c>
      <c r="ES158" t="e">
        <f>AND(#REF!,"AAAAAG2U/ZQ=")</f>
        <v>#REF!</v>
      </c>
      <c r="ET158" t="e">
        <f>AND(#REF!,"AAAAAG2U/ZU=")</f>
        <v>#REF!</v>
      </c>
      <c r="EU158" t="e">
        <f>AND(#REF!,"AAAAAG2U/ZY=")</f>
        <v>#REF!</v>
      </c>
      <c r="EV158" t="e">
        <f>AND(#REF!,"AAAAAG2U/Zc=")</f>
        <v>#REF!</v>
      </c>
      <c r="EW158" t="e">
        <f>AND(#REF!,"AAAAAG2U/Zg=")</f>
        <v>#REF!</v>
      </c>
      <c r="EX158" t="e">
        <f>AND(#REF!,"AAAAAG2U/Zk=")</f>
        <v>#REF!</v>
      </c>
      <c r="EY158" t="e">
        <f>AND(#REF!,"AAAAAG2U/Zo=")</f>
        <v>#REF!</v>
      </c>
      <c r="EZ158" t="e">
        <f>AND(#REF!,"AAAAAG2U/Zs=")</f>
        <v>#REF!</v>
      </c>
      <c r="FA158" t="e">
        <f>AND(#REF!,"AAAAAG2U/Zw=")</f>
        <v>#REF!</v>
      </c>
      <c r="FB158" t="e">
        <f>AND(#REF!,"AAAAAG2U/Z0=")</f>
        <v>#REF!</v>
      </c>
      <c r="FC158" t="e">
        <f>AND(#REF!,"AAAAAG2U/Z4=")</f>
        <v>#REF!</v>
      </c>
      <c r="FD158" t="e">
        <f>AND(#REF!,"AAAAAG2U/Z8=")</f>
        <v>#REF!</v>
      </c>
      <c r="FE158" t="e">
        <f>AND(#REF!,"AAAAAG2U/aA=")</f>
        <v>#REF!</v>
      </c>
      <c r="FF158" t="e">
        <f>AND(#REF!,"AAAAAG2U/aE=")</f>
        <v>#REF!</v>
      </c>
      <c r="FG158" t="e">
        <f>AND(#REF!,"AAAAAG2U/aI=")</f>
        <v>#REF!</v>
      </c>
      <c r="FH158" t="e">
        <f>AND(#REF!,"AAAAAG2U/aM=")</f>
        <v>#REF!</v>
      </c>
      <c r="FI158" t="e">
        <f>AND(#REF!,"AAAAAG2U/aQ=")</f>
        <v>#REF!</v>
      </c>
      <c r="FJ158" t="e">
        <f>AND(#REF!,"AAAAAG2U/aU=")</f>
        <v>#REF!</v>
      </c>
      <c r="FK158" t="e">
        <f>AND(#REF!,"AAAAAG2U/aY=")</f>
        <v>#REF!</v>
      </c>
      <c r="FL158" t="e">
        <f>AND(#REF!,"AAAAAG2U/ac=")</f>
        <v>#REF!</v>
      </c>
      <c r="FM158" t="e">
        <f>AND(#REF!,"AAAAAG2U/ag=")</f>
        <v>#REF!</v>
      </c>
      <c r="FN158" t="e">
        <f>AND(#REF!,"AAAAAG2U/ak=")</f>
        <v>#REF!</v>
      </c>
      <c r="FO158" t="e">
        <f>AND(#REF!,"AAAAAG2U/ao=")</f>
        <v>#REF!</v>
      </c>
      <c r="FP158" t="e">
        <f>AND(#REF!,"AAAAAG2U/as=")</f>
        <v>#REF!</v>
      </c>
      <c r="FQ158" t="e">
        <f>AND(#REF!,"AAAAAG2U/aw=")</f>
        <v>#REF!</v>
      </c>
      <c r="FR158" t="e">
        <f>AND(#REF!,"AAAAAG2U/a0=")</f>
        <v>#REF!</v>
      </c>
      <c r="FS158" t="e">
        <f>AND(#REF!,"AAAAAG2U/a4=")</f>
        <v>#REF!</v>
      </c>
      <c r="FT158" t="e">
        <f>AND(#REF!,"AAAAAG2U/a8=")</f>
        <v>#REF!</v>
      </c>
      <c r="FU158" t="e">
        <f>AND(#REF!,"AAAAAG2U/bA=")</f>
        <v>#REF!</v>
      </c>
      <c r="FV158" t="e">
        <f>AND(#REF!,"AAAAAG2U/bE=")</f>
        <v>#REF!</v>
      </c>
      <c r="FW158" t="e">
        <f>AND(#REF!,"AAAAAG2U/bI=")</f>
        <v>#REF!</v>
      </c>
      <c r="FX158" t="e">
        <f>AND(#REF!,"AAAAAG2U/bM=")</f>
        <v>#REF!</v>
      </c>
      <c r="FY158" t="e">
        <f>AND(#REF!,"AAAAAG2U/bQ=")</f>
        <v>#REF!</v>
      </c>
      <c r="FZ158" t="e">
        <f>AND(#REF!,"AAAAAG2U/bU=")</f>
        <v>#REF!</v>
      </c>
      <c r="GA158" t="e">
        <f>AND(#REF!,"AAAAAG2U/bY=")</f>
        <v>#REF!</v>
      </c>
      <c r="GB158" t="e">
        <f>AND(#REF!,"AAAAAG2U/bc=")</f>
        <v>#REF!</v>
      </c>
      <c r="GC158" t="e">
        <f>AND(#REF!,"AAAAAG2U/bg=")</f>
        <v>#REF!</v>
      </c>
      <c r="GD158" t="e">
        <f>AND(#REF!,"AAAAAG2U/bk=")</f>
        <v>#REF!</v>
      </c>
      <c r="GE158" t="e">
        <f>AND(#REF!,"AAAAAG2U/bo=")</f>
        <v>#REF!</v>
      </c>
      <c r="GF158" t="e">
        <f>AND(#REF!,"AAAAAG2U/bs=")</f>
        <v>#REF!</v>
      </c>
      <c r="GG158" t="e">
        <f>AND(#REF!,"AAAAAG2U/bw=")</f>
        <v>#REF!</v>
      </c>
      <c r="GH158" t="e">
        <f>AND(#REF!,"AAAAAG2U/b0=")</f>
        <v>#REF!</v>
      </c>
      <c r="GI158" t="e">
        <f>AND(#REF!,"AAAAAG2U/b4=")</f>
        <v>#REF!</v>
      </c>
      <c r="GJ158" t="e">
        <f>AND(#REF!,"AAAAAG2U/b8=")</f>
        <v>#REF!</v>
      </c>
      <c r="GK158" t="e">
        <f>AND(#REF!,"AAAAAG2U/cA=")</f>
        <v>#REF!</v>
      </c>
      <c r="GL158" t="e">
        <f>AND(#REF!,"AAAAAG2U/cE=")</f>
        <v>#REF!</v>
      </c>
      <c r="GM158" t="e">
        <f>AND(#REF!,"AAAAAG2U/cI=")</f>
        <v>#REF!</v>
      </c>
      <c r="GN158" t="e">
        <f>AND(#REF!,"AAAAAG2U/cM=")</f>
        <v>#REF!</v>
      </c>
      <c r="GO158" t="e">
        <f>AND(#REF!,"AAAAAG2U/cQ=")</f>
        <v>#REF!</v>
      </c>
      <c r="GP158" t="e">
        <f>AND(#REF!,"AAAAAG2U/cU=")</f>
        <v>#REF!</v>
      </c>
      <c r="GQ158" t="e">
        <f>AND(#REF!,"AAAAAG2U/cY=")</f>
        <v>#REF!</v>
      </c>
      <c r="GR158" t="e">
        <f>AND(#REF!,"AAAAAG2U/cc=")</f>
        <v>#REF!</v>
      </c>
      <c r="GS158" t="e">
        <f>AND(#REF!,"AAAAAG2U/cg=")</f>
        <v>#REF!</v>
      </c>
      <c r="GT158" t="e">
        <f>AND(#REF!,"AAAAAG2U/ck=")</f>
        <v>#REF!</v>
      </c>
      <c r="GU158" t="e">
        <f>AND(#REF!,"AAAAAG2U/co=")</f>
        <v>#REF!</v>
      </c>
      <c r="GV158" t="e">
        <f>AND(#REF!,"AAAAAG2U/cs=")</f>
        <v>#REF!</v>
      </c>
      <c r="GW158" t="e">
        <f>AND(#REF!,"AAAAAG2U/cw=")</f>
        <v>#REF!</v>
      </c>
      <c r="GX158" t="e">
        <f>AND(#REF!,"AAAAAG2U/c0=")</f>
        <v>#REF!</v>
      </c>
      <c r="GY158" t="e">
        <f>AND(#REF!,"AAAAAG2U/c4=")</f>
        <v>#REF!</v>
      </c>
      <c r="GZ158" t="e">
        <f>AND(#REF!,"AAAAAG2U/c8=")</f>
        <v>#REF!</v>
      </c>
      <c r="HA158" t="e">
        <f>AND(#REF!,"AAAAAG2U/dA=")</f>
        <v>#REF!</v>
      </c>
      <c r="HB158" t="e">
        <f>AND(#REF!,"AAAAAG2U/dE=")</f>
        <v>#REF!</v>
      </c>
      <c r="HC158" t="e">
        <f>AND(#REF!,"AAAAAG2U/dI=")</f>
        <v>#REF!</v>
      </c>
      <c r="HD158" t="e">
        <f>AND(#REF!,"AAAAAG2U/dM=")</f>
        <v>#REF!</v>
      </c>
      <c r="HE158" t="e">
        <f>AND(#REF!,"AAAAAG2U/dQ=")</f>
        <v>#REF!</v>
      </c>
      <c r="HF158" t="e">
        <f>AND(#REF!,"AAAAAG2U/dU=")</f>
        <v>#REF!</v>
      </c>
      <c r="HG158" t="e">
        <f>AND(#REF!,"AAAAAG2U/dY=")</f>
        <v>#REF!</v>
      </c>
      <c r="HH158" t="e">
        <f>AND(#REF!,"AAAAAG2U/dc=")</f>
        <v>#REF!</v>
      </c>
      <c r="HI158" t="e">
        <f>AND(#REF!,"AAAAAG2U/dg=")</f>
        <v>#REF!</v>
      </c>
      <c r="HJ158" t="e">
        <f>AND(#REF!,"AAAAAG2U/dk=")</f>
        <v>#REF!</v>
      </c>
      <c r="HK158" t="e">
        <f>AND(#REF!,"AAAAAG2U/do=")</f>
        <v>#REF!</v>
      </c>
      <c r="HL158" t="e">
        <f>IF(#REF!,"AAAAAG2U/ds=",0)</f>
        <v>#REF!</v>
      </c>
      <c r="HM158" t="e">
        <f>AND(#REF!,"AAAAAG2U/dw=")</f>
        <v>#REF!</v>
      </c>
      <c r="HN158" t="e">
        <f>AND(#REF!,"AAAAAG2U/d0=")</f>
        <v>#REF!</v>
      </c>
      <c r="HO158" t="e">
        <f>AND(#REF!,"AAAAAG2U/d4=")</f>
        <v>#REF!</v>
      </c>
      <c r="HP158" t="e">
        <f>AND(#REF!,"AAAAAG2U/d8=")</f>
        <v>#REF!</v>
      </c>
      <c r="HQ158" t="e">
        <f>AND(#REF!,"AAAAAG2U/eA=")</f>
        <v>#REF!</v>
      </c>
      <c r="HR158" t="e">
        <f>AND(#REF!,"AAAAAG2U/eE=")</f>
        <v>#REF!</v>
      </c>
      <c r="HS158" t="e">
        <f>AND(#REF!,"AAAAAG2U/eI=")</f>
        <v>#REF!</v>
      </c>
      <c r="HT158" t="e">
        <f>AND(#REF!,"AAAAAG2U/eM=")</f>
        <v>#REF!</v>
      </c>
      <c r="HU158" t="e">
        <f>AND(#REF!,"AAAAAG2U/eQ=")</f>
        <v>#REF!</v>
      </c>
      <c r="HV158" t="e">
        <f>AND(#REF!,"AAAAAG2U/eU=")</f>
        <v>#REF!</v>
      </c>
      <c r="HW158" t="e">
        <f>AND(#REF!,"AAAAAG2U/eY=")</f>
        <v>#REF!</v>
      </c>
      <c r="HX158" t="e">
        <f>AND(#REF!,"AAAAAG2U/ec=")</f>
        <v>#REF!</v>
      </c>
      <c r="HY158" t="e">
        <f>AND(#REF!,"AAAAAG2U/eg=")</f>
        <v>#REF!</v>
      </c>
      <c r="HZ158" t="e">
        <f>AND(#REF!,"AAAAAG2U/ek=")</f>
        <v>#REF!</v>
      </c>
      <c r="IA158" t="e">
        <f>AND(#REF!,"AAAAAG2U/eo=")</f>
        <v>#REF!</v>
      </c>
      <c r="IB158" t="e">
        <f>AND(#REF!,"AAAAAG2U/es=")</f>
        <v>#REF!</v>
      </c>
      <c r="IC158" t="e">
        <f>AND(#REF!,"AAAAAG2U/ew=")</f>
        <v>#REF!</v>
      </c>
      <c r="ID158" t="e">
        <f>AND(#REF!,"AAAAAG2U/e0=")</f>
        <v>#REF!</v>
      </c>
      <c r="IE158" t="e">
        <f>AND(#REF!,"AAAAAG2U/e4=")</f>
        <v>#REF!</v>
      </c>
      <c r="IF158" t="e">
        <f>AND(#REF!,"AAAAAG2U/e8=")</f>
        <v>#REF!</v>
      </c>
      <c r="IG158" t="e">
        <f>AND(#REF!,"AAAAAG2U/fA=")</f>
        <v>#REF!</v>
      </c>
      <c r="IH158" t="e">
        <f>AND(#REF!,"AAAAAG2U/fE=")</f>
        <v>#REF!</v>
      </c>
      <c r="II158" t="e">
        <f>AND(#REF!,"AAAAAG2U/fI=")</f>
        <v>#REF!</v>
      </c>
      <c r="IJ158" t="e">
        <f>AND(#REF!,"AAAAAG2U/fM=")</f>
        <v>#REF!</v>
      </c>
      <c r="IK158" t="e">
        <f>AND(#REF!,"AAAAAG2U/fQ=")</f>
        <v>#REF!</v>
      </c>
      <c r="IL158" t="e">
        <f>AND(#REF!,"AAAAAG2U/fU=")</f>
        <v>#REF!</v>
      </c>
      <c r="IM158" t="e">
        <f>AND(#REF!,"AAAAAG2U/fY=")</f>
        <v>#REF!</v>
      </c>
      <c r="IN158" t="e">
        <f>AND(#REF!,"AAAAAG2U/fc=")</f>
        <v>#REF!</v>
      </c>
      <c r="IO158" t="e">
        <f>AND(#REF!,"AAAAAG2U/fg=")</f>
        <v>#REF!</v>
      </c>
      <c r="IP158" t="e">
        <f>AND(#REF!,"AAAAAG2U/fk=")</f>
        <v>#REF!</v>
      </c>
      <c r="IQ158" t="e">
        <f>AND(#REF!,"AAAAAG2U/fo=")</f>
        <v>#REF!</v>
      </c>
      <c r="IR158" t="e">
        <f>AND(#REF!,"AAAAAG2U/fs=")</f>
        <v>#REF!</v>
      </c>
      <c r="IS158" t="e">
        <f>AND(#REF!,"AAAAAG2U/fw=")</f>
        <v>#REF!</v>
      </c>
      <c r="IT158" t="e">
        <f>AND(#REF!,"AAAAAG2U/f0=")</f>
        <v>#REF!</v>
      </c>
      <c r="IU158" t="e">
        <f>AND(#REF!,"AAAAAG2U/f4=")</f>
        <v>#REF!</v>
      </c>
      <c r="IV158" t="e">
        <f>AND(#REF!,"AAAAAG2U/f8=")</f>
        <v>#REF!</v>
      </c>
    </row>
    <row r="159" spans="1:256" x14ac:dyDescent="0.25">
      <c r="A159" t="e">
        <f>AND(#REF!,"AAAAAF//+wA=")</f>
        <v>#REF!</v>
      </c>
      <c r="B159" t="e">
        <f>AND(#REF!,"AAAAAF//+wE=")</f>
        <v>#REF!</v>
      </c>
      <c r="C159" t="e">
        <f>AND(#REF!,"AAAAAF//+wI=")</f>
        <v>#REF!</v>
      </c>
      <c r="D159" t="e">
        <f>AND(#REF!,"AAAAAF//+wM=")</f>
        <v>#REF!</v>
      </c>
      <c r="E159" t="e">
        <f>AND(#REF!,"AAAAAF//+wQ=")</f>
        <v>#REF!</v>
      </c>
      <c r="F159" t="e">
        <f>AND(#REF!,"AAAAAF//+wU=")</f>
        <v>#REF!</v>
      </c>
      <c r="G159" t="e">
        <f>AND(#REF!,"AAAAAF//+wY=")</f>
        <v>#REF!</v>
      </c>
      <c r="H159" t="e">
        <f>AND(#REF!,"AAAAAF//+wc=")</f>
        <v>#REF!</v>
      </c>
      <c r="I159" t="e">
        <f>AND(#REF!,"AAAAAF//+wg=")</f>
        <v>#REF!</v>
      </c>
      <c r="J159" t="e">
        <f>AND(#REF!,"AAAAAF//+wk=")</f>
        <v>#REF!</v>
      </c>
      <c r="K159" t="e">
        <f>AND(#REF!,"AAAAAF//+wo=")</f>
        <v>#REF!</v>
      </c>
      <c r="L159" t="e">
        <f>AND(#REF!,"AAAAAF//+ws=")</f>
        <v>#REF!</v>
      </c>
      <c r="M159" t="e">
        <f>AND(#REF!,"AAAAAF//+ww=")</f>
        <v>#REF!</v>
      </c>
      <c r="N159" t="e">
        <f>AND(#REF!,"AAAAAF//+w0=")</f>
        <v>#REF!</v>
      </c>
      <c r="O159" t="e">
        <f>AND(#REF!,"AAAAAF//+w4=")</f>
        <v>#REF!</v>
      </c>
      <c r="P159" t="e">
        <f>AND(#REF!,"AAAAAF//+w8=")</f>
        <v>#REF!</v>
      </c>
      <c r="Q159" t="e">
        <f>AND(#REF!,"AAAAAF//+xA=")</f>
        <v>#REF!</v>
      </c>
      <c r="R159" t="e">
        <f>AND(#REF!,"AAAAAF//+xE=")</f>
        <v>#REF!</v>
      </c>
      <c r="S159" t="e">
        <f>AND(#REF!,"AAAAAF//+xI=")</f>
        <v>#REF!</v>
      </c>
      <c r="T159" t="e">
        <f>AND(#REF!,"AAAAAF//+xM=")</f>
        <v>#REF!</v>
      </c>
      <c r="U159" t="e">
        <f>AND(#REF!,"AAAAAF//+xQ=")</f>
        <v>#REF!</v>
      </c>
      <c r="V159" t="e">
        <f>AND(#REF!,"AAAAAF//+xU=")</f>
        <v>#REF!</v>
      </c>
      <c r="W159" t="e">
        <f>AND(#REF!,"AAAAAF//+xY=")</f>
        <v>#REF!</v>
      </c>
      <c r="X159" t="e">
        <f>AND(#REF!,"AAAAAF//+xc=")</f>
        <v>#REF!</v>
      </c>
      <c r="Y159" t="e">
        <f>AND(#REF!,"AAAAAF//+xg=")</f>
        <v>#REF!</v>
      </c>
      <c r="Z159" t="e">
        <f>AND(#REF!,"AAAAAF//+xk=")</f>
        <v>#REF!</v>
      </c>
      <c r="AA159" t="e">
        <f>AND(#REF!,"AAAAAF//+xo=")</f>
        <v>#REF!</v>
      </c>
      <c r="AB159" t="e">
        <f>AND(#REF!,"AAAAAF//+xs=")</f>
        <v>#REF!</v>
      </c>
      <c r="AC159" t="e">
        <f>AND(#REF!,"AAAAAF//+xw=")</f>
        <v>#REF!</v>
      </c>
      <c r="AD159" t="e">
        <f>AND(#REF!,"AAAAAF//+x0=")</f>
        <v>#REF!</v>
      </c>
      <c r="AE159" t="e">
        <f>AND(#REF!,"AAAAAF//+x4=")</f>
        <v>#REF!</v>
      </c>
      <c r="AF159" t="e">
        <f>AND(#REF!,"AAAAAF//+x8=")</f>
        <v>#REF!</v>
      </c>
      <c r="AG159" t="e">
        <f>AND(#REF!,"AAAAAF//+yA=")</f>
        <v>#REF!</v>
      </c>
      <c r="AH159" t="e">
        <f>AND(#REF!,"AAAAAF//+yE=")</f>
        <v>#REF!</v>
      </c>
      <c r="AI159" t="e">
        <f>AND(#REF!,"AAAAAF//+yI=")</f>
        <v>#REF!</v>
      </c>
      <c r="AJ159" t="e">
        <f>AND(#REF!,"AAAAAF//+yM=")</f>
        <v>#REF!</v>
      </c>
      <c r="AK159" t="e">
        <f>AND(#REF!,"AAAAAF//+yQ=")</f>
        <v>#REF!</v>
      </c>
      <c r="AL159" t="e">
        <f>AND(#REF!,"AAAAAF//+yU=")</f>
        <v>#REF!</v>
      </c>
      <c r="AM159" t="e">
        <f>AND(#REF!,"AAAAAF//+yY=")</f>
        <v>#REF!</v>
      </c>
      <c r="AN159" t="e">
        <f>AND(#REF!,"AAAAAF//+yc=")</f>
        <v>#REF!</v>
      </c>
      <c r="AO159" t="e">
        <f>AND(#REF!,"AAAAAF//+yg=")</f>
        <v>#REF!</v>
      </c>
      <c r="AP159" t="e">
        <f>AND(#REF!,"AAAAAF//+yk=")</f>
        <v>#REF!</v>
      </c>
      <c r="AQ159" t="e">
        <f>AND(#REF!,"AAAAAF//+yo=")</f>
        <v>#REF!</v>
      </c>
      <c r="AR159" t="e">
        <f>AND(#REF!,"AAAAAF//+ys=")</f>
        <v>#REF!</v>
      </c>
      <c r="AS159" t="e">
        <f>AND(#REF!,"AAAAAF//+yw=")</f>
        <v>#REF!</v>
      </c>
      <c r="AT159" t="e">
        <f>AND(#REF!,"AAAAAF//+y0=")</f>
        <v>#REF!</v>
      </c>
      <c r="AU159" t="e">
        <f>AND(#REF!,"AAAAAF//+y4=")</f>
        <v>#REF!</v>
      </c>
      <c r="AV159" t="e">
        <f>AND(#REF!,"AAAAAF//+y8=")</f>
        <v>#REF!</v>
      </c>
      <c r="AW159" t="e">
        <f>AND(#REF!,"AAAAAF//+zA=")</f>
        <v>#REF!</v>
      </c>
      <c r="AX159" t="e">
        <f>AND(#REF!,"AAAAAF//+zE=")</f>
        <v>#REF!</v>
      </c>
      <c r="AY159" t="e">
        <f>AND(#REF!,"AAAAAF//+zI=")</f>
        <v>#REF!</v>
      </c>
      <c r="AZ159" t="e">
        <f>AND(#REF!,"AAAAAF//+zM=")</f>
        <v>#REF!</v>
      </c>
      <c r="BA159" t="e">
        <f>AND(#REF!,"AAAAAF//+zQ=")</f>
        <v>#REF!</v>
      </c>
      <c r="BB159" t="e">
        <f>AND(#REF!,"AAAAAF//+zU=")</f>
        <v>#REF!</v>
      </c>
      <c r="BC159" t="e">
        <f>AND(#REF!,"AAAAAF//+zY=")</f>
        <v>#REF!</v>
      </c>
      <c r="BD159" t="e">
        <f>AND(#REF!,"AAAAAF//+zc=")</f>
        <v>#REF!</v>
      </c>
      <c r="BE159" t="e">
        <f>AND(#REF!,"AAAAAF//+zg=")</f>
        <v>#REF!</v>
      </c>
      <c r="BF159" t="e">
        <f>AND(#REF!,"AAAAAF//+zk=")</f>
        <v>#REF!</v>
      </c>
      <c r="BG159" t="e">
        <f>AND(#REF!,"AAAAAF//+zo=")</f>
        <v>#REF!</v>
      </c>
      <c r="BH159" t="e">
        <f>AND(#REF!,"AAAAAF//+zs=")</f>
        <v>#REF!</v>
      </c>
      <c r="BI159" t="e">
        <f>AND(#REF!,"AAAAAF//+zw=")</f>
        <v>#REF!</v>
      </c>
      <c r="BJ159" t="e">
        <f>AND(#REF!,"AAAAAF//+z0=")</f>
        <v>#REF!</v>
      </c>
      <c r="BK159" t="e">
        <f>AND(#REF!,"AAAAAF//+z4=")</f>
        <v>#REF!</v>
      </c>
      <c r="BL159" t="e">
        <f>AND(#REF!,"AAAAAF//+z8=")</f>
        <v>#REF!</v>
      </c>
      <c r="BM159" t="e">
        <f>AND(#REF!,"AAAAAF//+0A=")</f>
        <v>#REF!</v>
      </c>
      <c r="BN159" t="e">
        <f>AND(#REF!,"AAAAAF//+0E=")</f>
        <v>#REF!</v>
      </c>
      <c r="BO159" t="e">
        <f>AND(#REF!,"AAAAAF//+0I=")</f>
        <v>#REF!</v>
      </c>
      <c r="BP159" t="e">
        <f>AND(#REF!,"AAAAAF//+0M=")</f>
        <v>#REF!</v>
      </c>
      <c r="BQ159" t="e">
        <f>AND(#REF!,"AAAAAF//+0Q=")</f>
        <v>#REF!</v>
      </c>
      <c r="BR159" t="e">
        <f>AND(#REF!,"AAAAAF//+0U=")</f>
        <v>#REF!</v>
      </c>
      <c r="BS159" t="e">
        <f>AND(#REF!,"AAAAAF//+0Y=")</f>
        <v>#REF!</v>
      </c>
      <c r="BT159" t="e">
        <f>AND(#REF!,"AAAAAF//+0c=")</f>
        <v>#REF!</v>
      </c>
      <c r="BU159" t="e">
        <f>AND(#REF!,"AAAAAF//+0g=")</f>
        <v>#REF!</v>
      </c>
      <c r="BV159" t="e">
        <f>AND(#REF!,"AAAAAF//+0k=")</f>
        <v>#REF!</v>
      </c>
      <c r="BW159" t="e">
        <f>AND(#REF!,"AAAAAF//+0o=")</f>
        <v>#REF!</v>
      </c>
      <c r="BX159" t="e">
        <f>AND(#REF!,"AAAAAF//+0s=")</f>
        <v>#REF!</v>
      </c>
      <c r="BY159" t="e">
        <f>AND(#REF!,"AAAAAF//+0w=")</f>
        <v>#REF!</v>
      </c>
      <c r="BZ159" t="e">
        <f>AND(#REF!,"AAAAAF//+00=")</f>
        <v>#REF!</v>
      </c>
      <c r="CA159" t="e">
        <f>AND(#REF!,"AAAAAF//+04=")</f>
        <v>#REF!</v>
      </c>
      <c r="CB159" t="e">
        <f>AND(#REF!,"AAAAAF//+08=")</f>
        <v>#REF!</v>
      </c>
      <c r="CC159" t="e">
        <f>AND(#REF!,"AAAAAF//+1A=")</f>
        <v>#REF!</v>
      </c>
      <c r="CD159" t="e">
        <f>AND(#REF!,"AAAAAF//+1E=")</f>
        <v>#REF!</v>
      </c>
      <c r="CE159" t="e">
        <f>AND(#REF!,"AAAAAF//+1I=")</f>
        <v>#REF!</v>
      </c>
      <c r="CF159" t="e">
        <f>AND(#REF!,"AAAAAF//+1M=")</f>
        <v>#REF!</v>
      </c>
      <c r="CG159" t="e">
        <f>AND(#REF!,"AAAAAF//+1Q=")</f>
        <v>#REF!</v>
      </c>
      <c r="CH159" t="e">
        <f>AND(#REF!,"AAAAAF//+1U=")</f>
        <v>#REF!</v>
      </c>
      <c r="CI159" t="e">
        <f>AND(#REF!,"AAAAAF//+1Y=")</f>
        <v>#REF!</v>
      </c>
      <c r="CJ159" t="e">
        <f>AND(#REF!,"AAAAAF//+1c=")</f>
        <v>#REF!</v>
      </c>
      <c r="CK159" t="e">
        <f>AND(#REF!,"AAAAAF//+1g=")</f>
        <v>#REF!</v>
      </c>
      <c r="CL159" t="e">
        <f>AND(#REF!,"AAAAAF//+1k=")</f>
        <v>#REF!</v>
      </c>
      <c r="CM159" t="e">
        <f>AND(#REF!,"AAAAAF//+1o=")</f>
        <v>#REF!</v>
      </c>
      <c r="CN159" t="e">
        <f>AND(#REF!,"AAAAAF//+1s=")</f>
        <v>#REF!</v>
      </c>
      <c r="CO159" t="e">
        <f>AND(#REF!,"AAAAAF//+1w=")</f>
        <v>#REF!</v>
      </c>
      <c r="CP159" t="e">
        <f>AND(#REF!,"AAAAAF//+10=")</f>
        <v>#REF!</v>
      </c>
      <c r="CQ159" t="e">
        <f>AND(#REF!,"AAAAAF//+14=")</f>
        <v>#REF!</v>
      </c>
      <c r="CR159" t="e">
        <f>AND(#REF!,"AAAAAF//+18=")</f>
        <v>#REF!</v>
      </c>
      <c r="CS159" t="e">
        <f>AND(#REF!,"AAAAAF//+2A=")</f>
        <v>#REF!</v>
      </c>
      <c r="CT159" t="e">
        <f>AND(#REF!,"AAAAAF//+2E=")</f>
        <v>#REF!</v>
      </c>
      <c r="CU159" t="e">
        <f>AND(#REF!,"AAAAAF//+2I=")</f>
        <v>#REF!</v>
      </c>
      <c r="CV159" t="e">
        <f>AND(#REF!,"AAAAAF//+2M=")</f>
        <v>#REF!</v>
      </c>
      <c r="CW159" t="e">
        <f>AND(#REF!,"AAAAAF//+2Q=")</f>
        <v>#REF!</v>
      </c>
      <c r="CX159" t="e">
        <f>AND(#REF!,"AAAAAF//+2U=")</f>
        <v>#REF!</v>
      </c>
      <c r="CY159" t="e">
        <f>AND(#REF!,"AAAAAF//+2Y=")</f>
        <v>#REF!</v>
      </c>
      <c r="CZ159" t="e">
        <f>AND(#REF!,"AAAAAF//+2c=")</f>
        <v>#REF!</v>
      </c>
      <c r="DA159" t="e">
        <f>AND(#REF!,"AAAAAF//+2g=")</f>
        <v>#REF!</v>
      </c>
      <c r="DB159" t="e">
        <f>AND(#REF!,"AAAAAF//+2k=")</f>
        <v>#REF!</v>
      </c>
      <c r="DC159" t="e">
        <f>AND(#REF!,"AAAAAF//+2o=")</f>
        <v>#REF!</v>
      </c>
      <c r="DD159" t="e">
        <f>AND(#REF!,"AAAAAF//+2s=")</f>
        <v>#REF!</v>
      </c>
      <c r="DE159" t="e">
        <f>AND(#REF!,"AAAAAF//+2w=")</f>
        <v>#REF!</v>
      </c>
      <c r="DF159" t="e">
        <f>AND(#REF!,"AAAAAF//+20=")</f>
        <v>#REF!</v>
      </c>
      <c r="DG159" t="e">
        <f>AND(#REF!,"AAAAAF//+24=")</f>
        <v>#REF!</v>
      </c>
      <c r="DH159" t="e">
        <f>AND(#REF!,"AAAAAF//+28=")</f>
        <v>#REF!</v>
      </c>
      <c r="DI159" t="e">
        <f>AND(#REF!,"AAAAAF//+3A=")</f>
        <v>#REF!</v>
      </c>
      <c r="DJ159" t="e">
        <f>AND(#REF!,"AAAAAF//+3E=")</f>
        <v>#REF!</v>
      </c>
      <c r="DK159" t="e">
        <f>AND(#REF!,"AAAAAF//+3I=")</f>
        <v>#REF!</v>
      </c>
      <c r="DL159" t="e">
        <f>AND(#REF!,"AAAAAF//+3M=")</f>
        <v>#REF!</v>
      </c>
      <c r="DM159" t="e">
        <f>AND(#REF!,"AAAAAF//+3Q=")</f>
        <v>#REF!</v>
      </c>
      <c r="DN159" t="e">
        <f>AND(#REF!,"AAAAAF//+3U=")</f>
        <v>#REF!</v>
      </c>
      <c r="DO159" t="e">
        <f>AND(#REF!,"AAAAAF//+3Y=")</f>
        <v>#REF!</v>
      </c>
      <c r="DP159" t="e">
        <f>AND(#REF!,"AAAAAF//+3c=")</f>
        <v>#REF!</v>
      </c>
      <c r="DQ159" t="e">
        <f>AND(#REF!,"AAAAAF//+3g=")</f>
        <v>#REF!</v>
      </c>
      <c r="DR159" t="e">
        <f>AND(#REF!,"AAAAAF//+3k=")</f>
        <v>#REF!</v>
      </c>
      <c r="DS159" t="e">
        <f>AND(#REF!,"AAAAAF//+3o=")</f>
        <v>#REF!</v>
      </c>
      <c r="DT159" t="e">
        <f>AND(#REF!,"AAAAAF//+3s=")</f>
        <v>#REF!</v>
      </c>
      <c r="DU159" t="e">
        <f>AND(#REF!,"AAAAAF//+3w=")</f>
        <v>#REF!</v>
      </c>
      <c r="DV159" t="e">
        <f>AND(#REF!,"AAAAAF//+30=")</f>
        <v>#REF!</v>
      </c>
      <c r="DW159" t="e">
        <f>AND(#REF!,"AAAAAF//+34=")</f>
        <v>#REF!</v>
      </c>
      <c r="DX159" t="e">
        <f>AND(#REF!,"AAAAAF//+38=")</f>
        <v>#REF!</v>
      </c>
      <c r="DY159" t="e">
        <f>AND(#REF!,"AAAAAF//+4A=")</f>
        <v>#REF!</v>
      </c>
      <c r="DZ159" t="e">
        <f>AND(#REF!,"AAAAAF//+4E=")</f>
        <v>#REF!</v>
      </c>
      <c r="EA159" t="e">
        <f>AND(#REF!,"AAAAAF//+4I=")</f>
        <v>#REF!</v>
      </c>
      <c r="EB159" t="e">
        <f>AND(#REF!,"AAAAAF//+4M=")</f>
        <v>#REF!</v>
      </c>
      <c r="EC159" t="e">
        <f>AND(#REF!,"AAAAAF//+4Q=")</f>
        <v>#REF!</v>
      </c>
      <c r="ED159" t="e">
        <f>AND(#REF!,"AAAAAF//+4U=")</f>
        <v>#REF!</v>
      </c>
      <c r="EE159" t="e">
        <f>AND(#REF!,"AAAAAF//+4Y=")</f>
        <v>#REF!</v>
      </c>
      <c r="EF159" t="e">
        <f>AND(#REF!,"AAAAAF//+4c=")</f>
        <v>#REF!</v>
      </c>
      <c r="EG159" t="e">
        <f>AND(#REF!,"AAAAAF//+4g=")</f>
        <v>#REF!</v>
      </c>
      <c r="EH159" t="e">
        <f>AND(#REF!,"AAAAAF//+4k=")</f>
        <v>#REF!</v>
      </c>
      <c r="EI159" t="e">
        <f>AND(#REF!,"AAAAAF//+4o=")</f>
        <v>#REF!</v>
      </c>
      <c r="EJ159" t="e">
        <f>AND(#REF!,"AAAAAF//+4s=")</f>
        <v>#REF!</v>
      </c>
      <c r="EK159" t="e">
        <f>AND(#REF!,"AAAAAF//+4w=")</f>
        <v>#REF!</v>
      </c>
      <c r="EL159" t="e">
        <f>AND(#REF!,"AAAAAF//+40=")</f>
        <v>#REF!</v>
      </c>
      <c r="EM159" t="e">
        <f>AND(#REF!,"AAAAAF//+44=")</f>
        <v>#REF!</v>
      </c>
      <c r="EN159" t="e">
        <f>AND(#REF!,"AAAAAF//+48=")</f>
        <v>#REF!</v>
      </c>
      <c r="EO159" t="e">
        <f>AND(#REF!,"AAAAAF//+5A=")</f>
        <v>#REF!</v>
      </c>
      <c r="EP159" t="e">
        <f>AND(#REF!,"AAAAAF//+5E=")</f>
        <v>#REF!</v>
      </c>
      <c r="EQ159" t="e">
        <f>AND(#REF!,"AAAAAF//+5I=")</f>
        <v>#REF!</v>
      </c>
      <c r="ER159" t="e">
        <f>AND(#REF!,"AAAAAF//+5M=")</f>
        <v>#REF!</v>
      </c>
      <c r="ES159" t="e">
        <f>AND(#REF!,"AAAAAF//+5Q=")</f>
        <v>#REF!</v>
      </c>
      <c r="ET159" t="e">
        <f>AND(#REF!,"AAAAAF//+5U=")</f>
        <v>#REF!</v>
      </c>
      <c r="EU159" t="e">
        <f>AND(#REF!,"AAAAAF//+5Y=")</f>
        <v>#REF!</v>
      </c>
      <c r="EV159" t="e">
        <f>AND(#REF!,"AAAAAF//+5c=")</f>
        <v>#REF!</v>
      </c>
      <c r="EW159" t="e">
        <f>IF(#REF!,"AAAAAF//+5g=",0)</f>
        <v>#REF!</v>
      </c>
      <c r="EX159" t="e">
        <f>AND(#REF!,"AAAAAF//+5k=")</f>
        <v>#REF!</v>
      </c>
      <c r="EY159" t="e">
        <f>AND(#REF!,"AAAAAF//+5o=")</f>
        <v>#REF!</v>
      </c>
      <c r="EZ159" t="e">
        <f>AND(#REF!,"AAAAAF//+5s=")</f>
        <v>#REF!</v>
      </c>
      <c r="FA159" t="e">
        <f>AND(#REF!,"AAAAAF//+5w=")</f>
        <v>#REF!</v>
      </c>
      <c r="FB159" t="e">
        <f>AND(#REF!,"AAAAAF//+50=")</f>
        <v>#REF!</v>
      </c>
      <c r="FC159" t="e">
        <f>AND(#REF!,"AAAAAF//+54=")</f>
        <v>#REF!</v>
      </c>
      <c r="FD159" t="e">
        <f>AND(#REF!,"AAAAAF//+58=")</f>
        <v>#REF!</v>
      </c>
      <c r="FE159" t="e">
        <f>AND(#REF!,"AAAAAF//+6A=")</f>
        <v>#REF!</v>
      </c>
      <c r="FF159" t="e">
        <f>AND(#REF!,"AAAAAF//+6E=")</f>
        <v>#REF!</v>
      </c>
      <c r="FG159" t="e">
        <f>AND(#REF!,"AAAAAF//+6I=")</f>
        <v>#REF!</v>
      </c>
      <c r="FH159" t="e">
        <f>AND(#REF!,"AAAAAF//+6M=")</f>
        <v>#REF!</v>
      </c>
      <c r="FI159" t="e">
        <f>AND(#REF!,"AAAAAF//+6Q=")</f>
        <v>#REF!</v>
      </c>
      <c r="FJ159" t="e">
        <f>AND(#REF!,"AAAAAF//+6U=")</f>
        <v>#REF!</v>
      </c>
      <c r="FK159" t="e">
        <f>AND(#REF!,"AAAAAF//+6Y=")</f>
        <v>#REF!</v>
      </c>
      <c r="FL159" t="e">
        <f>AND(#REF!,"AAAAAF//+6c=")</f>
        <v>#REF!</v>
      </c>
      <c r="FM159" t="e">
        <f>AND(#REF!,"AAAAAF//+6g=")</f>
        <v>#REF!</v>
      </c>
      <c r="FN159" t="e">
        <f>AND(#REF!,"AAAAAF//+6k=")</f>
        <v>#REF!</v>
      </c>
      <c r="FO159" t="e">
        <f>AND(#REF!,"AAAAAF//+6o=")</f>
        <v>#REF!</v>
      </c>
      <c r="FP159" t="e">
        <f>AND(#REF!,"AAAAAF//+6s=")</f>
        <v>#REF!</v>
      </c>
      <c r="FQ159" t="e">
        <f>AND(#REF!,"AAAAAF//+6w=")</f>
        <v>#REF!</v>
      </c>
      <c r="FR159" t="e">
        <f>AND(#REF!,"AAAAAF//+60=")</f>
        <v>#REF!</v>
      </c>
      <c r="FS159" t="e">
        <f>AND(#REF!,"AAAAAF//+64=")</f>
        <v>#REF!</v>
      </c>
      <c r="FT159" t="e">
        <f>AND(#REF!,"AAAAAF//+68=")</f>
        <v>#REF!</v>
      </c>
      <c r="FU159" t="e">
        <f>AND(#REF!,"AAAAAF//+7A=")</f>
        <v>#REF!</v>
      </c>
      <c r="FV159" t="e">
        <f>AND(#REF!,"AAAAAF//+7E=")</f>
        <v>#REF!</v>
      </c>
      <c r="FW159" t="e">
        <f>AND(#REF!,"AAAAAF//+7I=")</f>
        <v>#REF!</v>
      </c>
      <c r="FX159" t="e">
        <f>AND(#REF!,"AAAAAF//+7M=")</f>
        <v>#REF!</v>
      </c>
      <c r="FY159" t="e">
        <f>AND(#REF!,"AAAAAF//+7Q=")</f>
        <v>#REF!</v>
      </c>
      <c r="FZ159" t="e">
        <f>AND(#REF!,"AAAAAF//+7U=")</f>
        <v>#REF!</v>
      </c>
      <c r="GA159" t="e">
        <f>AND(#REF!,"AAAAAF//+7Y=")</f>
        <v>#REF!</v>
      </c>
      <c r="GB159" t="e">
        <f>AND(#REF!,"AAAAAF//+7c=")</f>
        <v>#REF!</v>
      </c>
      <c r="GC159" t="e">
        <f>AND(#REF!,"AAAAAF//+7g=")</f>
        <v>#REF!</v>
      </c>
      <c r="GD159" t="e">
        <f>AND(#REF!,"AAAAAF//+7k=")</f>
        <v>#REF!</v>
      </c>
      <c r="GE159" t="e">
        <f>AND(#REF!,"AAAAAF//+7o=")</f>
        <v>#REF!</v>
      </c>
      <c r="GF159" t="e">
        <f>AND(#REF!,"AAAAAF//+7s=")</f>
        <v>#REF!</v>
      </c>
      <c r="GG159" t="e">
        <f>AND(#REF!,"AAAAAF//+7w=")</f>
        <v>#REF!</v>
      </c>
      <c r="GH159" t="e">
        <f>AND(#REF!,"AAAAAF//+70=")</f>
        <v>#REF!</v>
      </c>
      <c r="GI159" t="e">
        <f>AND(#REF!,"AAAAAF//+74=")</f>
        <v>#REF!</v>
      </c>
      <c r="GJ159" t="e">
        <f>AND(#REF!,"AAAAAF//+78=")</f>
        <v>#REF!</v>
      </c>
      <c r="GK159" t="e">
        <f>AND(#REF!,"AAAAAF//+8A=")</f>
        <v>#REF!</v>
      </c>
      <c r="GL159" t="e">
        <f>AND(#REF!,"AAAAAF//+8E=")</f>
        <v>#REF!</v>
      </c>
      <c r="GM159" t="e">
        <f>AND(#REF!,"AAAAAF//+8I=")</f>
        <v>#REF!</v>
      </c>
      <c r="GN159" t="e">
        <f>AND(#REF!,"AAAAAF//+8M=")</f>
        <v>#REF!</v>
      </c>
      <c r="GO159" t="e">
        <f>AND(#REF!,"AAAAAF//+8Q=")</f>
        <v>#REF!</v>
      </c>
      <c r="GP159" t="e">
        <f>AND(#REF!,"AAAAAF//+8U=")</f>
        <v>#REF!</v>
      </c>
      <c r="GQ159" t="e">
        <f>AND(#REF!,"AAAAAF//+8Y=")</f>
        <v>#REF!</v>
      </c>
      <c r="GR159" t="e">
        <f>AND(#REF!,"AAAAAF//+8c=")</f>
        <v>#REF!</v>
      </c>
      <c r="GS159" t="e">
        <f>AND(#REF!,"AAAAAF//+8g=")</f>
        <v>#REF!</v>
      </c>
      <c r="GT159" t="e">
        <f>AND(#REF!,"AAAAAF//+8k=")</f>
        <v>#REF!</v>
      </c>
      <c r="GU159" t="e">
        <f>AND(#REF!,"AAAAAF//+8o=")</f>
        <v>#REF!</v>
      </c>
      <c r="GV159" t="e">
        <f>AND(#REF!,"AAAAAF//+8s=")</f>
        <v>#REF!</v>
      </c>
      <c r="GW159" t="e">
        <f>AND(#REF!,"AAAAAF//+8w=")</f>
        <v>#REF!</v>
      </c>
      <c r="GX159" t="e">
        <f>AND(#REF!,"AAAAAF//+80=")</f>
        <v>#REF!</v>
      </c>
      <c r="GY159" t="e">
        <f>AND(#REF!,"AAAAAF//+84=")</f>
        <v>#REF!</v>
      </c>
      <c r="GZ159" t="e">
        <f>AND(#REF!,"AAAAAF//+88=")</f>
        <v>#REF!</v>
      </c>
      <c r="HA159" t="e">
        <f>AND(#REF!,"AAAAAF//+9A=")</f>
        <v>#REF!</v>
      </c>
      <c r="HB159" t="e">
        <f>AND(#REF!,"AAAAAF//+9E=")</f>
        <v>#REF!</v>
      </c>
      <c r="HC159" t="e">
        <f>AND(#REF!,"AAAAAF//+9I=")</f>
        <v>#REF!</v>
      </c>
      <c r="HD159" t="e">
        <f>AND(#REF!,"AAAAAF//+9M=")</f>
        <v>#REF!</v>
      </c>
      <c r="HE159" t="e">
        <f>AND(#REF!,"AAAAAF//+9Q=")</f>
        <v>#REF!</v>
      </c>
      <c r="HF159" t="e">
        <f>AND(#REF!,"AAAAAF//+9U=")</f>
        <v>#REF!</v>
      </c>
      <c r="HG159" t="e">
        <f>AND(#REF!,"AAAAAF//+9Y=")</f>
        <v>#REF!</v>
      </c>
      <c r="HH159" t="e">
        <f>AND(#REF!,"AAAAAF//+9c=")</f>
        <v>#REF!</v>
      </c>
      <c r="HI159" t="e">
        <f>AND(#REF!,"AAAAAF//+9g=")</f>
        <v>#REF!</v>
      </c>
      <c r="HJ159" t="e">
        <f>AND(#REF!,"AAAAAF//+9k=")</f>
        <v>#REF!</v>
      </c>
      <c r="HK159" t="e">
        <f>AND(#REF!,"AAAAAF//+9o=")</f>
        <v>#REF!</v>
      </c>
      <c r="HL159" t="e">
        <f>AND(#REF!,"AAAAAF//+9s=")</f>
        <v>#REF!</v>
      </c>
      <c r="HM159" t="e">
        <f>AND(#REF!,"AAAAAF//+9w=")</f>
        <v>#REF!</v>
      </c>
      <c r="HN159" t="e">
        <f>AND(#REF!,"AAAAAF//+90=")</f>
        <v>#REF!</v>
      </c>
      <c r="HO159" t="e">
        <f>AND(#REF!,"AAAAAF//+94=")</f>
        <v>#REF!</v>
      </c>
      <c r="HP159" t="e">
        <f>AND(#REF!,"AAAAAF//+98=")</f>
        <v>#REF!</v>
      </c>
      <c r="HQ159" t="e">
        <f>AND(#REF!,"AAAAAF//++A=")</f>
        <v>#REF!</v>
      </c>
      <c r="HR159" t="e">
        <f>AND(#REF!,"AAAAAF//++E=")</f>
        <v>#REF!</v>
      </c>
      <c r="HS159" t="e">
        <f>AND(#REF!,"AAAAAF//++I=")</f>
        <v>#REF!</v>
      </c>
      <c r="HT159" t="e">
        <f>AND(#REF!,"AAAAAF//++M=")</f>
        <v>#REF!</v>
      </c>
      <c r="HU159" t="e">
        <f>AND(#REF!,"AAAAAF//++Q=")</f>
        <v>#REF!</v>
      </c>
      <c r="HV159" t="e">
        <f>AND(#REF!,"AAAAAF//++U=")</f>
        <v>#REF!</v>
      </c>
      <c r="HW159" t="e">
        <f>AND(#REF!,"AAAAAF//++Y=")</f>
        <v>#REF!</v>
      </c>
      <c r="HX159" t="e">
        <f>AND(#REF!,"AAAAAF//++c=")</f>
        <v>#REF!</v>
      </c>
      <c r="HY159" t="e">
        <f>AND(#REF!,"AAAAAF//++g=")</f>
        <v>#REF!</v>
      </c>
      <c r="HZ159" t="e">
        <f>AND(#REF!,"AAAAAF//++k=")</f>
        <v>#REF!</v>
      </c>
      <c r="IA159" t="e">
        <f>AND(#REF!,"AAAAAF//++o=")</f>
        <v>#REF!</v>
      </c>
      <c r="IB159" t="e">
        <f>AND(#REF!,"AAAAAF//++s=")</f>
        <v>#REF!</v>
      </c>
      <c r="IC159" t="e">
        <f>AND(#REF!,"AAAAAF//++w=")</f>
        <v>#REF!</v>
      </c>
      <c r="ID159" t="e">
        <f>AND(#REF!,"AAAAAF//++0=")</f>
        <v>#REF!</v>
      </c>
      <c r="IE159" t="e">
        <f>AND(#REF!,"AAAAAF//++4=")</f>
        <v>#REF!</v>
      </c>
      <c r="IF159" t="e">
        <f>AND(#REF!,"AAAAAF//++8=")</f>
        <v>#REF!</v>
      </c>
      <c r="IG159" t="e">
        <f>AND(#REF!,"AAAAAF//+/A=")</f>
        <v>#REF!</v>
      </c>
      <c r="IH159" t="e">
        <f>AND(#REF!,"AAAAAF//+/E=")</f>
        <v>#REF!</v>
      </c>
      <c r="II159" t="e">
        <f>AND(#REF!,"AAAAAF//+/I=")</f>
        <v>#REF!</v>
      </c>
      <c r="IJ159" t="e">
        <f>AND(#REF!,"AAAAAF//+/M=")</f>
        <v>#REF!</v>
      </c>
      <c r="IK159" t="e">
        <f>AND(#REF!,"AAAAAF//+/Q=")</f>
        <v>#REF!</v>
      </c>
      <c r="IL159" t="e">
        <f>AND(#REF!,"AAAAAF//+/U=")</f>
        <v>#REF!</v>
      </c>
      <c r="IM159" t="e">
        <f>AND(#REF!,"AAAAAF//+/Y=")</f>
        <v>#REF!</v>
      </c>
      <c r="IN159" t="e">
        <f>AND(#REF!,"AAAAAF//+/c=")</f>
        <v>#REF!</v>
      </c>
      <c r="IO159" t="e">
        <f>AND(#REF!,"AAAAAF//+/g=")</f>
        <v>#REF!</v>
      </c>
      <c r="IP159" t="e">
        <f>AND(#REF!,"AAAAAF//+/k=")</f>
        <v>#REF!</v>
      </c>
      <c r="IQ159" t="e">
        <f>AND(#REF!,"AAAAAF//+/o=")</f>
        <v>#REF!</v>
      </c>
      <c r="IR159" t="e">
        <f>AND(#REF!,"AAAAAF//+/s=")</f>
        <v>#REF!</v>
      </c>
      <c r="IS159" t="e">
        <f>AND(#REF!,"AAAAAF//+/w=")</f>
        <v>#REF!</v>
      </c>
      <c r="IT159" t="e">
        <f>AND(#REF!,"AAAAAF//+/0=")</f>
        <v>#REF!</v>
      </c>
      <c r="IU159" t="e">
        <f>AND(#REF!,"AAAAAF//+/4=")</f>
        <v>#REF!</v>
      </c>
      <c r="IV159" t="e">
        <f>AND(#REF!,"AAAAAF//+/8=")</f>
        <v>#REF!</v>
      </c>
    </row>
    <row r="160" spans="1:256" x14ac:dyDescent="0.25">
      <c r="A160" t="e">
        <f>AND(#REF!,"AAAAAH797gA=")</f>
        <v>#REF!</v>
      </c>
      <c r="B160" t="e">
        <f>AND(#REF!,"AAAAAH797gE=")</f>
        <v>#REF!</v>
      </c>
      <c r="C160" t="e">
        <f>AND(#REF!,"AAAAAH797gI=")</f>
        <v>#REF!</v>
      </c>
      <c r="D160" t="e">
        <f>AND(#REF!,"AAAAAH797gM=")</f>
        <v>#REF!</v>
      </c>
      <c r="E160" t="e">
        <f>AND(#REF!,"AAAAAH797gQ=")</f>
        <v>#REF!</v>
      </c>
      <c r="F160" t="e">
        <f>AND(#REF!,"AAAAAH797gU=")</f>
        <v>#REF!</v>
      </c>
      <c r="G160" t="e">
        <f>AND(#REF!,"AAAAAH797gY=")</f>
        <v>#REF!</v>
      </c>
      <c r="H160" t="e">
        <f>AND(#REF!,"AAAAAH797gc=")</f>
        <v>#REF!</v>
      </c>
      <c r="I160" t="e">
        <f>AND(#REF!,"AAAAAH797gg=")</f>
        <v>#REF!</v>
      </c>
      <c r="J160" t="e">
        <f>AND(#REF!,"AAAAAH797gk=")</f>
        <v>#REF!</v>
      </c>
      <c r="K160" t="e">
        <f>AND(#REF!,"AAAAAH797go=")</f>
        <v>#REF!</v>
      </c>
      <c r="L160" t="e">
        <f>AND(#REF!,"AAAAAH797gs=")</f>
        <v>#REF!</v>
      </c>
      <c r="M160" t="e">
        <f>AND(#REF!,"AAAAAH797gw=")</f>
        <v>#REF!</v>
      </c>
      <c r="N160" t="e">
        <f>AND(#REF!,"AAAAAH797g0=")</f>
        <v>#REF!</v>
      </c>
      <c r="O160" t="e">
        <f>AND(#REF!,"AAAAAH797g4=")</f>
        <v>#REF!</v>
      </c>
      <c r="P160" t="e">
        <f>AND(#REF!,"AAAAAH797g8=")</f>
        <v>#REF!</v>
      </c>
      <c r="Q160" t="e">
        <f>AND(#REF!,"AAAAAH797hA=")</f>
        <v>#REF!</v>
      </c>
      <c r="R160" t="e">
        <f>AND(#REF!,"AAAAAH797hE=")</f>
        <v>#REF!</v>
      </c>
      <c r="S160" t="e">
        <f>AND(#REF!,"AAAAAH797hI=")</f>
        <v>#REF!</v>
      </c>
      <c r="T160" t="e">
        <f>AND(#REF!,"AAAAAH797hM=")</f>
        <v>#REF!</v>
      </c>
      <c r="U160" t="e">
        <f>AND(#REF!,"AAAAAH797hQ=")</f>
        <v>#REF!</v>
      </c>
      <c r="V160" t="e">
        <f>AND(#REF!,"AAAAAH797hU=")</f>
        <v>#REF!</v>
      </c>
      <c r="W160" t="e">
        <f>AND(#REF!,"AAAAAH797hY=")</f>
        <v>#REF!</v>
      </c>
      <c r="X160" t="e">
        <f>AND(#REF!,"AAAAAH797hc=")</f>
        <v>#REF!</v>
      </c>
      <c r="Y160" t="e">
        <f>AND(#REF!,"AAAAAH797hg=")</f>
        <v>#REF!</v>
      </c>
      <c r="Z160" t="e">
        <f>AND(#REF!,"AAAAAH797hk=")</f>
        <v>#REF!</v>
      </c>
      <c r="AA160" t="e">
        <f>AND(#REF!,"AAAAAH797ho=")</f>
        <v>#REF!</v>
      </c>
      <c r="AB160" t="e">
        <f>AND(#REF!,"AAAAAH797hs=")</f>
        <v>#REF!</v>
      </c>
      <c r="AC160" t="e">
        <f>AND(#REF!,"AAAAAH797hw=")</f>
        <v>#REF!</v>
      </c>
      <c r="AD160" t="e">
        <f>AND(#REF!,"AAAAAH797h0=")</f>
        <v>#REF!</v>
      </c>
      <c r="AE160" t="e">
        <f>AND(#REF!,"AAAAAH797h4=")</f>
        <v>#REF!</v>
      </c>
      <c r="AF160" t="e">
        <f>AND(#REF!,"AAAAAH797h8=")</f>
        <v>#REF!</v>
      </c>
      <c r="AG160" t="e">
        <f>AND(#REF!,"AAAAAH797iA=")</f>
        <v>#REF!</v>
      </c>
      <c r="AH160" t="e">
        <f>AND(#REF!,"AAAAAH797iE=")</f>
        <v>#REF!</v>
      </c>
      <c r="AI160" t="e">
        <f>AND(#REF!,"AAAAAH797iI=")</f>
        <v>#REF!</v>
      </c>
      <c r="AJ160" t="e">
        <f>AND(#REF!,"AAAAAH797iM=")</f>
        <v>#REF!</v>
      </c>
      <c r="AK160" t="e">
        <f>AND(#REF!,"AAAAAH797iQ=")</f>
        <v>#REF!</v>
      </c>
      <c r="AL160" t="e">
        <f>AND(#REF!,"AAAAAH797iU=")</f>
        <v>#REF!</v>
      </c>
      <c r="AM160" t="e">
        <f>AND(#REF!,"AAAAAH797iY=")</f>
        <v>#REF!</v>
      </c>
      <c r="AN160" t="e">
        <f>AND(#REF!,"AAAAAH797ic=")</f>
        <v>#REF!</v>
      </c>
      <c r="AO160" t="e">
        <f>AND(#REF!,"AAAAAH797ig=")</f>
        <v>#REF!</v>
      </c>
      <c r="AP160" t="e">
        <f>AND(#REF!,"AAAAAH797ik=")</f>
        <v>#REF!</v>
      </c>
      <c r="AQ160" t="e">
        <f>AND(#REF!,"AAAAAH797io=")</f>
        <v>#REF!</v>
      </c>
      <c r="AR160" t="e">
        <f>AND(#REF!,"AAAAAH797is=")</f>
        <v>#REF!</v>
      </c>
      <c r="AS160" t="e">
        <f>AND(#REF!,"AAAAAH797iw=")</f>
        <v>#REF!</v>
      </c>
      <c r="AT160" t="e">
        <f>AND(#REF!,"AAAAAH797i0=")</f>
        <v>#REF!</v>
      </c>
      <c r="AU160" t="e">
        <f>AND(#REF!,"AAAAAH797i4=")</f>
        <v>#REF!</v>
      </c>
      <c r="AV160" t="e">
        <f>AND(#REF!,"AAAAAH797i8=")</f>
        <v>#REF!</v>
      </c>
      <c r="AW160" t="e">
        <f>AND(#REF!,"AAAAAH797jA=")</f>
        <v>#REF!</v>
      </c>
      <c r="AX160" t="e">
        <f>AND(#REF!,"AAAAAH797jE=")</f>
        <v>#REF!</v>
      </c>
      <c r="AY160" t="e">
        <f>AND(#REF!,"AAAAAH797jI=")</f>
        <v>#REF!</v>
      </c>
      <c r="AZ160" t="e">
        <f>AND(#REF!,"AAAAAH797jM=")</f>
        <v>#REF!</v>
      </c>
      <c r="BA160" t="e">
        <f>AND(#REF!,"AAAAAH797jQ=")</f>
        <v>#REF!</v>
      </c>
      <c r="BB160" t="e">
        <f>AND(#REF!,"AAAAAH797jU=")</f>
        <v>#REF!</v>
      </c>
      <c r="BC160" t="e">
        <f>AND(#REF!,"AAAAAH797jY=")</f>
        <v>#REF!</v>
      </c>
      <c r="BD160" t="e">
        <f>AND(#REF!,"AAAAAH797jc=")</f>
        <v>#REF!</v>
      </c>
      <c r="BE160" t="e">
        <f>AND(#REF!,"AAAAAH797jg=")</f>
        <v>#REF!</v>
      </c>
      <c r="BF160" t="e">
        <f>AND(#REF!,"AAAAAH797jk=")</f>
        <v>#REF!</v>
      </c>
      <c r="BG160" t="e">
        <f>AND(#REF!,"AAAAAH797jo=")</f>
        <v>#REF!</v>
      </c>
      <c r="BH160" t="e">
        <f>AND(#REF!,"AAAAAH797js=")</f>
        <v>#REF!</v>
      </c>
      <c r="BI160" t="e">
        <f>AND(#REF!,"AAAAAH797jw=")</f>
        <v>#REF!</v>
      </c>
      <c r="BJ160" t="e">
        <f>AND(#REF!,"AAAAAH797j0=")</f>
        <v>#REF!</v>
      </c>
      <c r="BK160" t="e">
        <f>AND(#REF!,"AAAAAH797j4=")</f>
        <v>#REF!</v>
      </c>
      <c r="BL160" t="e">
        <f>AND(#REF!,"AAAAAH797j8=")</f>
        <v>#REF!</v>
      </c>
      <c r="BM160" t="e">
        <f>AND(#REF!,"AAAAAH797kA=")</f>
        <v>#REF!</v>
      </c>
      <c r="BN160" t="e">
        <f>AND(#REF!,"AAAAAH797kE=")</f>
        <v>#REF!</v>
      </c>
      <c r="BO160" t="e">
        <f>AND(#REF!,"AAAAAH797kI=")</f>
        <v>#REF!</v>
      </c>
      <c r="BP160" t="e">
        <f>AND(#REF!,"AAAAAH797kM=")</f>
        <v>#REF!</v>
      </c>
      <c r="BQ160" t="e">
        <f>AND(#REF!,"AAAAAH797kQ=")</f>
        <v>#REF!</v>
      </c>
      <c r="BR160" t="e">
        <f>AND(#REF!,"AAAAAH797kU=")</f>
        <v>#REF!</v>
      </c>
      <c r="BS160" t="e">
        <f>AND(#REF!,"AAAAAH797kY=")</f>
        <v>#REF!</v>
      </c>
      <c r="BT160" t="e">
        <f>AND(#REF!,"AAAAAH797kc=")</f>
        <v>#REF!</v>
      </c>
      <c r="BU160" t="e">
        <f>AND(#REF!,"AAAAAH797kg=")</f>
        <v>#REF!</v>
      </c>
      <c r="BV160" t="e">
        <f>AND(#REF!,"AAAAAH797kk=")</f>
        <v>#REF!</v>
      </c>
      <c r="BW160" t="e">
        <f>AND(#REF!,"AAAAAH797ko=")</f>
        <v>#REF!</v>
      </c>
      <c r="BX160" t="e">
        <f>AND(#REF!,"AAAAAH797ks=")</f>
        <v>#REF!</v>
      </c>
      <c r="BY160" t="e">
        <f>AND(#REF!,"AAAAAH797kw=")</f>
        <v>#REF!</v>
      </c>
      <c r="BZ160" t="e">
        <f>AND(#REF!,"AAAAAH797k0=")</f>
        <v>#REF!</v>
      </c>
      <c r="CA160" t="e">
        <f>AND(#REF!,"AAAAAH797k4=")</f>
        <v>#REF!</v>
      </c>
      <c r="CB160" t="e">
        <f>AND(#REF!,"AAAAAH797k8=")</f>
        <v>#REF!</v>
      </c>
      <c r="CC160" t="e">
        <f>AND(#REF!,"AAAAAH797lA=")</f>
        <v>#REF!</v>
      </c>
      <c r="CD160" t="e">
        <f>AND(#REF!,"AAAAAH797lE=")</f>
        <v>#REF!</v>
      </c>
      <c r="CE160" t="e">
        <f>AND(#REF!,"AAAAAH797lI=")</f>
        <v>#REF!</v>
      </c>
      <c r="CF160" t="e">
        <f>AND(#REF!,"AAAAAH797lM=")</f>
        <v>#REF!</v>
      </c>
      <c r="CG160" t="e">
        <f>AND(#REF!,"AAAAAH797lQ=")</f>
        <v>#REF!</v>
      </c>
      <c r="CH160" t="e">
        <f>IF(#REF!,"AAAAAH797lU=",0)</f>
        <v>#REF!</v>
      </c>
      <c r="CI160" t="e">
        <f>AND(#REF!,"AAAAAH797lY=")</f>
        <v>#REF!</v>
      </c>
      <c r="CJ160" t="e">
        <f>AND(#REF!,"AAAAAH797lc=")</f>
        <v>#REF!</v>
      </c>
      <c r="CK160" t="e">
        <f>AND(#REF!,"AAAAAH797lg=")</f>
        <v>#REF!</v>
      </c>
      <c r="CL160" t="e">
        <f>AND(#REF!,"AAAAAH797lk=")</f>
        <v>#REF!</v>
      </c>
      <c r="CM160" t="e">
        <f>AND(#REF!,"AAAAAH797lo=")</f>
        <v>#REF!</v>
      </c>
      <c r="CN160" t="e">
        <f>AND(#REF!,"AAAAAH797ls=")</f>
        <v>#REF!</v>
      </c>
      <c r="CO160" t="e">
        <f>AND(#REF!,"AAAAAH797lw=")</f>
        <v>#REF!</v>
      </c>
      <c r="CP160" t="e">
        <f>AND(#REF!,"AAAAAH797l0=")</f>
        <v>#REF!</v>
      </c>
      <c r="CQ160" t="e">
        <f>AND(#REF!,"AAAAAH797l4=")</f>
        <v>#REF!</v>
      </c>
      <c r="CR160" t="e">
        <f>AND(#REF!,"AAAAAH797l8=")</f>
        <v>#REF!</v>
      </c>
      <c r="CS160" t="e">
        <f>AND(#REF!,"AAAAAH797mA=")</f>
        <v>#REF!</v>
      </c>
      <c r="CT160" t="e">
        <f>AND(#REF!,"AAAAAH797mE=")</f>
        <v>#REF!</v>
      </c>
      <c r="CU160" t="e">
        <f>AND(#REF!,"AAAAAH797mI=")</f>
        <v>#REF!</v>
      </c>
      <c r="CV160" t="e">
        <f>AND(#REF!,"AAAAAH797mM=")</f>
        <v>#REF!</v>
      </c>
      <c r="CW160" t="e">
        <f>AND(#REF!,"AAAAAH797mQ=")</f>
        <v>#REF!</v>
      </c>
      <c r="CX160" t="e">
        <f>AND(#REF!,"AAAAAH797mU=")</f>
        <v>#REF!</v>
      </c>
      <c r="CY160" t="e">
        <f>AND(#REF!,"AAAAAH797mY=")</f>
        <v>#REF!</v>
      </c>
      <c r="CZ160" t="e">
        <f>AND(#REF!,"AAAAAH797mc=")</f>
        <v>#REF!</v>
      </c>
      <c r="DA160" t="e">
        <f>AND(#REF!,"AAAAAH797mg=")</f>
        <v>#REF!</v>
      </c>
      <c r="DB160" t="e">
        <f>AND(#REF!,"AAAAAH797mk=")</f>
        <v>#REF!</v>
      </c>
      <c r="DC160" t="e">
        <f>AND(#REF!,"AAAAAH797mo=")</f>
        <v>#REF!</v>
      </c>
      <c r="DD160" t="e">
        <f>AND(#REF!,"AAAAAH797ms=")</f>
        <v>#REF!</v>
      </c>
      <c r="DE160" t="e">
        <f>AND(#REF!,"AAAAAH797mw=")</f>
        <v>#REF!</v>
      </c>
      <c r="DF160" t="e">
        <f>AND(#REF!,"AAAAAH797m0=")</f>
        <v>#REF!</v>
      </c>
      <c r="DG160" t="e">
        <f>AND(#REF!,"AAAAAH797m4=")</f>
        <v>#REF!</v>
      </c>
      <c r="DH160" t="e">
        <f>AND(#REF!,"AAAAAH797m8=")</f>
        <v>#REF!</v>
      </c>
      <c r="DI160" t="e">
        <f>AND(#REF!,"AAAAAH797nA=")</f>
        <v>#REF!</v>
      </c>
      <c r="DJ160" t="e">
        <f>AND(#REF!,"AAAAAH797nE=")</f>
        <v>#REF!</v>
      </c>
      <c r="DK160" t="e">
        <f>AND(#REF!,"AAAAAH797nI=")</f>
        <v>#REF!</v>
      </c>
      <c r="DL160" t="e">
        <f>AND(#REF!,"AAAAAH797nM=")</f>
        <v>#REF!</v>
      </c>
      <c r="DM160" t="e">
        <f>AND(#REF!,"AAAAAH797nQ=")</f>
        <v>#REF!</v>
      </c>
      <c r="DN160" t="e">
        <f>AND(#REF!,"AAAAAH797nU=")</f>
        <v>#REF!</v>
      </c>
      <c r="DO160" t="e">
        <f>AND(#REF!,"AAAAAH797nY=")</f>
        <v>#REF!</v>
      </c>
      <c r="DP160" t="e">
        <f>AND(#REF!,"AAAAAH797nc=")</f>
        <v>#REF!</v>
      </c>
      <c r="DQ160" t="e">
        <f>AND(#REF!,"AAAAAH797ng=")</f>
        <v>#REF!</v>
      </c>
      <c r="DR160" t="e">
        <f>AND(#REF!,"AAAAAH797nk=")</f>
        <v>#REF!</v>
      </c>
      <c r="DS160" t="e">
        <f>AND(#REF!,"AAAAAH797no=")</f>
        <v>#REF!</v>
      </c>
      <c r="DT160" t="e">
        <f>AND(#REF!,"AAAAAH797ns=")</f>
        <v>#REF!</v>
      </c>
      <c r="DU160" t="e">
        <f>AND(#REF!,"AAAAAH797nw=")</f>
        <v>#REF!</v>
      </c>
      <c r="DV160" t="e">
        <f>AND(#REF!,"AAAAAH797n0=")</f>
        <v>#REF!</v>
      </c>
      <c r="DW160" t="e">
        <f>AND(#REF!,"AAAAAH797n4=")</f>
        <v>#REF!</v>
      </c>
      <c r="DX160" t="e">
        <f>AND(#REF!,"AAAAAH797n8=")</f>
        <v>#REF!</v>
      </c>
      <c r="DY160" t="e">
        <f>AND(#REF!,"AAAAAH797oA=")</f>
        <v>#REF!</v>
      </c>
      <c r="DZ160" t="e">
        <f>AND(#REF!,"AAAAAH797oE=")</f>
        <v>#REF!</v>
      </c>
      <c r="EA160" t="e">
        <f>AND(#REF!,"AAAAAH797oI=")</f>
        <v>#REF!</v>
      </c>
      <c r="EB160" t="e">
        <f>AND(#REF!,"AAAAAH797oM=")</f>
        <v>#REF!</v>
      </c>
      <c r="EC160" t="e">
        <f>AND(#REF!,"AAAAAH797oQ=")</f>
        <v>#REF!</v>
      </c>
      <c r="ED160" t="e">
        <f>AND(#REF!,"AAAAAH797oU=")</f>
        <v>#REF!</v>
      </c>
      <c r="EE160" t="e">
        <f>AND(#REF!,"AAAAAH797oY=")</f>
        <v>#REF!</v>
      </c>
      <c r="EF160" t="e">
        <f>AND(#REF!,"AAAAAH797oc=")</f>
        <v>#REF!</v>
      </c>
      <c r="EG160" t="e">
        <f>AND(#REF!,"AAAAAH797og=")</f>
        <v>#REF!</v>
      </c>
      <c r="EH160" t="e">
        <f>AND(#REF!,"AAAAAH797ok=")</f>
        <v>#REF!</v>
      </c>
      <c r="EI160" t="e">
        <f>AND(#REF!,"AAAAAH797oo=")</f>
        <v>#REF!</v>
      </c>
      <c r="EJ160" t="e">
        <f>AND(#REF!,"AAAAAH797os=")</f>
        <v>#REF!</v>
      </c>
      <c r="EK160" t="e">
        <f>AND(#REF!,"AAAAAH797ow=")</f>
        <v>#REF!</v>
      </c>
      <c r="EL160" t="e">
        <f>AND(#REF!,"AAAAAH797o0=")</f>
        <v>#REF!</v>
      </c>
      <c r="EM160" t="e">
        <f>AND(#REF!,"AAAAAH797o4=")</f>
        <v>#REF!</v>
      </c>
      <c r="EN160" t="e">
        <f>AND(#REF!,"AAAAAH797o8=")</f>
        <v>#REF!</v>
      </c>
      <c r="EO160" t="e">
        <f>AND(#REF!,"AAAAAH797pA=")</f>
        <v>#REF!</v>
      </c>
      <c r="EP160" t="e">
        <f>AND(#REF!,"AAAAAH797pE=")</f>
        <v>#REF!</v>
      </c>
      <c r="EQ160" t="e">
        <f>AND(#REF!,"AAAAAH797pI=")</f>
        <v>#REF!</v>
      </c>
      <c r="ER160" t="e">
        <f>AND(#REF!,"AAAAAH797pM=")</f>
        <v>#REF!</v>
      </c>
      <c r="ES160" t="e">
        <f>AND(#REF!,"AAAAAH797pQ=")</f>
        <v>#REF!</v>
      </c>
      <c r="ET160" t="e">
        <f>AND(#REF!,"AAAAAH797pU=")</f>
        <v>#REF!</v>
      </c>
      <c r="EU160" t="e">
        <f>AND(#REF!,"AAAAAH797pY=")</f>
        <v>#REF!</v>
      </c>
      <c r="EV160" t="e">
        <f>AND(#REF!,"AAAAAH797pc=")</f>
        <v>#REF!</v>
      </c>
      <c r="EW160" t="e">
        <f>AND(#REF!,"AAAAAH797pg=")</f>
        <v>#REF!</v>
      </c>
      <c r="EX160" t="e">
        <f>AND(#REF!,"AAAAAH797pk=")</f>
        <v>#REF!</v>
      </c>
      <c r="EY160" t="e">
        <f>AND(#REF!,"AAAAAH797po=")</f>
        <v>#REF!</v>
      </c>
      <c r="EZ160" t="e">
        <f>AND(#REF!,"AAAAAH797ps=")</f>
        <v>#REF!</v>
      </c>
      <c r="FA160" t="e">
        <f>AND(#REF!,"AAAAAH797pw=")</f>
        <v>#REF!</v>
      </c>
      <c r="FB160" t="e">
        <f>AND(#REF!,"AAAAAH797p0=")</f>
        <v>#REF!</v>
      </c>
      <c r="FC160" t="e">
        <f>AND(#REF!,"AAAAAH797p4=")</f>
        <v>#REF!</v>
      </c>
      <c r="FD160" t="e">
        <f>AND(#REF!,"AAAAAH797p8=")</f>
        <v>#REF!</v>
      </c>
      <c r="FE160" t="e">
        <f>AND(#REF!,"AAAAAH797qA=")</f>
        <v>#REF!</v>
      </c>
      <c r="FF160" t="e">
        <f>AND(#REF!,"AAAAAH797qE=")</f>
        <v>#REF!</v>
      </c>
      <c r="FG160" t="e">
        <f>AND(#REF!,"AAAAAH797qI=")</f>
        <v>#REF!</v>
      </c>
      <c r="FH160" t="e">
        <f>AND(#REF!,"AAAAAH797qM=")</f>
        <v>#REF!</v>
      </c>
      <c r="FI160" t="e">
        <f>AND(#REF!,"AAAAAH797qQ=")</f>
        <v>#REF!</v>
      </c>
      <c r="FJ160" t="e">
        <f>AND(#REF!,"AAAAAH797qU=")</f>
        <v>#REF!</v>
      </c>
      <c r="FK160" t="e">
        <f>AND(#REF!,"AAAAAH797qY=")</f>
        <v>#REF!</v>
      </c>
      <c r="FL160" t="e">
        <f>AND(#REF!,"AAAAAH797qc=")</f>
        <v>#REF!</v>
      </c>
      <c r="FM160" t="e">
        <f>AND(#REF!,"AAAAAH797qg=")</f>
        <v>#REF!</v>
      </c>
      <c r="FN160" t="e">
        <f>AND(#REF!,"AAAAAH797qk=")</f>
        <v>#REF!</v>
      </c>
      <c r="FO160" t="e">
        <f>AND(#REF!,"AAAAAH797qo=")</f>
        <v>#REF!</v>
      </c>
      <c r="FP160" t="e">
        <f>AND(#REF!,"AAAAAH797qs=")</f>
        <v>#REF!</v>
      </c>
      <c r="FQ160" t="e">
        <f>AND(#REF!,"AAAAAH797qw=")</f>
        <v>#REF!</v>
      </c>
      <c r="FR160" t="e">
        <f>AND(#REF!,"AAAAAH797q0=")</f>
        <v>#REF!</v>
      </c>
      <c r="FS160" t="e">
        <f>AND(#REF!,"AAAAAH797q4=")</f>
        <v>#REF!</v>
      </c>
      <c r="FT160" t="e">
        <f>AND(#REF!,"AAAAAH797q8=")</f>
        <v>#REF!</v>
      </c>
      <c r="FU160" t="e">
        <f>AND(#REF!,"AAAAAH797rA=")</f>
        <v>#REF!</v>
      </c>
      <c r="FV160" t="e">
        <f>AND(#REF!,"AAAAAH797rE=")</f>
        <v>#REF!</v>
      </c>
      <c r="FW160" t="e">
        <f>AND(#REF!,"AAAAAH797rI=")</f>
        <v>#REF!</v>
      </c>
      <c r="FX160" t="e">
        <f>AND(#REF!,"AAAAAH797rM=")</f>
        <v>#REF!</v>
      </c>
      <c r="FY160" t="e">
        <f>AND(#REF!,"AAAAAH797rQ=")</f>
        <v>#REF!</v>
      </c>
      <c r="FZ160" t="e">
        <f>AND(#REF!,"AAAAAH797rU=")</f>
        <v>#REF!</v>
      </c>
      <c r="GA160" t="e">
        <f>AND(#REF!,"AAAAAH797rY=")</f>
        <v>#REF!</v>
      </c>
      <c r="GB160" t="e">
        <f>AND(#REF!,"AAAAAH797rc=")</f>
        <v>#REF!</v>
      </c>
      <c r="GC160" t="e">
        <f>AND(#REF!,"AAAAAH797rg=")</f>
        <v>#REF!</v>
      </c>
      <c r="GD160" t="e">
        <f>AND(#REF!,"AAAAAH797rk=")</f>
        <v>#REF!</v>
      </c>
      <c r="GE160" t="e">
        <f>AND(#REF!,"AAAAAH797ro=")</f>
        <v>#REF!</v>
      </c>
      <c r="GF160" t="e">
        <f>AND(#REF!,"AAAAAH797rs=")</f>
        <v>#REF!</v>
      </c>
      <c r="GG160" t="e">
        <f>AND(#REF!,"AAAAAH797rw=")</f>
        <v>#REF!</v>
      </c>
      <c r="GH160" t="e">
        <f>AND(#REF!,"AAAAAH797r0=")</f>
        <v>#REF!</v>
      </c>
      <c r="GI160" t="e">
        <f>AND(#REF!,"AAAAAH797r4=")</f>
        <v>#REF!</v>
      </c>
      <c r="GJ160" t="e">
        <f>AND(#REF!,"AAAAAH797r8=")</f>
        <v>#REF!</v>
      </c>
      <c r="GK160" t="e">
        <f>AND(#REF!,"AAAAAH797sA=")</f>
        <v>#REF!</v>
      </c>
      <c r="GL160" t="e">
        <f>AND(#REF!,"AAAAAH797sE=")</f>
        <v>#REF!</v>
      </c>
      <c r="GM160" t="e">
        <f>AND(#REF!,"AAAAAH797sI=")</f>
        <v>#REF!</v>
      </c>
      <c r="GN160" t="e">
        <f>AND(#REF!,"AAAAAH797sM=")</f>
        <v>#REF!</v>
      </c>
      <c r="GO160" t="e">
        <f>AND(#REF!,"AAAAAH797sQ=")</f>
        <v>#REF!</v>
      </c>
      <c r="GP160" t="e">
        <f>AND(#REF!,"AAAAAH797sU=")</f>
        <v>#REF!</v>
      </c>
      <c r="GQ160" t="e">
        <f>AND(#REF!,"AAAAAH797sY=")</f>
        <v>#REF!</v>
      </c>
      <c r="GR160" t="e">
        <f>AND(#REF!,"AAAAAH797sc=")</f>
        <v>#REF!</v>
      </c>
      <c r="GS160" t="e">
        <f>AND(#REF!,"AAAAAH797sg=")</f>
        <v>#REF!</v>
      </c>
      <c r="GT160" t="e">
        <f>AND(#REF!,"AAAAAH797sk=")</f>
        <v>#REF!</v>
      </c>
      <c r="GU160" t="e">
        <f>AND(#REF!,"AAAAAH797so=")</f>
        <v>#REF!</v>
      </c>
      <c r="GV160" t="e">
        <f>AND(#REF!,"AAAAAH797ss=")</f>
        <v>#REF!</v>
      </c>
      <c r="GW160" t="e">
        <f>AND(#REF!,"AAAAAH797sw=")</f>
        <v>#REF!</v>
      </c>
      <c r="GX160" t="e">
        <f>AND(#REF!,"AAAAAH797s0=")</f>
        <v>#REF!</v>
      </c>
      <c r="GY160" t="e">
        <f>AND(#REF!,"AAAAAH797s4=")</f>
        <v>#REF!</v>
      </c>
      <c r="GZ160" t="e">
        <f>AND(#REF!,"AAAAAH797s8=")</f>
        <v>#REF!</v>
      </c>
      <c r="HA160" t="e">
        <f>AND(#REF!,"AAAAAH797tA=")</f>
        <v>#REF!</v>
      </c>
      <c r="HB160" t="e">
        <f>AND(#REF!,"AAAAAH797tE=")</f>
        <v>#REF!</v>
      </c>
      <c r="HC160" t="e">
        <f>AND(#REF!,"AAAAAH797tI=")</f>
        <v>#REF!</v>
      </c>
      <c r="HD160" t="e">
        <f>AND(#REF!,"AAAAAH797tM=")</f>
        <v>#REF!</v>
      </c>
      <c r="HE160" t="e">
        <f>AND(#REF!,"AAAAAH797tQ=")</f>
        <v>#REF!</v>
      </c>
      <c r="HF160" t="e">
        <f>AND(#REF!,"AAAAAH797tU=")</f>
        <v>#REF!</v>
      </c>
      <c r="HG160" t="e">
        <f>AND(#REF!,"AAAAAH797tY=")</f>
        <v>#REF!</v>
      </c>
      <c r="HH160" t="e">
        <f>AND(#REF!,"AAAAAH797tc=")</f>
        <v>#REF!</v>
      </c>
      <c r="HI160" t="e">
        <f>AND(#REF!,"AAAAAH797tg=")</f>
        <v>#REF!</v>
      </c>
      <c r="HJ160" t="e">
        <f>AND(#REF!,"AAAAAH797tk=")</f>
        <v>#REF!</v>
      </c>
      <c r="HK160" t="e">
        <f>AND(#REF!,"AAAAAH797to=")</f>
        <v>#REF!</v>
      </c>
      <c r="HL160" t="e">
        <f>AND(#REF!,"AAAAAH797ts=")</f>
        <v>#REF!</v>
      </c>
      <c r="HM160" t="e">
        <f>AND(#REF!,"AAAAAH797tw=")</f>
        <v>#REF!</v>
      </c>
      <c r="HN160" t="e">
        <f>AND(#REF!,"AAAAAH797t0=")</f>
        <v>#REF!</v>
      </c>
      <c r="HO160" t="e">
        <f>AND(#REF!,"AAAAAH797t4=")</f>
        <v>#REF!</v>
      </c>
      <c r="HP160" t="e">
        <f>AND(#REF!,"AAAAAH797t8=")</f>
        <v>#REF!</v>
      </c>
      <c r="HQ160" t="e">
        <f>AND(#REF!,"AAAAAH797uA=")</f>
        <v>#REF!</v>
      </c>
      <c r="HR160" t="e">
        <f>AND(#REF!,"AAAAAH797uE=")</f>
        <v>#REF!</v>
      </c>
      <c r="HS160" t="e">
        <f>AND(#REF!,"AAAAAH797uI=")</f>
        <v>#REF!</v>
      </c>
      <c r="HT160" t="e">
        <f>AND(#REF!,"AAAAAH797uM=")</f>
        <v>#REF!</v>
      </c>
      <c r="HU160" t="e">
        <f>AND(#REF!,"AAAAAH797uQ=")</f>
        <v>#REF!</v>
      </c>
      <c r="HV160" t="e">
        <f>AND(#REF!,"AAAAAH797uU=")</f>
        <v>#REF!</v>
      </c>
      <c r="HW160" t="e">
        <f>AND(#REF!,"AAAAAH797uY=")</f>
        <v>#REF!</v>
      </c>
      <c r="HX160" t="e">
        <f>AND(#REF!,"AAAAAH797uc=")</f>
        <v>#REF!</v>
      </c>
      <c r="HY160" t="e">
        <f>AND(#REF!,"AAAAAH797ug=")</f>
        <v>#REF!</v>
      </c>
      <c r="HZ160" t="e">
        <f>AND(#REF!,"AAAAAH797uk=")</f>
        <v>#REF!</v>
      </c>
      <c r="IA160" t="e">
        <f>AND(#REF!,"AAAAAH797uo=")</f>
        <v>#REF!</v>
      </c>
      <c r="IB160" t="e">
        <f>AND(#REF!,"AAAAAH797us=")</f>
        <v>#REF!</v>
      </c>
      <c r="IC160" t="e">
        <f>AND(#REF!,"AAAAAH797uw=")</f>
        <v>#REF!</v>
      </c>
      <c r="ID160" t="e">
        <f>AND(#REF!,"AAAAAH797u0=")</f>
        <v>#REF!</v>
      </c>
      <c r="IE160" t="e">
        <f>AND(#REF!,"AAAAAH797u4=")</f>
        <v>#REF!</v>
      </c>
      <c r="IF160" t="e">
        <f>AND(#REF!,"AAAAAH797u8=")</f>
        <v>#REF!</v>
      </c>
      <c r="IG160" t="e">
        <f>AND(#REF!,"AAAAAH797vA=")</f>
        <v>#REF!</v>
      </c>
      <c r="IH160" t="e">
        <f>AND(#REF!,"AAAAAH797vE=")</f>
        <v>#REF!</v>
      </c>
      <c r="II160" t="e">
        <f>AND(#REF!,"AAAAAH797vI=")</f>
        <v>#REF!</v>
      </c>
      <c r="IJ160" t="e">
        <f>AND(#REF!,"AAAAAH797vM=")</f>
        <v>#REF!</v>
      </c>
      <c r="IK160" t="e">
        <f>AND(#REF!,"AAAAAH797vQ=")</f>
        <v>#REF!</v>
      </c>
      <c r="IL160" t="e">
        <f>AND(#REF!,"AAAAAH797vU=")</f>
        <v>#REF!</v>
      </c>
      <c r="IM160" t="e">
        <f>AND(#REF!,"AAAAAH797vY=")</f>
        <v>#REF!</v>
      </c>
      <c r="IN160" t="e">
        <f>AND(#REF!,"AAAAAH797vc=")</f>
        <v>#REF!</v>
      </c>
      <c r="IO160" t="e">
        <f>AND(#REF!,"AAAAAH797vg=")</f>
        <v>#REF!</v>
      </c>
      <c r="IP160" t="e">
        <f>AND(#REF!,"AAAAAH797vk=")</f>
        <v>#REF!</v>
      </c>
      <c r="IQ160" t="e">
        <f>AND(#REF!,"AAAAAH797vo=")</f>
        <v>#REF!</v>
      </c>
      <c r="IR160" t="e">
        <f>AND(#REF!,"AAAAAH797vs=")</f>
        <v>#REF!</v>
      </c>
      <c r="IS160" t="e">
        <f>AND(#REF!,"AAAAAH797vw=")</f>
        <v>#REF!</v>
      </c>
      <c r="IT160" t="e">
        <f>AND(#REF!,"AAAAAH797v0=")</f>
        <v>#REF!</v>
      </c>
      <c r="IU160" t="e">
        <f>AND(#REF!,"AAAAAH797v4=")</f>
        <v>#REF!</v>
      </c>
      <c r="IV160" t="e">
        <f>AND(#REF!,"AAAAAH797v8=")</f>
        <v>#REF!</v>
      </c>
    </row>
    <row r="161" spans="1:256" x14ac:dyDescent="0.25">
      <c r="A161" t="e">
        <f>AND(#REF!,"AAAAAFfQ7QA=")</f>
        <v>#REF!</v>
      </c>
      <c r="B161" t="e">
        <f>AND(#REF!,"AAAAAFfQ7QE=")</f>
        <v>#REF!</v>
      </c>
      <c r="C161" t="e">
        <f>AND(#REF!,"AAAAAFfQ7QI=")</f>
        <v>#REF!</v>
      </c>
      <c r="D161" t="e">
        <f>AND(#REF!,"AAAAAFfQ7QM=")</f>
        <v>#REF!</v>
      </c>
      <c r="E161" t="e">
        <f>AND(#REF!,"AAAAAFfQ7QQ=")</f>
        <v>#REF!</v>
      </c>
      <c r="F161" t="e">
        <f>AND(#REF!,"AAAAAFfQ7QU=")</f>
        <v>#REF!</v>
      </c>
      <c r="G161" t="e">
        <f>AND(#REF!,"AAAAAFfQ7QY=")</f>
        <v>#REF!</v>
      </c>
      <c r="H161" t="e">
        <f>AND(#REF!,"AAAAAFfQ7Qc=")</f>
        <v>#REF!</v>
      </c>
      <c r="I161" t="e">
        <f>AND(#REF!,"AAAAAFfQ7Qg=")</f>
        <v>#REF!</v>
      </c>
      <c r="J161" t="e">
        <f>AND(#REF!,"AAAAAFfQ7Qk=")</f>
        <v>#REF!</v>
      </c>
      <c r="K161" t="e">
        <f>AND(#REF!,"AAAAAFfQ7Qo=")</f>
        <v>#REF!</v>
      </c>
      <c r="L161" t="e">
        <f>AND(#REF!,"AAAAAFfQ7Qs=")</f>
        <v>#REF!</v>
      </c>
      <c r="M161" t="e">
        <f>AND(#REF!,"AAAAAFfQ7Qw=")</f>
        <v>#REF!</v>
      </c>
      <c r="N161" t="e">
        <f>AND(#REF!,"AAAAAFfQ7Q0=")</f>
        <v>#REF!</v>
      </c>
      <c r="O161" t="e">
        <f>AND(#REF!,"AAAAAFfQ7Q4=")</f>
        <v>#REF!</v>
      </c>
      <c r="P161" t="e">
        <f>AND(#REF!,"AAAAAFfQ7Q8=")</f>
        <v>#REF!</v>
      </c>
      <c r="Q161" t="e">
        <f>AND(#REF!,"AAAAAFfQ7RA=")</f>
        <v>#REF!</v>
      </c>
      <c r="R161" t="e">
        <f>AND(#REF!,"AAAAAFfQ7RE=")</f>
        <v>#REF!</v>
      </c>
      <c r="S161" t="e">
        <f>IF(#REF!,"AAAAAFfQ7RI=",0)</f>
        <v>#REF!</v>
      </c>
      <c r="T161" t="e">
        <f>AND(#REF!,"AAAAAFfQ7RM=")</f>
        <v>#REF!</v>
      </c>
      <c r="U161" t="e">
        <f>AND(#REF!,"AAAAAFfQ7RQ=")</f>
        <v>#REF!</v>
      </c>
      <c r="V161" t="e">
        <f>AND(#REF!,"AAAAAFfQ7RU=")</f>
        <v>#REF!</v>
      </c>
      <c r="W161" t="e">
        <f>AND(#REF!,"AAAAAFfQ7RY=")</f>
        <v>#REF!</v>
      </c>
      <c r="X161" t="e">
        <f>AND(#REF!,"AAAAAFfQ7Rc=")</f>
        <v>#REF!</v>
      </c>
      <c r="Y161" t="e">
        <f>AND(#REF!,"AAAAAFfQ7Rg=")</f>
        <v>#REF!</v>
      </c>
      <c r="Z161" t="e">
        <f>AND(#REF!,"AAAAAFfQ7Rk=")</f>
        <v>#REF!</v>
      </c>
      <c r="AA161" t="e">
        <f>AND(#REF!,"AAAAAFfQ7Ro=")</f>
        <v>#REF!</v>
      </c>
      <c r="AB161" t="e">
        <f>AND(#REF!,"AAAAAFfQ7Rs=")</f>
        <v>#REF!</v>
      </c>
      <c r="AC161" t="e">
        <f>AND(#REF!,"AAAAAFfQ7Rw=")</f>
        <v>#REF!</v>
      </c>
      <c r="AD161" t="e">
        <f>AND(#REF!,"AAAAAFfQ7R0=")</f>
        <v>#REF!</v>
      </c>
      <c r="AE161" t="e">
        <f>AND(#REF!,"AAAAAFfQ7R4=")</f>
        <v>#REF!</v>
      </c>
      <c r="AF161" t="e">
        <f>AND(#REF!,"AAAAAFfQ7R8=")</f>
        <v>#REF!</v>
      </c>
      <c r="AG161" t="e">
        <f>AND(#REF!,"AAAAAFfQ7SA=")</f>
        <v>#REF!</v>
      </c>
      <c r="AH161" t="e">
        <f>AND(#REF!,"AAAAAFfQ7SE=")</f>
        <v>#REF!</v>
      </c>
      <c r="AI161" t="e">
        <f>AND(#REF!,"AAAAAFfQ7SI=")</f>
        <v>#REF!</v>
      </c>
      <c r="AJ161" t="e">
        <f>AND(#REF!,"AAAAAFfQ7SM=")</f>
        <v>#REF!</v>
      </c>
      <c r="AK161" t="e">
        <f>AND(#REF!,"AAAAAFfQ7SQ=")</f>
        <v>#REF!</v>
      </c>
      <c r="AL161" t="e">
        <f>AND(#REF!,"AAAAAFfQ7SU=")</f>
        <v>#REF!</v>
      </c>
      <c r="AM161" t="e">
        <f>AND(#REF!,"AAAAAFfQ7SY=")</f>
        <v>#REF!</v>
      </c>
      <c r="AN161" t="e">
        <f>AND(#REF!,"AAAAAFfQ7Sc=")</f>
        <v>#REF!</v>
      </c>
      <c r="AO161" t="e">
        <f>AND(#REF!,"AAAAAFfQ7Sg=")</f>
        <v>#REF!</v>
      </c>
      <c r="AP161" t="e">
        <f>AND(#REF!,"AAAAAFfQ7Sk=")</f>
        <v>#REF!</v>
      </c>
      <c r="AQ161" t="e">
        <f>AND(#REF!,"AAAAAFfQ7So=")</f>
        <v>#REF!</v>
      </c>
      <c r="AR161" t="e">
        <f>AND(#REF!,"AAAAAFfQ7Ss=")</f>
        <v>#REF!</v>
      </c>
      <c r="AS161" t="e">
        <f>AND(#REF!,"AAAAAFfQ7Sw=")</f>
        <v>#REF!</v>
      </c>
      <c r="AT161" t="e">
        <f>AND(#REF!,"AAAAAFfQ7S0=")</f>
        <v>#REF!</v>
      </c>
      <c r="AU161" t="e">
        <f>AND(#REF!,"AAAAAFfQ7S4=")</f>
        <v>#REF!</v>
      </c>
      <c r="AV161" t="e">
        <f>AND(#REF!,"AAAAAFfQ7S8=")</f>
        <v>#REF!</v>
      </c>
      <c r="AW161" t="e">
        <f>AND(#REF!,"AAAAAFfQ7TA=")</f>
        <v>#REF!</v>
      </c>
      <c r="AX161" t="e">
        <f>AND(#REF!,"AAAAAFfQ7TE=")</f>
        <v>#REF!</v>
      </c>
      <c r="AY161" t="e">
        <f>AND(#REF!,"AAAAAFfQ7TI=")</f>
        <v>#REF!</v>
      </c>
      <c r="AZ161" t="e">
        <f>AND(#REF!,"AAAAAFfQ7TM=")</f>
        <v>#REF!</v>
      </c>
      <c r="BA161" t="e">
        <f>AND(#REF!,"AAAAAFfQ7TQ=")</f>
        <v>#REF!</v>
      </c>
      <c r="BB161" t="e">
        <f>AND(#REF!,"AAAAAFfQ7TU=")</f>
        <v>#REF!</v>
      </c>
      <c r="BC161" t="e">
        <f>AND(#REF!,"AAAAAFfQ7TY=")</f>
        <v>#REF!</v>
      </c>
      <c r="BD161" t="e">
        <f>AND(#REF!,"AAAAAFfQ7Tc=")</f>
        <v>#REF!</v>
      </c>
      <c r="BE161" t="e">
        <f>AND(#REF!,"AAAAAFfQ7Tg=")</f>
        <v>#REF!</v>
      </c>
      <c r="BF161" t="e">
        <f>AND(#REF!,"AAAAAFfQ7Tk=")</f>
        <v>#REF!</v>
      </c>
      <c r="BG161" t="e">
        <f>AND(#REF!,"AAAAAFfQ7To=")</f>
        <v>#REF!</v>
      </c>
      <c r="BH161" t="e">
        <f>AND(#REF!,"AAAAAFfQ7Ts=")</f>
        <v>#REF!</v>
      </c>
      <c r="BI161" t="e">
        <f>AND(#REF!,"AAAAAFfQ7Tw=")</f>
        <v>#REF!</v>
      </c>
      <c r="BJ161" t="e">
        <f>AND(#REF!,"AAAAAFfQ7T0=")</f>
        <v>#REF!</v>
      </c>
      <c r="BK161" t="e">
        <f>AND(#REF!,"AAAAAFfQ7T4=")</f>
        <v>#REF!</v>
      </c>
      <c r="BL161" t="e">
        <f>AND(#REF!,"AAAAAFfQ7T8=")</f>
        <v>#REF!</v>
      </c>
      <c r="BM161" t="e">
        <f>AND(#REF!,"AAAAAFfQ7UA=")</f>
        <v>#REF!</v>
      </c>
      <c r="BN161" t="e">
        <f>AND(#REF!,"AAAAAFfQ7UE=")</f>
        <v>#REF!</v>
      </c>
      <c r="BO161" t="e">
        <f>AND(#REF!,"AAAAAFfQ7UI=")</f>
        <v>#REF!</v>
      </c>
      <c r="BP161" t="e">
        <f>AND(#REF!,"AAAAAFfQ7UM=")</f>
        <v>#REF!</v>
      </c>
      <c r="BQ161" t="e">
        <f>AND(#REF!,"AAAAAFfQ7UQ=")</f>
        <v>#REF!</v>
      </c>
      <c r="BR161" t="e">
        <f>AND(#REF!,"AAAAAFfQ7UU=")</f>
        <v>#REF!</v>
      </c>
      <c r="BS161" t="e">
        <f>AND(#REF!,"AAAAAFfQ7UY=")</f>
        <v>#REF!</v>
      </c>
      <c r="BT161" t="e">
        <f>AND(#REF!,"AAAAAFfQ7Uc=")</f>
        <v>#REF!</v>
      </c>
      <c r="BU161" t="e">
        <f>AND(#REF!,"AAAAAFfQ7Ug=")</f>
        <v>#REF!</v>
      </c>
      <c r="BV161" t="e">
        <f>AND(#REF!,"AAAAAFfQ7Uk=")</f>
        <v>#REF!</v>
      </c>
      <c r="BW161" t="e">
        <f>AND(#REF!,"AAAAAFfQ7Uo=")</f>
        <v>#REF!</v>
      </c>
      <c r="BX161" t="e">
        <f>AND(#REF!,"AAAAAFfQ7Us=")</f>
        <v>#REF!</v>
      </c>
      <c r="BY161" t="e">
        <f>AND(#REF!,"AAAAAFfQ7Uw=")</f>
        <v>#REF!</v>
      </c>
      <c r="BZ161" t="e">
        <f>AND(#REF!,"AAAAAFfQ7U0=")</f>
        <v>#REF!</v>
      </c>
      <c r="CA161" t="e">
        <f>AND(#REF!,"AAAAAFfQ7U4=")</f>
        <v>#REF!</v>
      </c>
      <c r="CB161" t="e">
        <f>AND(#REF!,"AAAAAFfQ7U8=")</f>
        <v>#REF!</v>
      </c>
      <c r="CC161" t="e">
        <f>AND(#REF!,"AAAAAFfQ7VA=")</f>
        <v>#REF!</v>
      </c>
      <c r="CD161" t="e">
        <f>AND(#REF!,"AAAAAFfQ7VE=")</f>
        <v>#REF!</v>
      </c>
      <c r="CE161" t="e">
        <f>AND(#REF!,"AAAAAFfQ7VI=")</f>
        <v>#REF!</v>
      </c>
      <c r="CF161" t="e">
        <f>AND(#REF!,"AAAAAFfQ7VM=")</f>
        <v>#REF!</v>
      </c>
      <c r="CG161" t="e">
        <f>AND(#REF!,"AAAAAFfQ7VQ=")</f>
        <v>#REF!</v>
      </c>
      <c r="CH161" t="e">
        <f>AND(#REF!,"AAAAAFfQ7VU=")</f>
        <v>#REF!</v>
      </c>
      <c r="CI161" t="e">
        <f>AND(#REF!,"AAAAAFfQ7VY=")</f>
        <v>#REF!</v>
      </c>
      <c r="CJ161" t="e">
        <f>AND(#REF!,"AAAAAFfQ7Vc=")</f>
        <v>#REF!</v>
      </c>
      <c r="CK161" t="e">
        <f>AND(#REF!,"AAAAAFfQ7Vg=")</f>
        <v>#REF!</v>
      </c>
      <c r="CL161" t="e">
        <f>AND(#REF!,"AAAAAFfQ7Vk=")</f>
        <v>#REF!</v>
      </c>
      <c r="CM161" t="e">
        <f>AND(#REF!,"AAAAAFfQ7Vo=")</f>
        <v>#REF!</v>
      </c>
      <c r="CN161" t="e">
        <f>AND(#REF!,"AAAAAFfQ7Vs=")</f>
        <v>#REF!</v>
      </c>
      <c r="CO161" t="e">
        <f>AND(#REF!,"AAAAAFfQ7Vw=")</f>
        <v>#REF!</v>
      </c>
      <c r="CP161" t="e">
        <f>AND(#REF!,"AAAAAFfQ7V0=")</f>
        <v>#REF!</v>
      </c>
      <c r="CQ161" t="e">
        <f>AND(#REF!,"AAAAAFfQ7V4=")</f>
        <v>#REF!</v>
      </c>
      <c r="CR161" t="e">
        <f>AND(#REF!,"AAAAAFfQ7V8=")</f>
        <v>#REF!</v>
      </c>
      <c r="CS161" t="e">
        <f>AND(#REF!,"AAAAAFfQ7WA=")</f>
        <v>#REF!</v>
      </c>
      <c r="CT161" t="e">
        <f>AND(#REF!,"AAAAAFfQ7WE=")</f>
        <v>#REF!</v>
      </c>
      <c r="CU161" t="e">
        <f>AND(#REF!,"AAAAAFfQ7WI=")</f>
        <v>#REF!</v>
      </c>
      <c r="CV161" t="e">
        <f>AND(#REF!,"AAAAAFfQ7WM=")</f>
        <v>#REF!</v>
      </c>
      <c r="CW161" t="e">
        <f>AND(#REF!,"AAAAAFfQ7WQ=")</f>
        <v>#REF!</v>
      </c>
      <c r="CX161" t="e">
        <f>AND(#REF!,"AAAAAFfQ7WU=")</f>
        <v>#REF!</v>
      </c>
      <c r="CY161" t="e">
        <f>AND(#REF!,"AAAAAFfQ7WY=")</f>
        <v>#REF!</v>
      </c>
      <c r="CZ161" t="e">
        <f>AND(#REF!,"AAAAAFfQ7Wc=")</f>
        <v>#REF!</v>
      </c>
      <c r="DA161" t="e">
        <f>AND(#REF!,"AAAAAFfQ7Wg=")</f>
        <v>#REF!</v>
      </c>
      <c r="DB161" t="e">
        <f>AND(#REF!,"AAAAAFfQ7Wk=")</f>
        <v>#REF!</v>
      </c>
      <c r="DC161" t="e">
        <f>AND(#REF!,"AAAAAFfQ7Wo=")</f>
        <v>#REF!</v>
      </c>
      <c r="DD161" t="e">
        <f>AND(#REF!,"AAAAAFfQ7Ws=")</f>
        <v>#REF!</v>
      </c>
      <c r="DE161" t="e">
        <f>AND(#REF!,"AAAAAFfQ7Ww=")</f>
        <v>#REF!</v>
      </c>
      <c r="DF161" t="e">
        <f>AND(#REF!,"AAAAAFfQ7W0=")</f>
        <v>#REF!</v>
      </c>
      <c r="DG161" t="e">
        <f>AND(#REF!,"AAAAAFfQ7W4=")</f>
        <v>#REF!</v>
      </c>
      <c r="DH161" t="e">
        <f>AND(#REF!,"AAAAAFfQ7W8=")</f>
        <v>#REF!</v>
      </c>
      <c r="DI161" t="e">
        <f>AND(#REF!,"AAAAAFfQ7XA=")</f>
        <v>#REF!</v>
      </c>
      <c r="DJ161" t="e">
        <f>AND(#REF!,"AAAAAFfQ7XE=")</f>
        <v>#REF!</v>
      </c>
      <c r="DK161" t="e">
        <f>AND(#REF!,"AAAAAFfQ7XI=")</f>
        <v>#REF!</v>
      </c>
      <c r="DL161" t="e">
        <f>AND(#REF!,"AAAAAFfQ7XM=")</f>
        <v>#REF!</v>
      </c>
      <c r="DM161" t="e">
        <f>AND(#REF!,"AAAAAFfQ7XQ=")</f>
        <v>#REF!</v>
      </c>
      <c r="DN161" t="e">
        <f>AND(#REF!,"AAAAAFfQ7XU=")</f>
        <v>#REF!</v>
      </c>
      <c r="DO161" t="e">
        <f>AND(#REF!,"AAAAAFfQ7XY=")</f>
        <v>#REF!</v>
      </c>
      <c r="DP161" t="e">
        <f>AND(#REF!,"AAAAAFfQ7Xc=")</f>
        <v>#REF!</v>
      </c>
      <c r="DQ161" t="e">
        <f>AND(#REF!,"AAAAAFfQ7Xg=")</f>
        <v>#REF!</v>
      </c>
      <c r="DR161" t="e">
        <f>AND(#REF!,"AAAAAFfQ7Xk=")</f>
        <v>#REF!</v>
      </c>
      <c r="DS161" t="e">
        <f>AND(#REF!,"AAAAAFfQ7Xo=")</f>
        <v>#REF!</v>
      </c>
      <c r="DT161" t="e">
        <f>AND(#REF!,"AAAAAFfQ7Xs=")</f>
        <v>#REF!</v>
      </c>
      <c r="DU161" t="e">
        <f>AND(#REF!,"AAAAAFfQ7Xw=")</f>
        <v>#REF!</v>
      </c>
      <c r="DV161" t="e">
        <f>AND(#REF!,"AAAAAFfQ7X0=")</f>
        <v>#REF!</v>
      </c>
      <c r="DW161" t="e">
        <f>AND(#REF!,"AAAAAFfQ7X4=")</f>
        <v>#REF!</v>
      </c>
      <c r="DX161" t="e">
        <f>AND(#REF!,"AAAAAFfQ7X8=")</f>
        <v>#REF!</v>
      </c>
      <c r="DY161" t="e">
        <f>AND(#REF!,"AAAAAFfQ7YA=")</f>
        <v>#REF!</v>
      </c>
      <c r="DZ161" t="e">
        <f>AND(#REF!,"AAAAAFfQ7YE=")</f>
        <v>#REF!</v>
      </c>
      <c r="EA161" t="e">
        <f>AND(#REF!,"AAAAAFfQ7YI=")</f>
        <v>#REF!</v>
      </c>
      <c r="EB161" t="e">
        <f>AND(#REF!,"AAAAAFfQ7YM=")</f>
        <v>#REF!</v>
      </c>
      <c r="EC161" t="e">
        <f>AND(#REF!,"AAAAAFfQ7YQ=")</f>
        <v>#REF!</v>
      </c>
      <c r="ED161" t="e">
        <f>AND(#REF!,"AAAAAFfQ7YU=")</f>
        <v>#REF!</v>
      </c>
      <c r="EE161" t="e">
        <f>AND(#REF!,"AAAAAFfQ7YY=")</f>
        <v>#REF!</v>
      </c>
      <c r="EF161" t="e">
        <f>AND(#REF!,"AAAAAFfQ7Yc=")</f>
        <v>#REF!</v>
      </c>
      <c r="EG161" t="e">
        <f>AND(#REF!,"AAAAAFfQ7Yg=")</f>
        <v>#REF!</v>
      </c>
      <c r="EH161" t="e">
        <f>AND(#REF!,"AAAAAFfQ7Yk=")</f>
        <v>#REF!</v>
      </c>
      <c r="EI161" t="e">
        <f>AND(#REF!,"AAAAAFfQ7Yo=")</f>
        <v>#REF!</v>
      </c>
      <c r="EJ161" t="e">
        <f>AND(#REF!,"AAAAAFfQ7Ys=")</f>
        <v>#REF!</v>
      </c>
      <c r="EK161" t="e">
        <f>AND(#REF!,"AAAAAFfQ7Yw=")</f>
        <v>#REF!</v>
      </c>
      <c r="EL161" t="e">
        <f>AND(#REF!,"AAAAAFfQ7Y0=")</f>
        <v>#REF!</v>
      </c>
      <c r="EM161" t="e">
        <f>AND(#REF!,"AAAAAFfQ7Y4=")</f>
        <v>#REF!</v>
      </c>
      <c r="EN161" t="e">
        <f>AND(#REF!,"AAAAAFfQ7Y8=")</f>
        <v>#REF!</v>
      </c>
      <c r="EO161" t="e">
        <f>AND(#REF!,"AAAAAFfQ7ZA=")</f>
        <v>#REF!</v>
      </c>
      <c r="EP161" t="e">
        <f>AND(#REF!,"AAAAAFfQ7ZE=")</f>
        <v>#REF!</v>
      </c>
      <c r="EQ161" t="e">
        <f>AND(#REF!,"AAAAAFfQ7ZI=")</f>
        <v>#REF!</v>
      </c>
      <c r="ER161" t="e">
        <f>AND(#REF!,"AAAAAFfQ7ZM=")</f>
        <v>#REF!</v>
      </c>
      <c r="ES161" t="e">
        <f>AND(#REF!,"AAAAAFfQ7ZQ=")</f>
        <v>#REF!</v>
      </c>
      <c r="ET161" t="e">
        <f>AND(#REF!,"AAAAAFfQ7ZU=")</f>
        <v>#REF!</v>
      </c>
      <c r="EU161" t="e">
        <f>AND(#REF!,"AAAAAFfQ7ZY=")</f>
        <v>#REF!</v>
      </c>
      <c r="EV161" t="e">
        <f>AND(#REF!,"AAAAAFfQ7Zc=")</f>
        <v>#REF!</v>
      </c>
      <c r="EW161" t="e">
        <f>AND(#REF!,"AAAAAFfQ7Zg=")</f>
        <v>#REF!</v>
      </c>
      <c r="EX161" t="e">
        <f>AND(#REF!,"AAAAAFfQ7Zk=")</f>
        <v>#REF!</v>
      </c>
      <c r="EY161" t="e">
        <f>AND(#REF!,"AAAAAFfQ7Zo=")</f>
        <v>#REF!</v>
      </c>
      <c r="EZ161" t="e">
        <f>AND(#REF!,"AAAAAFfQ7Zs=")</f>
        <v>#REF!</v>
      </c>
      <c r="FA161" t="e">
        <f>AND(#REF!,"AAAAAFfQ7Zw=")</f>
        <v>#REF!</v>
      </c>
      <c r="FB161" t="e">
        <f>AND(#REF!,"AAAAAFfQ7Z0=")</f>
        <v>#REF!</v>
      </c>
      <c r="FC161" t="e">
        <f>AND(#REF!,"AAAAAFfQ7Z4=")</f>
        <v>#REF!</v>
      </c>
      <c r="FD161" t="e">
        <f>AND(#REF!,"AAAAAFfQ7Z8=")</f>
        <v>#REF!</v>
      </c>
      <c r="FE161" t="e">
        <f>AND(#REF!,"AAAAAFfQ7aA=")</f>
        <v>#REF!</v>
      </c>
      <c r="FF161" t="e">
        <f>AND(#REF!,"AAAAAFfQ7aE=")</f>
        <v>#REF!</v>
      </c>
      <c r="FG161" t="e">
        <f>AND(#REF!,"AAAAAFfQ7aI=")</f>
        <v>#REF!</v>
      </c>
      <c r="FH161" t="e">
        <f>AND(#REF!,"AAAAAFfQ7aM=")</f>
        <v>#REF!</v>
      </c>
      <c r="FI161" t="e">
        <f>AND(#REF!,"AAAAAFfQ7aQ=")</f>
        <v>#REF!</v>
      </c>
      <c r="FJ161" t="e">
        <f>AND(#REF!,"AAAAAFfQ7aU=")</f>
        <v>#REF!</v>
      </c>
      <c r="FK161" t="e">
        <f>AND(#REF!,"AAAAAFfQ7aY=")</f>
        <v>#REF!</v>
      </c>
      <c r="FL161" t="e">
        <f>AND(#REF!,"AAAAAFfQ7ac=")</f>
        <v>#REF!</v>
      </c>
      <c r="FM161" t="e">
        <f>AND(#REF!,"AAAAAFfQ7ag=")</f>
        <v>#REF!</v>
      </c>
      <c r="FN161" t="e">
        <f>AND(#REF!,"AAAAAFfQ7ak=")</f>
        <v>#REF!</v>
      </c>
      <c r="FO161" t="e">
        <f>AND(#REF!,"AAAAAFfQ7ao=")</f>
        <v>#REF!</v>
      </c>
      <c r="FP161" t="e">
        <f>AND(#REF!,"AAAAAFfQ7as=")</f>
        <v>#REF!</v>
      </c>
      <c r="FQ161" t="e">
        <f>AND(#REF!,"AAAAAFfQ7aw=")</f>
        <v>#REF!</v>
      </c>
      <c r="FR161" t="e">
        <f>AND(#REF!,"AAAAAFfQ7a0=")</f>
        <v>#REF!</v>
      </c>
      <c r="FS161" t="e">
        <f>AND(#REF!,"AAAAAFfQ7a4=")</f>
        <v>#REF!</v>
      </c>
      <c r="FT161" t="e">
        <f>AND(#REF!,"AAAAAFfQ7a8=")</f>
        <v>#REF!</v>
      </c>
      <c r="FU161" t="e">
        <f>AND(#REF!,"AAAAAFfQ7bA=")</f>
        <v>#REF!</v>
      </c>
      <c r="FV161" t="e">
        <f>AND(#REF!,"AAAAAFfQ7bE=")</f>
        <v>#REF!</v>
      </c>
      <c r="FW161" t="e">
        <f>AND(#REF!,"AAAAAFfQ7bI=")</f>
        <v>#REF!</v>
      </c>
      <c r="FX161" t="e">
        <f>AND(#REF!,"AAAAAFfQ7bM=")</f>
        <v>#REF!</v>
      </c>
      <c r="FY161" t="e">
        <f>AND(#REF!,"AAAAAFfQ7bQ=")</f>
        <v>#REF!</v>
      </c>
      <c r="FZ161" t="e">
        <f>AND(#REF!,"AAAAAFfQ7bU=")</f>
        <v>#REF!</v>
      </c>
      <c r="GA161" t="e">
        <f>AND(#REF!,"AAAAAFfQ7bY=")</f>
        <v>#REF!</v>
      </c>
      <c r="GB161" t="e">
        <f>AND(#REF!,"AAAAAFfQ7bc=")</f>
        <v>#REF!</v>
      </c>
      <c r="GC161" t="e">
        <f>AND(#REF!,"AAAAAFfQ7bg=")</f>
        <v>#REF!</v>
      </c>
      <c r="GD161" t="e">
        <f>AND(#REF!,"AAAAAFfQ7bk=")</f>
        <v>#REF!</v>
      </c>
      <c r="GE161" t="e">
        <f>AND(#REF!,"AAAAAFfQ7bo=")</f>
        <v>#REF!</v>
      </c>
      <c r="GF161" t="e">
        <f>AND(#REF!,"AAAAAFfQ7bs=")</f>
        <v>#REF!</v>
      </c>
      <c r="GG161" t="e">
        <f>AND(#REF!,"AAAAAFfQ7bw=")</f>
        <v>#REF!</v>
      </c>
      <c r="GH161" t="e">
        <f>AND(#REF!,"AAAAAFfQ7b0=")</f>
        <v>#REF!</v>
      </c>
      <c r="GI161" t="e">
        <f>AND(#REF!,"AAAAAFfQ7b4=")</f>
        <v>#REF!</v>
      </c>
      <c r="GJ161" t="e">
        <f>AND(#REF!,"AAAAAFfQ7b8=")</f>
        <v>#REF!</v>
      </c>
      <c r="GK161" t="e">
        <f>AND(#REF!,"AAAAAFfQ7cA=")</f>
        <v>#REF!</v>
      </c>
      <c r="GL161" t="e">
        <f>AND(#REF!,"AAAAAFfQ7cE=")</f>
        <v>#REF!</v>
      </c>
      <c r="GM161" t="e">
        <f>AND(#REF!,"AAAAAFfQ7cI=")</f>
        <v>#REF!</v>
      </c>
      <c r="GN161" t="e">
        <f>AND(#REF!,"AAAAAFfQ7cM=")</f>
        <v>#REF!</v>
      </c>
      <c r="GO161" t="e">
        <f>AND(#REF!,"AAAAAFfQ7cQ=")</f>
        <v>#REF!</v>
      </c>
      <c r="GP161" t="e">
        <f>AND(#REF!,"AAAAAFfQ7cU=")</f>
        <v>#REF!</v>
      </c>
      <c r="GQ161" t="e">
        <f>AND(#REF!,"AAAAAFfQ7cY=")</f>
        <v>#REF!</v>
      </c>
      <c r="GR161" t="e">
        <f>AND(#REF!,"AAAAAFfQ7cc=")</f>
        <v>#REF!</v>
      </c>
      <c r="GS161" t="e">
        <f>AND(#REF!,"AAAAAFfQ7cg=")</f>
        <v>#REF!</v>
      </c>
      <c r="GT161" t="e">
        <f>AND(#REF!,"AAAAAFfQ7ck=")</f>
        <v>#REF!</v>
      </c>
      <c r="GU161" t="e">
        <f>AND(#REF!,"AAAAAFfQ7co=")</f>
        <v>#REF!</v>
      </c>
      <c r="GV161" t="e">
        <f>AND(#REF!,"AAAAAFfQ7cs=")</f>
        <v>#REF!</v>
      </c>
      <c r="GW161" t="e">
        <f>AND(#REF!,"AAAAAFfQ7cw=")</f>
        <v>#REF!</v>
      </c>
      <c r="GX161" t="e">
        <f>AND(#REF!,"AAAAAFfQ7c0=")</f>
        <v>#REF!</v>
      </c>
      <c r="GY161" t="e">
        <f>AND(#REF!,"AAAAAFfQ7c4=")</f>
        <v>#REF!</v>
      </c>
      <c r="GZ161" t="e">
        <f>AND(#REF!,"AAAAAFfQ7c8=")</f>
        <v>#REF!</v>
      </c>
      <c r="HA161" t="e">
        <f>AND(#REF!,"AAAAAFfQ7dA=")</f>
        <v>#REF!</v>
      </c>
      <c r="HB161" t="e">
        <f>AND(#REF!,"AAAAAFfQ7dE=")</f>
        <v>#REF!</v>
      </c>
      <c r="HC161" t="e">
        <f>AND(#REF!,"AAAAAFfQ7dI=")</f>
        <v>#REF!</v>
      </c>
      <c r="HD161" t="e">
        <f>AND(#REF!,"AAAAAFfQ7dM=")</f>
        <v>#REF!</v>
      </c>
      <c r="HE161" t="e">
        <f>AND(#REF!,"AAAAAFfQ7dQ=")</f>
        <v>#REF!</v>
      </c>
      <c r="HF161" t="e">
        <f>AND(#REF!,"AAAAAFfQ7dU=")</f>
        <v>#REF!</v>
      </c>
      <c r="HG161" t="e">
        <f>AND(#REF!,"AAAAAFfQ7dY=")</f>
        <v>#REF!</v>
      </c>
      <c r="HH161" t="e">
        <f>AND(#REF!,"AAAAAFfQ7dc=")</f>
        <v>#REF!</v>
      </c>
      <c r="HI161" t="e">
        <f>AND(#REF!,"AAAAAFfQ7dg=")</f>
        <v>#REF!</v>
      </c>
      <c r="HJ161" t="e">
        <f>AND(#REF!,"AAAAAFfQ7dk=")</f>
        <v>#REF!</v>
      </c>
      <c r="HK161" t="e">
        <f>AND(#REF!,"AAAAAFfQ7do=")</f>
        <v>#REF!</v>
      </c>
      <c r="HL161" t="e">
        <f>AND(#REF!,"AAAAAFfQ7ds=")</f>
        <v>#REF!</v>
      </c>
      <c r="HM161" t="e">
        <f>AND(#REF!,"AAAAAFfQ7dw=")</f>
        <v>#REF!</v>
      </c>
      <c r="HN161" t="e">
        <f>AND(#REF!,"AAAAAFfQ7d0=")</f>
        <v>#REF!</v>
      </c>
      <c r="HO161" t="e">
        <f>AND(#REF!,"AAAAAFfQ7d4=")</f>
        <v>#REF!</v>
      </c>
      <c r="HP161" t="e">
        <f>AND(#REF!,"AAAAAFfQ7d8=")</f>
        <v>#REF!</v>
      </c>
      <c r="HQ161" t="e">
        <f>AND(#REF!,"AAAAAFfQ7eA=")</f>
        <v>#REF!</v>
      </c>
      <c r="HR161" t="e">
        <f>AND(#REF!,"AAAAAFfQ7eE=")</f>
        <v>#REF!</v>
      </c>
      <c r="HS161" t="e">
        <f>AND(#REF!,"AAAAAFfQ7eI=")</f>
        <v>#REF!</v>
      </c>
      <c r="HT161" t="e">
        <f>AND(#REF!,"AAAAAFfQ7eM=")</f>
        <v>#REF!</v>
      </c>
      <c r="HU161" t="e">
        <f>AND(#REF!,"AAAAAFfQ7eQ=")</f>
        <v>#REF!</v>
      </c>
      <c r="HV161" t="e">
        <f>AND(#REF!,"AAAAAFfQ7eU=")</f>
        <v>#REF!</v>
      </c>
      <c r="HW161" t="e">
        <f>AND(#REF!,"AAAAAFfQ7eY=")</f>
        <v>#REF!</v>
      </c>
      <c r="HX161" t="e">
        <f>AND(#REF!,"AAAAAFfQ7ec=")</f>
        <v>#REF!</v>
      </c>
      <c r="HY161" t="e">
        <f>AND(#REF!,"AAAAAFfQ7eg=")</f>
        <v>#REF!</v>
      </c>
      <c r="HZ161" t="e">
        <f>AND(#REF!,"AAAAAFfQ7ek=")</f>
        <v>#REF!</v>
      </c>
      <c r="IA161" t="e">
        <f>AND(#REF!,"AAAAAFfQ7eo=")</f>
        <v>#REF!</v>
      </c>
      <c r="IB161" t="e">
        <f>AND(#REF!,"AAAAAFfQ7es=")</f>
        <v>#REF!</v>
      </c>
      <c r="IC161" t="e">
        <f>AND(#REF!,"AAAAAFfQ7ew=")</f>
        <v>#REF!</v>
      </c>
      <c r="ID161" t="e">
        <f>AND(#REF!,"AAAAAFfQ7e0=")</f>
        <v>#REF!</v>
      </c>
      <c r="IE161" t="e">
        <f>AND(#REF!,"AAAAAFfQ7e4=")</f>
        <v>#REF!</v>
      </c>
      <c r="IF161" t="e">
        <f>AND(#REF!,"AAAAAFfQ7e8=")</f>
        <v>#REF!</v>
      </c>
      <c r="IG161" t="e">
        <f>AND(#REF!,"AAAAAFfQ7fA=")</f>
        <v>#REF!</v>
      </c>
      <c r="IH161" t="e">
        <f>AND(#REF!,"AAAAAFfQ7fE=")</f>
        <v>#REF!</v>
      </c>
      <c r="II161" t="e">
        <f>AND(#REF!,"AAAAAFfQ7fI=")</f>
        <v>#REF!</v>
      </c>
      <c r="IJ161" t="e">
        <f>AND(#REF!,"AAAAAFfQ7fM=")</f>
        <v>#REF!</v>
      </c>
      <c r="IK161" t="e">
        <f>AND(#REF!,"AAAAAFfQ7fQ=")</f>
        <v>#REF!</v>
      </c>
      <c r="IL161" t="e">
        <f>AND(#REF!,"AAAAAFfQ7fU=")</f>
        <v>#REF!</v>
      </c>
      <c r="IM161" t="e">
        <f>AND(#REF!,"AAAAAFfQ7fY=")</f>
        <v>#REF!</v>
      </c>
      <c r="IN161" t="e">
        <f>AND(#REF!,"AAAAAFfQ7fc=")</f>
        <v>#REF!</v>
      </c>
      <c r="IO161" t="e">
        <f>AND(#REF!,"AAAAAFfQ7fg=")</f>
        <v>#REF!</v>
      </c>
      <c r="IP161" t="e">
        <f>AND(#REF!,"AAAAAFfQ7fk=")</f>
        <v>#REF!</v>
      </c>
      <c r="IQ161" t="e">
        <f>AND(#REF!,"AAAAAFfQ7fo=")</f>
        <v>#REF!</v>
      </c>
      <c r="IR161" t="e">
        <f>AND(#REF!,"AAAAAFfQ7fs=")</f>
        <v>#REF!</v>
      </c>
      <c r="IS161" t="e">
        <f>AND(#REF!,"AAAAAFfQ7fw=")</f>
        <v>#REF!</v>
      </c>
      <c r="IT161" t="e">
        <f>AND(#REF!,"AAAAAFfQ7f0=")</f>
        <v>#REF!</v>
      </c>
      <c r="IU161" t="e">
        <f>AND(#REF!,"AAAAAFfQ7f4=")</f>
        <v>#REF!</v>
      </c>
      <c r="IV161" t="e">
        <f>AND(#REF!,"AAAAAFfQ7f8=")</f>
        <v>#REF!</v>
      </c>
    </row>
    <row r="162" spans="1:256" x14ac:dyDescent="0.25">
      <c r="A162" t="e">
        <f>AND(#REF!,"AAAAAH6HTgA=")</f>
        <v>#REF!</v>
      </c>
      <c r="B162" t="e">
        <f>AND(#REF!,"AAAAAH6HTgE=")</f>
        <v>#REF!</v>
      </c>
      <c r="C162" t="e">
        <f>AND(#REF!,"AAAAAH6HTgI=")</f>
        <v>#REF!</v>
      </c>
      <c r="D162" t="e">
        <f>AND(#REF!,"AAAAAH6HTgM=")</f>
        <v>#REF!</v>
      </c>
      <c r="E162" t="e">
        <f>AND(#REF!,"AAAAAH6HTgQ=")</f>
        <v>#REF!</v>
      </c>
      <c r="F162" t="e">
        <f>AND(#REF!,"AAAAAH6HTgU=")</f>
        <v>#REF!</v>
      </c>
      <c r="G162" t="e">
        <f>AND(#REF!,"AAAAAH6HTgY=")</f>
        <v>#REF!</v>
      </c>
      <c r="H162" t="e">
        <f>AND(#REF!,"AAAAAH6HTgc=")</f>
        <v>#REF!</v>
      </c>
      <c r="I162" t="e">
        <f>AND(#REF!,"AAAAAH6HTgg=")</f>
        <v>#REF!</v>
      </c>
      <c r="J162" t="e">
        <f>AND(#REF!,"AAAAAH6HTgk=")</f>
        <v>#REF!</v>
      </c>
      <c r="K162" t="e">
        <f>AND(#REF!,"AAAAAH6HTgo=")</f>
        <v>#REF!</v>
      </c>
      <c r="L162" t="e">
        <f>AND(#REF!,"AAAAAH6HTgs=")</f>
        <v>#REF!</v>
      </c>
      <c r="M162" t="e">
        <f>AND(#REF!,"AAAAAH6HTgw=")</f>
        <v>#REF!</v>
      </c>
      <c r="N162" t="e">
        <f>AND(#REF!,"AAAAAH6HTg0=")</f>
        <v>#REF!</v>
      </c>
      <c r="O162" t="e">
        <f>AND(#REF!,"AAAAAH6HTg4=")</f>
        <v>#REF!</v>
      </c>
      <c r="P162" t="e">
        <f>AND(#REF!,"AAAAAH6HTg8=")</f>
        <v>#REF!</v>
      </c>
      <c r="Q162" t="e">
        <f>AND(#REF!,"AAAAAH6HThA=")</f>
        <v>#REF!</v>
      </c>
      <c r="R162" t="e">
        <f>AND(#REF!,"AAAAAH6HThE=")</f>
        <v>#REF!</v>
      </c>
      <c r="S162" t="e">
        <f>AND(#REF!,"AAAAAH6HThI=")</f>
        <v>#REF!</v>
      </c>
      <c r="T162" t="e">
        <f>AND(#REF!,"AAAAAH6HThM=")</f>
        <v>#REF!</v>
      </c>
      <c r="U162" t="e">
        <f>AND(#REF!,"AAAAAH6HThQ=")</f>
        <v>#REF!</v>
      </c>
      <c r="V162" t="e">
        <f>AND(#REF!,"AAAAAH6HThU=")</f>
        <v>#REF!</v>
      </c>
      <c r="W162" t="e">
        <f>AND(#REF!,"AAAAAH6HThY=")</f>
        <v>#REF!</v>
      </c>
      <c r="X162" t="e">
        <f>AND(#REF!,"AAAAAH6HThc=")</f>
        <v>#REF!</v>
      </c>
      <c r="Y162" t="e">
        <f>AND(#REF!,"AAAAAH6HThg=")</f>
        <v>#REF!</v>
      </c>
      <c r="Z162" t="e">
        <f>AND(#REF!,"AAAAAH6HThk=")</f>
        <v>#REF!</v>
      </c>
      <c r="AA162" t="e">
        <f>AND(#REF!,"AAAAAH6HTho=")</f>
        <v>#REF!</v>
      </c>
      <c r="AB162" t="e">
        <f>AND(#REF!,"AAAAAH6HThs=")</f>
        <v>#REF!</v>
      </c>
      <c r="AC162" t="e">
        <f>AND(#REF!,"AAAAAH6HThw=")</f>
        <v>#REF!</v>
      </c>
      <c r="AD162" t="e">
        <f>AND(#REF!,"AAAAAH6HTh0=")</f>
        <v>#REF!</v>
      </c>
      <c r="AE162" t="e">
        <f>AND(#REF!,"AAAAAH6HTh4=")</f>
        <v>#REF!</v>
      </c>
      <c r="AF162" t="e">
        <f>AND(#REF!,"AAAAAH6HTh8=")</f>
        <v>#REF!</v>
      </c>
      <c r="AG162" t="e">
        <f>AND(#REF!,"AAAAAH6HTiA=")</f>
        <v>#REF!</v>
      </c>
      <c r="AH162" t="e">
        <f>AND(#REF!,"AAAAAH6HTiE=")</f>
        <v>#REF!</v>
      </c>
      <c r="AI162" t="e">
        <f>AND(#REF!,"AAAAAH6HTiI=")</f>
        <v>#REF!</v>
      </c>
      <c r="AJ162" t="e">
        <f>AND(#REF!,"AAAAAH6HTiM=")</f>
        <v>#REF!</v>
      </c>
      <c r="AK162" t="e">
        <f>AND(#REF!,"AAAAAH6HTiQ=")</f>
        <v>#REF!</v>
      </c>
      <c r="AL162" t="e">
        <f>AND(#REF!,"AAAAAH6HTiU=")</f>
        <v>#REF!</v>
      </c>
      <c r="AM162" t="e">
        <f>AND(#REF!,"AAAAAH6HTiY=")</f>
        <v>#REF!</v>
      </c>
      <c r="AN162" t="e">
        <f>AND(#REF!,"AAAAAH6HTic=")</f>
        <v>#REF!</v>
      </c>
      <c r="AO162" t="e">
        <f>AND(#REF!,"AAAAAH6HTig=")</f>
        <v>#REF!</v>
      </c>
      <c r="AP162" t="e">
        <f>AND(#REF!,"AAAAAH6HTik=")</f>
        <v>#REF!</v>
      </c>
      <c r="AQ162" t="e">
        <f>AND(#REF!,"AAAAAH6HTio=")</f>
        <v>#REF!</v>
      </c>
      <c r="AR162" t="e">
        <f>AND(#REF!,"AAAAAH6HTis=")</f>
        <v>#REF!</v>
      </c>
      <c r="AS162" t="e">
        <f>AND(#REF!,"AAAAAH6HTiw=")</f>
        <v>#REF!</v>
      </c>
      <c r="AT162" t="e">
        <f>AND(#REF!,"AAAAAH6HTi0=")</f>
        <v>#REF!</v>
      </c>
      <c r="AU162" t="e">
        <f>AND(#REF!,"AAAAAH6HTi4=")</f>
        <v>#REF!</v>
      </c>
      <c r="AV162" t="e">
        <f>AND(#REF!,"AAAAAH6HTi8=")</f>
        <v>#REF!</v>
      </c>
      <c r="AW162" t="e">
        <f>AND(#REF!,"AAAAAH6HTjA=")</f>
        <v>#REF!</v>
      </c>
      <c r="AX162" t="e">
        <f>AND(#REF!,"AAAAAH6HTjE=")</f>
        <v>#REF!</v>
      </c>
      <c r="AY162" t="e">
        <f>AND(#REF!,"AAAAAH6HTjI=")</f>
        <v>#REF!</v>
      </c>
      <c r="AZ162" t="e">
        <f>AND(#REF!,"AAAAAH6HTjM=")</f>
        <v>#REF!</v>
      </c>
      <c r="BA162" t="e">
        <f>AND(#REF!,"AAAAAH6HTjQ=")</f>
        <v>#REF!</v>
      </c>
      <c r="BB162" t="e">
        <f>AND(#REF!,"AAAAAH6HTjU=")</f>
        <v>#REF!</v>
      </c>
      <c r="BC162" t="e">
        <f>AND(#REF!,"AAAAAH6HTjY=")</f>
        <v>#REF!</v>
      </c>
      <c r="BD162" t="e">
        <f>AND(#REF!,"AAAAAH6HTjc=")</f>
        <v>#REF!</v>
      </c>
      <c r="BE162" t="e">
        <f>AND(#REF!,"AAAAAH6HTjg=")</f>
        <v>#REF!</v>
      </c>
      <c r="BF162" t="e">
        <f>AND(#REF!,"AAAAAH6HTjk=")</f>
        <v>#REF!</v>
      </c>
      <c r="BG162" t="e">
        <f>AND(#REF!,"AAAAAH6HTjo=")</f>
        <v>#REF!</v>
      </c>
      <c r="BH162" t="e">
        <f>AND(#REF!,"AAAAAH6HTjs=")</f>
        <v>#REF!</v>
      </c>
      <c r="BI162" t="e">
        <f>AND(#REF!,"AAAAAH6HTjw=")</f>
        <v>#REF!</v>
      </c>
      <c r="BJ162" t="e">
        <f>AND(#REF!,"AAAAAH6HTj0=")</f>
        <v>#REF!</v>
      </c>
      <c r="BK162" t="e">
        <f>AND(#REF!,"AAAAAH6HTj4=")</f>
        <v>#REF!</v>
      </c>
      <c r="BL162" t="e">
        <f>AND(#REF!,"AAAAAH6HTj8=")</f>
        <v>#REF!</v>
      </c>
      <c r="BM162" t="e">
        <f>AND(#REF!,"AAAAAH6HTkA=")</f>
        <v>#REF!</v>
      </c>
      <c r="BN162" t="e">
        <f>AND(#REF!,"AAAAAH6HTkE=")</f>
        <v>#REF!</v>
      </c>
      <c r="BO162" t="e">
        <f>AND(#REF!,"AAAAAH6HTkI=")</f>
        <v>#REF!</v>
      </c>
      <c r="BP162" t="e">
        <f>AND(#REF!,"AAAAAH6HTkM=")</f>
        <v>#REF!</v>
      </c>
      <c r="BQ162" t="e">
        <f>AND(#REF!,"AAAAAH6HTkQ=")</f>
        <v>#REF!</v>
      </c>
      <c r="BR162" t="e">
        <f>AND(#REF!,"AAAAAH6HTkU=")</f>
        <v>#REF!</v>
      </c>
      <c r="BS162" t="e">
        <f>AND(#REF!,"AAAAAH6HTkY=")</f>
        <v>#REF!</v>
      </c>
      <c r="BT162" t="e">
        <f>AND(#REF!,"AAAAAH6HTkc=")</f>
        <v>#REF!</v>
      </c>
      <c r="BU162" t="e">
        <f>AND(#REF!,"AAAAAH6HTkg=")</f>
        <v>#REF!</v>
      </c>
      <c r="BV162" t="e">
        <f>AND(#REF!,"AAAAAH6HTkk=")</f>
        <v>#REF!</v>
      </c>
      <c r="BW162" t="e">
        <f>AND(#REF!,"AAAAAH6HTko=")</f>
        <v>#REF!</v>
      </c>
      <c r="BX162" t="e">
        <f>AND(#REF!,"AAAAAH6HTks=")</f>
        <v>#REF!</v>
      </c>
      <c r="BY162" t="e">
        <f>AND(#REF!,"AAAAAH6HTkw=")</f>
        <v>#REF!</v>
      </c>
      <c r="BZ162" t="e">
        <f>AND(#REF!,"AAAAAH6HTk0=")</f>
        <v>#REF!</v>
      </c>
      <c r="CA162" t="e">
        <f>AND(#REF!,"AAAAAH6HTk4=")</f>
        <v>#REF!</v>
      </c>
      <c r="CB162" t="e">
        <f>AND(#REF!,"AAAAAH6HTk8=")</f>
        <v>#REF!</v>
      </c>
      <c r="CC162" t="e">
        <f>AND(#REF!,"AAAAAH6HTlA=")</f>
        <v>#REF!</v>
      </c>
      <c r="CD162" t="e">
        <f>AND(#REF!,"AAAAAH6HTlE=")</f>
        <v>#REF!</v>
      </c>
      <c r="CE162" t="e">
        <f>AND(#REF!,"AAAAAH6HTlI=")</f>
        <v>#REF!</v>
      </c>
      <c r="CF162" t="e">
        <f>AND(#REF!,"AAAAAH6HTlM=")</f>
        <v>#REF!</v>
      </c>
      <c r="CG162" t="e">
        <f>AND(#REF!,"AAAAAH6HTlQ=")</f>
        <v>#REF!</v>
      </c>
      <c r="CH162" t="e">
        <f>AND(#REF!,"AAAAAH6HTlU=")</f>
        <v>#REF!</v>
      </c>
      <c r="CI162" t="e">
        <f>AND(#REF!,"AAAAAH6HTlY=")</f>
        <v>#REF!</v>
      </c>
      <c r="CJ162" t="e">
        <f>AND(#REF!,"AAAAAH6HTlc=")</f>
        <v>#REF!</v>
      </c>
      <c r="CK162" t="e">
        <f>AND(#REF!,"AAAAAH6HTlg=")</f>
        <v>#REF!</v>
      </c>
      <c r="CL162" t="e">
        <f>AND(#REF!,"AAAAAH6HTlk=")</f>
        <v>#REF!</v>
      </c>
      <c r="CM162" t="e">
        <f>AND(#REF!,"AAAAAH6HTlo=")</f>
        <v>#REF!</v>
      </c>
      <c r="CN162" t="e">
        <f>AND(#REF!,"AAAAAH6HTls=")</f>
        <v>#REF!</v>
      </c>
      <c r="CO162" t="e">
        <f>AND(#REF!,"AAAAAH6HTlw=")</f>
        <v>#REF!</v>
      </c>
      <c r="CP162" t="e">
        <f>AND(#REF!,"AAAAAH6HTl0=")</f>
        <v>#REF!</v>
      </c>
      <c r="CQ162" t="e">
        <f>AND(#REF!,"AAAAAH6HTl4=")</f>
        <v>#REF!</v>
      </c>
      <c r="CR162" t="e">
        <f>AND(#REF!,"AAAAAH6HTl8=")</f>
        <v>#REF!</v>
      </c>
      <c r="CS162" t="e">
        <f>AND(#REF!,"AAAAAH6HTmA=")</f>
        <v>#REF!</v>
      </c>
      <c r="CT162" t="e">
        <f>AND(#REF!,"AAAAAH6HTmE=")</f>
        <v>#REF!</v>
      </c>
      <c r="CU162" t="e">
        <f>AND(#REF!,"AAAAAH6HTmI=")</f>
        <v>#REF!</v>
      </c>
      <c r="CV162" t="e">
        <f>AND(#REF!,"AAAAAH6HTmM=")</f>
        <v>#REF!</v>
      </c>
      <c r="CW162" t="e">
        <f>AND(#REF!,"AAAAAH6HTmQ=")</f>
        <v>#REF!</v>
      </c>
      <c r="CX162" t="e">
        <f>AND(#REF!,"AAAAAH6HTmU=")</f>
        <v>#REF!</v>
      </c>
      <c r="CY162" t="e">
        <f>AND(#REF!,"AAAAAH6HTmY=")</f>
        <v>#REF!</v>
      </c>
      <c r="CZ162" t="e">
        <f>AND(#REF!,"AAAAAH6HTmc=")</f>
        <v>#REF!</v>
      </c>
      <c r="DA162" t="e">
        <f>AND(#REF!,"AAAAAH6HTmg=")</f>
        <v>#REF!</v>
      </c>
      <c r="DB162" t="e">
        <f>AND(#REF!,"AAAAAH6HTmk=")</f>
        <v>#REF!</v>
      </c>
      <c r="DC162" t="e">
        <f>AND(#REF!,"AAAAAH6HTmo=")</f>
        <v>#REF!</v>
      </c>
      <c r="DD162" t="e">
        <f>AND(#REF!,"AAAAAH6HTms=")</f>
        <v>#REF!</v>
      </c>
      <c r="DE162" t="e">
        <f>AND(#REF!,"AAAAAH6HTmw=")</f>
        <v>#REF!</v>
      </c>
      <c r="DF162" t="e">
        <f>AND(#REF!,"AAAAAH6HTm0=")</f>
        <v>#REF!</v>
      </c>
      <c r="DG162" t="e">
        <f>AND(#REF!,"AAAAAH6HTm4=")</f>
        <v>#REF!</v>
      </c>
      <c r="DH162" t="e">
        <f>AND(#REF!,"AAAAAH6HTm8=")</f>
        <v>#REF!</v>
      </c>
      <c r="DI162" t="e">
        <f>AND(#REF!,"AAAAAH6HTnA=")</f>
        <v>#REF!</v>
      </c>
      <c r="DJ162" t="e">
        <f>AND(#REF!,"AAAAAH6HTnE=")</f>
        <v>#REF!</v>
      </c>
      <c r="DK162" t="e">
        <f>AND(#REF!,"AAAAAH6HTnI=")</f>
        <v>#REF!</v>
      </c>
      <c r="DL162" t="e">
        <f>AND(#REF!,"AAAAAH6HTnM=")</f>
        <v>#REF!</v>
      </c>
      <c r="DM162" t="e">
        <f>AND(#REF!,"AAAAAH6HTnQ=")</f>
        <v>#REF!</v>
      </c>
      <c r="DN162" t="e">
        <f>AND(#REF!,"AAAAAH6HTnU=")</f>
        <v>#REF!</v>
      </c>
      <c r="DO162" t="e">
        <f>AND(#REF!,"AAAAAH6HTnY=")</f>
        <v>#REF!</v>
      </c>
      <c r="DP162" t="e">
        <f>AND(#REF!,"AAAAAH6HTnc=")</f>
        <v>#REF!</v>
      </c>
      <c r="DQ162" t="e">
        <f>AND(#REF!,"AAAAAH6HTng=")</f>
        <v>#REF!</v>
      </c>
      <c r="DR162" t="e">
        <f>AND(#REF!,"AAAAAH6HTnk=")</f>
        <v>#REF!</v>
      </c>
      <c r="DS162" t="e">
        <f>AND(#REF!,"AAAAAH6HTno=")</f>
        <v>#REF!</v>
      </c>
      <c r="DT162" t="e">
        <f>AND(#REF!,"AAAAAH6HTns=")</f>
        <v>#REF!</v>
      </c>
      <c r="DU162" t="e">
        <f>AND(#REF!,"AAAAAH6HTnw=")</f>
        <v>#REF!</v>
      </c>
      <c r="DV162" t="e">
        <f>AND(#REF!,"AAAAAH6HTn0=")</f>
        <v>#REF!</v>
      </c>
      <c r="DW162" t="e">
        <f>AND(#REF!,"AAAAAH6HTn4=")</f>
        <v>#REF!</v>
      </c>
      <c r="DX162" t="e">
        <f>AND(#REF!,"AAAAAH6HTn8=")</f>
        <v>#REF!</v>
      </c>
      <c r="DY162" t="e">
        <f>AND(#REF!,"AAAAAH6HToA=")</f>
        <v>#REF!</v>
      </c>
      <c r="DZ162" t="e">
        <f>AND(#REF!,"AAAAAH6HToE=")</f>
        <v>#REF!</v>
      </c>
      <c r="EA162" t="e">
        <f>AND(#REF!,"AAAAAH6HToI=")</f>
        <v>#REF!</v>
      </c>
      <c r="EB162" t="e">
        <f>AND(#REF!,"AAAAAH6HToM=")</f>
        <v>#REF!</v>
      </c>
      <c r="EC162" t="e">
        <f>AND(#REF!,"AAAAAH6HToQ=")</f>
        <v>#REF!</v>
      </c>
      <c r="ED162" t="e">
        <f>AND(#REF!,"AAAAAH6HToU=")</f>
        <v>#REF!</v>
      </c>
      <c r="EE162" t="e">
        <f>AND(#REF!,"AAAAAH6HToY=")</f>
        <v>#REF!</v>
      </c>
      <c r="EF162" t="e">
        <f>AND(#REF!,"AAAAAH6HToc=")</f>
        <v>#REF!</v>
      </c>
      <c r="EG162" t="e">
        <f>AND(#REF!,"AAAAAH6HTog=")</f>
        <v>#REF!</v>
      </c>
      <c r="EH162" t="e">
        <f>AND(#REF!,"AAAAAH6HTok=")</f>
        <v>#REF!</v>
      </c>
      <c r="EI162" t="e">
        <f>AND(#REF!,"AAAAAH6HToo=")</f>
        <v>#REF!</v>
      </c>
      <c r="EJ162" t="e">
        <f>AND(#REF!,"AAAAAH6HTos=")</f>
        <v>#REF!</v>
      </c>
      <c r="EK162" t="e">
        <f>AND(#REF!,"AAAAAH6HTow=")</f>
        <v>#REF!</v>
      </c>
      <c r="EL162" t="e">
        <f>AND(#REF!,"AAAAAH6HTo0=")</f>
        <v>#REF!</v>
      </c>
      <c r="EM162" t="e">
        <f>AND(#REF!,"AAAAAH6HTo4=")</f>
        <v>#REF!</v>
      </c>
      <c r="EN162" t="e">
        <f>AND(#REF!,"AAAAAH6HTo8=")</f>
        <v>#REF!</v>
      </c>
      <c r="EO162" t="e">
        <f>AND(#REF!,"AAAAAH6HTpA=")</f>
        <v>#REF!</v>
      </c>
      <c r="EP162" t="e">
        <f>AND(#REF!,"AAAAAH6HTpE=")</f>
        <v>#REF!</v>
      </c>
      <c r="EQ162" t="e">
        <f>AND(#REF!,"AAAAAH6HTpI=")</f>
        <v>#REF!</v>
      </c>
      <c r="ER162" t="e">
        <f>AND(#REF!,"AAAAAH6HTpM=")</f>
        <v>#REF!</v>
      </c>
      <c r="ES162" t="e">
        <f>AND(#REF!,"AAAAAH6HTpQ=")</f>
        <v>#REF!</v>
      </c>
      <c r="ET162" t="e">
        <f>AND(#REF!,"AAAAAH6HTpU=")</f>
        <v>#REF!</v>
      </c>
      <c r="EU162" t="e">
        <f>AND(#REF!,"AAAAAH6HTpY=")</f>
        <v>#REF!</v>
      </c>
      <c r="EV162" t="e">
        <f>AND(#REF!,"AAAAAH6HTpc=")</f>
        <v>#REF!</v>
      </c>
      <c r="EW162" t="e">
        <f>AND(#REF!,"AAAAAH6HTpg=")</f>
        <v>#REF!</v>
      </c>
      <c r="EX162" t="e">
        <f>AND(#REF!,"AAAAAH6HTpk=")</f>
        <v>#REF!</v>
      </c>
      <c r="EY162" t="e">
        <f>AND(#REF!,"AAAAAH6HTpo=")</f>
        <v>#REF!</v>
      </c>
      <c r="EZ162" t="e">
        <f>AND(#REF!,"AAAAAH6HTps=")</f>
        <v>#REF!</v>
      </c>
      <c r="FA162" t="e">
        <f>AND(#REF!,"AAAAAH6HTpw=")</f>
        <v>#REF!</v>
      </c>
      <c r="FB162" t="e">
        <f>AND(#REF!,"AAAAAH6HTp0=")</f>
        <v>#REF!</v>
      </c>
      <c r="FC162" t="e">
        <f>AND(#REF!,"AAAAAH6HTp4=")</f>
        <v>#REF!</v>
      </c>
      <c r="FD162" t="e">
        <f>AND(#REF!,"AAAAAH6HTp8=")</f>
        <v>#REF!</v>
      </c>
      <c r="FE162" t="e">
        <f>AND(#REF!,"AAAAAH6HTqA=")</f>
        <v>#REF!</v>
      </c>
      <c r="FF162" t="e">
        <f>AND(#REF!,"AAAAAH6HTqE=")</f>
        <v>#REF!</v>
      </c>
      <c r="FG162" t="e">
        <f>AND(#REF!,"AAAAAH6HTqI=")</f>
        <v>#REF!</v>
      </c>
      <c r="FH162" t="e">
        <f>AND(#REF!,"AAAAAH6HTqM=")</f>
        <v>#REF!</v>
      </c>
      <c r="FI162" t="e">
        <f>AND(#REF!,"AAAAAH6HTqQ=")</f>
        <v>#REF!</v>
      </c>
      <c r="FJ162" t="e">
        <f>AND(#REF!,"AAAAAH6HTqU=")</f>
        <v>#REF!</v>
      </c>
      <c r="FK162" t="e">
        <f>AND(#REF!,"AAAAAH6HTqY=")</f>
        <v>#REF!</v>
      </c>
      <c r="FL162" t="e">
        <f>AND(#REF!,"AAAAAH6HTqc=")</f>
        <v>#REF!</v>
      </c>
      <c r="FM162" t="e">
        <f>AND(#REF!,"AAAAAH6HTqg=")</f>
        <v>#REF!</v>
      </c>
      <c r="FN162" t="e">
        <f>AND(#REF!,"AAAAAH6HTqk=")</f>
        <v>#REF!</v>
      </c>
      <c r="FO162" t="e">
        <f>AND(#REF!,"AAAAAH6HTqo=")</f>
        <v>#REF!</v>
      </c>
      <c r="FP162" t="e">
        <f>AND(#REF!,"AAAAAH6HTqs=")</f>
        <v>#REF!</v>
      </c>
      <c r="FQ162" t="e">
        <f>AND(#REF!,"AAAAAH6HTqw=")</f>
        <v>#REF!</v>
      </c>
      <c r="FR162" t="e">
        <f>AND(#REF!,"AAAAAH6HTq0=")</f>
        <v>#REF!</v>
      </c>
      <c r="FS162" t="e">
        <f>AND(#REF!,"AAAAAH6HTq4=")</f>
        <v>#REF!</v>
      </c>
      <c r="FT162" t="e">
        <f>AND(#REF!,"AAAAAH6HTq8=")</f>
        <v>#REF!</v>
      </c>
      <c r="FU162" t="e">
        <f>AND(#REF!,"AAAAAH6HTrA=")</f>
        <v>#REF!</v>
      </c>
      <c r="FV162" t="e">
        <f>AND(#REF!,"AAAAAH6HTrE=")</f>
        <v>#REF!</v>
      </c>
      <c r="FW162" t="e">
        <f>AND(#REF!,"AAAAAH6HTrI=")</f>
        <v>#REF!</v>
      </c>
      <c r="FX162" t="e">
        <f>AND(#REF!,"AAAAAH6HTrM=")</f>
        <v>#REF!</v>
      </c>
      <c r="FY162" t="e">
        <f>AND(#REF!,"AAAAAH6HTrQ=")</f>
        <v>#REF!</v>
      </c>
      <c r="FZ162" t="e">
        <f>AND(#REF!,"AAAAAH6HTrU=")</f>
        <v>#REF!</v>
      </c>
      <c r="GA162" t="e">
        <f>AND(#REF!,"AAAAAH6HTrY=")</f>
        <v>#REF!</v>
      </c>
      <c r="GB162" t="e">
        <f>AND(#REF!,"AAAAAH6HTrc=")</f>
        <v>#REF!</v>
      </c>
      <c r="GC162" t="e">
        <f>AND(#REF!,"AAAAAH6HTrg=")</f>
        <v>#REF!</v>
      </c>
      <c r="GD162" t="e">
        <f>AND(#REF!,"AAAAAH6HTrk=")</f>
        <v>#REF!</v>
      </c>
      <c r="GE162" t="e">
        <f>AND(#REF!,"AAAAAH6HTro=")</f>
        <v>#REF!</v>
      </c>
      <c r="GF162" t="e">
        <f>AND(#REF!,"AAAAAH6HTrs=")</f>
        <v>#REF!</v>
      </c>
      <c r="GG162" t="e">
        <f>AND(#REF!,"AAAAAH6HTrw=")</f>
        <v>#REF!</v>
      </c>
      <c r="GH162" t="e">
        <f>AND(#REF!,"AAAAAH6HTr0=")</f>
        <v>#REF!</v>
      </c>
      <c r="GI162" t="e">
        <f>AND(#REF!,"AAAAAH6HTr4=")</f>
        <v>#REF!</v>
      </c>
      <c r="GJ162" t="e">
        <f>AND(#REF!,"AAAAAH6HTr8=")</f>
        <v>#REF!</v>
      </c>
      <c r="GK162" t="e">
        <f>AND(#REF!,"AAAAAH6HTsA=")</f>
        <v>#REF!</v>
      </c>
      <c r="GL162" t="e">
        <f>AND(#REF!,"AAAAAH6HTsE=")</f>
        <v>#REF!</v>
      </c>
      <c r="GM162" t="e">
        <f>AND(#REF!,"AAAAAH6HTsI=")</f>
        <v>#REF!</v>
      </c>
      <c r="GN162" t="e">
        <f>AND(#REF!,"AAAAAH6HTsM=")</f>
        <v>#REF!</v>
      </c>
      <c r="GO162" t="e">
        <f>AND(#REF!,"AAAAAH6HTsQ=")</f>
        <v>#REF!</v>
      </c>
      <c r="GP162" t="e">
        <f>AND(#REF!,"AAAAAH6HTsU=")</f>
        <v>#REF!</v>
      </c>
      <c r="GQ162" t="e">
        <f>AND(#REF!,"AAAAAH6HTsY=")</f>
        <v>#REF!</v>
      </c>
      <c r="GR162" t="e">
        <f>AND(#REF!,"AAAAAH6HTsc=")</f>
        <v>#REF!</v>
      </c>
      <c r="GS162" t="e">
        <f>AND(#REF!,"AAAAAH6HTsg=")</f>
        <v>#REF!</v>
      </c>
      <c r="GT162" t="e">
        <f>AND(#REF!,"AAAAAH6HTsk=")</f>
        <v>#REF!</v>
      </c>
      <c r="GU162" t="e">
        <f>AND(#REF!,"AAAAAH6HTso=")</f>
        <v>#REF!</v>
      </c>
      <c r="GV162" t="e">
        <f>AND(#REF!,"AAAAAH6HTss=")</f>
        <v>#REF!</v>
      </c>
      <c r="GW162" t="e">
        <f>AND(#REF!,"AAAAAH6HTsw=")</f>
        <v>#REF!</v>
      </c>
      <c r="GX162" t="e">
        <f>AND(#REF!,"AAAAAH6HTs0=")</f>
        <v>#REF!</v>
      </c>
      <c r="GY162" t="e">
        <f>AND(#REF!,"AAAAAH6HTs4=")</f>
        <v>#REF!</v>
      </c>
      <c r="GZ162" t="e">
        <f>AND(#REF!,"AAAAAH6HTs8=")</f>
        <v>#REF!</v>
      </c>
      <c r="HA162" t="e">
        <f>AND(#REF!,"AAAAAH6HTtA=")</f>
        <v>#REF!</v>
      </c>
      <c r="HB162" t="e">
        <f>AND(#REF!,"AAAAAH6HTtE=")</f>
        <v>#REF!</v>
      </c>
      <c r="HC162" t="e">
        <f>AND(#REF!,"AAAAAH6HTtI=")</f>
        <v>#REF!</v>
      </c>
      <c r="HD162" t="e">
        <f>AND(#REF!,"AAAAAH6HTtM=")</f>
        <v>#REF!</v>
      </c>
      <c r="HE162" t="e">
        <f>AND(#REF!,"AAAAAH6HTtQ=")</f>
        <v>#REF!</v>
      </c>
      <c r="HF162" t="e">
        <f>AND(#REF!,"AAAAAH6HTtU=")</f>
        <v>#REF!</v>
      </c>
      <c r="HG162" t="e">
        <f>AND(#REF!,"AAAAAH6HTtY=")</f>
        <v>#REF!</v>
      </c>
      <c r="HH162" t="e">
        <f>AND(#REF!,"AAAAAH6HTtc=")</f>
        <v>#REF!</v>
      </c>
      <c r="HI162" t="e">
        <f>AND(#REF!,"AAAAAH6HTtg=")</f>
        <v>#REF!</v>
      </c>
      <c r="HJ162" t="e">
        <f>AND(#REF!,"AAAAAH6HTtk=")</f>
        <v>#REF!</v>
      </c>
      <c r="HK162" t="e">
        <f>AND(#REF!,"AAAAAH6HTto=")</f>
        <v>#REF!</v>
      </c>
      <c r="HL162" t="e">
        <f>AND(#REF!,"AAAAAH6HTts=")</f>
        <v>#REF!</v>
      </c>
      <c r="HM162" t="e">
        <f>AND(#REF!,"AAAAAH6HTtw=")</f>
        <v>#REF!</v>
      </c>
      <c r="HN162" t="e">
        <f>AND(#REF!,"AAAAAH6HTt0=")</f>
        <v>#REF!</v>
      </c>
      <c r="HO162" t="e">
        <f>AND(#REF!,"AAAAAH6HTt4=")</f>
        <v>#REF!</v>
      </c>
      <c r="HP162" t="e">
        <f>AND(#REF!,"AAAAAH6HTt8=")</f>
        <v>#REF!</v>
      </c>
      <c r="HQ162" t="e">
        <f>AND(#REF!,"AAAAAH6HTuA=")</f>
        <v>#REF!</v>
      </c>
      <c r="HR162" t="e">
        <f>AND(#REF!,"AAAAAH6HTuE=")</f>
        <v>#REF!</v>
      </c>
      <c r="HS162" t="e">
        <f>AND(#REF!,"AAAAAH6HTuI=")</f>
        <v>#REF!</v>
      </c>
      <c r="HT162" t="e">
        <f>AND(#REF!,"AAAAAH6HTuM=")</f>
        <v>#REF!</v>
      </c>
      <c r="HU162" t="e">
        <f>AND(#REF!,"AAAAAH6HTuQ=")</f>
        <v>#REF!</v>
      </c>
      <c r="HV162" t="e">
        <f>AND(#REF!,"AAAAAH6HTuU=")</f>
        <v>#REF!</v>
      </c>
      <c r="HW162" t="e">
        <f>AND(#REF!,"AAAAAH6HTuY=")</f>
        <v>#REF!</v>
      </c>
      <c r="HX162" t="e">
        <f>AND(#REF!,"AAAAAH6HTuc=")</f>
        <v>#REF!</v>
      </c>
      <c r="HY162" t="e">
        <f>AND(#REF!,"AAAAAH6HTug=")</f>
        <v>#REF!</v>
      </c>
      <c r="HZ162" t="e">
        <f>AND(#REF!,"AAAAAH6HTuk=")</f>
        <v>#REF!</v>
      </c>
      <c r="IA162" t="e">
        <f>AND(#REF!,"AAAAAH6HTuo=")</f>
        <v>#REF!</v>
      </c>
      <c r="IB162" t="e">
        <f>AND(#REF!,"AAAAAH6HTus=")</f>
        <v>#REF!</v>
      </c>
      <c r="IC162" t="e">
        <f>AND(#REF!,"AAAAAH6HTuw=")</f>
        <v>#REF!</v>
      </c>
      <c r="ID162" t="e">
        <f>AND(#REF!,"AAAAAH6HTu0=")</f>
        <v>#REF!</v>
      </c>
      <c r="IE162" t="e">
        <f>AND(#REF!,"AAAAAH6HTu4=")</f>
        <v>#REF!</v>
      </c>
      <c r="IF162" t="e">
        <f>AND(#REF!,"AAAAAH6HTu8=")</f>
        <v>#REF!</v>
      </c>
      <c r="IG162" t="e">
        <f>AND(#REF!,"AAAAAH6HTvA=")</f>
        <v>#REF!</v>
      </c>
      <c r="IH162" t="e">
        <f>AND(#REF!,"AAAAAH6HTvE=")</f>
        <v>#REF!</v>
      </c>
      <c r="II162" t="e">
        <f>AND(#REF!,"AAAAAH6HTvI=")</f>
        <v>#REF!</v>
      </c>
      <c r="IJ162" t="e">
        <f>AND(#REF!,"AAAAAH6HTvM=")</f>
        <v>#REF!</v>
      </c>
      <c r="IK162" t="e">
        <f>AND(#REF!,"AAAAAH6HTvQ=")</f>
        <v>#REF!</v>
      </c>
      <c r="IL162" t="e">
        <f>AND(#REF!,"AAAAAH6HTvU=")</f>
        <v>#REF!</v>
      </c>
      <c r="IM162" t="e">
        <f>AND(#REF!,"AAAAAH6HTvY=")</f>
        <v>#REF!</v>
      </c>
      <c r="IN162" t="e">
        <f>AND(#REF!,"AAAAAH6HTvc=")</f>
        <v>#REF!</v>
      </c>
      <c r="IO162" t="e">
        <f>AND(#REF!,"AAAAAH6HTvg=")</f>
        <v>#REF!</v>
      </c>
      <c r="IP162" t="e">
        <f>AND(#REF!,"AAAAAH6HTvk=")</f>
        <v>#REF!</v>
      </c>
      <c r="IQ162" t="e">
        <f>AND(#REF!,"AAAAAH6HTvo=")</f>
        <v>#REF!</v>
      </c>
      <c r="IR162" t="e">
        <f>AND(#REF!,"AAAAAH6HTvs=")</f>
        <v>#REF!</v>
      </c>
      <c r="IS162" t="e">
        <f>AND(#REF!,"AAAAAH6HTvw=")</f>
        <v>#REF!</v>
      </c>
      <c r="IT162" t="e">
        <f>AND(#REF!,"AAAAAH6HTv0=")</f>
        <v>#REF!</v>
      </c>
      <c r="IU162" t="e">
        <f>AND(#REF!,"AAAAAH6HTv4=")</f>
        <v>#REF!</v>
      </c>
      <c r="IV162" t="e">
        <f>AND(#REF!,"AAAAAH6HTv8=")</f>
        <v>#REF!</v>
      </c>
    </row>
    <row r="163" spans="1:256" x14ac:dyDescent="0.25">
      <c r="A163" t="e">
        <f>AND(#REF!,"AAAAAHpPuwA=")</f>
        <v>#REF!</v>
      </c>
      <c r="B163" t="e">
        <f>AND(#REF!,"AAAAAHpPuwE=")</f>
        <v>#REF!</v>
      </c>
      <c r="C163" t="e">
        <f>AND(#REF!,"AAAAAHpPuwI=")</f>
        <v>#REF!</v>
      </c>
      <c r="D163" t="e">
        <f>AND(#REF!,"AAAAAHpPuwM=")</f>
        <v>#REF!</v>
      </c>
      <c r="E163" t="e">
        <f>AND(#REF!,"AAAAAHpPuwQ=")</f>
        <v>#REF!</v>
      </c>
      <c r="F163" t="e">
        <f>AND(#REF!,"AAAAAHpPuwU=")</f>
        <v>#REF!</v>
      </c>
      <c r="G163" t="e">
        <f>AND(#REF!,"AAAAAHpPuwY=")</f>
        <v>#REF!</v>
      </c>
      <c r="H163" t="e">
        <f>AND(#REF!,"AAAAAHpPuwc=")</f>
        <v>#REF!</v>
      </c>
      <c r="I163" t="e">
        <f>AND(#REF!,"AAAAAHpPuwg=")</f>
        <v>#REF!</v>
      </c>
      <c r="J163" t="e">
        <f>AND(#REF!,"AAAAAHpPuwk=")</f>
        <v>#REF!</v>
      </c>
      <c r="K163" t="e">
        <f>AND(#REF!,"AAAAAHpPuwo=")</f>
        <v>#REF!</v>
      </c>
      <c r="L163" t="e">
        <f>AND(#REF!,"AAAAAHpPuws=")</f>
        <v>#REF!</v>
      </c>
      <c r="M163" t="e">
        <f>AND(#REF!,"AAAAAHpPuww=")</f>
        <v>#REF!</v>
      </c>
      <c r="N163" t="e">
        <f>AND(#REF!,"AAAAAHpPuw0=")</f>
        <v>#REF!</v>
      </c>
      <c r="O163" t="e">
        <f>AND(#REF!,"AAAAAHpPuw4=")</f>
        <v>#REF!</v>
      </c>
      <c r="P163" t="e">
        <f>AND(#REF!,"AAAAAHpPuw8=")</f>
        <v>#REF!</v>
      </c>
      <c r="Q163" t="e">
        <f>AND(#REF!,"AAAAAHpPuxA=")</f>
        <v>#REF!</v>
      </c>
      <c r="R163" t="e">
        <f>AND(#REF!,"AAAAAHpPuxE=")</f>
        <v>#REF!</v>
      </c>
      <c r="S163" t="e">
        <f>AND(#REF!,"AAAAAHpPuxI=")</f>
        <v>#REF!</v>
      </c>
      <c r="T163" t="e">
        <f>AND(#REF!,"AAAAAHpPuxM=")</f>
        <v>#REF!</v>
      </c>
      <c r="U163" t="e">
        <f>AND(#REF!,"AAAAAHpPuxQ=")</f>
        <v>#REF!</v>
      </c>
      <c r="V163" t="e">
        <f>AND(#REF!,"AAAAAHpPuxU=")</f>
        <v>#REF!</v>
      </c>
      <c r="W163" t="e">
        <f>AND(#REF!,"AAAAAHpPuxY=")</f>
        <v>#REF!</v>
      </c>
      <c r="X163" t="e">
        <f>AND(#REF!,"AAAAAHpPuxc=")</f>
        <v>#REF!</v>
      </c>
      <c r="Y163" t="e">
        <f>AND(#REF!,"AAAAAHpPuxg=")</f>
        <v>#REF!</v>
      </c>
      <c r="Z163" t="e">
        <f>AND(#REF!,"AAAAAHpPuxk=")</f>
        <v>#REF!</v>
      </c>
      <c r="AA163" t="e">
        <f>AND(#REF!,"AAAAAHpPuxo=")</f>
        <v>#REF!</v>
      </c>
      <c r="AB163" t="e">
        <f>AND(#REF!,"AAAAAHpPuxs=")</f>
        <v>#REF!</v>
      </c>
      <c r="AC163" t="e">
        <f>AND(#REF!,"AAAAAHpPuxw=")</f>
        <v>#REF!</v>
      </c>
      <c r="AD163" t="e">
        <f>AND(#REF!,"AAAAAHpPux0=")</f>
        <v>#REF!</v>
      </c>
      <c r="AE163" t="e">
        <f>AND(#REF!,"AAAAAHpPux4=")</f>
        <v>#REF!</v>
      </c>
      <c r="AF163" t="e">
        <f>AND(#REF!,"AAAAAHpPux8=")</f>
        <v>#REF!</v>
      </c>
      <c r="AG163" t="e">
        <f>AND(#REF!,"AAAAAHpPuyA=")</f>
        <v>#REF!</v>
      </c>
      <c r="AH163" t="e">
        <f>AND(#REF!,"AAAAAHpPuyE=")</f>
        <v>#REF!</v>
      </c>
      <c r="AI163" t="e">
        <f>AND(#REF!,"AAAAAHpPuyI=")</f>
        <v>#REF!</v>
      </c>
      <c r="AJ163" t="e">
        <f>AND(#REF!,"AAAAAHpPuyM=")</f>
        <v>#REF!</v>
      </c>
      <c r="AK163" t="e">
        <f>AND(#REF!,"AAAAAHpPuyQ=")</f>
        <v>#REF!</v>
      </c>
      <c r="AL163" t="e">
        <f>AND(#REF!,"AAAAAHpPuyU=")</f>
        <v>#REF!</v>
      </c>
      <c r="AM163" t="e">
        <f>AND(#REF!,"AAAAAHpPuyY=")</f>
        <v>#REF!</v>
      </c>
      <c r="AN163" t="e">
        <f>AND(#REF!,"AAAAAHpPuyc=")</f>
        <v>#REF!</v>
      </c>
      <c r="AO163" t="e">
        <f>AND(#REF!,"AAAAAHpPuyg=")</f>
        <v>#REF!</v>
      </c>
      <c r="AP163" t="e">
        <f>AND(#REF!,"AAAAAHpPuyk=")</f>
        <v>#REF!</v>
      </c>
      <c r="AQ163" t="e">
        <f>AND(#REF!,"AAAAAHpPuyo=")</f>
        <v>#REF!</v>
      </c>
      <c r="AR163" t="e">
        <f>AND(#REF!,"AAAAAHpPuys=")</f>
        <v>#REF!</v>
      </c>
      <c r="AS163" t="e">
        <f>AND(#REF!,"AAAAAHpPuyw=")</f>
        <v>#REF!</v>
      </c>
      <c r="AT163" t="e">
        <f>AND(#REF!,"AAAAAHpPuy0=")</f>
        <v>#REF!</v>
      </c>
      <c r="AU163" t="e">
        <f>AND(#REF!,"AAAAAHpPuy4=")</f>
        <v>#REF!</v>
      </c>
      <c r="AV163" t="e">
        <f>AND(#REF!,"AAAAAHpPuy8=")</f>
        <v>#REF!</v>
      </c>
      <c r="AW163" t="e">
        <f>AND(#REF!,"AAAAAHpPuzA=")</f>
        <v>#REF!</v>
      </c>
      <c r="AX163" t="e">
        <f>AND(#REF!,"AAAAAHpPuzE=")</f>
        <v>#REF!</v>
      </c>
      <c r="AY163" t="e">
        <f>AND(#REF!,"AAAAAHpPuzI=")</f>
        <v>#REF!</v>
      </c>
      <c r="AZ163" t="e">
        <f>AND(#REF!,"AAAAAHpPuzM=")</f>
        <v>#REF!</v>
      </c>
      <c r="BA163" t="e">
        <f>AND(#REF!,"AAAAAHpPuzQ=")</f>
        <v>#REF!</v>
      </c>
      <c r="BB163" t="e">
        <f>AND(#REF!,"AAAAAHpPuzU=")</f>
        <v>#REF!</v>
      </c>
      <c r="BC163" t="e">
        <f>AND(#REF!,"AAAAAHpPuzY=")</f>
        <v>#REF!</v>
      </c>
      <c r="BD163" t="e">
        <f>AND(#REF!,"AAAAAHpPuzc=")</f>
        <v>#REF!</v>
      </c>
      <c r="BE163" t="e">
        <f>AND(#REF!,"AAAAAHpPuzg=")</f>
        <v>#REF!</v>
      </c>
      <c r="BF163" t="e">
        <f>AND(#REF!,"AAAAAHpPuzk=")</f>
        <v>#REF!</v>
      </c>
      <c r="BG163" t="e">
        <f>AND(#REF!,"AAAAAHpPuzo=")</f>
        <v>#REF!</v>
      </c>
      <c r="BH163" t="e">
        <f>AND(#REF!,"AAAAAHpPuzs=")</f>
        <v>#REF!</v>
      </c>
      <c r="BI163" t="e">
        <f>AND(#REF!,"AAAAAHpPuzw=")</f>
        <v>#REF!</v>
      </c>
      <c r="BJ163" t="e">
        <f>AND(#REF!,"AAAAAHpPuz0=")</f>
        <v>#REF!</v>
      </c>
      <c r="BK163" t="e">
        <f>AND(#REF!,"AAAAAHpPuz4=")</f>
        <v>#REF!</v>
      </c>
      <c r="BL163" t="e">
        <f>AND(#REF!,"AAAAAHpPuz8=")</f>
        <v>#REF!</v>
      </c>
      <c r="BM163" t="e">
        <f>AND(#REF!,"AAAAAHpPu0A=")</f>
        <v>#REF!</v>
      </c>
      <c r="BN163" t="e">
        <f>AND(#REF!,"AAAAAHpPu0E=")</f>
        <v>#REF!</v>
      </c>
      <c r="BO163" t="e">
        <f>AND(#REF!,"AAAAAHpPu0I=")</f>
        <v>#REF!</v>
      </c>
      <c r="BP163" t="e">
        <f>AND(#REF!,"AAAAAHpPu0M=")</f>
        <v>#REF!</v>
      </c>
      <c r="BQ163" t="e">
        <f>AND(#REF!,"AAAAAHpPu0Q=")</f>
        <v>#REF!</v>
      </c>
      <c r="BR163" t="e">
        <f>AND(#REF!,"AAAAAHpPu0U=")</f>
        <v>#REF!</v>
      </c>
      <c r="BS163" t="e">
        <f>AND(#REF!,"AAAAAHpPu0Y=")</f>
        <v>#REF!</v>
      </c>
      <c r="BT163" t="e">
        <f>AND(#REF!,"AAAAAHpPu0c=")</f>
        <v>#REF!</v>
      </c>
      <c r="BU163" t="e">
        <f>AND(#REF!,"AAAAAHpPu0g=")</f>
        <v>#REF!</v>
      </c>
      <c r="BV163" t="e">
        <f>AND(#REF!,"AAAAAHpPu0k=")</f>
        <v>#REF!</v>
      </c>
      <c r="BW163" t="e">
        <f>AND(#REF!,"AAAAAHpPu0o=")</f>
        <v>#REF!</v>
      </c>
      <c r="BX163" t="e">
        <f>AND(#REF!,"AAAAAHpPu0s=")</f>
        <v>#REF!</v>
      </c>
      <c r="BY163" t="e">
        <f>AND(#REF!,"AAAAAHpPu0w=")</f>
        <v>#REF!</v>
      </c>
      <c r="BZ163" t="e">
        <f>AND(#REF!,"AAAAAHpPu00=")</f>
        <v>#REF!</v>
      </c>
      <c r="CA163" t="e">
        <f>AND(#REF!,"AAAAAHpPu04=")</f>
        <v>#REF!</v>
      </c>
      <c r="CB163" t="e">
        <f>AND(#REF!,"AAAAAHpPu08=")</f>
        <v>#REF!</v>
      </c>
      <c r="CC163" t="e">
        <f>AND(#REF!,"AAAAAHpPu1A=")</f>
        <v>#REF!</v>
      </c>
      <c r="CD163" t="e">
        <f>AND(#REF!,"AAAAAHpPu1E=")</f>
        <v>#REF!</v>
      </c>
      <c r="CE163" t="e">
        <f>AND(#REF!,"AAAAAHpPu1I=")</f>
        <v>#REF!</v>
      </c>
      <c r="CF163" t="e">
        <f>AND(#REF!,"AAAAAHpPu1M=")</f>
        <v>#REF!</v>
      </c>
      <c r="CG163" t="e">
        <f>AND(#REF!,"AAAAAHpPu1Q=")</f>
        <v>#REF!</v>
      </c>
      <c r="CH163" t="e">
        <f>AND(#REF!,"AAAAAHpPu1U=")</f>
        <v>#REF!</v>
      </c>
      <c r="CI163" t="e">
        <f>AND(#REF!,"AAAAAHpPu1Y=")</f>
        <v>#REF!</v>
      </c>
      <c r="CJ163" t="e">
        <f>AND(#REF!,"AAAAAHpPu1c=")</f>
        <v>#REF!</v>
      </c>
      <c r="CK163" t="e">
        <f>AND(#REF!,"AAAAAHpPu1g=")</f>
        <v>#REF!</v>
      </c>
      <c r="CL163" t="e">
        <f>AND(#REF!,"AAAAAHpPu1k=")</f>
        <v>#REF!</v>
      </c>
      <c r="CM163" t="e">
        <f>AND(#REF!,"AAAAAHpPu1o=")</f>
        <v>#REF!</v>
      </c>
      <c r="CN163" t="e">
        <f>AND(#REF!,"AAAAAHpPu1s=")</f>
        <v>#REF!</v>
      </c>
      <c r="CO163" t="e">
        <f>AND(#REF!,"AAAAAHpPu1w=")</f>
        <v>#REF!</v>
      </c>
      <c r="CP163" t="e">
        <f>AND(#REF!,"AAAAAHpPu10=")</f>
        <v>#REF!</v>
      </c>
      <c r="CQ163" t="e">
        <f>AND(#REF!,"AAAAAHpPu14=")</f>
        <v>#REF!</v>
      </c>
      <c r="CR163" t="e">
        <f>AND(#REF!,"AAAAAHpPu18=")</f>
        <v>#REF!</v>
      </c>
      <c r="CS163" t="e">
        <f>AND(#REF!,"AAAAAHpPu2A=")</f>
        <v>#REF!</v>
      </c>
      <c r="CT163" t="e">
        <f>AND(#REF!,"AAAAAHpPu2E=")</f>
        <v>#REF!</v>
      </c>
      <c r="CU163" t="e">
        <f>AND(#REF!,"AAAAAHpPu2I=")</f>
        <v>#REF!</v>
      </c>
      <c r="CV163" t="e">
        <f>AND(#REF!,"AAAAAHpPu2M=")</f>
        <v>#REF!</v>
      </c>
      <c r="CW163" t="e">
        <f>AND(#REF!,"AAAAAHpPu2Q=")</f>
        <v>#REF!</v>
      </c>
      <c r="CX163" t="e">
        <f>AND(#REF!,"AAAAAHpPu2U=")</f>
        <v>#REF!</v>
      </c>
      <c r="CY163" t="e">
        <f>AND(#REF!,"AAAAAHpPu2Y=")</f>
        <v>#REF!</v>
      </c>
      <c r="CZ163" t="e">
        <f>AND(#REF!,"AAAAAHpPu2c=")</f>
        <v>#REF!</v>
      </c>
      <c r="DA163" t="e">
        <f>AND(#REF!,"AAAAAHpPu2g=")</f>
        <v>#REF!</v>
      </c>
      <c r="DB163" t="e">
        <f>AND(#REF!,"AAAAAHpPu2k=")</f>
        <v>#REF!</v>
      </c>
      <c r="DC163" t="e">
        <f>AND(#REF!,"AAAAAHpPu2o=")</f>
        <v>#REF!</v>
      </c>
      <c r="DD163" t="e">
        <f>AND(#REF!,"AAAAAHpPu2s=")</f>
        <v>#REF!</v>
      </c>
      <c r="DE163" t="e">
        <f>AND(#REF!,"AAAAAHpPu2w=")</f>
        <v>#REF!</v>
      </c>
      <c r="DF163" t="e">
        <f>AND(#REF!,"AAAAAHpPu20=")</f>
        <v>#REF!</v>
      </c>
      <c r="DG163" t="e">
        <f>AND(#REF!,"AAAAAHpPu24=")</f>
        <v>#REF!</v>
      </c>
      <c r="DH163" t="e">
        <f>AND(#REF!,"AAAAAHpPu28=")</f>
        <v>#REF!</v>
      </c>
      <c r="DI163" t="e">
        <f>AND(#REF!,"AAAAAHpPu3A=")</f>
        <v>#REF!</v>
      </c>
      <c r="DJ163" t="e">
        <f>AND(#REF!,"AAAAAHpPu3E=")</f>
        <v>#REF!</v>
      </c>
      <c r="DK163" t="e">
        <f>AND(#REF!,"AAAAAHpPu3I=")</f>
        <v>#REF!</v>
      </c>
      <c r="DL163" t="e">
        <f>AND(#REF!,"AAAAAHpPu3M=")</f>
        <v>#REF!</v>
      </c>
      <c r="DM163" t="e">
        <f>AND(#REF!,"AAAAAHpPu3Q=")</f>
        <v>#REF!</v>
      </c>
      <c r="DN163" t="e">
        <f>AND(#REF!,"AAAAAHpPu3U=")</f>
        <v>#REF!</v>
      </c>
      <c r="DO163" t="e">
        <f>AND(#REF!,"AAAAAHpPu3Y=")</f>
        <v>#REF!</v>
      </c>
      <c r="DP163" t="e">
        <f>AND(#REF!,"AAAAAHpPu3c=")</f>
        <v>#REF!</v>
      </c>
      <c r="DQ163" t="e">
        <f>AND(#REF!,"AAAAAHpPu3g=")</f>
        <v>#REF!</v>
      </c>
      <c r="DR163" t="e">
        <f>AND(#REF!,"AAAAAHpPu3k=")</f>
        <v>#REF!</v>
      </c>
      <c r="DS163" t="e">
        <f>AND(#REF!,"AAAAAHpPu3o=")</f>
        <v>#REF!</v>
      </c>
      <c r="DT163" t="e">
        <f>AND(#REF!,"AAAAAHpPu3s=")</f>
        <v>#REF!</v>
      </c>
      <c r="DU163" t="e">
        <f>AND(#REF!,"AAAAAHpPu3w=")</f>
        <v>#REF!</v>
      </c>
      <c r="DV163" t="e">
        <f>AND(#REF!,"AAAAAHpPu30=")</f>
        <v>#REF!</v>
      </c>
      <c r="DW163" t="e">
        <f>AND(#REF!,"AAAAAHpPu34=")</f>
        <v>#REF!</v>
      </c>
      <c r="DX163" t="e">
        <f>AND(#REF!,"AAAAAHpPu38=")</f>
        <v>#REF!</v>
      </c>
      <c r="DY163" t="e">
        <f>AND(#REF!,"AAAAAHpPu4A=")</f>
        <v>#REF!</v>
      </c>
      <c r="DZ163" t="e">
        <f>AND(#REF!,"AAAAAHpPu4E=")</f>
        <v>#REF!</v>
      </c>
      <c r="EA163" t="e">
        <f>AND(#REF!,"AAAAAHpPu4I=")</f>
        <v>#REF!</v>
      </c>
      <c r="EB163" t="e">
        <f>AND(#REF!,"AAAAAHpPu4M=")</f>
        <v>#REF!</v>
      </c>
      <c r="EC163" t="e">
        <f>AND(#REF!,"AAAAAHpPu4Q=")</f>
        <v>#REF!</v>
      </c>
      <c r="ED163" t="e">
        <f>AND(#REF!,"AAAAAHpPu4U=")</f>
        <v>#REF!</v>
      </c>
      <c r="EE163" t="e">
        <f>AND(#REF!,"AAAAAHpPu4Y=")</f>
        <v>#REF!</v>
      </c>
      <c r="EF163" t="e">
        <f>AND(#REF!,"AAAAAHpPu4c=")</f>
        <v>#REF!</v>
      </c>
      <c r="EG163" t="e">
        <f>AND(#REF!,"AAAAAHpPu4g=")</f>
        <v>#REF!</v>
      </c>
      <c r="EH163" t="e">
        <f>AND(#REF!,"AAAAAHpPu4k=")</f>
        <v>#REF!</v>
      </c>
      <c r="EI163" t="e">
        <f>AND(#REF!,"AAAAAHpPu4o=")</f>
        <v>#REF!</v>
      </c>
      <c r="EJ163" t="e">
        <f>AND(#REF!,"AAAAAHpPu4s=")</f>
        <v>#REF!</v>
      </c>
      <c r="EK163" t="e">
        <f>AND(#REF!,"AAAAAHpPu4w=")</f>
        <v>#REF!</v>
      </c>
      <c r="EL163" t="e">
        <f>AND(#REF!,"AAAAAHpPu40=")</f>
        <v>#REF!</v>
      </c>
      <c r="EM163" t="e">
        <f>AND(#REF!,"AAAAAHpPu44=")</f>
        <v>#REF!</v>
      </c>
      <c r="EN163" t="e">
        <f>AND(#REF!,"AAAAAHpPu48=")</f>
        <v>#REF!</v>
      </c>
      <c r="EO163" t="e">
        <f>AND(#REF!,"AAAAAHpPu5A=")</f>
        <v>#REF!</v>
      </c>
      <c r="EP163" t="e">
        <f>AND(#REF!,"AAAAAHpPu5E=")</f>
        <v>#REF!</v>
      </c>
      <c r="EQ163" t="e">
        <f>AND(#REF!,"AAAAAHpPu5I=")</f>
        <v>#REF!</v>
      </c>
      <c r="ER163" t="e">
        <f>AND(#REF!,"AAAAAHpPu5M=")</f>
        <v>#REF!</v>
      </c>
      <c r="ES163" t="e">
        <f>AND(#REF!,"AAAAAHpPu5Q=")</f>
        <v>#REF!</v>
      </c>
      <c r="ET163" t="e">
        <f>AND(#REF!,"AAAAAHpPu5U=")</f>
        <v>#REF!</v>
      </c>
      <c r="EU163" t="e">
        <f>AND(#REF!,"AAAAAHpPu5Y=")</f>
        <v>#REF!</v>
      </c>
      <c r="EV163" t="e">
        <f>AND(#REF!,"AAAAAHpPu5c=")</f>
        <v>#REF!</v>
      </c>
      <c r="EW163" t="e">
        <f>AND(#REF!,"AAAAAHpPu5g=")</f>
        <v>#REF!</v>
      </c>
      <c r="EX163" t="e">
        <f>AND(#REF!,"AAAAAHpPu5k=")</f>
        <v>#REF!</v>
      </c>
      <c r="EY163" t="e">
        <f>AND(#REF!,"AAAAAHpPu5o=")</f>
        <v>#REF!</v>
      </c>
      <c r="EZ163" t="e">
        <f>AND(#REF!,"AAAAAHpPu5s=")</f>
        <v>#REF!</v>
      </c>
      <c r="FA163" t="e">
        <f>AND(#REF!,"AAAAAHpPu5w=")</f>
        <v>#REF!</v>
      </c>
      <c r="FB163" t="e">
        <f>AND(#REF!,"AAAAAHpPu50=")</f>
        <v>#REF!</v>
      </c>
      <c r="FC163" t="e">
        <f>AND(#REF!,"AAAAAHpPu54=")</f>
        <v>#REF!</v>
      </c>
      <c r="FD163" t="e">
        <f>AND(#REF!,"AAAAAHpPu58=")</f>
        <v>#REF!</v>
      </c>
      <c r="FE163" t="e">
        <f>AND(#REF!,"AAAAAHpPu6A=")</f>
        <v>#REF!</v>
      </c>
      <c r="FF163" t="e">
        <f>AND(#REF!,"AAAAAHpPu6E=")</f>
        <v>#REF!</v>
      </c>
      <c r="FG163" t="e">
        <f>AND(#REF!,"AAAAAHpPu6I=")</f>
        <v>#REF!</v>
      </c>
      <c r="FH163" t="e">
        <f>AND(#REF!,"AAAAAHpPu6M=")</f>
        <v>#REF!</v>
      </c>
      <c r="FI163" t="e">
        <f>AND(#REF!,"AAAAAHpPu6Q=")</f>
        <v>#REF!</v>
      </c>
      <c r="FJ163" t="e">
        <f>AND(#REF!,"AAAAAHpPu6U=")</f>
        <v>#REF!</v>
      </c>
      <c r="FK163" t="e">
        <f>AND(#REF!,"AAAAAHpPu6Y=")</f>
        <v>#REF!</v>
      </c>
      <c r="FL163" t="e">
        <f>AND(#REF!,"AAAAAHpPu6c=")</f>
        <v>#REF!</v>
      </c>
      <c r="FM163" t="e">
        <f>AND(#REF!,"AAAAAHpPu6g=")</f>
        <v>#REF!</v>
      </c>
      <c r="FN163" t="e">
        <f>AND(#REF!,"AAAAAHpPu6k=")</f>
        <v>#REF!</v>
      </c>
      <c r="FO163" t="e">
        <f>AND(#REF!,"AAAAAHpPu6o=")</f>
        <v>#REF!</v>
      </c>
      <c r="FP163" t="e">
        <f>AND(#REF!,"AAAAAHpPu6s=")</f>
        <v>#REF!</v>
      </c>
      <c r="FQ163" t="e">
        <f>AND(#REF!,"AAAAAHpPu6w=")</f>
        <v>#REF!</v>
      </c>
      <c r="FR163" t="e">
        <f>AND(#REF!,"AAAAAHpPu60=")</f>
        <v>#REF!</v>
      </c>
      <c r="FS163" t="e">
        <f>AND(#REF!,"AAAAAHpPu64=")</f>
        <v>#REF!</v>
      </c>
      <c r="FT163" t="e">
        <f>AND(#REF!,"AAAAAHpPu68=")</f>
        <v>#REF!</v>
      </c>
      <c r="FU163" t="e">
        <f>AND(#REF!,"AAAAAHpPu7A=")</f>
        <v>#REF!</v>
      </c>
      <c r="FV163" t="e">
        <f>AND(#REF!,"AAAAAHpPu7E=")</f>
        <v>#REF!</v>
      </c>
      <c r="FW163" t="e">
        <f>AND(#REF!,"AAAAAHpPu7I=")</f>
        <v>#REF!</v>
      </c>
      <c r="FX163" t="e">
        <f>AND(#REF!,"AAAAAHpPu7M=")</f>
        <v>#REF!</v>
      </c>
      <c r="FY163" t="e">
        <f>AND(#REF!,"AAAAAHpPu7Q=")</f>
        <v>#REF!</v>
      </c>
      <c r="FZ163" t="e">
        <f>AND(#REF!,"AAAAAHpPu7U=")</f>
        <v>#REF!</v>
      </c>
      <c r="GA163" t="e">
        <f>AND(#REF!,"AAAAAHpPu7Y=")</f>
        <v>#REF!</v>
      </c>
      <c r="GB163" t="e">
        <f>AND(#REF!,"AAAAAHpPu7c=")</f>
        <v>#REF!</v>
      </c>
      <c r="GC163" t="e">
        <f>AND(#REF!,"AAAAAHpPu7g=")</f>
        <v>#REF!</v>
      </c>
      <c r="GD163" t="e">
        <f>AND(#REF!,"AAAAAHpPu7k=")</f>
        <v>#REF!</v>
      </c>
      <c r="GE163" t="e">
        <f>AND(#REF!,"AAAAAHpPu7o=")</f>
        <v>#REF!</v>
      </c>
      <c r="GF163" t="e">
        <f>AND(#REF!,"AAAAAHpPu7s=")</f>
        <v>#REF!</v>
      </c>
      <c r="GG163" t="e">
        <f>AND(#REF!,"AAAAAHpPu7w=")</f>
        <v>#REF!</v>
      </c>
      <c r="GH163" t="e">
        <f>AND(#REF!,"AAAAAHpPu70=")</f>
        <v>#REF!</v>
      </c>
      <c r="GI163" t="e">
        <f>AND(#REF!,"AAAAAHpPu74=")</f>
        <v>#REF!</v>
      </c>
      <c r="GJ163" t="e">
        <f>AND(#REF!,"AAAAAHpPu78=")</f>
        <v>#REF!</v>
      </c>
      <c r="GK163" t="e">
        <f>AND(#REF!,"AAAAAHpPu8A=")</f>
        <v>#REF!</v>
      </c>
      <c r="GL163" t="e">
        <f>AND(#REF!,"AAAAAHpPu8E=")</f>
        <v>#REF!</v>
      </c>
      <c r="GM163" t="e">
        <f>AND(#REF!,"AAAAAHpPu8I=")</f>
        <v>#REF!</v>
      </c>
      <c r="GN163" t="e">
        <f>AND(#REF!,"AAAAAHpPu8M=")</f>
        <v>#REF!</v>
      </c>
      <c r="GO163" t="e">
        <f>AND(#REF!,"AAAAAHpPu8Q=")</f>
        <v>#REF!</v>
      </c>
      <c r="GP163" t="e">
        <f>AND(#REF!,"AAAAAHpPu8U=")</f>
        <v>#REF!</v>
      </c>
      <c r="GQ163" t="e">
        <f>AND(#REF!,"AAAAAHpPu8Y=")</f>
        <v>#REF!</v>
      </c>
      <c r="GR163" t="e">
        <f>AND(#REF!,"AAAAAHpPu8c=")</f>
        <v>#REF!</v>
      </c>
      <c r="GS163" t="e">
        <f>AND(#REF!,"AAAAAHpPu8g=")</f>
        <v>#REF!</v>
      </c>
      <c r="GT163" t="e">
        <f>AND(#REF!,"AAAAAHpPu8k=")</f>
        <v>#REF!</v>
      </c>
      <c r="GU163" t="e">
        <f>AND(#REF!,"AAAAAHpPu8o=")</f>
        <v>#REF!</v>
      </c>
      <c r="GV163" t="e">
        <f>AND(#REF!,"AAAAAHpPu8s=")</f>
        <v>#REF!</v>
      </c>
      <c r="GW163" t="e">
        <f>AND(#REF!,"AAAAAHpPu8w=")</f>
        <v>#REF!</v>
      </c>
      <c r="GX163" t="e">
        <f>AND(#REF!,"AAAAAHpPu80=")</f>
        <v>#REF!</v>
      </c>
      <c r="GY163" t="e">
        <f>AND(#REF!,"AAAAAHpPu84=")</f>
        <v>#REF!</v>
      </c>
      <c r="GZ163" t="e">
        <f>AND(#REF!,"AAAAAHpPu88=")</f>
        <v>#REF!</v>
      </c>
      <c r="HA163" t="e">
        <f>AND(#REF!,"AAAAAHpPu9A=")</f>
        <v>#REF!</v>
      </c>
      <c r="HB163" t="e">
        <f>AND(#REF!,"AAAAAHpPu9E=")</f>
        <v>#REF!</v>
      </c>
      <c r="HC163" t="e">
        <f>AND(#REF!,"AAAAAHpPu9I=")</f>
        <v>#REF!</v>
      </c>
      <c r="HD163" t="e">
        <f>AND(#REF!,"AAAAAHpPu9M=")</f>
        <v>#REF!</v>
      </c>
      <c r="HE163" t="e">
        <f>AND(#REF!,"AAAAAHpPu9Q=")</f>
        <v>#REF!</v>
      </c>
      <c r="HF163" t="e">
        <f>AND(#REF!,"AAAAAHpPu9U=")</f>
        <v>#REF!</v>
      </c>
      <c r="HG163" t="e">
        <f>AND(#REF!,"AAAAAHpPu9Y=")</f>
        <v>#REF!</v>
      </c>
      <c r="HH163" t="e">
        <f>AND(#REF!,"AAAAAHpPu9c=")</f>
        <v>#REF!</v>
      </c>
      <c r="HI163" t="e">
        <f>AND(#REF!,"AAAAAHpPu9g=")</f>
        <v>#REF!</v>
      </c>
      <c r="HJ163" t="e">
        <f>AND(#REF!,"AAAAAHpPu9k=")</f>
        <v>#REF!</v>
      </c>
      <c r="HK163" t="e">
        <f>AND(#REF!,"AAAAAHpPu9o=")</f>
        <v>#REF!</v>
      </c>
      <c r="HL163" t="e">
        <f>AND(#REF!,"AAAAAHpPu9s=")</f>
        <v>#REF!</v>
      </c>
      <c r="HM163" t="e">
        <f>AND(#REF!,"AAAAAHpPu9w=")</f>
        <v>#REF!</v>
      </c>
      <c r="HN163" t="e">
        <f>AND(#REF!,"AAAAAHpPu90=")</f>
        <v>#REF!</v>
      </c>
      <c r="HO163" t="e">
        <f>AND(#REF!,"AAAAAHpPu94=")</f>
        <v>#REF!</v>
      </c>
      <c r="HP163" t="e">
        <f>AND(#REF!,"AAAAAHpPu98=")</f>
        <v>#REF!</v>
      </c>
      <c r="HQ163" t="e">
        <f>AND(#REF!,"AAAAAHpPu+A=")</f>
        <v>#REF!</v>
      </c>
      <c r="HR163" t="e">
        <f>AND(#REF!,"AAAAAHpPu+E=")</f>
        <v>#REF!</v>
      </c>
      <c r="HS163" t="e">
        <f>AND(#REF!,"AAAAAHpPu+I=")</f>
        <v>#REF!</v>
      </c>
      <c r="HT163" t="e">
        <f>AND(#REF!,"AAAAAHpPu+M=")</f>
        <v>#REF!</v>
      </c>
      <c r="HU163" t="e">
        <f>AND(#REF!,"AAAAAHpPu+Q=")</f>
        <v>#REF!</v>
      </c>
      <c r="HV163" t="e">
        <f>AND(#REF!,"AAAAAHpPu+U=")</f>
        <v>#REF!</v>
      </c>
      <c r="HW163" t="e">
        <f>AND(#REF!,"AAAAAHpPu+Y=")</f>
        <v>#REF!</v>
      </c>
      <c r="HX163" t="e">
        <f>AND(#REF!,"AAAAAHpPu+c=")</f>
        <v>#REF!</v>
      </c>
      <c r="HY163" t="e">
        <f>AND(#REF!,"AAAAAHpPu+g=")</f>
        <v>#REF!</v>
      </c>
      <c r="HZ163" t="e">
        <f>AND(#REF!,"AAAAAHpPu+k=")</f>
        <v>#REF!</v>
      </c>
      <c r="IA163" t="e">
        <f>AND(#REF!,"AAAAAHpPu+o=")</f>
        <v>#REF!</v>
      </c>
      <c r="IB163" t="e">
        <f>AND(#REF!,"AAAAAHpPu+s=")</f>
        <v>#REF!</v>
      </c>
      <c r="IC163" t="e">
        <f>AND(#REF!,"AAAAAHpPu+w=")</f>
        <v>#REF!</v>
      </c>
      <c r="ID163" t="e">
        <f>AND(#REF!,"AAAAAHpPu+0=")</f>
        <v>#REF!</v>
      </c>
      <c r="IE163" t="e">
        <f>AND(#REF!,"AAAAAHpPu+4=")</f>
        <v>#REF!</v>
      </c>
      <c r="IF163" t="e">
        <f>AND(#REF!,"AAAAAHpPu+8=")</f>
        <v>#REF!</v>
      </c>
      <c r="IG163" t="e">
        <f>AND(#REF!,"AAAAAHpPu/A=")</f>
        <v>#REF!</v>
      </c>
      <c r="IH163" t="e">
        <f>AND(#REF!,"AAAAAHpPu/E=")</f>
        <v>#REF!</v>
      </c>
      <c r="II163" t="e">
        <f>AND(#REF!,"AAAAAHpPu/I=")</f>
        <v>#REF!</v>
      </c>
      <c r="IJ163" t="e">
        <f>AND(#REF!,"AAAAAHpPu/M=")</f>
        <v>#REF!</v>
      </c>
      <c r="IK163" t="e">
        <f>AND(#REF!,"AAAAAHpPu/Q=")</f>
        <v>#REF!</v>
      </c>
      <c r="IL163" t="e">
        <f>AND(#REF!,"AAAAAHpPu/U=")</f>
        <v>#REF!</v>
      </c>
      <c r="IM163" t="e">
        <f>AND(#REF!,"AAAAAHpPu/Y=")</f>
        <v>#REF!</v>
      </c>
      <c r="IN163" t="e">
        <f>AND(#REF!,"AAAAAHpPu/c=")</f>
        <v>#REF!</v>
      </c>
      <c r="IO163" t="e">
        <f>AND(#REF!,"AAAAAHpPu/g=")</f>
        <v>#REF!</v>
      </c>
      <c r="IP163" t="e">
        <f>AND(#REF!,"AAAAAHpPu/k=")</f>
        <v>#REF!</v>
      </c>
      <c r="IQ163" t="e">
        <f>AND(#REF!,"AAAAAHpPu/o=")</f>
        <v>#REF!</v>
      </c>
      <c r="IR163" t="e">
        <f>AND(#REF!,"AAAAAHpPu/s=")</f>
        <v>#REF!</v>
      </c>
      <c r="IS163" t="e">
        <f>AND(#REF!,"AAAAAHpPu/w=")</f>
        <v>#REF!</v>
      </c>
      <c r="IT163" t="e">
        <f>AND(#REF!,"AAAAAHpPu/0=")</f>
        <v>#REF!</v>
      </c>
      <c r="IU163" t="e">
        <f>AND(#REF!,"AAAAAHpPu/4=")</f>
        <v>#REF!</v>
      </c>
      <c r="IV163" t="e">
        <f>AND(#REF!,"AAAAAHpPu/8=")</f>
        <v>#REF!</v>
      </c>
    </row>
    <row r="164" spans="1:256" x14ac:dyDescent="0.25">
      <c r="A164" t="e">
        <f>AND(#REF!,"AAAAAH37/QA=")</f>
        <v>#REF!</v>
      </c>
      <c r="B164" t="e">
        <f>AND(#REF!,"AAAAAH37/QE=")</f>
        <v>#REF!</v>
      </c>
      <c r="C164" t="e">
        <f>AND(#REF!,"AAAAAH37/QI=")</f>
        <v>#REF!</v>
      </c>
      <c r="D164" t="e">
        <f>AND(#REF!,"AAAAAH37/QM=")</f>
        <v>#REF!</v>
      </c>
      <c r="E164" t="e">
        <f>AND(#REF!,"AAAAAH37/QQ=")</f>
        <v>#REF!</v>
      </c>
      <c r="F164" t="e">
        <f>AND(#REF!,"AAAAAH37/QU=")</f>
        <v>#REF!</v>
      </c>
      <c r="G164" t="e">
        <f>AND(#REF!,"AAAAAH37/QY=")</f>
        <v>#REF!</v>
      </c>
      <c r="H164" t="e">
        <f>AND(#REF!,"AAAAAH37/Qc=")</f>
        <v>#REF!</v>
      </c>
      <c r="I164" t="e">
        <f>AND(#REF!,"AAAAAH37/Qg=")</f>
        <v>#REF!</v>
      </c>
      <c r="J164" t="e">
        <f>AND(#REF!,"AAAAAH37/Qk=")</f>
        <v>#REF!</v>
      </c>
      <c r="K164" t="e">
        <f>AND(#REF!,"AAAAAH37/Qo=")</f>
        <v>#REF!</v>
      </c>
      <c r="L164" t="e">
        <f>AND(#REF!,"AAAAAH37/Qs=")</f>
        <v>#REF!</v>
      </c>
      <c r="M164" t="e">
        <f>AND(#REF!,"AAAAAH37/Qw=")</f>
        <v>#REF!</v>
      </c>
      <c r="N164" t="e">
        <f>AND(#REF!,"AAAAAH37/Q0=")</f>
        <v>#REF!</v>
      </c>
      <c r="O164" t="e">
        <f>AND(#REF!,"AAAAAH37/Q4=")</f>
        <v>#REF!</v>
      </c>
      <c r="P164" t="e">
        <f>AND(#REF!,"AAAAAH37/Q8=")</f>
        <v>#REF!</v>
      </c>
      <c r="Q164" t="e">
        <f>AND(#REF!,"AAAAAH37/RA=")</f>
        <v>#REF!</v>
      </c>
      <c r="R164" t="e">
        <f>AND(#REF!,"AAAAAH37/RE=")</f>
        <v>#REF!</v>
      </c>
      <c r="S164" t="e">
        <f>AND(#REF!,"AAAAAH37/RI=")</f>
        <v>#REF!</v>
      </c>
      <c r="T164" t="e">
        <f>AND(#REF!,"AAAAAH37/RM=")</f>
        <v>#REF!</v>
      </c>
      <c r="U164" t="e">
        <f>AND(#REF!,"AAAAAH37/RQ=")</f>
        <v>#REF!</v>
      </c>
      <c r="V164" t="e">
        <f>AND(#REF!,"AAAAAH37/RU=")</f>
        <v>#REF!</v>
      </c>
      <c r="W164" t="e">
        <f>AND(#REF!,"AAAAAH37/RY=")</f>
        <v>#REF!</v>
      </c>
      <c r="X164" t="e">
        <f>AND(#REF!,"AAAAAH37/Rc=")</f>
        <v>#REF!</v>
      </c>
      <c r="Y164" t="e">
        <f>AND(#REF!,"AAAAAH37/Rg=")</f>
        <v>#REF!</v>
      </c>
      <c r="Z164" t="e">
        <f>AND(#REF!,"AAAAAH37/Rk=")</f>
        <v>#REF!</v>
      </c>
      <c r="AA164" t="e">
        <f>AND(#REF!,"AAAAAH37/Ro=")</f>
        <v>#REF!</v>
      </c>
      <c r="AB164" t="e">
        <f>AND(#REF!,"AAAAAH37/Rs=")</f>
        <v>#REF!</v>
      </c>
      <c r="AC164" t="e">
        <f>AND(#REF!,"AAAAAH37/Rw=")</f>
        <v>#REF!</v>
      </c>
      <c r="AD164" t="e">
        <f>AND(#REF!,"AAAAAH37/R0=")</f>
        <v>#REF!</v>
      </c>
      <c r="AE164" t="e">
        <f>AND(#REF!,"AAAAAH37/R4=")</f>
        <v>#REF!</v>
      </c>
      <c r="AF164" t="e">
        <f>AND(#REF!,"AAAAAH37/R8=")</f>
        <v>#REF!</v>
      </c>
      <c r="AG164" t="e">
        <f>AND(#REF!,"AAAAAH37/SA=")</f>
        <v>#REF!</v>
      </c>
      <c r="AH164" t="e">
        <f>AND(#REF!,"AAAAAH37/SE=")</f>
        <v>#REF!</v>
      </c>
      <c r="AI164" t="e">
        <f>AND(#REF!,"AAAAAH37/SI=")</f>
        <v>#REF!</v>
      </c>
      <c r="AJ164" t="e">
        <f>AND(#REF!,"AAAAAH37/SM=")</f>
        <v>#REF!</v>
      </c>
      <c r="AK164" t="e">
        <f>AND(#REF!,"AAAAAH37/SQ=")</f>
        <v>#REF!</v>
      </c>
      <c r="AL164" t="e">
        <f>AND(#REF!,"AAAAAH37/SU=")</f>
        <v>#REF!</v>
      </c>
      <c r="AM164" t="e">
        <f>AND(#REF!,"AAAAAH37/SY=")</f>
        <v>#REF!</v>
      </c>
      <c r="AN164" t="e">
        <f>AND(#REF!,"AAAAAH37/Sc=")</f>
        <v>#REF!</v>
      </c>
      <c r="AO164" t="e">
        <f>AND(#REF!,"AAAAAH37/Sg=")</f>
        <v>#REF!</v>
      </c>
      <c r="AP164" t="e">
        <f>AND(#REF!,"AAAAAH37/Sk=")</f>
        <v>#REF!</v>
      </c>
      <c r="AQ164" t="e">
        <f>AND(#REF!,"AAAAAH37/So=")</f>
        <v>#REF!</v>
      </c>
      <c r="AR164" t="e">
        <f>AND(#REF!,"AAAAAH37/Ss=")</f>
        <v>#REF!</v>
      </c>
      <c r="AS164" t="e">
        <f>AND(#REF!,"AAAAAH37/Sw=")</f>
        <v>#REF!</v>
      </c>
      <c r="AT164" t="e">
        <f>AND(#REF!,"AAAAAH37/S0=")</f>
        <v>#REF!</v>
      </c>
      <c r="AU164" t="e">
        <f>AND(#REF!,"AAAAAH37/S4=")</f>
        <v>#REF!</v>
      </c>
      <c r="AV164" t="e">
        <f>AND(#REF!,"AAAAAH37/S8=")</f>
        <v>#REF!</v>
      </c>
      <c r="AW164" t="e">
        <f>AND(#REF!,"AAAAAH37/TA=")</f>
        <v>#REF!</v>
      </c>
      <c r="AX164" t="e">
        <f>AND(#REF!,"AAAAAH37/TE=")</f>
        <v>#REF!</v>
      </c>
      <c r="AY164" t="e">
        <f>AND(#REF!,"AAAAAH37/TI=")</f>
        <v>#REF!</v>
      </c>
      <c r="AZ164" t="e">
        <f>AND(#REF!,"AAAAAH37/TM=")</f>
        <v>#REF!</v>
      </c>
      <c r="BA164" t="e">
        <f>AND(#REF!,"AAAAAH37/TQ=")</f>
        <v>#REF!</v>
      </c>
      <c r="BB164" t="e">
        <f>AND(#REF!,"AAAAAH37/TU=")</f>
        <v>#REF!</v>
      </c>
      <c r="BC164" t="e">
        <f>AND(#REF!,"AAAAAH37/TY=")</f>
        <v>#REF!</v>
      </c>
      <c r="BD164" t="e">
        <f>AND(#REF!,"AAAAAH37/Tc=")</f>
        <v>#REF!</v>
      </c>
      <c r="BE164" t="e">
        <f>AND(#REF!,"AAAAAH37/Tg=")</f>
        <v>#REF!</v>
      </c>
      <c r="BF164" t="e">
        <f>AND(#REF!,"AAAAAH37/Tk=")</f>
        <v>#REF!</v>
      </c>
      <c r="BG164" t="e">
        <f>AND(#REF!,"AAAAAH37/To=")</f>
        <v>#REF!</v>
      </c>
      <c r="BH164" t="e">
        <f>AND(#REF!,"AAAAAH37/Ts=")</f>
        <v>#REF!</v>
      </c>
      <c r="BI164" t="e">
        <f>AND(#REF!,"AAAAAH37/Tw=")</f>
        <v>#REF!</v>
      </c>
      <c r="BJ164" t="e">
        <f>AND(#REF!,"AAAAAH37/T0=")</f>
        <v>#REF!</v>
      </c>
      <c r="BK164" t="e">
        <f>AND(#REF!,"AAAAAH37/T4=")</f>
        <v>#REF!</v>
      </c>
      <c r="BL164" t="e">
        <f>AND(#REF!,"AAAAAH37/T8=")</f>
        <v>#REF!</v>
      </c>
      <c r="BM164" t="e">
        <f>AND(#REF!,"AAAAAH37/UA=")</f>
        <v>#REF!</v>
      </c>
      <c r="BN164" t="e">
        <f>AND(#REF!,"AAAAAH37/UE=")</f>
        <v>#REF!</v>
      </c>
      <c r="BO164" t="e">
        <f>AND(#REF!,"AAAAAH37/UI=")</f>
        <v>#REF!</v>
      </c>
      <c r="BP164" t="e">
        <f>AND(#REF!,"AAAAAH37/UM=")</f>
        <v>#REF!</v>
      </c>
      <c r="BQ164" t="e">
        <f>AND(#REF!,"AAAAAH37/UQ=")</f>
        <v>#REF!</v>
      </c>
      <c r="BR164" t="e">
        <f>AND(#REF!,"AAAAAH37/UU=")</f>
        <v>#REF!</v>
      </c>
      <c r="BS164" t="e">
        <f>AND(#REF!,"AAAAAH37/UY=")</f>
        <v>#REF!</v>
      </c>
      <c r="BT164" t="e">
        <f>AND(#REF!,"AAAAAH37/Uc=")</f>
        <v>#REF!</v>
      </c>
      <c r="BU164" t="e">
        <f>AND(#REF!,"AAAAAH37/Ug=")</f>
        <v>#REF!</v>
      </c>
      <c r="BV164" t="e">
        <f>AND(#REF!,"AAAAAH37/Uk=")</f>
        <v>#REF!</v>
      </c>
      <c r="BW164" t="e">
        <f>AND(#REF!,"AAAAAH37/Uo=")</f>
        <v>#REF!</v>
      </c>
      <c r="BX164" t="e">
        <f>AND(#REF!,"AAAAAH37/Us=")</f>
        <v>#REF!</v>
      </c>
      <c r="BY164" t="e">
        <f>AND(#REF!,"AAAAAH37/Uw=")</f>
        <v>#REF!</v>
      </c>
      <c r="BZ164" t="e">
        <f>AND(#REF!,"AAAAAH37/U0=")</f>
        <v>#REF!</v>
      </c>
      <c r="CA164" t="e">
        <f>AND(#REF!,"AAAAAH37/U4=")</f>
        <v>#REF!</v>
      </c>
      <c r="CB164" t="e">
        <f>AND(#REF!,"AAAAAH37/U8=")</f>
        <v>#REF!</v>
      </c>
      <c r="CC164" t="e">
        <f>AND(#REF!,"AAAAAH37/VA=")</f>
        <v>#REF!</v>
      </c>
      <c r="CD164" t="e">
        <f>AND(#REF!,"AAAAAH37/VE=")</f>
        <v>#REF!</v>
      </c>
      <c r="CE164" t="e">
        <f>AND(#REF!,"AAAAAH37/VI=")</f>
        <v>#REF!</v>
      </c>
      <c r="CF164" t="e">
        <f>AND(#REF!,"AAAAAH37/VM=")</f>
        <v>#REF!</v>
      </c>
      <c r="CG164" t="e">
        <f>AND(#REF!,"AAAAAH37/VQ=")</f>
        <v>#REF!</v>
      </c>
      <c r="CH164" t="e">
        <f>AND(#REF!,"AAAAAH37/VU=")</f>
        <v>#REF!</v>
      </c>
      <c r="CI164" t="e">
        <f>AND(#REF!,"AAAAAH37/VY=")</f>
        <v>#REF!</v>
      </c>
      <c r="CJ164" t="e">
        <f>AND(#REF!,"AAAAAH37/Vc=")</f>
        <v>#REF!</v>
      </c>
      <c r="CK164" t="e">
        <f>AND(#REF!,"AAAAAH37/Vg=")</f>
        <v>#REF!</v>
      </c>
      <c r="CL164" t="e">
        <f>AND(#REF!,"AAAAAH37/Vk=")</f>
        <v>#REF!</v>
      </c>
      <c r="CM164" t="e">
        <f>AND(#REF!,"AAAAAH37/Vo=")</f>
        <v>#REF!</v>
      </c>
      <c r="CN164" t="e">
        <f>AND(#REF!,"AAAAAH37/Vs=")</f>
        <v>#REF!</v>
      </c>
      <c r="CO164" t="e">
        <f>AND(#REF!,"AAAAAH37/Vw=")</f>
        <v>#REF!</v>
      </c>
      <c r="CP164" t="e">
        <f>AND(#REF!,"AAAAAH37/V0=")</f>
        <v>#REF!</v>
      </c>
      <c r="CQ164" t="e">
        <f>AND(#REF!,"AAAAAH37/V4=")</f>
        <v>#REF!</v>
      </c>
      <c r="CR164" t="e">
        <f>AND(#REF!,"AAAAAH37/V8=")</f>
        <v>#REF!</v>
      </c>
      <c r="CS164" t="e">
        <f>AND(#REF!,"AAAAAH37/WA=")</f>
        <v>#REF!</v>
      </c>
      <c r="CT164" t="e">
        <f>AND(#REF!,"AAAAAH37/WE=")</f>
        <v>#REF!</v>
      </c>
      <c r="CU164" t="e">
        <f>AND(#REF!,"AAAAAH37/WI=")</f>
        <v>#REF!</v>
      </c>
      <c r="CV164" t="e">
        <f>AND(#REF!,"AAAAAH37/WM=")</f>
        <v>#REF!</v>
      </c>
      <c r="CW164" t="e">
        <f>AND(#REF!,"AAAAAH37/WQ=")</f>
        <v>#REF!</v>
      </c>
      <c r="CX164" t="e">
        <f>AND(#REF!,"AAAAAH37/WU=")</f>
        <v>#REF!</v>
      </c>
      <c r="CY164" t="e">
        <f>AND(#REF!,"AAAAAH37/WY=")</f>
        <v>#REF!</v>
      </c>
      <c r="CZ164" t="e">
        <f>AND(#REF!,"AAAAAH37/Wc=")</f>
        <v>#REF!</v>
      </c>
      <c r="DA164" t="e">
        <f>AND(#REF!,"AAAAAH37/Wg=")</f>
        <v>#REF!</v>
      </c>
      <c r="DB164" t="e">
        <f>AND(#REF!,"AAAAAH37/Wk=")</f>
        <v>#REF!</v>
      </c>
      <c r="DC164" t="e">
        <f>AND(#REF!,"AAAAAH37/Wo=")</f>
        <v>#REF!</v>
      </c>
      <c r="DD164" t="e">
        <f>AND(#REF!,"AAAAAH37/Ws=")</f>
        <v>#REF!</v>
      </c>
      <c r="DE164" t="e">
        <f>AND(#REF!,"AAAAAH37/Ww=")</f>
        <v>#REF!</v>
      </c>
      <c r="DF164" t="e">
        <f>AND(#REF!,"AAAAAH37/W0=")</f>
        <v>#REF!</v>
      </c>
      <c r="DG164" t="e">
        <f>AND(#REF!,"AAAAAH37/W4=")</f>
        <v>#REF!</v>
      </c>
      <c r="DH164" t="e">
        <f>AND(#REF!,"AAAAAH37/W8=")</f>
        <v>#REF!</v>
      </c>
      <c r="DI164" t="e">
        <f>AND(#REF!,"AAAAAH37/XA=")</f>
        <v>#REF!</v>
      </c>
      <c r="DJ164" t="e">
        <f>AND(#REF!,"AAAAAH37/XE=")</f>
        <v>#REF!</v>
      </c>
      <c r="DK164" t="e">
        <f>AND(#REF!,"AAAAAH37/XI=")</f>
        <v>#REF!</v>
      </c>
      <c r="DL164" t="e">
        <f>AND(#REF!,"AAAAAH37/XM=")</f>
        <v>#REF!</v>
      </c>
      <c r="DM164" t="e">
        <f>AND(#REF!,"AAAAAH37/XQ=")</f>
        <v>#REF!</v>
      </c>
      <c r="DN164" t="e">
        <f>AND(#REF!,"AAAAAH37/XU=")</f>
        <v>#REF!</v>
      </c>
      <c r="DO164" t="e">
        <f>AND(#REF!,"AAAAAH37/XY=")</f>
        <v>#REF!</v>
      </c>
      <c r="DP164" t="e">
        <f>AND(#REF!,"AAAAAH37/Xc=")</f>
        <v>#REF!</v>
      </c>
      <c r="DQ164" t="e">
        <f>AND(#REF!,"AAAAAH37/Xg=")</f>
        <v>#REF!</v>
      </c>
      <c r="DR164" t="e">
        <f>AND(#REF!,"AAAAAH37/Xk=")</f>
        <v>#REF!</v>
      </c>
      <c r="DS164" t="e">
        <f>AND(#REF!,"AAAAAH37/Xo=")</f>
        <v>#REF!</v>
      </c>
      <c r="DT164" t="e">
        <f>AND(#REF!,"AAAAAH37/Xs=")</f>
        <v>#REF!</v>
      </c>
      <c r="DU164" t="e">
        <f>AND(#REF!,"AAAAAH37/Xw=")</f>
        <v>#REF!</v>
      </c>
      <c r="DV164" t="e">
        <f>AND(#REF!,"AAAAAH37/X0=")</f>
        <v>#REF!</v>
      </c>
      <c r="DW164" t="e">
        <f>AND(#REF!,"AAAAAH37/X4=")</f>
        <v>#REF!</v>
      </c>
      <c r="DX164" t="e">
        <f>AND(#REF!,"AAAAAH37/X8=")</f>
        <v>#REF!</v>
      </c>
      <c r="DY164" t="e">
        <f>AND(#REF!,"AAAAAH37/YA=")</f>
        <v>#REF!</v>
      </c>
      <c r="DZ164" t="e">
        <f>AND(#REF!,"AAAAAH37/YE=")</f>
        <v>#REF!</v>
      </c>
      <c r="EA164" t="e">
        <f>AND(#REF!,"AAAAAH37/YI=")</f>
        <v>#REF!</v>
      </c>
      <c r="EB164" t="e">
        <f>AND(#REF!,"AAAAAH37/YM=")</f>
        <v>#REF!</v>
      </c>
      <c r="EC164" t="e">
        <f>AND(#REF!,"AAAAAH37/YQ=")</f>
        <v>#REF!</v>
      </c>
      <c r="ED164" t="e">
        <f>AND(#REF!,"AAAAAH37/YU=")</f>
        <v>#REF!</v>
      </c>
      <c r="EE164" t="e">
        <f>AND(#REF!,"AAAAAH37/YY=")</f>
        <v>#REF!</v>
      </c>
      <c r="EF164" t="e">
        <f>AND(#REF!,"AAAAAH37/Yc=")</f>
        <v>#REF!</v>
      </c>
      <c r="EG164" t="e">
        <f>AND(#REF!,"AAAAAH37/Yg=")</f>
        <v>#REF!</v>
      </c>
      <c r="EH164" t="e">
        <f>AND(#REF!,"AAAAAH37/Yk=")</f>
        <v>#REF!</v>
      </c>
      <c r="EI164" t="e">
        <f>AND(#REF!,"AAAAAH37/Yo=")</f>
        <v>#REF!</v>
      </c>
      <c r="EJ164" t="e">
        <f>AND(#REF!,"AAAAAH37/Ys=")</f>
        <v>#REF!</v>
      </c>
      <c r="EK164" t="e">
        <f>AND(#REF!,"AAAAAH37/Yw=")</f>
        <v>#REF!</v>
      </c>
      <c r="EL164" t="e">
        <f>AND(#REF!,"AAAAAH37/Y0=")</f>
        <v>#REF!</v>
      </c>
      <c r="EM164" t="e">
        <f>AND(#REF!,"AAAAAH37/Y4=")</f>
        <v>#REF!</v>
      </c>
      <c r="EN164" t="e">
        <f>AND(#REF!,"AAAAAH37/Y8=")</f>
        <v>#REF!</v>
      </c>
      <c r="EO164" t="e">
        <f>AND(#REF!,"AAAAAH37/ZA=")</f>
        <v>#REF!</v>
      </c>
      <c r="EP164" t="e">
        <f>AND(#REF!,"AAAAAH37/ZE=")</f>
        <v>#REF!</v>
      </c>
      <c r="EQ164" t="e">
        <f>AND(#REF!,"AAAAAH37/ZI=")</f>
        <v>#REF!</v>
      </c>
      <c r="ER164" t="e">
        <f>AND(#REF!,"AAAAAH37/ZM=")</f>
        <v>#REF!</v>
      </c>
      <c r="ES164" t="e">
        <f>AND(#REF!,"AAAAAH37/ZQ=")</f>
        <v>#REF!</v>
      </c>
      <c r="ET164" t="e">
        <f>AND(#REF!,"AAAAAH37/ZU=")</f>
        <v>#REF!</v>
      </c>
      <c r="EU164" t="e">
        <f>AND(#REF!,"AAAAAH37/ZY=")</f>
        <v>#REF!</v>
      </c>
      <c r="EV164" t="e">
        <f>AND(#REF!,"AAAAAH37/Zc=")</f>
        <v>#REF!</v>
      </c>
      <c r="EW164" t="e">
        <f>AND(#REF!,"AAAAAH37/Zg=")</f>
        <v>#REF!</v>
      </c>
      <c r="EX164" t="e">
        <f>AND(#REF!,"AAAAAH37/Zk=")</f>
        <v>#REF!</v>
      </c>
      <c r="EY164" t="e">
        <f>AND(#REF!,"AAAAAH37/Zo=")</f>
        <v>#REF!</v>
      </c>
      <c r="EZ164" t="e">
        <f>AND(#REF!,"AAAAAH37/Zs=")</f>
        <v>#REF!</v>
      </c>
      <c r="FA164" t="e">
        <f>AND(#REF!,"AAAAAH37/Zw=")</f>
        <v>#REF!</v>
      </c>
      <c r="FB164" t="e">
        <f>AND(#REF!,"AAAAAH37/Z0=")</f>
        <v>#REF!</v>
      </c>
      <c r="FC164" t="e">
        <f>AND(#REF!,"AAAAAH37/Z4=")</f>
        <v>#REF!</v>
      </c>
      <c r="FD164" t="e">
        <f>AND(#REF!,"AAAAAH37/Z8=")</f>
        <v>#REF!</v>
      </c>
      <c r="FE164" t="e">
        <f>AND(#REF!,"AAAAAH37/aA=")</f>
        <v>#REF!</v>
      </c>
      <c r="FF164" t="e">
        <f>AND(#REF!,"AAAAAH37/aE=")</f>
        <v>#REF!</v>
      </c>
      <c r="FG164" t="e">
        <f>AND(#REF!,"AAAAAH37/aI=")</f>
        <v>#REF!</v>
      </c>
      <c r="FH164" t="e">
        <f>AND(#REF!,"AAAAAH37/aM=")</f>
        <v>#REF!</v>
      </c>
      <c r="FI164" t="e">
        <f>AND(#REF!,"AAAAAH37/aQ=")</f>
        <v>#REF!</v>
      </c>
      <c r="FJ164" t="e">
        <f>AND(#REF!,"AAAAAH37/aU=")</f>
        <v>#REF!</v>
      </c>
      <c r="FK164" t="e">
        <f>AND(#REF!,"AAAAAH37/aY=")</f>
        <v>#REF!</v>
      </c>
      <c r="FL164" t="e">
        <f>AND(#REF!,"AAAAAH37/ac=")</f>
        <v>#REF!</v>
      </c>
      <c r="FM164" t="e">
        <f>AND(#REF!,"AAAAAH37/ag=")</f>
        <v>#REF!</v>
      </c>
      <c r="FN164" t="e">
        <f>AND(#REF!,"AAAAAH37/ak=")</f>
        <v>#REF!</v>
      </c>
      <c r="FO164" t="e">
        <f>AND(#REF!,"AAAAAH37/ao=")</f>
        <v>#REF!</v>
      </c>
      <c r="FP164" t="e">
        <f>AND(#REF!,"AAAAAH37/as=")</f>
        <v>#REF!</v>
      </c>
      <c r="FQ164" t="e">
        <f>AND(#REF!,"AAAAAH37/aw=")</f>
        <v>#REF!</v>
      </c>
      <c r="FR164" t="e">
        <f>AND(#REF!,"AAAAAH37/a0=")</f>
        <v>#REF!</v>
      </c>
      <c r="FS164" t="e">
        <f>AND(#REF!,"AAAAAH37/a4=")</f>
        <v>#REF!</v>
      </c>
      <c r="FT164" t="e">
        <f>AND(#REF!,"AAAAAH37/a8=")</f>
        <v>#REF!</v>
      </c>
      <c r="FU164" t="e">
        <f>AND(#REF!,"AAAAAH37/bA=")</f>
        <v>#REF!</v>
      </c>
      <c r="FV164" t="e">
        <f>AND(#REF!,"AAAAAH37/bE=")</f>
        <v>#REF!</v>
      </c>
      <c r="FW164" t="e">
        <f>AND(#REF!,"AAAAAH37/bI=")</f>
        <v>#REF!</v>
      </c>
      <c r="FX164" t="e">
        <f>AND(#REF!,"AAAAAH37/bM=")</f>
        <v>#REF!</v>
      </c>
      <c r="FY164" t="e">
        <f>AND(#REF!,"AAAAAH37/bQ=")</f>
        <v>#REF!</v>
      </c>
      <c r="FZ164" t="e">
        <f>AND(#REF!,"AAAAAH37/bU=")</f>
        <v>#REF!</v>
      </c>
      <c r="GA164" t="e">
        <f>AND(#REF!,"AAAAAH37/bY=")</f>
        <v>#REF!</v>
      </c>
      <c r="GB164" t="e">
        <f>AND(#REF!,"AAAAAH37/bc=")</f>
        <v>#REF!</v>
      </c>
      <c r="GC164" t="e">
        <f>AND(#REF!,"AAAAAH37/bg=")</f>
        <v>#REF!</v>
      </c>
      <c r="GD164" t="e">
        <f>AND(#REF!,"AAAAAH37/bk=")</f>
        <v>#REF!</v>
      </c>
      <c r="GE164" t="e">
        <f>AND(#REF!,"AAAAAH37/bo=")</f>
        <v>#REF!</v>
      </c>
      <c r="GF164" t="e">
        <f>AND(#REF!,"AAAAAH37/bs=")</f>
        <v>#REF!</v>
      </c>
      <c r="GG164" t="e">
        <f>AND(#REF!,"AAAAAH37/bw=")</f>
        <v>#REF!</v>
      </c>
      <c r="GH164" t="e">
        <f>AND(#REF!,"AAAAAH37/b0=")</f>
        <v>#REF!</v>
      </c>
      <c r="GI164" t="e">
        <f>AND(#REF!,"AAAAAH37/b4=")</f>
        <v>#REF!</v>
      </c>
      <c r="GJ164" t="e">
        <f>AND(#REF!,"AAAAAH37/b8=")</f>
        <v>#REF!</v>
      </c>
      <c r="GK164" t="e">
        <f>AND(#REF!,"AAAAAH37/cA=")</f>
        <v>#REF!</v>
      </c>
      <c r="GL164" t="e">
        <f>AND(#REF!,"AAAAAH37/cE=")</f>
        <v>#REF!</v>
      </c>
      <c r="GM164" t="e">
        <f>AND(#REF!,"AAAAAH37/cI=")</f>
        <v>#REF!</v>
      </c>
      <c r="GN164" t="e">
        <f>AND(#REF!,"AAAAAH37/cM=")</f>
        <v>#REF!</v>
      </c>
      <c r="GO164" t="e">
        <f>AND(#REF!,"AAAAAH37/cQ=")</f>
        <v>#REF!</v>
      </c>
      <c r="GP164" t="e">
        <f>AND(#REF!,"AAAAAH37/cU=")</f>
        <v>#REF!</v>
      </c>
      <c r="GQ164" t="e">
        <f>AND(#REF!,"AAAAAH37/cY=")</f>
        <v>#REF!</v>
      </c>
      <c r="GR164" t="e">
        <f>AND(#REF!,"AAAAAH37/cc=")</f>
        <v>#REF!</v>
      </c>
      <c r="GS164" t="e">
        <f>AND(#REF!,"AAAAAH37/cg=")</f>
        <v>#REF!</v>
      </c>
      <c r="GT164" t="e">
        <f>AND(#REF!,"AAAAAH37/ck=")</f>
        <v>#REF!</v>
      </c>
      <c r="GU164" t="e">
        <f>AND(#REF!,"AAAAAH37/co=")</f>
        <v>#REF!</v>
      </c>
      <c r="GV164" t="e">
        <f>AND(#REF!,"AAAAAH37/cs=")</f>
        <v>#REF!</v>
      </c>
      <c r="GW164" t="e">
        <f>AND(#REF!,"AAAAAH37/cw=")</f>
        <v>#REF!</v>
      </c>
      <c r="GX164" t="e">
        <f>AND(#REF!,"AAAAAH37/c0=")</f>
        <v>#REF!</v>
      </c>
      <c r="GY164" t="e">
        <f>AND(#REF!,"AAAAAH37/c4=")</f>
        <v>#REF!</v>
      </c>
      <c r="GZ164" t="e">
        <f>AND(#REF!,"AAAAAH37/c8=")</f>
        <v>#REF!</v>
      </c>
      <c r="HA164" t="e">
        <f>AND(#REF!,"AAAAAH37/dA=")</f>
        <v>#REF!</v>
      </c>
      <c r="HB164" t="e">
        <f>AND(#REF!,"AAAAAH37/dE=")</f>
        <v>#REF!</v>
      </c>
      <c r="HC164" t="e">
        <f>AND(#REF!,"AAAAAH37/dI=")</f>
        <v>#REF!</v>
      </c>
      <c r="HD164" t="e">
        <f>AND(#REF!,"AAAAAH37/dM=")</f>
        <v>#REF!</v>
      </c>
      <c r="HE164" t="e">
        <f>AND(#REF!,"AAAAAH37/dQ=")</f>
        <v>#REF!</v>
      </c>
      <c r="HF164" t="e">
        <f>AND(#REF!,"AAAAAH37/dU=")</f>
        <v>#REF!</v>
      </c>
      <c r="HG164" t="e">
        <f>AND(#REF!,"AAAAAH37/dY=")</f>
        <v>#REF!</v>
      </c>
      <c r="HH164" t="e">
        <f>AND(#REF!,"AAAAAH37/dc=")</f>
        <v>#REF!</v>
      </c>
      <c r="HI164" t="e">
        <f>AND(#REF!,"AAAAAH37/dg=")</f>
        <v>#REF!</v>
      </c>
      <c r="HJ164" t="e">
        <f>AND(#REF!,"AAAAAH37/dk=")</f>
        <v>#REF!</v>
      </c>
      <c r="HK164" t="e">
        <f>AND(#REF!,"AAAAAH37/do=")</f>
        <v>#REF!</v>
      </c>
      <c r="HL164" t="e">
        <f>AND(#REF!,"AAAAAH37/ds=")</f>
        <v>#REF!</v>
      </c>
      <c r="HM164" t="e">
        <f>AND(#REF!,"AAAAAH37/dw=")</f>
        <v>#REF!</v>
      </c>
      <c r="HN164" t="e">
        <f>AND(#REF!,"AAAAAH37/d0=")</f>
        <v>#REF!</v>
      </c>
      <c r="HO164" t="e">
        <f>AND(#REF!,"AAAAAH37/d4=")</f>
        <v>#REF!</v>
      </c>
      <c r="HP164" t="e">
        <f>AND(#REF!,"AAAAAH37/d8=")</f>
        <v>#REF!</v>
      </c>
      <c r="HQ164" t="e">
        <f>AND(#REF!,"AAAAAH37/eA=")</f>
        <v>#REF!</v>
      </c>
      <c r="HR164" t="e">
        <f>AND(#REF!,"AAAAAH37/eE=")</f>
        <v>#REF!</v>
      </c>
      <c r="HS164" t="e">
        <f>AND(#REF!,"AAAAAH37/eI=")</f>
        <v>#REF!</v>
      </c>
      <c r="HT164" t="e">
        <f>AND(#REF!,"AAAAAH37/eM=")</f>
        <v>#REF!</v>
      </c>
      <c r="HU164" t="e">
        <f>AND(#REF!,"AAAAAH37/eQ=")</f>
        <v>#REF!</v>
      </c>
      <c r="HV164" t="e">
        <f>AND(#REF!,"AAAAAH37/eU=")</f>
        <v>#REF!</v>
      </c>
      <c r="HW164" t="e">
        <f>AND(#REF!,"AAAAAH37/eY=")</f>
        <v>#REF!</v>
      </c>
      <c r="HX164" t="e">
        <f>AND(#REF!,"AAAAAH37/ec=")</f>
        <v>#REF!</v>
      </c>
      <c r="HY164" t="e">
        <f>AND(#REF!,"AAAAAH37/eg=")</f>
        <v>#REF!</v>
      </c>
      <c r="HZ164" t="e">
        <f>AND(#REF!,"AAAAAH37/ek=")</f>
        <v>#REF!</v>
      </c>
      <c r="IA164" t="e">
        <f>AND(#REF!,"AAAAAH37/eo=")</f>
        <v>#REF!</v>
      </c>
      <c r="IB164" t="e">
        <f>AND(#REF!,"AAAAAH37/es=")</f>
        <v>#REF!</v>
      </c>
      <c r="IC164" t="e">
        <f>AND(#REF!,"AAAAAH37/ew=")</f>
        <v>#REF!</v>
      </c>
      <c r="ID164" t="e">
        <f>AND(#REF!,"AAAAAH37/e0=")</f>
        <v>#REF!</v>
      </c>
      <c r="IE164" t="e">
        <f>AND(#REF!,"AAAAAH37/e4=")</f>
        <v>#REF!</v>
      </c>
      <c r="IF164" t="e">
        <f>AND(#REF!,"AAAAAH37/e8=")</f>
        <v>#REF!</v>
      </c>
      <c r="IG164" t="e">
        <f>AND(#REF!,"AAAAAH37/fA=")</f>
        <v>#REF!</v>
      </c>
      <c r="IH164" t="e">
        <f>AND(#REF!,"AAAAAH37/fE=")</f>
        <v>#REF!</v>
      </c>
      <c r="II164" t="e">
        <f>AND(#REF!,"AAAAAH37/fI=")</f>
        <v>#REF!</v>
      </c>
      <c r="IJ164" t="e">
        <f>AND(#REF!,"AAAAAH37/fM=")</f>
        <v>#REF!</v>
      </c>
      <c r="IK164" t="e">
        <f>AND(#REF!,"AAAAAH37/fQ=")</f>
        <v>#REF!</v>
      </c>
      <c r="IL164" t="e">
        <f>AND(#REF!,"AAAAAH37/fU=")</f>
        <v>#REF!</v>
      </c>
      <c r="IM164" t="e">
        <f>AND(#REF!,"AAAAAH37/fY=")</f>
        <v>#REF!</v>
      </c>
      <c r="IN164" t="e">
        <f>AND(#REF!,"AAAAAH37/fc=")</f>
        <v>#REF!</v>
      </c>
      <c r="IO164" t="e">
        <f>AND(#REF!,"AAAAAH37/fg=")</f>
        <v>#REF!</v>
      </c>
      <c r="IP164" t="e">
        <f>AND(#REF!,"AAAAAH37/fk=")</f>
        <v>#REF!</v>
      </c>
      <c r="IQ164" t="e">
        <f>AND(#REF!,"AAAAAH37/fo=")</f>
        <v>#REF!</v>
      </c>
      <c r="IR164" t="e">
        <f>AND(#REF!,"AAAAAH37/fs=")</f>
        <v>#REF!</v>
      </c>
      <c r="IS164" t="e">
        <f>AND(#REF!,"AAAAAH37/fw=")</f>
        <v>#REF!</v>
      </c>
      <c r="IT164" t="e">
        <f>AND(#REF!,"AAAAAH37/f0=")</f>
        <v>#REF!</v>
      </c>
      <c r="IU164" t="e">
        <f>AND(#REF!,"AAAAAH37/f4=")</f>
        <v>#REF!</v>
      </c>
      <c r="IV164" t="e">
        <f>AND(#REF!,"AAAAAH37/f8=")</f>
        <v>#REF!</v>
      </c>
    </row>
    <row r="165" spans="1:256" x14ac:dyDescent="0.25">
      <c r="A165" t="e">
        <f>AND(#REF!,"AAAAAH1n5QA=")</f>
        <v>#REF!</v>
      </c>
      <c r="B165" t="e">
        <f>AND(#REF!,"AAAAAH1n5QE=")</f>
        <v>#REF!</v>
      </c>
      <c r="C165" t="e">
        <f>AND(#REF!,"AAAAAH1n5QI=")</f>
        <v>#REF!</v>
      </c>
      <c r="D165" t="e">
        <f>AND(#REF!,"AAAAAH1n5QM=")</f>
        <v>#REF!</v>
      </c>
      <c r="E165" t="e">
        <f>AND(#REF!,"AAAAAH1n5QQ=")</f>
        <v>#REF!</v>
      </c>
      <c r="F165" t="e">
        <f>AND(#REF!,"AAAAAH1n5QU=")</f>
        <v>#REF!</v>
      </c>
      <c r="G165" t="e">
        <f>AND(#REF!,"AAAAAH1n5QY=")</f>
        <v>#REF!</v>
      </c>
      <c r="H165" t="e">
        <f>AND(#REF!,"AAAAAH1n5Qc=")</f>
        <v>#REF!</v>
      </c>
      <c r="I165" t="e">
        <f>AND(#REF!,"AAAAAH1n5Qg=")</f>
        <v>#REF!</v>
      </c>
      <c r="J165" t="e">
        <f>AND(#REF!,"AAAAAH1n5Qk=")</f>
        <v>#REF!</v>
      </c>
      <c r="K165" t="e">
        <f>AND(#REF!,"AAAAAH1n5Qo=")</f>
        <v>#REF!</v>
      </c>
      <c r="L165" t="e">
        <f>AND(#REF!,"AAAAAH1n5Qs=")</f>
        <v>#REF!</v>
      </c>
      <c r="M165" t="e">
        <f>AND(#REF!,"AAAAAH1n5Qw=")</f>
        <v>#REF!</v>
      </c>
      <c r="N165" t="e">
        <f>AND(#REF!,"AAAAAH1n5Q0=")</f>
        <v>#REF!</v>
      </c>
      <c r="O165" t="e">
        <f>AND(#REF!,"AAAAAH1n5Q4=")</f>
        <v>#REF!</v>
      </c>
      <c r="P165" t="e">
        <f>AND(#REF!,"AAAAAH1n5Q8=")</f>
        <v>#REF!</v>
      </c>
      <c r="Q165" t="e">
        <f>AND(#REF!,"AAAAAH1n5RA=")</f>
        <v>#REF!</v>
      </c>
      <c r="R165" t="e">
        <f>AND(#REF!,"AAAAAH1n5RE=")</f>
        <v>#REF!</v>
      </c>
      <c r="S165" t="e">
        <f>AND(#REF!,"AAAAAH1n5RI=")</f>
        <v>#REF!</v>
      </c>
      <c r="T165" t="e">
        <f>AND(#REF!,"AAAAAH1n5RM=")</f>
        <v>#REF!</v>
      </c>
      <c r="U165" t="e">
        <f>AND(#REF!,"AAAAAH1n5RQ=")</f>
        <v>#REF!</v>
      </c>
      <c r="V165" t="e">
        <f>AND(#REF!,"AAAAAH1n5RU=")</f>
        <v>#REF!</v>
      </c>
      <c r="W165" t="e">
        <f>AND(#REF!,"AAAAAH1n5RY=")</f>
        <v>#REF!</v>
      </c>
      <c r="X165" t="e">
        <f>AND(#REF!,"AAAAAH1n5Rc=")</f>
        <v>#REF!</v>
      </c>
      <c r="Y165" t="e">
        <f>AND(#REF!,"AAAAAH1n5Rg=")</f>
        <v>#REF!</v>
      </c>
      <c r="Z165" t="e">
        <f>AND(#REF!,"AAAAAH1n5Rk=")</f>
        <v>#REF!</v>
      </c>
      <c r="AA165" t="e">
        <f>AND(#REF!,"AAAAAH1n5Ro=")</f>
        <v>#REF!</v>
      </c>
      <c r="AB165" t="e">
        <f>AND(#REF!,"AAAAAH1n5Rs=")</f>
        <v>#REF!</v>
      </c>
      <c r="AC165" t="e">
        <f>AND(#REF!,"AAAAAH1n5Rw=")</f>
        <v>#REF!</v>
      </c>
      <c r="AD165" t="e">
        <f>AND(#REF!,"AAAAAH1n5R0=")</f>
        <v>#REF!</v>
      </c>
      <c r="AE165" t="e">
        <f>AND(#REF!,"AAAAAH1n5R4=")</f>
        <v>#REF!</v>
      </c>
      <c r="AF165" t="e">
        <f>AND(#REF!,"AAAAAH1n5R8=")</f>
        <v>#REF!</v>
      </c>
      <c r="AG165" t="e">
        <f>AND(#REF!,"AAAAAH1n5SA=")</f>
        <v>#REF!</v>
      </c>
      <c r="AH165" t="e">
        <f>AND(#REF!,"AAAAAH1n5SE=")</f>
        <v>#REF!</v>
      </c>
      <c r="AI165" t="e">
        <f>AND(#REF!,"AAAAAH1n5SI=")</f>
        <v>#REF!</v>
      </c>
      <c r="AJ165" t="e">
        <f>AND(#REF!,"AAAAAH1n5SM=")</f>
        <v>#REF!</v>
      </c>
      <c r="AK165" t="e">
        <f>AND(#REF!,"AAAAAH1n5SQ=")</f>
        <v>#REF!</v>
      </c>
      <c r="AL165" t="e">
        <f>AND(#REF!,"AAAAAH1n5SU=")</f>
        <v>#REF!</v>
      </c>
      <c r="AM165" t="e">
        <f>AND(#REF!,"AAAAAH1n5SY=")</f>
        <v>#REF!</v>
      </c>
      <c r="AN165" t="e">
        <f>AND(#REF!,"AAAAAH1n5Sc=")</f>
        <v>#REF!</v>
      </c>
      <c r="AO165" t="e">
        <f>AND(#REF!,"AAAAAH1n5Sg=")</f>
        <v>#REF!</v>
      </c>
      <c r="AP165" t="e">
        <f>AND(#REF!,"AAAAAH1n5Sk=")</f>
        <v>#REF!</v>
      </c>
      <c r="AQ165" t="e">
        <f>AND(#REF!,"AAAAAH1n5So=")</f>
        <v>#REF!</v>
      </c>
      <c r="AR165" t="e">
        <f>AND(#REF!,"AAAAAH1n5Ss=")</f>
        <v>#REF!</v>
      </c>
      <c r="AS165" t="e">
        <f>AND(#REF!,"AAAAAH1n5Sw=")</f>
        <v>#REF!</v>
      </c>
      <c r="AT165" t="e">
        <f>AND(#REF!,"AAAAAH1n5S0=")</f>
        <v>#REF!</v>
      </c>
      <c r="AU165" t="e">
        <f>AND(#REF!,"AAAAAH1n5S4=")</f>
        <v>#REF!</v>
      </c>
      <c r="AV165" t="e">
        <f>AND(#REF!,"AAAAAH1n5S8=")</f>
        <v>#REF!</v>
      </c>
      <c r="AW165" t="e">
        <f>AND(#REF!,"AAAAAH1n5TA=")</f>
        <v>#REF!</v>
      </c>
      <c r="AX165" t="e">
        <f>AND(#REF!,"AAAAAH1n5TE=")</f>
        <v>#REF!</v>
      </c>
      <c r="AY165" t="e">
        <f>AND(#REF!,"AAAAAH1n5TI=")</f>
        <v>#REF!</v>
      </c>
      <c r="AZ165" t="e">
        <f>AND(#REF!,"AAAAAH1n5TM=")</f>
        <v>#REF!</v>
      </c>
      <c r="BA165" t="e">
        <f>AND(#REF!,"AAAAAH1n5TQ=")</f>
        <v>#REF!</v>
      </c>
      <c r="BB165" t="e">
        <f>AND(#REF!,"AAAAAH1n5TU=")</f>
        <v>#REF!</v>
      </c>
      <c r="BC165" t="e">
        <f>AND(#REF!,"AAAAAH1n5TY=")</f>
        <v>#REF!</v>
      </c>
      <c r="BD165" t="e">
        <f>AND(#REF!,"AAAAAH1n5Tc=")</f>
        <v>#REF!</v>
      </c>
      <c r="BE165" t="e">
        <f>AND(#REF!,"AAAAAH1n5Tg=")</f>
        <v>#REF!</v>
      </c>
      <c r="BF165" t="e">
        <f>AND(#REF!,"AAAAAH1n5Tk=")</f>
        <v>#REF!</v>
      </c>
      <c r="BG165" t="e">
        <f>AND(#REF!,"AAAAAH1n5To=")</f>
        <v>#REF!</v>
      </c>
      <c r="BH165" t="e">
        <f>AND(#REF!,"AAAAAH1n5Ts=")</f>
        <v>#REF!</v>
      </c>
      <c r="BI165" t="e">
        <f>AND(#REF!,"AAAAAH1n5Tw=")</f>
        <v>#REF!</v>
      </c>
      <c r="BJ165" t="e">
        <f>AND(#REF!,"AAAAAH1n5T0=")</f>
        <v>#REF!</v>
      </c>
      <c r="BK165" t="e">
        <f>AND(#REF!,"AAAAAH1n5T4=")</f>
        <v>#REF!</v>
      </c>
      <c r="BL165" t="e">
        <f>AND(#REF!,"AAAAAH1n5T8=")</f>
        <v>#REF!</v>
      </c>
      <c r="BM165" t="e">
        <f>AND(#REF!,"AAAAAH1n5UA=")</f>
        <v>#REF!</v>
      </c>
      <c r="BN165" t="e">
        <f>AND(#REF!,"AAAAAH1n5UE=")</f>
        <v>#REF!</v>
      </c>
      <c r="BO165" t="e">
        <f>AND(#REF!,"AAAAAH1n5UI=")</f>
        <v>#REF!</v>
      </c>
      <c r="BP165" t="e">
        <f>AND(#REF!,"AAAAAH1n5UM=")</f>
        <v>#REF!</v>
      </c>
      <c r="BQ165" t="e">
        <f>AND(#REF!,"AAAAAH1n5UQ=")</f>
        <v>#REF!</v>
      </c>
      <c r="BR165" t="e">
        <f>AND(#REF!,"AAAAAH1n5UU=")</f>
        <v>#REF!</v>
      </c>
      <c r="BS165" t="e">
        <f>AND(#REF!,"AAAAAH1n5UY=")</f>
        <v>#REF!</v>
      </c>
      <c r="BT165" t="e">
        <f>AND(#REF!,"AAAAAH1n5Uc=")</f>
        <v>#REF!</v>
      </c>
      <c r="BU165" t="e">
        <f>AND(#REF!,"AAAAAH1n5Ug=")</f>
        <v>#REF!</v>
      </c>
      <c r="BV165" t="e">
        <f>AND(#REF!,"AAAAAH1n5Uk=")</f>
        <v>#REF!</v>
      </c>
      <c r="BW165" t="e">
        <f>AND(#REF!,"AAAAAH1n5Uo=")</f>
        <v>#REF!</v>
      </c>
      <c r="BX165" t="e">
        <f>AND(#REF!,"AAAAAH1n5Us=")</f>
        <v>#REF!</v>
      </c>
      <c r="BY165" t="e">
        <f>AND(#REF!,"AAAAAH1n5Uw=")</f>
        <v>#REF!</v>
      </c>
      <c r="BZ165" t="e">
        <f>AND(#REF!,"AAAAAH1n5U0=")</f>
        <v>#REF!</v>
      </c>
      <c r="CA165" t="e">
        <f>AND(#REF!,"AAAAAH1n5U4=")</f>
        <v>#REF!</v>
      </c>
      <c r="CB165" t="e">
        <f>AND(#REF!,"AAAAAH1n5U8=")</f>
        <v>#REF!</v>
      </c>
      <c r="CC165" t="e">
        <f>AND(#REF!,"AAAAAH1n5VA=")</f>
        <v>#REF!</v>
      </c>
      <c r="CD165" t="e">
        <f>AND(#REF!,"AAAAAH1n5VE=")</f>
        <v>#REF!</v>
      </c>
      <c r="CE165" t="e">
        <f>AND(#REF!,"AAAAAH1n5VI=")</f>
        <v>#REF!</v>
      </c>
      <c r="CF165" t="e">
        <f>AND(#REF!,"AAAAAH1n5VM=")</f>
        <v>#REF!</v>
      </c>
      <c r="CG165" t="e">
        <f>AND(#REF!,"AAAAAH1n5VQ=")</f>
        <v>#REF!</v>
      </c>
      <c r="CH165" t="e">
        <f>AND(#REF!,"AAAAAH1n5VU=")</f>
        <v>#REF!</v>
      </c>
      <c r="CI165" t="e">
        <f>AND(#REF!,"AAAAAH1n5VY=")</f>
        <v>#REF!</v>
      </c>
      <c r="CJ165" t="e">
        <f>AND(#REF!,"AAAAAH1n5Vc=")</f>
        <v>#REF!</v>
      </c>
      <c r="CK165" t="e">
        <f>AND(#REF!,"AAAAAH1n5Vg=")</f>
        <v>#REF!</v>
      </c>
      <c r="CL165" t="e">
        <f>AND(#REF!,"AAAAAH1n5Vk=")</f>
        <v>#REF!</v>
      </c>
      <c r="CM165" t="e">
        <f>AND(#REF!,"AAAAAH1n5Vo=")</f>
        <v>#REF!</v>
      </c>
      <c r="CN165" t="e">
        <f>AND(#REF!,"AAAAAH1n5Vs=")</f>
        <v>#REF!</v>
      </c>
      <c r="CO165" t="e">
        <f>AND(#REF!,"AAAAAH1n5Vw=")</f>
        <v>#REF!</v>
      </c>
      <c r="CP165" t="e">
        <f>AND(#REF!,"AAAAAH1n5V0=")</f>
        <v>#REF!</v>
      </c>
      <c r="CQ165" t="e">
        <f>AND(#REF!,"AAAAAH1n5V4=")</f>
        <v>#REF!</v>
      </c>
      <c r="CR165" t="e">
        <f>AND(#REF!,"AAAAAH1n5V8=")</f>
        <v>#REF!</v>
      </c>
      <c r="CS165" t="e">
        <f>AND(#REF!,"AAAAAH1n5WA=")</f>
        <v>#REF!</v>
      </c>
      <c r="CT165" t="e">
        <f>AND(#REF!,"AAAAAH1n5WE=")</f>
        <v>#REF!</v>
      </c>
      <c r="CU165" t="e">
        <f>AND(#REF!,"AAAAAH1n5WI=")</f>
        <v>#REF!</v>
      </c>
      <c r="CV165" t="e">
        <f>AND(#REF!,"AAAAAH1n5WM=")</f>
        <v>#REF!</v>
      </c>
      <c r="CW165" t="e">
        <f>AND(#REF!,"AAAAAH1n5WQ=")</f>
        <v>#REF!</v>
      </c>
      <c r="CX165" t="e">
        <f>AND(#REF!,"AAAAAH1n5WU=")</f>
        <v>#REF!</v>
      </c>
      <c r="CY165" t="e">
        <f>AND(#REF!,"AAAAAH1n5WY=")</f>
        <v>#REF!</v>
      </c>
      <c r="CZ165" t="e">
        <f>AND(#REF!,"AAAAAH1n5Wc=")</f>
        <v>#REF!</v>
      </c>
      <c r="DA165" t="e">
        <f>AND(#REF!,"AAAAAH1n5Wg=")</f>
        <v>#REF!</v>
      </c>
      <c r="DB165" t="e">
        <f>AND(#REF!,"AAAAAH1n5Wk=")</f>
        <v>#REF!</v>
      </c>
      <c r="DC165" t="e">
        <f>AND(#REF!,"AAAAAH1n5Wo=")</f>
        <v>#REF!</v>
      </c>
      <c r="DD165" t="e">
        <f>AND(#REF!,"AAAAAH1n5Ws=")</f>
        <v>#REF!</v>
      </c>
      <c r="DE165" t="e">
        <f>AND(#REF!,"AAAAAH1n5Ww=")</f>
        <v>#REF!</v>
      </c>
      <c r="DF165" t="e">
        <f>AND(#REF!,"AAAAAH1n5W0=")</f>
        <v>#REF!</v>
      </c>
      <c r="DG165" t="e">
        <f>AND(#REF!,"AAAAAH1n5W4=")</f>
        <v>#REF!</v>
      </c>
      <c r="DH165" t="e">
        <f>AND(#REF!,"AAAAAH1n5W8=")</f>
        <v>#REF!</v>
      </c>
      <c r="DI165" t="e">
        <f>AND(#REF!,"AAAAAH1n5XA=")</f>
        <v>#REF!</v>
      </c>
      <c r="DJ165" t="e">
        <f>AND(#REF!,"AAAAAH1n5XE=")</f>
        <v>#REF!</v>
      </c>
      <c r="DK165" t="e">
        <f>AND(#REF!,"AAAAAH1n5XI=")</f>
        <v>#REF!</v>
      </c>
      <c r="DL165" t="e">
        <f>AND(#REF!,"AAAAAH1n5XM=")</f>
        <v>#REF!</v>
      </c>
      <c r="DM165" t="e">
        <f>AND(#REF!,"AAAAAH1n5XQ=")</f>
        <v>#REF!</v>
      </c>
      <c r="DN165" t="e">
        <f>AND(#REF!,"AAAAAH1n5XU=")</f>
        <v>#REF!</v>
      </c>
      <c r="DO165" t="e">
        <f>AND(#REF!,"AAAAAH1n5XY=")</f>
        <v>#REF!</v>
      </c>
      <c r="DP165" t="e">
        <f>IF(#REF!,"AAAAAH1n5Xc=",0)</f>
        <v>#REF!</v>
      </c>
      <c r="DQ165" t="e">
        <f>AND(#REF!,"AAAAAH1n5Xg=")</f>
        <v>#REF!</v>
      </c>
      <c r="DR165" t="e">
        <f>AND(#REF!,"AAAAAH1n5Xk=")</f>
        <v>#REF!</v>
      </c>
      <c r="DS165" t="e">
        <f>AND(#REF!,"AAAAAH1n5Xo=")</f>
        <v>#REF!</v>
      </c>
      <c r="DT165" t="e">
        <f>AND(#REF!,"AAAAAH1n5Xs=")</f>
        <v>#REF!</v>
      </c>
      <c r="DU165" t="e">
        <f>AND(#REF!,"AAAAAH1n5Xw=")</f>
        <v>#REF!</v>
      </c>
      <c r="DV165" t="e">
        <f>AND(#REF!,"AAAAAH1n5X0=")</f>
        <v>#REF!</v>
      </c>
      <c r="DW165" t="e">
        <f>AND(#REF!,"AAAAAH1n5X4=")</f>
        <v>#REF!</v>
      </c>
      <c r="DX165" t="e">
        <f>AND(#REF!,"AAAAAH1n5X8=")</f>
        <v>#REF!</v>
      </c>
      <c r="DY165" t="e">
        <f>AND(#REF!,"AAAAAH1n5YA=")</f>
        <v>#REF!</v>
      </c>
      <c r="DZ165" t="e">
        <f>AND(#REF!,"AAAAAH1n5YE=")</f>
        <v>#REF!</v>
      </c>
      <c r="EA165" t="e">
        <f>AND(#REF!,"AAAAAH1n5YI=")</f>
        <v>#REF!</v>
      </c>
      <c r="EB165" t="e">
        <f>AND(#REF!,"AAAAAH1n5YM=")</f>
        <v>#REF!</v>
      </c>
      <c r="EC165" t="e">
        <f>AND(#REF!,"AAAAAH1n5YQ=")</f>
        <v>#REF!</v>
      </c>
      <c r="ED165" t="e">
        <f>AND(#REF!,"AAAAAH1n5YU=")</f>
        <v>#REF!</v>
      </c>
      <c r="EE165" t="e">
        <f>AND(#REF!,"AAAAAH1n5YY=")</f>
        <v>#REF!</v>
      </c>
      <c r="EF165" t="e">
        <f>AND(#REF!,"AAAAAH1n5Yc=")</f>
        <v>#REF!</v>
      </c>
      <c r="EG165" t="e">
        <f>AND(#REF!,"AAAAAH1n5Yg=")</f>
        <v>#REF!</v>
      </c>
      <c r="EH165" t="e">
        <f>AND(#REF!,"AAAAAH1n5Yk=")</f>
        <v>#REF!</v>
      </c>
      <c r="EI165" t="e">
        <f>AND(#REF!,"AAAAAH1n5Yo=")</f>
        <v>#REF!</v>
      </c>
      <c r="EJ165" t="e">
        <f>AND(#REF!,"AAAAAH1n5Ys=")</f>
        <v>#REF!</v>
      </c>
      <c r="EK165" t="e">
        <f>AND(#REF!,"AAAAAH1n5Yw=")</f>
        <v>#REF!</v>
      </c>
      <c r="EL165" t="e">
        <f>AND(#REF!,"AAAAAH1n5Y0=")</f>
        <v>#REF!</v>
      </c>
      <c r="EM165" t="e">
        <f>AND(#REF!,"AAAAAH1n5Y4=")</f>
        <v>#REF!</v>
      </c>
      <c r="EN165" t="e">
        <f>AND(#REF!,"AAAAAH1n5Y8=")</f>
        <v>#REF!</v>
      </c>
      <c r="EO165" t="e">
        <f>AND(#REF!,"AAAAAH1n5ZA=")</f>
        <v>#REF!</v>
      </c>
      <c r="EP165" t="e">
        <f>AND(#REF!,"AAAAAH1n5ZE=")</f>
        <v>#REF!</v>
      </c>
      <c r="EQ165" t="e">
        <f>AND(#REF!,"AAAAAH1n5ZI=")</f>
        <v>#REF!</v>
      </c>
      <c r="ER165" t="e">
        <f>AND(#REF!,"AAAAAH1n5ZM=")</f>
        <v>#REF!</v>
      </c>
      <c r="ES165" t="e">
        <f>AND(#REF!,"AAAAAH1n5ZQ=")</f>
        <v>#REF!</v>
      </c>
      <c r="ET165" t="e">
        <f>AND(#REF!,"AAAAAH1n5ZU=")</f>
        <v>#REF!</v>
      </c>
      <c r="EU165" t="e">
        <f>AND(#REF!,"AAAAAH1n5ZY=")</f>
        <v>#REF!</v>
      </c>
      <c r="EV165" t="e">
        <f>AND(#REF!,"AAAAAH1n5Zc=")</f>
        <v>#REF!</v>
      </c>
      <c r="EW165" t="e">
        <f>AND(#REF!,"AAAAAH1n5Zg=")</f>
        <v>#REF!</v>
      </c>
      <c r="EX165" t="e">
        <f>AND(#REF!,"AAAAAH1n5Zk=")</f>
        <v>#REF!</v>
      </c>
      <c r="EY165" t="e">
        <f>AND(#REF!,"AAAAAH1n5Zo=")</f>
        <v>#REF!</v>
      </c>
      <c r="EZ165" t="e">
        <f>AND(#REF!,"AAAAAH1n5Zs=")</f>
        <v>#REF!</v>
      </c>
      <c r="FA165" t="e">
        <f>AND(#REF!,"AAAAAH1n5Zw=")</f>
        <v>#REF!</v>
      </c>
      <c r="FB165" t="e">
        <f>AND(#REF!,"AAAAAH1n5Z0=")</f>
        <v>#REF!</v>
      </c>
      <c r="FC165" t="e">
        <f>AND(#REF!,"AAAAAH1n5Z4=")</f>
        <v>#REF!</v>
      </c>
      <c r="FD165" t="e">
        <f>AND(#REF!,"AAAAAH1n5Z8=")</f>
        <v>#REF!</v>
      </c>
      <c r="FE165" t="e">
        <f>AND(#REF!,"AAAAAH1n5aA=")</f>
        <v>#REF!</v>
      </c>
      <c r="FF165" t="e">
        <f>AND(#REF!,"AAAAAH1n5aE=")</f>
        <v>#REF!</v>
      </c>
      <c r="FG165" t="e">
        <f>AND(#REF!,"AAAAAH1n5aI=")</f>
        <v>#REF!</v>
      </c>
      <c r="FH165" t="e">
        <f>AND(#REF!,"AAAAAH1n5aM=")</f>
        <v>#REF!</v>
      </c>
      <c r="FI165" t="e">
        <f>AND(#REF!,"AAAAAH1n5aQ=")</f>
        <v>#REF!</v>
      </c>
      <c r="FJ165" t="e">
        <f>AND(#REF!,"AAAAAH1n5aU=")</f>
        <v>#REF!</v>
      </c>
      <c r="FK165" t="e">
        <f>AND(#REF!,"AAAAAH1n5aY=")</f>
        <v>#REF!</v>
      </c>
      <c r="FL165" t="e">
        <f>AND(#REF!,"AAAAAH1n5ac=")</f>
        <v>#REF!</v>
      </c>
      <c r="FM165" t="e">
        <f>AND(#REF!,"AAAAAH1n5ag=")</f>
        <v>#REF!</v>
      </c>
      <c r="FN165" t="e">
        <f>AND(#REF!,"AAAAAH1n5ak=")</f>
        <v>#REF!</v>
      </c>
      <c r="FO165" t="e">
        <f>AND(#REF!,"AAAAAH1n5ao=")</f>
        <v>#REF!</v>
      </c>
      <c r="FP165" t="e">
        <f>AND(#REF!,"AAAAAH1n5as=")</f>
        <v>#REF!</v>
      </c>
      <c r="FQ165" t="e">
        <f>AND(#REF!,"AAAAAH1n5aw=")</f>
        <v>#REF!</v>
      </c>
      <c r="FR165" t="e">
        <f>AND(#REF!,"AAAAAH1n5a0=")</f>
        <v>#REF!</v>
      </c>
      <c r="FS165" t="e">
        <f>AND(#REF!,"AAAAAH1n5a4=")</f>
        <v>#REF!</v>
      </c>
      <c r="FT165" t="e">
        <f>AND(#REF!,"AAAAAH1n5a8=")</f>
        <v>#REF!</v>
      </c>
      <c r="FU165" t="e">
        <f>AND(#REF!,"AAAAAH1n5bA=")</f>
        <v>#REF!</v>
      </c>
      <c r="FV165" t="e">
        <f>AND(#REF!,"AAAAAH1n5bE=")</f>
        <v>#REF!</v>
      </c>
      <c r="FW165" t="e">
        <f>AND(#REF!,"AAAAAH1n5bI=")</f>
        <v>#REF!</v>
      </c>
      <c r="FX165" t="e">
        <f>AND(#REF!,"AAAAAH1n5bM=")</f>
        <v>#REF!</v>
      </c>
      <c r="FY165" t="e">
        <f>AND(#REF!,"AAAAAH1n5bQ=")</f>
        <v>#REF!</v>
      </c>
      <c r="FZ165" t="e">
        <f>AND(#REF!,"AAAAAH1n5bU=")</f>
        <v>#REF!</v>
      </c>
      <c r="GA165" t="e">
        <f>AND(#REF!,"AAAAAH1n5bY=")</f>
        <v>#REF!</v>
      </c>
      <c r="GB165" t="e">
        <f>AND(#REF!,"AAAAAH1n5bc=")</f>
        <v>#REF!</v>
      </c>
      <c r="GC165" t="e">
        <f>AND(#REF!,"AAAAAH1n5bg=")</f>
        <v>#REF!</v>
      </c>
      <c r="GD165" t="e">
        <f>AND(#REF!,"AAAAAH1n5bk=")</f>
        <v>#REF!</v>
      </c>
      <c r="GE165" t="e">
        <f>AND(#REF!,"AAAAAH1n5bo=")</f>
        <v>#REF!</v>
      </c>
      <c r="GF165" t="e">
        <f>AND(#REF!,"AAAAAH1n5bs=")</f>
        <v>#REF!</v>
      </c>
      <c r="GG165" t="e">
        <f>AND(#REF!,"AAAAAH1n5bw=")</f>
        <v>#REF!</v>
      </c>
      <c r="GH165" t="e">
        <f>AND(#REF!,"AAAAAH1n5b0=")</f>
        <v>#REF!</v>
      </c>
      <c r="GI165" t="e">
        <f>AND(#REF!,"AAAAAH1n5b4=")</f>
        <v>#REF!</v>
      </c>
      <c r="GJ165" t="e">
        <f>AND(#REF!,"AAAAAH1n5b8=")</f>
        <v>#REF!</v>
      </c>
      <c r="GK165" t="e">
        <f>AND(#REF!,"AAAAAH1n5cA=")</f>
        <v>#REF!</v>
      </c>
      <c r="GL165" t="e">
        <f>AND(#REF!,"AAAAAH1n5cE=")</f>
        <v>#REF!</v>
      </c>
      <c r="GM165" t="e">
        <f>AND(#REF!,"AAAAAH1n5cI=")</f>
        <v>#REF!</v>
      </c>
      <c r="GN165" t="e">
        <f>AND(#REF!,"AAAAAH1n5cM=")</f>
        <v>#REF!</v>
      </c>
      <c r="GO165" t="e">
        <f>AND(#REF!,"AAAAAH1n5cQ=")</f>
        <v>#REF!</v>
      </c>
      <c r="GP165" t="e">
        <f>AND(#REF!,"AAAAAH1n5cU=")</f>
        <v>#REF!</v>
      </c>
      <c r="GQ165" t="e">
        <f>AND(#REF!,"AAAAAH1n5cY=")</f>
        <v>#REF!</v>
      </c>
      <c r="GR165" t="e">
        <f>AND(#REF!,"AAAAAH1n5cc=")</f>
        <v>#REF!</v>
      </c>
      <c r="GS165" t="e">
        <f>AND(#REF!,"AAAAAH1n5cg=")</f>
        <v>#REF!</v>
      </c>
      <c r="GT165" t="e">
        <f>AND(#REF!,"AAAAAH1n5ck=")</f>
        <v>#REF!</v>
      </c>
      <c r="GU165" t="e">
        <f>AND(#REF!,"AAAAAH1n5co=")</f>
        <v>#REF!</v>
      </c>
      <c r="GV165" t="e">
        <f>AND(#REF!,"AAAAAH1n5cs=")</f>
        <v>#REF!</v>
      </c>
      <c r="GW165" t="e">
        <f>AND(#REF!,"AAAAAH1n5cw=")</f>
        <v>#REF!</v>
      </c>
      <c r="GX165" t="e">
        <f>AND(#REF!,"AAAAAH1n5c0=")</f>
        <v>#REF!</v>
      </c>
      <c r="GY165" t="e">
        <f>AND(#REF!,"AAAAAH1n5c4=")</f>
        <v>#REF!</v>
      </c>
      <c r="GZ165" t="e">
        <f>AND(#REF!,"AAAAAH1n5c8=")</f>
        <v>#REF!</v>
      </c>
      <c r="HA165" t="e">
        <f>AND(#REF!,"AAAAAH1n5dA=")</f>
        <v>#REF!</v>
      </c>
      <c r="HB165" t="e">
        <f>AND(#REF!,"AAAAAH1n5dE=")</f>
        <v>#REF!</v>
      </c>
      <c r="HC165" t="e">
        <f>AND(#REF!,"AAAAAH1n5dI=")</f>
        <v>#REF!</v>
      </c>
      <c r="HD165" t="e">
        <f>AND(#REF!,"AAAAAH1n5dM=")</f>
        <v>#REF!</v>
      </c>
      <c r="HE165" t="e">
        <f>AND(#REF!,"AAAAAH1n5dQ=")</f>
        <v>#REF!</v>
      </c>
      <c r="HF165" t="e">
        <f>AND(#REF!,"AAAAAH1n5dU=")</f>
        <v>#REF!</v>
      </c>
      <c r="HG165" t="e">
        <f>AND(#REF!,"AAAAAH1n5dY=")</f>
        <v>#REF!</v>
      </c>
      <c r="HH165" t="e">
        <f>AND(#REF!,"AAAAAH1n5dc=")</f>
        <v>#REF!</v>
      </c>
      <c r="HI165" t="e">
        <f>AND(#REF!,"AAAAAH1n5dg=")</f>
        <v>#REF!</v>
      </c>
      <c r="HJ165" t="e">
        <f>AND(#REF!,"AAAAAH1n5dk=")</f>
        <v>#REF!</v>
      </c>
      <c r="HK165" t="e">
        <f>AND(#REF!,"AAAAAH1n5do=")</f>
        <v>#REF!</v>
      </c>
      <c r="HL165" t="e">
        <f>AND(#REF!,"AAAAAH1n5ds=")</f>
        <v>#REF!</v>
      </c>
      <c r="HM165" t="e">
        <f>AND(#REF!,"AAAAAH1n5dw=")</f>
        <v>#REF!</v>
      </c>
      <c r="HN165" t="e">
        <f>AND(#REF!,"AAAAAH1n5d0=")</f>
        <v>#REF!</v>
      </c>
      <c r="HO165" t="e">
        <f>AND(#REF!,"AAAAAH1n5d4=")</f>
        <v>#REF!</v>
      </c>
      <c r="HP165" t="e">
        <f>AND(#REF!,"AAAAAH1n5d8=")</f>
        <v>#REF!</v>
      </c>
      <c r="HQ165" t="e">
        <f>AND(#REF!,"AAAAAH1n5eA=")</f>
        <v>#REF!</v>
      </c>
      <c r="HR165" t="e">
        <f>AND(#REF!,"AAAAAH1n5eE=")</f>
        <v>#REF!</v>
      </c>
      <c r="HS165" t="e">
        <f>AND(#REF!,"AAAAAH1n5eI=")</f>
        <v>#REF!</v>
      </c>
      <c r="HT165" t="e">
        <f>AND(#REF!,"AAAAAH1n5eM=")</f>
        <v>#REF!</v>
      </c>
      <c r="HU165" t="e">
        <f>AND(#REF!,"AAAAAH1n5eQ=")</f>
        <v>#REF!</v>
      </c>
      <c r="HV165" t="e">
        <f>AND(#REF!,"AAAAAH1n5eU=")</f>
        <v>#REF!</v>
      </c>
      <c r="HW165" t="e">
        <f>AND(#REF!,"AAAAAH1n5eY=")</f>
        <v>#REF!</v>
      </c>
      <c r="HX165" t="e">
        <f>AND(#REF!,"AAAAAH1n5ec=")</f>
        <v>#REF!</v>
      </c>
      <c r="HY165" t="e">
        <f>AND(#REF!,"AAAAAH1n5eg=")</f>
        <v>#REF!</v>
      </c>
      <c r="HZ165" t="e">
        <f>AND(#REF!,"AAAAAH1n5ek=")</f>
        <v>#REF!</v>
      </c>
      <c r="IA165" t="e">
        <f>AND(#REF!,"AAAAAH1n5eo=")</f>
        <v>#REF!</v>
      </c>
      <c r="IB165" t="e">
        <f>AND(#REF!,"AAAAAH1n5es=")</f>
        <v>#REF!</v>
      </c>
      <c r="IC165" t="e">
        <f>AND(#REF!,"AAAAAH1n5ew=")</f>
        <v>#REF!</v>
      </c>
      <c r="ID165" t="e">
        <f>AND(#REF!,"AAAAAH1n5e0=")</f>
        <v>#REF!</v>
      </c>
      <c r="IE165" t="e">
        <f>AND(#REF!,"AAAAAH1n5e4=")</f>
        <v>#REF!</v>
      </c>
      <c r="IF165" t="e">
        <f>AND(#REF!,"AAAAAH1n5e8=")</f>
        <v>#REF!</v>
      </c>
      <c r="IG165" t="e">
        <f>AND(#REF!,"AAAAAH1n5fA=")</f>
        <v>#REF!</v>
      </c>
      <c r="IH165" t="e">
        <f>AND(#REF!,"AAAAAH1n5fE=")</f>
        <v>#REF!</v>
      </c>
      <c r="II165" t="e">
        <f>AND(#REF!,"AAAAAH1n5fI=")</f>
        <v>#REF!</v>
      </c>
      <c r="IJ165" t="e">
        <f>AND(#REF!,"AAAAAH1n5fM=")</f>
        <v>#REF!</v>
      </c>
      <c r="IK165" t="e">
        <f>AND(#REF!,"AAAAAH1n5fQ=")</f>
        <v>#REF!</v>
      </c>
      <c r="IL165" t="e">
        <f>AND(#REF!,"AAAAAH1n5fU=")</f>
        <v>#REF!</v>
      </c>
      <c r="IM165" t="e">
        <f>AND(#REF!,"AAAAAH1n5fY=")</f>
        <v>#REF!</v>
      </c>
      <c r="IN165" t="e">
        <f>AND(#REF!,"AAAAAH1n5fc=")</f>
        <v>#REF!</v>
      </c>
      <c r="IO165" t="e">
        <f>AND(#REF!,"AAAAAH1n5fg=")</f>
        <v>#REF!</v>
      </c>
      <c r="IP165" t="e">
        <f>AND(#REF!,"AAAAAH1n5fk=")</f>
        <v>#REF!</v>
      </c>
      <c r="IQ165" t="e">
        <f>AND(#REF!,"AAAAAH1n5fo=")</f>
        <v>#REF!</v>
      </c>
      <c r="IR165" t="e">
        <f>AND(#REF!,"AAAAAH1n5fs=")</f>
        <v>#REF!</v>
      </c>
      <c r="IS165" t="e">
        <f>AND(#REF!,"AAAAAH1n5fw=")</f>
        <v>#REF!</v>
      </c>
      <c r="IT165" t="e">
        <f>AND(#REF!,"AAAAAH1n5f0=")</f>
        <v>#REF!</v>
      </c>
      <c r="IU165" t="e">
        <f>AND(#REF!,"AAAAAH1n5f4=")</f>
        <v>#REF!</v>
      </c>
      <c r="IV165" t="e">
        <f>AND(#REF!,"AAAAAH1n5f8=")</f>
        <v>#REF!</v>
      </c>
    </row>
    <row r="166" spans="1:256" x14ac:dyDescent="0.25">
      <c r="A166" t="e">
        <f>AND(#REF!,"AAAAAG/ltwA=")</f>
        <v>#REF!</v>
      </c>
      <c r="B166" t="e">
        <f>AND(#REF!,"AAAAAG/ltwE=")</f>
        <v>#REF!</v>
      </c>
      <c r="C166" t="e">
        <f>AND(#REF!,"AAAAAG/ltwI=")</f>
        <v>#REF!</v>
      </c>
      <c r="D166" t="e">
        <f>AND(#REF!,"AAAAAG/ltwM=")</f>
        <v>#REF!</v>
      </c>
      <c r="E166" t="e">
        <f>AND(#REF!,"AAAAAG/ltwQ=")</f>
        <v>#REF!</v>
      </c>
      <c r="F166" t="e">
        <f>AND(#REF!,"AAAAAG/ltwU=")</f>
        <v>#REF!</v>
      </c>
      <c r="G166" t="e">
        <f>AND(#REF!,"AAAAAG/ltwY=")</f>
        <v>#REF!</v>
      </c>
      <c r="H166" t="e">
        <f>AND(#REF!,"AAAAAG/ltwc=")</f>
        <v>#REF!</v>
      </c>
      <c r="I166" t="e">
        <f>AND(#REF!,"AAAAAG/ltwg=")</f>
        <v>#REF!</v>
      </c>
      <c r="J166" t="e">
        <f>AND(#REF!,"AAAAAG/ltwk=")</f>
        <v>#REF!</v>
      </c>
      <c r="K166" t="e">
        <f>AND(#REF!,"AAAAAG/ltwo=")</f>
        <v>#REF!</v>
      </c>
      <c r="L166" t="e">
        <f>AND(#REF!,"AAAAAG/ltws=")</f>
        <v>#REF!</v>
      </c>
      <c r="M166" t="e">
        <f>AND(#REF!,"AAAAAG/ltww=")</f>
        <v>#REF!</v>
      </c>
      <c r="N166" t="e">
        <f>AND(#REF!,"AAAAAG/ltw0=")</f>
        <v>#REF!</v>
      </c>
      <c r="O166" t="e">
        <f>AND(#REF!,"AAAAAG/ltw4=")</f>
        <v>#REF!</v>
      </c>
      <c r="P166" t="e">
        <f>AND(#REF!,"AAAAAG/ltw8=")</f>
        <v>#REF!</v>
      </c>
      <c r="Q166" t="e">
        <f>AND(#REF!,"AAAAAG/ltxA=")</f>
        <v>#REF!</v>
      </c>
      <c r="R166" t="e">
        <f>AND(#REF!,"AAAAAG/ltxE=")</f>
        <v>#REF!</v>
      </c>
      <c r="S166" t="e">
        <f>AND(#REF!,"AAAAAG/ltxI=")</f>
        <v>#REF!</v>
      </c>
      <c r="T166" t="e">
        <f>AND(#REF!,"AAAAAG/ltxM=")</f>
        <v>#REF!</v>
      </c>
      <c r="U166" t="e">
        <f>AND(#REF!,"AAAAAG/ltxQ=")</f>
        <v>#REF!</v>
      </c>
      <c r="V166" t="e">
        <f>AND(#REF!,"AAAAAG/ltxU=")</f>
        <v>#REF!</v>
      </c>
      <c r="W166" t="e">
        <f>AND(#REF!,"AAAAAG/ltxY=")</f>
        <v>#REF!</v>
      </c>
      <c r="X166" t="e">
        <f>AND(#REF!,"AAAAAG/ltxc=")</f>
        <v>#REF!</v>
      </c>
      <c r="Y166" t="e">
        <f>AND(#REF!,"AAAAAG/ltxg=")</f>
        <v>#REF!</v>
      </c>
      <c r="Z166" t="e">
        <f>AND(#REF!,"AAAAAG/ltxk=")</f>
        <v>#REF!</v>
      </c>
      <c r="AA166" t="e">
        <f>AND(#REF!,"AAAAAG/ltxo=")</f>
        <v>#REF!</v>
      </c>
      <c r="AB166" t="e">
        <f>AND(#REF!,"AAAAAG/ltxs=")</f>
        <v>#REF!</v>
      </c>
      <c r="AC166" t="e">
        <f>AND(#REF!,"AAAAAG/ltxw=")</f>
        <v>#REF!</v>
      </c>
      <c r="AD166" t="e">
        <f>AND(#REF!,"AAAAAG/ltx0=")</f>
        <v>#REF!</v>
      </c>
      <c r="AE166" t="e">
        <f>AND(#REF!,"AAAAAG/ltx4=")</f>
        <v>#REF!</v>
      </c>
      <c r="AF166" t="e">
        <f>AND(#REF!,"AAAAAG/ltx8=")</f>
        <v>#REF!</v>
      </c>
      <c r="AG166" t="e">
        <f>AND(#REF!,"AAAAAG/ltyA=")</f>
        <v>#REF!</v>
      </c>
      <c r="AH166" t="e">
        <f>AND(#REF!,"AAAAAG/ltyE=")</f>
        <v>#REF!</v>
      </c>
      <c r="AI166" t="e">
        <f>AND(#REF!,"AAAAAG/ltyI=")</f>
        <v>#REF!</v>
      </c>
      <c r="AJ166" t="e">
        <f>AND(#REF!,"AAAAAG/ltyM=")</f>
        <v>#REF!</v>
      </c>
      <c r="AK166" t="e">
        <f>AND(#REF!,"AAAAAG/ltyQ=")</f>
        <v>#REF!</v>
      </c>
      <c r="AL166" t="e">
        <f>AND(#REF!,"AAAAAG/ltyU=")</f>
        <v>#REF!</v>
      </c>
      <c r="AM166" t="e">
        <f>AND(#REF!,"AAAAAG/ltyY=")</f>
        <v>#REF!</v>
      </c>
      <c r="AN166" t="e">
        <f>AND(#REF!,"AAAAAG/ltyc=")</f>
        <v>#REF!</v>
      </c>
      <c r="AO166" t="e">
        <f>AND(#REF!,"AAAAAG/ltyg=")</f>
        <v>#REF!</v>
      </c>
      <c r="AP166" t="e">
        <f>AND(#REF!,"AAAAAG/ltyk=")</f>
        <v>#REF!</v>
      </c>
      <c r="AQ166" t="e">
        <f>AND(#REF!,"AAAAAG/ltyo=")</f>
        <v>#REF!</v>
      </c>
      <c r="AR166" t="e">
        <f>AND(#REF!,"AAAAAG/ltys=")</f>
        <v>#REF!</v>
      </c>
      <c r="AS166" t="e">
        <f>AND(#REF!,"AAAAAG/ltyw=")</f>
        <v>#REF!</v>
      </c>
      <c r="AT166" t="e">
        <f>AND(#REF!,"AAAAAG/lty0=")</f>
        <v>#REF!</v>
      </c>
      <c r="AU166" t="e">
        <f>AND(#REF!,"AAAAAG/lty4=")</f>
        <v>#REF!</v>
      </c>
      <c r="AV166" t="e">
        <f>AND(#REF!,"AAAAAG/lty8=")</f>
        <v>#REF!</v>
      </c>
      <c r="AW166" t="e">
        <f>AND(#REF!,"AAAAAG/ltzA=")</f>
        <v>#REF!</v>
      </c>
      <c r="AX166" t="e">
        <f>AND(#REF!,"AAAAAG/ltzE=")</f>
        <v>#REF!</v>
      </c>
      <c r="AY166" t="e">
        <f>AND(#REF!,"AAAAAG/ltzI=")</f>
        <v>#REF!</v>
      </c>
      <c r="AZ166" t="e">
        <f>AND(#REF!,"AAAAAG/ltzM=")</f>
        <v>#REF!</v>
      </c>
      <c r="BA166" t="e">
        <f>IF(#REF!,"AAAAAG/ltzQ=",0)</f>
        <v>#REF!</v>
      </c>
      <c r="BB166" t="e">
        <f>AND(#REF!,"AAAAAG/ltzU=")</f>
        <v>#REF!</v>
      </c>
      <c r="BC166" t="e">
        <f>AND(#REF!,"AAAAAG/ltzY=")</f>
        <v>#REF!</v>
      </c>
      <c r="BD166" t="e">
        <f>AND(#REF!,"AAAAAG/ltzc=")</f>
        <v>#REF!</v>
      </c>
      <c r="BE166" t="e">
        <f>AND(#REF!,"AAAAAG/ltzg=")</f>
        <v>#REF!</v>
      </c>
      <c r="BF166" t="e">
        <f>AND(#REF!,"AAAAAG/ltzk=")</f>
        <v>#REF!</v>
      </c>
      <c r="BG166" t="e">
        <f>AND(#REF!,"AAAAAG/ltzo=")</f>
        <v>#REF!</v>
      </c>
      <c r="BH166" t="e">
        <f>AND(#REF!,"AAAAAG/ltzs=")</f>
        <v>#REF!</v>
      </c>
      <c r="BI166" t="e">
        <f>AND(#REF!,"AAAAAG/ltzw=")</f>
        <v>#REF!</v>
      </c>
      <c r="BJ166" t="e">
        <f>AND(#REF!,"AAAAAG/ltz0=")</f>
        <v>#REF!</v>
      </c>
      <c r="BK166" t="e">
        <f>AND(#REF!,"AAAAAG/ltz4=")</f>
        <v>#REF!</v>
      </c>
      <c r="BL166" t="e">
        <f>AND(#REF!,"AAAAAG/ltz8=")</f>
        <v>#REF!</v>
      </c>
      <c r="BM166" t="e">
        <f>AND(#REF!,"AAAAAG/lt0A=")</f>
        <v>#REF!</v>
      </c>
      <c r="BN166" t="e">
        <f>AND(#REF!,"AAAAAG/lt0E=")</f>
        <v>#REF!</v>
      </c>
      <c r="BO166" t="e">
        <f>AND(#REF!,"AAAAAG/lt0I=")</f>
        <v>#REF!</v>
      </c>
      <c r="BP166" t="e">
        <f>AND(#REF!,"AAAAAG/lt0M=")</f>
        <v>#REF!</v>
      </c>
      <c r="BQ166" t="e">
        <f>AND(#REF!,"AAAAAG/lt0Q=")</f>
        <v>#REF!</v>
      </c>
      <c r="BR166" t="e">
        <f>AND(#REF!,"AAAAAG/lt0U=")</f>
        <v>#REF!</v>
      </c>
      <c r="BS166" t="e">
        <f>AND(#REF!,"AAAAAG/lt0Y=")</f>
        <v>#REF!</v>
      </c>
      <c r="BT166" t="e">
        <f>AND(#REF!,"AAAAAG/lt0c=")</f>
        <v>#REF!</v>
      </c>
      <c r="BU166" t="e">
        <f>AND(#REF!,"AAAAAG/lt0g=")</f>
        <v>#REF!</v>
      </c>
      <c r="BV166" t="e">
        <f>AND(#REF!,"AAAAAG/lt0k=")</f>
        <v>#REF!</v>
      </c>
      <c r="BW166" t="e">
        <f>AND(#REF!,"AAAAAG/lt0o=")</f>
        <v>#REF!</v>
      </c>
      <c r="BX166" t="e">
        <f>AND(#REF!,"AAAAAG/lt0s=")</f>
        <v>#REF!</v>
      </c>
      <c r="BY166" t="e">
        <f>AND(#REF!,"AAAAAG/lt0w=")</f>
        <v>#REF!</v>
      </c>
      <c r="BZ166" t="e">
        <f>AND(#REF!,"AAAAAG/lt00=")</f>
        <v>#REF!</v>
      </c>
      <c r="CA166" t="e">
        <f>AND(#REF!,"AAAAAG/lt04=")</f>
        <v>#REF!</v>
      </c>
      <c r="CB166" t="e">
        <f>AND(#REF!,"AAAAAG/lt08=")</f>
        <v>#REF!</v>
      </c>
      <c r="CC166" t="e">
        <f>AND(#REF!,"AAAAAG/lt1A=")</f>
        <v>#REF!</v>
      </c>
      <c r="CD166" t="e">
        <f>AND(#REF!,"AAAAAG/lt1E=")</f>
        <v>#REF!</v>
      </c>
      <c r="CE166" t="e">
        <f>AND(#REF!,"AAAAAG/lt1I=")</f>
        <v>#REF!</v>
      </c>
      <c r="CF166" t="e">
        <f>AND(#REF!,"AAAAAG/lt1M=")</f>
        <v>#REF!</v>
      </c>
      <c r="CG166" t="e">
        <f>AND(#REF!,"AAAAAG/lt1Q=")</f>
        <v>#REF!</v>
      </c>
      <c r="CH166" t="e">
        <f>AND(#REF!,"AAAAAG/lt1U=")</f>
        <v>#REF!</v>
      </c>
      <c r="CI166" t="e">
        <f>AND(#REF!,"AAAAAG/lt1Y=")</f>
        <v>#REF!</v>
      </c>
      <c r="CJ166" t="e">
        <f>AND(#REF!,"AAAAAG/lt1c=")</f>
        <v>#REF!</v>
      </c>
      <c r="CK166" t="e">
        <f>AND(#REF!,"AAAAAG/lt1g=")</f>
        <v>#REF!</v>
      </c>
      <c r="CL166" t="e">
        <f>AND(#REF!,"AAAAAG/lt1k=")</f>
        <v>#REF!</v>
      </c>
      <c r="CM166" t="e">
        <f>AND(#REF!,"AAAAAG/lt1o=")</f>
        <v>#REF!</v>
      </c>
      <c r="CN166" t="e">
        <f>AND(#REF!,"AAAAAG/lt1s=")</f>
        <v>#REF!</v>
      </c>
      <c r="CO166" t="e">
        <f>AND(#REF!,"AAAAAG/lt1w=")</f>
        <v>#REF!</v>
      </c>
      <c r="CP166" t="e">
        <f>AND(#REF!,"AAAAAG/lt10=")</f>
        <v>#REF!</v>
      </c>
      <c r="CQ166" t="e">
        <f>AND(#REF!,"AAAAAG/lt14=")</f>
        <v>#REF!</v>
      </c>
      <c r="CR166" t="e">
        <f>AND(#REF!,"AAAAAG/lt18=")</f>
        <v>#REF!</v>
      </c>
      <c r="CS166" t="e">
        <f>AND(#REF!,"AAAAAG/lt2A=")</f>
        <v>#REF!</v>
      </c>
      <c r="CT166" t="e">
        <f>AND(#REF!,"AAAAAG/lt2E=")</f>
        <v>#REF!</v>
      </c>
      <c r="CU166" t="e">
        <f>AND(#REF!,"AAAAAG/lt2I=")</f>
        <v>#REF!</v>
      </c>
      <c r="CV166" t="e">
        <f>AND(#REF!,"AAAAAG/lt2M=")</f>
        <v>#REF!</v>
      </c>
      <c r="CW166" t="e">
        <f>AND(#REF!,"AAAAAG/lt2Q=")</f>
        <v>#REF!</v>
      </c>
      <c r="CX166" t="e">
        <f>AND(#REF!,"AAAAAG/lt2U=")</f>
        <v>#REF!</v>
      </c>
      <c r="CY166" t="e">
        <f>AND(#REF!,"AAAAAG/lt2Y=")</f>
        <v>#REF!</v>
      </c>
      <c r="CZ166" t="e">
        <f>AND(#REF!,"AAAAAG/lt2c=")</f>
        <v>#REF!</v>
      </c>
      <c r="DA166" t="e">
        <f>AND(#REF!,"AAAAAG/lt2g=")</f>
        <v>#REF!</v>
      </c>
      <c r="DB166" t="e">
        <f>AND(#REF!,"AAAAAG/lt2k=")</f>
        <v>#REF!</v>
      </c>
      <c r="DC166" t="e">
        <f>AND(#REF!,"AAAAAG/lt2o=")</f>
        <v>#REF!</v>
      </c>
      <c r="DD166" t="e">
        <f>AND(#REF!,"AAAAAG/lt2s=")</f>
        <v>#REF!</v>
      </c>
      <c r="DE166" t="e">
        <f>AND(#REF!,"AAAAAG/lt2w=")</f>
        <v>#REF!</v>
      </c>
      <c r="DF166" t="e">
        <f>AND(#REF!,"AAAAAG/lt20=")</f>
        <v>#REF!</v>
      </c>
      <c r="DG166" t="e">
        <f>AND(#REF!,"AAAAAG/lt24=")</f>
        <v>#REF!</v>
      </c>
      <c r="DH166" t="e">
        <f>AND(#REF!,"AAAAAG/lt28=")</f>
        <v>#REF!</v>
      </c>
      <c r="DI166" t="e">
        <f>AND(#REF!,"AAAAAG/lt3A=")</f>
        <v>#REF!</v>
      </c>
      <c r="DJ166" t="e">
        <f>AND(#REF!,"AAAAAG/lt3E=")</f>
        <v>#REF!</v>
      </c>
      <c r="DK166" t="e">
        <f>AND(#REF!,"AAAAAG/lt3I=")</f>
        <v>#REF!</v>
      </c>
      <c r="DL166" t="e">
        <f>AND(#REF!,"AAAAAG/lt3M=")</f>
        <v>#REF!</v>
      </c>
      <c r="DM166" t="e">
        <f>AND(#REF!,"AAAAAG/lt3Q=")</f>
        <v>#REF!</v>
      </c>
      <c r="DN166" t="e">
        <f>AND(#REF!,"AAAAAG/lt3U=")</f>
        <v>#REF!</v>
      </c>
      <c r="DO166" t="e">
        <f>AND(#REF!,"AAAAAG/lt3Y=")</f>
        <v>#REF!</v>
      </c>
      <c r="DP166" t="e">
        <f>AND(#REF!,"AAAAAG/lt3c=")</f>
        <v>#REF!</v>
      </c>
      <c r="DQ166" t="e">
        <f>AND(#REF!,"AAAAAG/lt3g=")</f>
        <v>#REF!</v>
      </c>
      <c r="DR166" t="e">
        <f>AND(#REF!,"AAAAAG/lt3k=")</f>
        <v>#REF!</v>
      </c>
      <c r="DS166" t="e">
        <f>AND(#REF!,"AAAAAG/lt3o=")</f>
        <v>#REF!</v>
      </c>
      <c r="DT166" t="e">
        <f>AND(#REF!,"AAAAAG/lt3s=")</f>
        <v>#REF!</v>
      </c>
      <c r="DU166" t="e">
        <f>AND(#REF!,"AAAAAG/lt3w=")</f>
        <v>#REF!</v>
      </c>
      <c r="DV166" t="e">
        <f>AND(#REF!,"AAAAAG/lt30=")</f>
        <v>#REF!</v>
      </c>
      <c r="DW166" t="e">
        <f>AND(#REF!,"AAAAAG/lt34=")</f>
        <v>#REF!</v>
      </c>
      <c r="DX166" t="e">
        <f>AND(#REF!,"AAAAAG/lt38=")</f>
        <v>#REF!</v>
      </c>
      <c r="DY166" t="e">
        <f>AND(#REF!,"AAAAAG/lt4A=")</f>
        <v>#REF!</v>
      </c>
      <c r="DZ166" t="e">
        <f>AND(#REF!,"AAAAAG/lt4E=")</f>
        <v>#REF!</v>
      </c>
      <c r="EA166" t="e">
        <f>AND(#REF!,"AAAAAG/lt4I=")</f>
        <v>#REF!</v>
      </c>
      <c r="EB166" t="e">
        <f>AND(#REF!,"AAAAAG/lt4M=")</f>
        <v>#REF!</v>
      </c>
      <c r="EC166" t="e">
        <f>AND(#REF!,"AAAAAG/lt4Q=")</f>
        <v>#REF!</v>
      </c>
      <c r="ED166" t="e">
        <f>AND(#REF!,"AAAAAG/lt4U=")</f>
        <v>#REF!</v>
      </c>
      <c r="EE166" t="e">
        <f>AND(#REF!,"AAAAAG/lt4Y=")</f>
        <v>#REF!</v>
      </c>
      <c r="EF166" t="e">
        <f>AND(#REF!,"AAAAAG/lt4c=")</f>
        <v>#REF!</v>
      </c>
      <c r="EG166" t="e">
        <f>AND(#REF!,"AAAAAG/lt4g=")</f>
        <v>#REF!</v>
      </c>
      <c r="EH166" t="e">
        <f>AND(#REF!,"AAAAAG/lt4k=")</f>
        <v>#REF!</v>
      </c>
      <c r="EI166" t="e">
        <f>AND(#REF!,"AAAAAG/lt4o=")</f>
        <v>#REF!</v>
      </c>
      <c r="EJ166" t="e">
        <f>AND(#REF!,"AAAAAG/lt4s=")</f>
        <v>#REF!</v>
      </c>
      <c r="EK166" t="e">
        <f>AND(#REF!,"AAAAAG/lt4w=")</f>
        <v>#REF!</v>
      </c>
      <c r="EL166" t="e">
        <f>AND(#REF!,"AAAAAG/lt40=")</f>
        <v>#REF!</v>
      </c>
      <c r="EM166" t="e">
        <f>AND(#REF!,"AAAAAG/lt44=")</f>
        <v>#REF!</v>
      </c>
      <c r="EN166" t="e">
        <f>AND(#REF!,"AAAAAG/lt48=")</f>
        <v>#REF!</v>
      </c>
      <c r="EO166" t="e">
        <f>AND(#REF!,"AAAAAG/lt5A=")</f>
        <v>#REF!</v>
      </c>
      <c r="EP166" t="e">
        <f>AND(#REF!,"AAAAAG/lt5E=")</f>
        <v>#REF!</v>
      </c>
      <c r="EQ166" t="e">
        <f>AND(#REF!,"AAAAAG/lt5I=")</f>
        <v>#REF!</v>
      </c>
      <c r="ER166" t="e">
        <f>AND(#REF!,"AAAAAG/lt5M=")</f>
        <v>#REF!</v>
      </c>
      <c r="ES166" t="e">
        <f>AND(#REF!,"AAAAAG/lt5Q=")</f>
        <v>#REF!</v>
      </c>
      <c r="ET166" t="e">
        <f>AND(#REF!,"AAAAAG/lt5U=")</f>
        <v>#REF!</v>
      </c>
      <c r="EU166" t="e">
        <f>AND(#REF!,"AAAAAG/lt5Y=")</f>
        <v>#REF!</v>
      </c>
      <c r="EV166" t="e">
        <f>AND(#REF!,"AAAAAG/lt5c=")</f>
        <v>#REF!</v>
      </c>
      <c r="EW166" t="e">
        <f>AND(#REF!,"AAAAAG/lt5g=")</f>
        <v>#REF!</v>
      </c>
      <c r="EX166" t="e">
        <f>AND(#REF!,"AAAAAG/lt5k=")</f>
        <v>#REF!</v>
      </c>
      <c r="EY166" t="e">
        <f>AND(#REF!,"AAAAAG/lt5o=")</f>
        <v>#REF!</v>
      </c>
      <c r="EZ166" t="e">
        <f>AND(#REF!,"AAAAAG/lt5s=")</f>
        <v>#REF!</v>
      </c>
      <c r="FA166" t="e">
        <f>AND(#REF!,"AAAAAG/lt5w=")</f>
        <v>#REF!</v>
      </c>
      <c r="FB166" t="e">
        <f>AND(#REF!,"AAAAAG/lt50=")</f>
        <v>#REF!</v>
      </c>
      <c r="FC166" t="e">
        <f>AND(#REF!,"AAAAAG/lt54=")</f>
        <v>#REF!</v>
      </c>
      <c r="FD166" t="e">
        <f>AND(#REF!,"AAAAAG/lt58=")</f>
        <v>#REF!</v>
      </c>
      <c r="FE166" t="e">
        <f>AND(#REF!,"AAAAAG/lt6A=")</f>
        <v>#REF!</v>
      </c>
      <c r="FF166" t="e">
        <f>AND(#REF!,"AAAAAG/lt6E=")</f>
        <v>#REF!</v>
      </c>
      <c r="FG166" t="e">
        <f>AND(#REF!,"AAAAAG/lt6I=")</f>
        <v>#REF!</v>
      </c>
      <c r="FH166" t="e">
        <f>AND(#REF!,"AAAAAG/lt6M=")</f>
        <v>#REF!</v>
      </c>
      <c r="FI166" t="e">
        <f>AND(#REF!,"AAAAAG/lt6Q=")</f>
        <v>#REF!</v>
      </c>
      <c r="FJ166" t="e">
        <f>AND(#REF!,"AAAAAG/lt6U=")</f>
        <v>#REF!</v>
      </c>
      <c r="FK166" t="e">
        <f>AND(#REF!,"AAAAAG/lt6Y=")</f>
        <v>#REF!</v>
      </c>
      <c r="FL166" t="e">
        <f>AND(#REF!,"AAAAAG/lt6c=")</f>
        <v>#REF!</v>
      </c>
      <c r="FM166" t="e">
        <f>AND(#REF!,"AAAAAG/lt6g=")</f>
        <v>#REF!</v>
      </c>
      <c r="FN166" t="e">
        <f>AND(#REF!,"AAAAAG/lt6k=")</f>
        <v>#REF!</v>
      </c>
      <c r="FO166" t="e">
        <f>AND(#REF!,"AAAAAG/lt6o=")</f>
        <v>#REF!</v>
      </c>
      <c r="FP166" t="e">
        <f>AND(#REF!,"AAAAAG/lt6s=")</f>
        <v>#REF!</v>
      </c>
      <c r="FQ166" t="e">
        <f>AND(#REF!,"AAAAAG/lt6w=")</f>
        <v>#REF!</v>
      </c>
      <c r="FR166" t="e">
        <f>AND(#REF!,"AAAAAG/lt60=")</f>
        <v>#REF!</v>
      </c>
      <c r="FS166" t="e">
        <f>AND(#REF!,"AAAAAG/lt64=")</f>
        <v>#REF!</v>
      </c>
      <c r="FT166" t="e">
        <f>AND(#REF!,"AAAAAG/lt68=")</f>
        <v>#REF!</v>
      </c>
      <c r="FU166" t="e">
        <f>AND(#REF!,"AAAAAG/lt7A=")</f>
        <v>#REF!</v>
      </c>
      <c r="FV166" t="e">
        <f>AND(#REF!,"AAAAAG/lt7E=")</f>
        <v>#REF!</v>
      </c>
      <c r="FW166" t="e">
        <f>AND(#REF!,"AAAAAG/lt7I=")</f>
        <v>#REF!</v>
      </c>
      <c r="FX166" t="e">
        <f>AND(#REF!,"AAAAAG/lt7M=")</f>
        <v>#REF!</v>
      </c>
      <c r="FY166" t="e">
        <f>AND(#REF!,"AAAAAG/lt7Q=")</f>
        <v>#REF!</v>
      </c>
      <c r="FZ166" t="e">
        <f>AND(#REF!,"AAAAAG/lt7U=")</f>
        <v>#REF!</v>
      </c>
      <c r="GA166" t="e">
        <f>AND(#REF!,"AAAAAG/lt7Y=")</f>
        <v>#REF!</v>
      </c>
      <c r="GB166" t="e">
        <f>AND(#REF!,"AAAAAG/lt7c=")</f>
        <v>#REF!</v>
      </c>
      <c r="GC166" t="e">
        <f>AND(#REF!,"AAAAAG/lt7g=")</f>
        <v>#REF!</v>
      </c>
      <c r="GD166" t="e">
        <f>AND(#REF!,"AAAAAG/lt7k=")</f>
        <v>#REF!</v>
      </c>
      <c r="GE166" t="e">
        <f>AND(#REF!,"AAAAAG/lt7o=")</f>
        <v>#REF!</v>
      </c>
      <c r="GF166" t="e">
        <f>AND(#REF!,"AAAAAG/lt7s=")</f>
        <v>#REF!</v>
      </c>
      <c r="GG166" t="e">
        <f>AND(#REF!,"AAAAAG/lt7w=")</f>
        <v>#REF!</v>
      </c>
      <c r="GH166" t="e">
        <f>AND(#REF!,"AAAAAG/lt70=")</f>
        <v>#REF!</v>
      </c>
      <c r="GI166" t="e">
        <f>AND(#REF!,"AAAAAG/lt74=")</f>
        <v>#REF!</v>
      </c>
      <c r="GJ166" t="e">
        <f>AND(#REF!,"AAAAAG/lt78=")</f>
        <v>#REF!</v>
      </c>
      <c r="GK166" t="e">
        <f>AND(#REF!,"AAAAAG/lt8A=")</f>
        <v>#REF!</v>
      </c>
      <c r="GL166" t="e">
        <f>AND(#REF!,"AAAAAG/lt8E=")</f>
        <v>#REF!</v>
      </c>
      <c r="GM166" t="e">
        <f>AND(#REF!,"AAAAAG/lt8I=")</f>
        <v>#REF!</v>
      </c>
      <c r="GN166" t="e">
        <f>AND(#REF!,"AAAAAG/lt8M=")</f>
        <v>#REF!</v>
      </c>
      <c r="GO166" t="e">
        <f>AND(#REF!,"AAAAAG/lt8Q=")</f>
        <v>#REF!</v>
      </c>
      <c r="GP166" t="e">
        <f>AND(#REF!,"AAAAAG/lt8U=")</f>
        <v>#REF!</v>
      </c>
      <c r="GQ166" t="e">
        <f>AND(#REF!,"AAAAAG/lt8Y=")</f>
        <v>#REF!</v>
      </c>
      <c r="GR166" t="e">
        <f>AND(#REF!,"AAAAAG/lt8c=")</f>
        <v>#REF!</v>
      </c>
      <c r="GS166" t="e">
        <f>AND(#REF!,"AAAAAG/lt8g=")</f>
        <v>#REF!</v>
      </c>
      <c r="GT166" t="e">
        <f>AND(#REF!,"AAAAAG/lt8k=")</f>
        <v>#REF!</v>
      </c>
      <c r="GU166" t="e">
        <f>AND(#REF!,"AAAAAG/lt8o=")</f>
        <v>#REF!</v>
      </c>
      <c r="GV166" t="e">
        <f>AND(#REF!,"AAAAAG/lt8s=")</f>
        <v>#REF!</v>
      </c>
      <c r="GW166" t="e">
        <f>AND(#REF!,"AAAAAG/lt8w=")</f>
        <v>#REF!</v>
      </c>
      <c r="GX166" t="e">
        <f>AND(#REF!,"AAAAAG/lt80=")</f>
        <v>#REF!</v>
      </c>
      <c r="GY166" t="e">
        <f>AND(#REF!,"AAAAAG/lt84=")</f>
        <v>#REF!</v>
      </c>
      <c r="GZ166" t="e">
        <f>AND(#REF!,"AAAAAG/lt88=")</f>
        <v>#REF!</v>
      </c>
      <c r="HA166" t="e">
        <f>AND(#REF!,"AAAAAG/lt9A=")</f>
        <v>#REF!</v>
      </c>
      <c r="HB166" t="e">
        <f>AND(#REF!,"AAAAAG/lt9E=")</f>
        <v>#REF!</v>
      </c>
      <c r="HC166" t="e">
        <f>AND(#REF!,"AAAAAG/lt9I=")</f>
        <v>#REF!</v>
      </c>
      <c r="HD166" t="e">
        <f>AND(#REF!,"AAAAAG/lt9M=")</f>
        <v>#REF!</v>
      </c>
      <c r="HE166" t="e">
        <f>AND(#REF!,"AAAAAG/lt9Q=")</f>
        <v>#REF!</v>
      </c>
      <c r="HF166" t="e">
        <f>AND(#REF!,"AAAAAG/lt9U=")</f>
        <v>#REF!</v>
      </c>
      <c r="HG166" t="e">
        <f>AND(#REF!,"AAAAAG/lt9Y=")</f>
        <v>#REF!</v>
      </c>
      <c r="HH166" t="e">
        <f>AND(#REF!,"AAAAAG/lt9c=")</f>
        <v>#REF!</v>
      </c>
      <c r="HI166" t="e">
        <f>AND(#REF!,"AAAAAG/lt9g=")</f>
        <v>#REF!</v>
      </c>
      <c r="HJ166" t="e">
        <f>AND(#REF!,"AAAAAG/lt9k=")</f>
        <v>#REF!</v>
      </c>
      <c r="HK166" t="e">
        <f>AND(#REF!,"AAAAAG/lt9o=")</f>
        <v>#REF!</v>
      </c>
      <c r="HL166" t="e">
        <f>AND(#REF!,"AAAAAG/lt9s=")</f>
        <v>#REF!</v>
      </c>
      <c r="HM166" t="e">
        <f>AND(#REF!,"AAAAAG/lt9w=")</f>
        <v>#REF!</v>
      </c>
      <c r="HN166" t="e">
        <f>AND(#REF!,"AAAAAG/lt90=")</f>
        <v>#REF!</v>
      </c>
      <c r="HO166" t="e">
        <f>AND(#REF!,"AAAAAG/lt94=")</f>
        <v>#REF!</v>
      </c>
      <c r="HP166" t="e">
        <f>AND(#REF!,"AAAAAG/lt98=")</f>
        <v>#REF!</v>
      </c>
      <c r="HQ166" t="e">
        <f>AND(#REF!,"AAAAAG/lt+A=")</f>
        <v>#REF!</v>
      </c>
      <c r="HR166" t="e">
        <f>AND(#REF!,"AAAAAG/lt+E=")</f>
        <v>#REF!</v>
      </c>
      <c r="HS166" t="e">
        <f>AND(#REF!,"AAAAAG/lt+I=")</f>
        <v>#REF!</v>
      </c>
      <c r="HT166" t="e">
        <f>AND(#REF!,"AAAAAG/lt+M=")</f>
        <v>#REF!</v>
      </c>
      <c r="HU166" t="e">
        <f>AND(#REF!,"AAAAAG/lt+Q=")</f>
        <v>#REF!</v>
      </c>
      <c r="HV166" t="e">
        <f>AND(#REF!,"AAAAAG/lt+U=")</f>
        <v>#REF!</v>
      </c>
      <c r="HW166" t="e">
        <f>AND(#REF!,"AAAAAG/lt+Y=")</f>
        <v>#REF!</v>
      </c>
      <c r="HX166" t="e">
        <f>AND(#REF!,"AAAAAG/lt+c=")</f>
        <v>#REF!</v>
      </c>
      <c r="HY166" t="e">
        <f>AND(#REF!,"AAAAAG/lt+g=")</f>
        <v>#REF!</v>
      </c>
      <c r="HZ166" t="e">
        <f>AND(#REF!,"AAAAAG/lt+k=")</f>
        <v>#REF!</v>
      </c>
      <c r="IA166" t="e">
        <f>AND(#REF!,"AAAAAG/lt+o=")</f>
        <v>#REF!</v>
      </c>
      <c r="IB166" t="e">
        <f>AND(#REF!,"AAAAAG/lt+s=")</f>
        <v>#REF!</v>
      </c>
      <c r="IC166" t="e">
        <f>AND(#REF!,"AAAAAG/lt+w=")</f>
        <v>#REF!</v>
      </c>
      <c r="ID166" t="e">
        <f>AND(#REF!,"AAAAAG/lt+0=")</f>
        <v>#REF!</v>
      </c>
      <c r="IE166" t="e">
        <f>AND(#REF!,"AAAAAG/lt+4=")</f>
        <v>#REF!</v>
      </c>
      <c r="IF166" t="e">
        <f>AND(#REF!,"AAAAAG/lt+8=")</f>
        <v>#REF!</v>
      </c>
      <c r="IG166" t="e">
        <f>AND(#REF!,"AAAAAG/lt/A=")</f>
        <v>#REF!</v>
      </c>
      <c r="IH166" t="e">
        <f>IF(#REF!,"AAAAAG/lt/E=",0)</f>
        <v>#REF!</v>
      </c>
      <c r="II166" t="e">
        <f>AND(#REF!,"AAAAAG/lt/I=")</f>
        <v>#REF!</v>
      </c>
      <c r="IJ166" t="e">
        <f>AND(#REF!,"AAAAAG/lt/M=")</f>
        <v>#REF!</v>
      </c>
      <c r="IK166" t="e">
        <f>AND(#REF!,"AAAAAG/lt/Q=")</f>
        <v>#REF!</v>
      </c>
      <c r="IL166" t="e">
        <f>AND(#REF!,"AAAAAG/lt/U=")</f>
        <v>#REF!</v>
      </c>
      <c r="IM166" t="e">
        <f>AND(#REF!,"AAAAAG/lt/Y=")</f>
        <v>#REF!</v>
      </c>
      <c r="IN166" t="e">
        <f>AND(#REF!,"AAAAAG/lt/c=")</f>
        <v>#REF!</v>
      </c>
      <c r="IO166" t="e">
        <f>AND(#REF!,"AAAAAG/lt/g=")</f>
        <v>#REF!</v>
      </c>
      <c r="IP166" t="e">
        <f>AND(#REF!,"AAAAAG/lt/k=")</f>
        <v>#REF!</v>
      </c>
      <c r="IQ166" t="e">
        <f>AND(#REF!,"AAAAAG/lt/o=")</f>
        <v>#REF!</v>
      </c>
      <c r="IR166" t="e">
        <f>AND(#REF!,"AAAAAG/lt/s=")</f>
        <v>#REF!</v>
      </c>
      <c r="IS166" t="e">
        <f>AND(#REF!,"AAAAAG/lt/w=")</f>
        <v>#REF!</v>
      </c>
      <c r="IT166" t="e">
        <f>AND(#REF!,"AAAAAG/lt/0=")</f>
        <v>#REF!</v>
      </c>
      <c r="IU166" t="e">
        <f>AND(#REF!,"AAAAAG/lt/4=")</f>
        <v>#REF!</v>
      </c>
      <c r="IV166" t="e">
        <f>AND(#REF!,"AAAAAG/lt/8=")</f>
        <v>#REF!</v>
      </c>
    </row>
    <row r="167" spans="1:256" x14ac:dyDescent="0.25">
      <c r="A167" t="e">
        <f>AND(#REF!,"AAAAAHyP9wA=")</f>
        <v>#REF!</v>
      </c>
      <c r="B167" t="e">
        <f>AND(#REF!,"AAAAAHyP9wE=")</f>
        <v>#REF!</v>
      </c>
      <c r="C167" t="e">
        <f>AND(#REF!,"AAAAAHyP9wI=")</f>
        <v>#REF!</v>
      </c>
      <c r="D167" t="e">
        <f>AND(#REF!,"AAAAAHyP9wM=")</f>
        <v>#REF!</v>
      </c>
      <c r="E167" t="e">
        <f>AND(#REF!,"AAAAAHyP9wQ=")</f>
        <v>#REF!</v>
      </c>
      <c r="F167" t="e">
        <f>AND(#REF!,"AAAAAHyP9wU=")</f>
        <v>#REF!</v>
      </c>
      <c r="G167" t="e">
        <f>AND(#REF!,"AAAAAHyP9wY=")</f>
        <v>#REF!</v>
      </c>
      <c r="H167" t="e">
        <f>AND(#REF!,"AAAAAHyP9wc=")</f>
        <v>#REF!</v>
      </c>
      <c r="I167" t="e">
        <f>AND(#REF!,"AAAAAHyP9wg=")</f>
        <v>#REF!</v>
      </c>
      <c r="J167" t="e">
        <f>AND(#REF!,"AAAAAHyP9wk=")</f>
        <v>#REF!</v>
      </c>
      <c r="K167" t="e">
        <f>AND(#REF!,"AAAAAHyP9wo=")</f>
        <v>#REF!</v>
      </c>
      <c r="L167" t="e">
        <f>AND(#REF!,"AAAAAHyP9ws=")</f>
        <v>#REF!</v>
      </c>
      <c r="M167" t="e">
        <f>AND(#REF!,"AAAAAHyP9ww=")</f>
        <v>#REF!</v>
      </c>
      <c r="N167" t="e">
        <f>AND(#REF!,"AAAAAHyP9w0=")</f>
        <v>#REF!</v>
      </c>
      <c r="O167" t="e">
        <f>AND(#REF!,"AAAAAHyP9w4=")</f>
        <v>#REF!</v>
      </c>
      <c r="P167" t="e">
        <f>AND(#REF!,"AAAAAHyP9w8=")</f>
        <v>#REF!</v>
      </c>
      <c r="Q167" t="e">
        <f>AND(#REF!,"AAAAAHyP9xA=")</f>
        <v>#REF!</v>
      </c>
      <c r="R167" t="e">
        <f>AND(#REF!,"AAAAAHyP9xE=")</f>
        <v>#REF!</v>
      </c>
      <c r="S167" t="e">
        <f>AND(#REF!,"AAAAAHyP9xI=")</f>
        <v>#REF!</v>
      </c>
      <c r="T167" t="e">
        <f>AND(#REF!,"AAAAAHyP9xM=")</f>
        <v>#REF!</v>
      </c>
      <c r="U167" t="e">
        <f>AND(#REF!,"AAAAAHyP9xQ=")</f>
        <v>#REF!</v>
      </c>
      <c r="V167" t="e">
        <f>AND(#REF!,"AAAAAHyP9xU=")</f>
        <v>#REF!</v>
      </c>
      <c r="W167" t="e">
        <f>AND(#REF!,"AAAAAHyP9xY=")</f>
        <v>#REF!</v>
      </c>
      <c r="X167" t="e">
        <f>AND(#REF!,"AAAAAHyP9xc=")</f>
        <v>#REF!</v>
      </c>
      <c r="Y167" t="e">
        <f>AND(#REF!,"AAAAAHyP9xg=")</f>
        <v>#REF!</v>
      </c>
      <c r="Z167" t="e">
        <f>AND(#REF!,"AAAAAHyP9xk=")</f>
        <v>#REF!</v>
      </c>
      <c r="AA167" t="e">
        <f>AND(#REF!,"AAAAAHyP9xo=")</f>
        <v>#REF!</v>
      </c>
      <c r="AB167" t="e">
        <f>AND(#REF!,"AAAAAHyP9xs=")</f>
        <v>#REF!</v>
      </c>
      <c r="AC167" t="e">
        <f>AND(#REF!,"AAAAAHyP9xw=")</f>
        <v>#REF!</v>
      </c>
      <c r="AD167" t="e">
        <f>AND(#REF!,"AAAAAHyP9x0=")</f>
        <v>#REF!</v>
      </c>
      <c r="AE167" t="e">
        <f>AND(#REF!,"AAAAAHyP9x4=")</f>
        <v>#REF!</v>
      </c>
      <c r="AF167" t="e">
        <f>AND(#REF!,"AAAAAHyP9x8=")</f>
        <v>#REF!</v>
      </c>
      <c r="AG167" t="e">
        <f>AND(#REF!,"AAAAAHyP9yA=")</f>
        <v>#REF!</v>
      </c>
      <c r="AH167" t="e">
        <f>AND(#REF!,"AAAAAHyP9yE=")</f>
        <v>#REF!</v>
      </c>
      <c r="AI167" t="e">
        <f>AND(#REF!,"AAAAAHyP9yI=")</f>
        <v>#REF!</v>
      </c>
      <c r="AJ167" t="e">
        <f>AND(#REF!,"AAAAAHyP9yM=")</f>
        <v>#REF!</v>
      </c>
      <c r="AK167" t="e">
        <f>AND(#REF!,"AAAAAHyP9yQ=")</f>
        <v>#REF!</v>
      </c>
      <c r="AL167" t="e">
        <f>AND(#REF!,"AAAAAHyP9yU=")</f>
        <v>#REF!</v>
      </c>
      <c r="AM167" t="e">
        <f>AND(#REF!,"AAAAAHyP9yY=")</f>
        <v>#REF!</v>
      </c>
      <c r="AN167" t="e">
        <f>AND(#REF!,"AAAAAHyP9yc=")</f>
        <v>#REF!</v>
      </c>
      <c r="AO167" t="e">
        <f>AND(#REF!,"AAAAAHyP9yg=")</f>
        <v>#REF!</v>
      </c>
      <c r="AP167" t="e">
        <f>AND(#REF!,"AAAAAHyP9yk=")</f>
        <v>#REF!</v>
      </c>
      <c r="AQ167" t="e">
        <f>AND(#REF!,"AAAAAHyP9yo=")</f>
        <v>#REF!</v>
      </c>
      <c r="AR167" t="e">
        <f>AND(#REF!,"AAAAAHyP9ys=")</f>
        <v>#REF!</v>
      </c>
      <c r="AS167" t="e">
        <f>AND(#REF!,"AAAAAHyP9yw=")</f>
        <v>#REF!</v>
      </c>
      <c r="AT167" t="e">
        <f>AND(#REF!,"AAAAAHyP9y0=")</f>
        <v>#REF!</v>
      </c>
      <c r="AU167" t="e">
        <f>AND(#REF!,"AAAAAHyP9y4=")</f>
        <v>#REF!</v>
      </c>
      <c r="AV167" t="e">
        <f>AND(#REF!,"AAAAAHyP9y8=")</f>
        <v>#REF!</v>
      </c>
      <c r="AW167" t="e">
        <f>AND(#REF!,"AAAAAHyP9zA=")</f>
        <v>#REF!</v>
      </c>
      <c r="AX167" t="e">
        <f>AND(#REF!,"AAAAAHyP9zE=")</f>
        <v>#REF!</v>
      </c>
      <c r="AY167" t="e">
        <f>AND(#REF!,"AAAAAHyP9zI=")</f>
        <v>#REF!</v>
      </c>
      <c r="AZ167" t="e">
        <f>AND(#REF!,"AAAAAHyP9zM=")</f>
        <v>#REF!</v>
      </c>
      <c r="BA167" t="e">
        <f>AND(#REF!,"AAAAAHyP9zQ=")</f>
        <v>#REF!</v>
      </c>
      <c r="BB167" t="e">
        <f>AND(#REF!,"AAAAAHyP9zU=")</f>
        <v>#REF!</v>
      </c>
      <c r="BC167" t="e">
        <f>AND(#REF!,"AAAAAHyP9zY=")</f>
        <v>#REF!</v>
      </c>
      <c r="BD167" t="e">
        <f>AND(#REF!,"AAAAAHyP9zc=")</f>
        <v>#REF!</v>
      </c>
      <c r="BE167" t="e">
        <f>AND(#REF!,"AAAAAHyP9zg=")</f>
        <v>#REF!</v>
      </c>
      <c r="BF167" t="e">
        <f>AND(#REF!,"AAAAAHyP9zk=")</f>
        <v>#REF!</v>
      </c>
      <c r="BG167" t="e">
        <f>AND(#REF!,"AAAAAHyP9zo=")</f>
        <v>#REF!</v>
      </c>
      <c r="BH167" t="e">
        <f>AND(#REF!,"AAAAAHyP9zs=")</f>
        <v>#REF!</v>
      </c>
      <c r="BI167" t="e">
        <f>AND(#REF!,"AAAAAHyP9zw=")</f>
        <v>#REF!</v>
      </c>
      <c r="BJ167" t="e">
        <f>AND(#REF!,"AAAAAHyP9z0=")</f>
        <v>#REF!</v>
      </c>
      <c r="BK167" t="e">
        <f>AND(#REF!,"AAAAAHyP9z4=")</f>
        <v>#REF!</v>
      </c>
      <c r="BL167" t="e">
        <f>AND(#REF!,"AAAAAHyP9z8=")</f>
        <v>#REF!</v>
      </c>
      <c r="BM167" t="e">
        <f>AND(#REF!,"AAAAAHyP90A=")</f>
        <v>#REF!</v>
      </c>
      <c r="BN167" t="e">
        <f>AND(#REF!,"AAAAAHyP90E=")</f>
        <v>#REF!</v>
      </c>
      <c r="BO167" t="e">
        <f>AND(#REF!,"AAAAAHyP90I=")</f>
        <v>#REF!</v>
      </c>
      <c r="BP167" t="e">
        <f>AND(#REF!,"AAAAAHyP90M=")</f>
        <v>#REF!</v>
      </c>
      <c r="BQ167" t="e">
        <f>AND(#REF!,"AAAAAHyP90Q=")</f>
        <v>#REF!</v>
      </c>
      <c r="BR167" t="e">
        <f>AND(#REF!,"AAAAAHyP90U=")</f>
        <v>#REF!</v>
      </c>
      <c r="BS167" t="e">
        <f>AND(#REF!,"AAAAAHyP90Y=")</f>
        <v>#REF!</v>
      </c>
      <c r="BT167" t="e">
        <f>AND(#REF!,"AAAAAHyP90c=")</f>
        <v>#REF!</v>
      </c>
      <c r="BU167" t="e">
        <f>AND(#REF!,"AAAAAHyP90g=")</f>
        <v>#REF!</v>
      </c>
      <c r="BV167" t="e">
        <f>AND(#REF!,"AAAAAHyP90k=")</f>
        <v>#REF!</v>
      </c>
      <c r="BW167" t="e">
        <f>AND(#REF!,"AAAAAHyP90o=")</f>
        <v>#REF!</v>
      </c>
      <c r="BX167" t="e">
        <f>AND(#REF!,"AAAAAHyP90s=")</f>
        <v>#REF!</v>
      </c>
      <c r="BY167" t="e">
        <f>AND(#REF!,"AAAAAHyP90w=")</f>
        <v>#REF!</v>
      </c>
      <c r="BZ167" t="e">
        <f>AND(#REF!,"AAAAAHyP900=")</f>
        <v>#REF!</v>
      </c>
      <c r="CA167" t="e">
        <f>AND(#REF!,"AAAAAHyP904=")</f>
        <v>#REF!</v>
      </c>
      <c r="CB167" t="e">
        <f>AND(#REF!,"AAAAAHyP908=")</f>
        <v>#REF!</v>
      </c>
      <c r="CC167" t="e">
        <f>AND(#REF!,"AAAAAHyP91A=")</f>
        <v>#REF!</v>
      </c>
      <c r="CD167" t="e">
        <f>AND(#REF!,"AAAAAHyP91E=")</f>
        <v>#REF!</v>
      </c>
      <c r="CE167" t="e">
        <f>AND(#REF!,"AAAAAHyP91I=")</f>
        <v>#REF!</v>
      </c>
      <c r="CF167" t="e">
        <f>AND(#REF!,"AAAAAHyP91M=")</f>
        <v>#REF!</v>
      </c>
      <c r="CG167" t="e">
        <f>AND(#REF!,"AAAAAHyP91Q=")</f>
        <v>#REF!</v>
      </c>
      <c r="CH167" t="e">
        <f>AND(#REF!,"AAAAAHyP91U=")</f>
        <v>#REF!</v>
      </c>
      <c r="CI167" t="e">
        <f>AND(#REF!,"AAAAAHyP91Y=")</f>
        <v>#REF!</v>
      </c>
      <c r="CJ167" t="e">
        <f>AND(#REF!,"AAAAAHyP91c=")</f>
        <v>#REF!</v>
      </c>
      <c r="CK167" t="e">
        <f>AND(#REF!,"AAAAAHyP91g=")</f>
        <v>#REF!</v>
      </c>
      <c r="CL167" t="e">
        <f>AND(#REF!,"AAAAAHyP91k=")</f>
        <v>#REF!</v>
      </c>
      <c r="CM167" t="e">
        <f>AND(#REF!,"AAAAAHyP91o=")</f>
        <v>#REF!</v>
      </c>
      <c r="CN167" t="e">
        <f>AND(#REF!,"AAAAAHyP91s=")</f>
        <v>#REF!</v>
      </c>
      <c r="CO167" t="e">
        <f>AND(#REF!,"AAAAAHyP91w=")</f>
        <v>#REF!</v>
      </c>
      <c r="CP167" t="e">
        <f>AND(#REF!,"AAAAAHyP910=")</f>
        <v>#REF!</v>
      </c>
      <c r="CQ167" t="e">
        <f>AND(#REF!,"AAAAAHyP914=")</f>
        <v>#REF!</v>
      </c>
      <c r="CR167" t="e">
        <f>AND(#REF!,"AAAAAHyP918=")</f>
        <v>#REF!</v>
      </c>
      <c r="CS167" t="e">
        <f>AND(#REF!,"AAAAAHyP92A=")</f>
        <v>#REF!</v>
      </c>
      <c r="CT167" t="e">
        <f>AND(#REF!,"AAAAAHyP92E=")</f>
        <v>#REF!</v>
      </c>
      <c r="CU167" t="e">
        <f>AND(#REF!,"AAAAAHyP92I=")</f>
        <v>#REF!</v>
      </c>
      <c r="CV167" t="e">
        <f>AND(#REF!,"AAAAAHyP92M=")</f>
        <v>#REF!</v>
      </c>
      <c r="CW167" t="e">
        <f>AND(#REF!,"AAAAAHyP92Q=")</f>
        <v>#REF!</v>
      </c>
      <c r="CX167" t="e">
        <f>AND(#REF!,"AAAAAHyP92U=")</f>
        <v>#REF!</v>
      </c>
      <c r="CY167" t="e">
        <f>AND(#REF!,"AAAAAHyP92Y=")</f>
        <v>#REF!</v>
      </c>
      <c r="CZ167" t="e">
        <f>AND(#REF!,"AAAAAHyP92c=")</f>
        <v>#REF!</v>
      </c>
      <c r="DA167" t="e">
        <f>AND(#REF!,"AAAAAHyP92g=")</f>
        <v>#REF!</v>
      </c>
      <c r="DB167" t="e">
        <f>AND(#REF!,"AAAAAHyP92k=")</f>
        <v>#REF!</v>
      </c>
      <c r="DC167" t="e">
        <f>AND(#REF!,"AAAAAHyP92o=")</f>
        <v>#REF!</v>
      </c>
      <c r="DD167" t="e">
        <f>AND(#REF!,"AAAAAHyP92s=")</f>
        <v>#REF!</v>
      </c>
      <c r="DE167" t="e">
        <f>AND(#REF!,"AAAAAHyP92w=")</f>
        <v>#REF!</v>
      </c>
      <c r="DF167" t="e">
        <f>AND(#REF!,"AAAAAHyP920=")</f>
        <v>#REF!</v>
      </c>
      <c r="DG167" t="e">
        <f>AND(#REF!,"AAAAAHyP924=")</f>
        <v>#REF!</v>
      </c>
      <c r="DH167" t="e">
        <f>AND(#REF!,"AAAAAHyP928=")</f>
        <v>#REF!</v>
      </c>
      <c r="DI167" t="e">
        <f>AND(#REF!,"AAAAAHyP93A=")</f>
        <v>#REF!</v>
      </c>
      <c r="DJ167" t="e">
        <f>AND(#REF!,"AAAAAHyP93E=")</f>
        <v>#REF!</v>
      </c>
      <c r="DK167" t="e">
        <f>AND(#REF!,"AAAAAHyP93I=")</f>
        <v>#REF!</v>
      </c>
      <c r="DL167" t="e">
        <f>AND(#REF!,"AAAAAHyP93M=")</f>
        <v>#REF!</v>
      </c>
      <c r="DM167" t="e">
        <f>AND(#REF!,"AAAAAHyP93Q=")</f>
        <v>#REF!</v>
      </c>
      <c r="DN167" t="e">
        <f>AND(#REF!,"AAAAAHyP93U=")</f>
        <v>#REF!</v>
      </c>
      <c r="DO167" t="e">
        <f>AND(#REF!,"AAAAAHyP93Y=")</f>
        <v>#REF!</v>
      </c>
      <c r="DP167" t="e">
        <f>AND(#REF!,"AAAAAHyP93c=")</f>
        <v>#REF!</v>
      </c>
      <c r="DQ167" t="e">
        <f>AND(#REF!,"AAAAAHyP93g=")</f>
        <v>#REF!</v>
      </c>
      <c r="DR167" t="e">
        <f>AND(#REF!,"AAAAAHyP93k=")</f>
        <v>#REF!</v>
      </c>
      <c r="DS167" t="e">
        <f>AND(#REF!,"AAAAAHyP93o=")</f>
        <v>#REF!</v>
      </c>
      <c r="DT167" t="e">
        <f>AND(#REF!,"AAAAAHyP93s=")</f>
        <v>#REF!</v>
      </c>
      <c r="DU167" t="e">
        <f>AND(#REF!,"AAAAAHyP93w=")</f>
        <v>#REF!</v>
      </c>
      <c r="DV167" t="e">
        <f>AND(#REF!,"AAAAAHyP930=")</f>
        <v>#REF!</v>
      </c>
      <c r="DW167" t="e">
        <f>AND(#REF!,"AAAAAHyP934=")</f>
        <v>#REF!</v>
      </c>
      <c r="DX167" t="e">
        <f>AND(#REF!,"AAAAAHyP938=")</f>
        <v>#REF!</v>
      </c>
      <c r="DY167" t="e">
        <f>AND(#REF!,"AAAAAHyP94A=")</f>
        <v>#REF!</v>
      </c>
      <c r="DZ167" t="e">
        <f>AND(#REF!,"AAAAAHyP94E=")</f>
        <v>#REF!</v>
      </c>
      <c r="EA167" t="e">
        <f>AND(#REF!,"AAAAAHyP94I=")</f>
        <v>#REF!</v>
      </c>
      <c r="EB167" t="e">
        <f>AND(#REF!,"AAAAAHyP94M=")</f>
        <v>#REF!</v>
      </c>
      <c r="EC167" t="e">
        <f>AND(#REF!,"AAAAAHyP94Q=")</f>
        <v>#REF!</v>
      </c>
      <c r="ED167" t="e">
        <f>AND(#REF!,"AAAAAHyP94U=")</f>
        <v>#REF!</v>
      </c>
      <c r="EE167" t="e">
        <f>AND(#REF!,"AAAAAHyP94Y=")</f>
        <v>#REF!</v>
      </c>
      <c r="EF167" t="e">
        <f>AND(#REF!,"AAAAAHyP94c=")</f>
        <v>#REF!</v>
      </c>
      <c r="EG167" t="e">
        <f>AND(#REF!,"AAAAAHyP94g=")</f>
        <v>#REF!</v>
      </c>
      <c r="EH167" t="e">
        <f>AND(#REF!,"AAAAAHyP94k=")</f>
        <v>#REF!</v>
      </c>
      <c r="EI167" t="e">
        <f>AND(#REF!,"AAAAAHyP94o=")</f>
        <v>#REF!</v>
      </c>
      <c r="EJ167" t="e">
        <f>AND(#REF!,"AAAAAHyP94s=")</f>
        <v>#REF!</v>
      </c>
      <c r="EK167" t="e">
        <f>AND(#REF!,"AAAAAHyP94w=")</f>
        <v>#REF!</v>
      </c>
      <c r="EL167" t="e">
        <f>AND(#REF!,"AAAAAHyP940=")</f>
        <v>#REF!</v>
      </c>
      <c r="EM167" t="e">
        <f>AND(#REF!,"AAAAAHyP944=")</f>
        <v>#REF!</v>
      </c>
      <c r="EN167" t="e">
        <f>AND(#REF!,"AAAAAHyP948=")</f>
        <v>#REF!</v>
      </c>
      <c r="EO167" t="e">
        <f>AND(#REF!,"AAAAAHyP95A=")</f>
        <v>#REF!</v>
      </c>
      <c r="EP167" t="e">
        <f>AND(#REF!,"AAAAAHyP95E=")</f>
        <v>#REF!</v>
      </c>
      <c r="EQ167" t="e">
        <f>AND(#REF!,"AAAAAHyP95I=")</f>
        <v>#REF!</v>
      </c>
      <c r="ER167" t="e">
        <f>AND(#REF!,"AAAAAHyP95M=")</f>
        <v>#REF!</v>
      </c>
      <c r="ES167" t="e">
        <f>AND(#REF!,"AAAAAHyP95Q=")</f>
        <v>#REF!</v>
      </c>
      <c r="ET167" t="e">
        <f>AND(#REF!,"AAAAAHyP95U=")</f>
        <v>#REF!</v>
      </c>
      <c r="EU167" t="e">
        <f>AND(#REF!,"AAAAAHyP95Y=")</f>
        <v>#REF!</v>
      </c>
      <c r="EV167" t="e">
        <f>AND(#REF!,"AAAAAHyP95c=")</f>
        <v>#REF!</v>
      </c>
      <c r="EW167" t="e">
        <f>AND(#REF!,"AAAAAHyP95g=")</f>
        <v>#REF!</v>
      </c>
      <c r="EX167" t="e">
        <f>AND(#REF!,"AAAAAHyP95k=")</f>
        <v>#REF!</v>
      </c>
      <c r="EY167" t="e">
        <f>AND(#REF!,"AAAAAHyP95o=")</f>
        <v>#REF!</v>
      </c>
      <c r="EZ167" t="e">
        <f>AND(#REF!,"AAAAAHyP95s=")</f>
        <v>#REF!</v>
      </c>
      <c r="FA167" t="e">
        <f>AND(#REF!,"AAAAAHyP95w=")</f>
        <v>#REF!</v>
      </c>
      <c r="FB167" t="e">
        <f>AND(#REF!,"AAAAAHyP950=")</f>
        <v>#REF!</v>
      </c>
      <c r="FC167" t="e">
        <f>AND(#REF!,"AAAAAHyP954=")</f>
        <v>#REF!</v>
      </c>
      <c r="FD167" t="e">
        <f>AND(#REF!,"AAAAAHyP958=")</f>
        <v>#REF!</v>
      </c>
      <c r="FE167" t="e">
        <f>AND(#REF!,"AAAAAHyP96A=")</f>
        <v>#REF!</v>
      </c>
      <c r="FF167" t="e">
        <f>AND(#REF!,"AAAAAHyP96E=")</f>
        <v>#REF!</v>
      </c>
      <c r="FG167" t="e">
        <f>AND(#REF!,"AAAAAHyP96I=")</f>
        <v>#REF!</v>
      </c>
      <c r="FH167" t="e">
        <f>AND(#REF!,"AAAAAHyP96M=")</f>
        <v>#REF!</v>
      </c>
      <c r="FI167" t="e">
        <f>AND(#REF!,"AAAAAHyP96Q=")</f>
        <v>#REF!</v>
      </c>
      <c r="FJ167" t="e">
        <f>AND(#REF!,"AAAAAHyP96U=")</f>
        <v>#REF!</v>
      </c>
      <c r="FK167" t="e">
        <f>AND(#REF!,"AAAAAHyP96Y=")</f>
        <v>#REF!</v>
      </c>
      <c r="FL167" t="e">
        <f>AND(#REF!,"AAAAAHyP96c=")</f>
        <v>#REF!</v>
      </c>
      <c r="FM167" t="e">
        <f>AND(#REF!,"AAAAAHyP96g=")</f>
        <v>#REF!</v>
      </c>
      <c r="FN167" t="e">
        <f>AND(#REF!,"AAAAAHyP96k=")</f>
        <v>#REF!</v>
      </c>
      <c r="FO167" t="e">
        <f>AND(#REF!,"AAAAAHyP96o=")</f>
        <v>#REF!</v>
      </c>
      <c r="FP167" t="e">
        <f>AND(#REF!,"AAAAAHyP96s=")</f>
        <v>#REF!</v>
      </c>
      <c r="FQ167" t="e">
        <f>AND(#REF!,"AAAAAHyP96w=")</f>
        <v>#REF!</v>
      </c>
      <c r="FR167" t="e">
        <f>AND(#REF!,"AAAAAHyP960=")</f>
        <v>#REF!</v>
      </c>
      <c r="FS167" t="e">
        <f>IF(#REF!,"AAAAAHyP964=",0)</f>
        <v>#REF!</v>
      </c>
      <c r="FT167" t="e">
        <f>AND(#REF!,"AAAAAHyP968=")</f>
        <v>#REF!</v>
      </c>
      <c r="FU167" t="e">
        <f>AND(#REF!,"AAAAAHyP97A=")</f>
        <v>#REF!</v>
      </c>
      <c r="FV167" t="e">
        <f>AND(#REF!,"AAAAAHyP97E=")</f>
        <v>#REF!</v>
      </c>
      <c r="FW167" t="e">
        <f>AND(#REF!,"AAAAAHyP97I=")</f>
        <v>#REF!</v>
      </c>
      <c r="FX167" t="e">
        <f>AND(#REF!,"AAAAAHyP97M=")</f>
        <v>#REF!</v>
      </c>
      <c r="FY167" t="e">
        <f>AND(#REF!,"AAAAAHyP97Q=")</f>
        <v>#REF!</v>
      </c>
      <c r="FZ167" t="e">
        <f>AND(#REF!,"AAAAAHyP97U=")</f>
        <v>#REF!</v>
      </c>
      <c r="GA167" t="e">
        <f>AND(#REF!,"AAAAAHyP97Y=")</f>
        <v>#REF!</v>
      </c>
      <c r="GB167" t="e">
        <f>AND(#REF!,"AAAAAHyP97c=")</f>
        <v>#REF!</v>
      </c>
      <c r="GC167" t="e">
        <f>AND(#REF!,"AAAAAHyP97g=")</f>
        <v>#REF!</v>
      </c>
      <c r="GD167" t="e">
        <f>AND(#REF!,"AAAAAHyP97k=")</f>
        <v>#REF!</v>
      </c>
      <c r="GE167" t="e">
        <f>AND(#REF!,"AAAAAHyP97o=")</f>
        <v>#REF!</v>
      </c>
      <c r="GF167" t="e">
        <f>AND(#REF!,"AAAAAHyP97s=")</f>
        <v>#REF!</v>
      </c>
      <c r="GG167" t="e">
        <f>AND(#REF!,"AAAAAHyP97w=")</f>
        <v>#REF!</v>
      </c>
      <c r="GH167" t="e">
        <f>AND(#REF!,"AAAAAHyP970=")</f>
        <v>#REF!</v>
      </c>
      <c r="GI167" t="e">
        <f>AND(#REF!,"AAAAAHyP974=")</f>
        <v>#REF!</v>
      </c>
      <c r="GJ167" t="e">
        <f>AND(#REF!,"AAAAAHyP978=")</f>
        <v>#REF!</v>
      </c>
      <c r="GK167" t="e">
        <f>AND(#REF!,"AAAAAHyP98A=")</f>
        <v>#REF!</v>
      </c>
      <c r="GL167" t="e">
        <f>AND(#REF!,"AAAAAHyP98E=")</f>
        <v>#REF!</v>
      </c>
      <c r="GM167" t="e">
        <f>AND(#REF!,"AAAAAHyP98I=")</f>
        <v>#REF!</v>
      </c>
      <c r="GN167" t="e">
        <f>AND(#REF!,"AAAAAHyP98M=")</f>
        <v>#REF!</v>
      </c>
      <c r="GO167" t="e">
        <f>AND(#REF!,"AAAAAHyP98Q=")</f>
        <v>#REF!</v>
      </c>
      <c r="GP167" t="e">
        <f>AND(#REF!,"AAAAAHyP98U=")</f>
        <v>#REF!</v>
      </c>
      <c r="GQ167" t="e">
        <f>AND(#REF!,"AAAAAHyP98Y=")</f>
        <v>#REF!</v>
      </c>
      <c r="GR167" t="e">
        <f>AND(#REF!,"AAAAAHyP98c=")</f>
        <v>#REF!</v>
      </c>
      <c r="GS167" t="e">
        <f>AND(#REF!,"AAAAAHyP98g=")</f>
        <v>#REF!</v>
      </c>
      <c r="GT167" t="e">
        <f>AND(#REF!,"AAAAAHyP98k=")</f>
        <v>#REF!</v>
      </c>
      <c r="GU167" t="e">
        <f>AND(#REF!,"AAAAAHyP98o=")</f>
        <v>#REF!</v>
      </c>
      <c r="GV167" t="e">
        <f>AND(#REF!,"AAAAAHyP98s=")</f>
        <v>#REF!</v>
      </c>
      <c r="GW167" t="e">
        <f>AND(#REF!,"AAAAAHyP98w=")</f>
        <v>#REF!</v>
      </c>
      <c r="GX167" t="e">
        <f>AND(#REF!,"AAAAAHyP980=")</f>
        <v>#REF!</v>
      </c>
      <c r="GY167" t="e">
        <f>AND(#REF!,"AAAAAHyP984=")</f>
        <v>#REF!</v>
      </c>
      <c r="GZ167" t="e">
        <f>AND(#REF!,"AAAAAHyP988=")</f>
        <v>#REF!</v>
      </c>
      <c r="HA167" t="e">
        <f>AND(#REF!,"AAAAAHyP99A=")</f>
        <v>#REF!</v>
      </c>
      <c r="HB167" t="e">
        <f>AND(#REF!,"AAAAAHyP99E=")</f>
        <v>#REF!</v>
      </c>
      <c r="HC167" t="e">
        <f>AND(#REF!,"AAAAAHyP99I=")</f>
        <v>#REF!</v>
      </c>
      <c r="HD167" t="e">
        <f>AND(#REF!,"AAAAAHyP99M=")</f>
        <v>#REF!</v>
      </c>
      <c r="HE167" t="e">
        <f>AND(#REF!,"AAAAAHyP99Q=")</f>
        <v>#REF!</v>
      </c>
      <c r="HF167" t="e">
        <f>AND(#REF!,"AAAAAHyP99U=")</f>
        <v>#REF!</v>
      </c>
      <c r="HG167" t="e">
        <f>AND(#REF!,"AAAAAHyP99Y=")</f>
        <v>#REF!</v>
      </c>
      <c r="HH167" t="e">
        <f>AND(#REF!,"AAAAAHyP99c=")</f>
        <v>#REF!</v>
      </c>
      <c r="HI167" t="e">
        <f>AND(#REF!,"AAAAAHyP99g=")</f>
        <v>#REF!</v>
      </c>
      <c r="HJ167" t="e">
        <f>AND(#REF!,"AAAAAHyP99k=")</f>
        <v>#REF!</v>
      </c>
      <c r="HK167" t="e">
        <f>AND(#REF!,"AAAAAHyP99o=")</f>
        <v>#REF!</v>
      </c>
      <c r="HL167" t="e">
        <f>AND(#REF!,"AAAAAHyP99s=")</f>
        <v>#REF!</v>
      </c>
      <c r="HM167" t="e">
        <f>AND(#REF!,"AAAAAHyP99w=")</f>
        <v>#REF!</v>
      </c>
      <c r="HN167" t="e">
        <f>AND(#REF!,"AAAAAHyP990=")</f>
        <v>#REF!</v>
      </c>
      <c r="HO167" t="e">
        <f>AND(#REF!,"AAAAAHyP994=")</f>
        <v>#REF!</v>
      </c>
      <c r="HP167" t="e">
        <f>AND(#REF!,"AAAAAHyP998=")</f>
        <v>#REF!</v>
      </c>
      <c r="HQ167" t="e">
        <f>AND(#REF!,"AAAAAHyP9+A=")</f>
        <v>#REF!</v>
      </c>
      <c r="HR167" t="e">
        <f>AND(#REF!,"AAAAAHyP9+E=")</f>
        <v>#REF!</v>
      </c>
      <c r="HS167" t="e">
        <f>AND(#REF!,"AAAAAHyP9+I=")</f>
        <v>#REF!</v>
      </c>
      <c r="HT167" t="e">
        <f>AND(#REF!,"AAAAAHyP9+M=")</f>
        <v>#REF!</v>
      </c>
      <c r="HU167" t="e">
        <f>AND(#REF!,"AAAAAHyP9+Q=")</f>
        <v>#REF!</v>
      </c>
      <c r="HV167" t="e">
        <f>AND(#REF!,"AAAAAHyP9+U=")</f>
        <v>#REF!</v>
      </c>
      <c r="HW167" t="e">
        <f>AND(#REF!,"AAAAAHyP9+Y=")</f>
        <v>#REF!</v>
      </c>
      <c r="HX167" t="e">
        <f>AND(#REF!,"AAAAAHyP9+c=")</f>
        <v>#REF!</v>
      </c>
      <c r="HY167" t="e">
        <f>AND(#REF!,"AAAAAHyP9+g=")</f>
        <v>#REF!</v>
      </c>
      <c r="HZ167" t="e">
        <f>AND(#REF!,"AAAAAHyP9+k=")</f>
        <v>#REF!</v>
      </c>
      <c r="IA167" t="e">
        <f>AND(#REF!,"AAAAAHyP9+o=")</f>
        <v>#REF!</v>
      </c>
      <c r="IB167" t="e">
        <f>AND(#REF!,"AAAAAHyP9+s=")</f>
        <v>#REF!</v>
      </c>
      <c r="IC167" t="e">
        <f>AND(#REF!,"AAAAAHyP9+w=")</f>
        <v>#REF!</v>
      </c>
      <c r="ID167" t="e">
        <f>AND(#REF!,"AAAAAHyP9+0=")</f>
        <v>#REF!</v>
      </c>
      <c r="IE167" t="e">
        <f>AND(#REF!,"AAAAAHyP9+4=")</f>
        <v>#REF!</v>
      </c>
      <c r="IF167" t="e">
        <f>AND(#REF!,"AAAAAHyP9+8=")</f>
        <v>#REF!</v>
      </c>
      <c r="IG167" t="e">
        <f>AND(#REF!,"AAAAAHyP9/A=")</f>
        <v>#REF!</v>
      </c>
      <c r="IH167" t="e">
        <f>AND(#REF!,"AAAAAHyP9/E=")</f>
        <v>#REF!</v>
      </c>
      <c r="II167" t="e">
        <f>AND(#REF!,"AAAAAHyP9/I=")</f>
        <v>#REF!</v>
      </c>
      <c r="IJ167" t="e">
        <f>AND(#REF!,"AAAAAHyP9/M=")</f>
        <v>#REF!</v>
      </c>
      <c r="IK167" t="e">
        <f>AND(#REF!,"AAAAAHyP9/Q=")</f>
        <v>#REF!</v>
      </c>
      <c r="IL167" t="e">
        <f>AND(#REF!,"AAAAAHyP9/U=")</f>
        <v>#REF!</v>
      </c>
      <c r="IM167" t="e">
        <f>AND(#REF!,"AAAAAHyP9/Y=")</f>
        <v>#REF!</v>
      </c>
      <c r="IN167" t="e">
        <f>AND(#REF!,"AAAAAHyP9/c=")</f>
        <v>#REF!</v>
      </c>
      <c r="IO167" t="e">
        <f>AND(#REF!,"AAAAAHyP9/g=")</f>
        <v>#REF!</v>
      </c>
      <c r="IP167" t="e">
        <f>AND(#REF!,"AAAAAHyP9/k=")</f>
        <v>#REF!</v>
      </c>
      <c r="IQ167" t="e">
        <f>AND(#REF!,"AAAAAHyP9/o=")</f>
        <v>#REF!</v>
      </c>
      <c r="IR167" t="e">
        <f>AND(#REF!,"AAAAAHyP9/s=")</f>
        <v>#REF!</v>
      </c>
      <c r="IS167" t="e">
        <f>AND(#REF!,"AAAAAHyP9/w=")</f>
        <v>#REF!</v>
      </c>
      <c r="IT167" t="e">
        <f>AND(#REF!,"AAAAAHyP9/0=")</f>
        <v>#REF!</v>
      </c>
      <c r="IU167" t="e">
        <f>AND(#REF!,"AAAAAHyP9/4=")</f>
        <v>#REF!</v>
      </c>
      <c r="IV167" t="e">
        <f>AND(#REF!,"AAAAAHyP9/8=")</f>
        <v>#REF!</v>
      </c>
    </row>
    <row r="168" spans="1:256" x14ac:dyDescent="0.25">
      <c r="A168" t="e">
        <f>AND(#REF!,"AAAAABK31wA=")</f>
        <v>#REF!</v>
      </c>
      <c r="B168" t="e">
        <f>AND(#REF!,"AAAAABK31wE=")</f>
        <v>#REF!</v>
      </c>
      <c r="C168" t="e">
        <f>AND(#REF!,"AAAAABK31wI=")</f>
        <v>#REF!</v>
      </c>
      <c r="D168" t="e">
        <f>AND(#REF!,"AAAAABK31wM=")</f>
        <v>#REF!</v>
      </c>
      <c r="E168" t="e">
        <f>AND(#REF!,"AAAAABK31wQ=")</f>
        <v>#REF!</v>
      </c>
      <c r="F168" t="e">
        <f>AND(#REF!,"AAAAABK31wU=")</f>
        <v>#REF!</v>
      </c>
      <c r="G168" t="e">
        <f>AND(#REF!,"AAAAABK31wY=")</f>
        <v>#REF!</v>
      </c>
      <c r="H168" t="e">
        <f>AND(#REF!,"AAAAABK31wc=")</f>
        <v>#REF!</v>
      </c>
      <c r="I168" t="e">
        <f>AND(#REF!,"AAAAABK31wg=")</f>
        <v>#REF!</v>
      </c>
      <c r="J168" t="e">
        <f>AND(#REF!,"AAAAABK31wk=")</f>
        <v>#REF!</v>
      </c>
      <c r="K168" t="e">
        <f>AND(#REF!,"AAAAABK31wo=")</f>
        <v>#REF!</v>
      </c>
      <c r="L168" t="e">
        <f>AND(#REF!,"AAAAABK31ws=")</f>
        <v>#REF!</v>
      </c>
      <c r="M168" t="e">
        <f>AND(#REF!,"AAAAABK31ww=")</f>
        <v>#REF!</v>
      </c>
      <c r="N168" t="e">
        <f>AND(#REF!,"AAAAABK31w0=")</f>
        <v>#REF!</v>
      </c>
      <c r="O168" t="e">
        <f>AND(#REF!,"AAAAABK31w4=")</f>
        <v>#REF!</v>
      </c>
      <c r="P168" t="e">
        <f>AND(#REF!,"AAAAABK31w8=")</f>
        <v>#REF!</v>
      </c>
      <c r="Q168" t="e">
        <f>AND(#REF!,"AAAAABK31xA=")</f>
        <v>#REF!</v>
      </c>
      <c r="R168" t="e">
        <f>AND(#REF!,"AAAAABK31xE=")</f>
        <v>#REF!</v>
      </c>
      <c r="S168" t="e">
        <f>AND(#REF!,"AAAAABK31xI=")</f>
        <v>#REF!</v>
      </c>
      <c r="T168" t="e">
        <f>AND(#REF!,"AAAAABK31xM=")</f>
        <v>#REF!</v>
      </c>
      <c r="U168" t="e">
        <f>AND(#REF!,"AAAAABK31xQ=")</f>
        <v>#REF!</v>
      </c>
      <c r="V168" t="e">
        <f>AND(#REF!,"AAAAABK31xU=")</f>
        <v>#REF!</v>
      </c>
      <c r="W168" t="e">
        <f>AND(#REF!,"AAAAABK31xY=")</f>
        <v>#REF!</v>
      </c>
      <c r="X168" t="e">
        <f>AND(#REF!,"AAAAABK31xc=")</f>
        <v>#REF!</v>
      </c>
      <c r="Y168" t="e">
        <f>AND(#REF!,"AAAAABK31xg=")</f>
        <v>#REF!</v>
      </c>
      <c r="Z168" t="e">
        <f>AND(#REF!,"AAAAABK31xk=")</f>
        <v>#REF!</v>
      </c>
      <c r="AA168" t="e">
        <f>AND(#REF!,"AAAAABK31xo=")</f>
        <v>#REF!</v>
      </c>
      <c r="AB168" t="e">
        <f>AND(#REF!,"AAAAABK31xs=")</f>
        <v>#REF!</v>
      </c>
      <c r="AC168" t="e">
        <f>AND(#REF!,"AAAAABK31xw=")</f>
        <v>#REF!</v>
      </c>
      <c r="AD168" t="e">
        <f>AND(#REF!,"AAAAABK31x0=")</f>
        <v>#REF!</v>
      </c>
      <c r="AE168" t="e">
        <f>AND(#REF!,"AAAAABK31x4=")</f>
        <v>#REF!</v>
      </c>
      <c r="AF168" t="e">
        <f>AND(#REF!,"AAAAABK31x8=")</f>
        <v>#REF!</v>
      </c>
      <c r="AG168" t="e">
        <f>AND(#REF!,"AAAAABK31yA=")</f>
        <v>#REF!</v>
      </c>
      <c r="AH168" t="e">
        <f>AND(#REF!,"AAAAABK31yE=")</f>
        <v>#REF!</v>
      </c>
      <c r="AI168" t="e">
        <f>AND(#REF!,"AAAAABK31yI=")</f>
        <v>#REF!</v>
      </c>
      <c r="AJ168" t="e">
        <f>AND(#REF!,"AAAAABK31yM=")</f>
        <v>#REF!</v>
      </c>
      <c r="AK168" t="e">
        <f>AND(#REF!,"AAAAABK31yQ=")</f>
        <v>#REF!</v>
      </c>
      <c r="AL168" t="e">
        <f>AND(#REF!,"AAAAABK31yU=")</f>
        <v>#REF!</v>
      </c>
      <c r="AM168" t="e">
        <f>AND(#REF!,"AAAAABK31yY=")</f>
        <v>#REF!</v>
      </c>
      <c r="AN168" t="e">
        <f>AND(#REF!,"AAAAABK31yc=")</f>
        <v>#REF!</v>
      </c>
      <c r="AO168" t="e">
        <f>AND(#REF!,"AAAAABK31yg=")</f>
        <v>#REF!</v>
      </c>
      <c r="AP168" t="e">
        <f>AND(#REF!,"AAAAABK31yk=")</f>
        <v>#REF!</v>
      </c>
      <c r="AQ168" t="e">
        <f>AND(#REF!,"AAAAABK31yo=")</f>
        <v>#REF!</v>
      </c>
      <c r="AR168" t="e">
        <f>AND(#REF!,"AAAAABK31ys=")</f>
        <v>#REF!</v>
      </c>
      <c r="AS168" t="e">
        <f>AND(#REF!,"AAAAABK31yw=")</f>
        <v>#REF!</v>
      </c>
      <c r="AT168" t="e">
        <f>AND(#REF!,"AAAAABK31y0=")</f>
        <v>#REF!</v>
      </c>
      <c r="AU168" t="e">
        <f>AND(#REF!,"AAAAABK31y4=")</f>
        <v>#REF!</v>
      </c>
      <c r="AV168" t="e">
        <f>AND(#REF!,"AAAAABK31y8=")</f>
        <v>#REF!</v>
      </c>
      <c r="AW168" t="e">
        <f>AND(#REF!,"AAAAABK31zA=")</f>
        <v>#REF!</v>
      </c>
      <c r="AX168" t="e">
        <f>AND(#REF!,"AAAAABK31zE=")</f>
        <v>#REF!</v>
      </c>
      <c r="AY168" t="e">
        <f>AND(#REF!,"AAAAABK31zI=")</f>
        <v>#REF!</v>
      </c>
      <c r="AZ168" t="e">
        <f>AND(#REF!,"AAAAABK31zM=")</f>
        <v>#REF!</v>
      </c>
      <c r="BA168" t="e">
        <f>AND(#REF!,"AAAAABK31zQ=")</f>
        <v>#REF!</v>
      </c>
      <c r="BB168" t="e">
        <f>AND(#REF!,"AAAAABK31zU=")</f>
        <v>#REF!</v>
      </c>
      <c r="BC168" t="e">
        <f>AND(#REF!,"AAAAABK31zY=")</f>
        <v>#REF!</v>
      </c>
      <c r="BD168" t="e">
        <f>AND(#REF!,"AAAAABK31zc=")</f>
        <v>#REF!</v>
      </c>
      <c r="BE168" t="e">
        <f>AND(#REF!,"AAAAABK31zg=")</f>
        <v>#REF!</v>
      </c>
      <c r="BF168" t="e">
        <f>AND(#REF!,"AAAAABK31zk=")</f>
        <v>#REF!</v>
      </c>
      <c r="BG168" t="e">
        <f>AND(#REF!,"AAAAABK31zo=")</f>
        <v>#REF!</v>
      </c>
      <c r="BH168" t="e">
        <f>AND(#REF!,"AAAAABK31zs=")</f>
        <v>#REF!</v>
      </c>
      <c r="BI168" t="e">
        <f>AND(#REF!,"AAAAABK31zw=")</f>
        <v>#REF!</v>
      </c>
      <c r="BJ168" t="e">
        <f>AND(#REF!,"AAAAABK31z0=")</f>
        <v>#REF!</v>
      </c>
      <c r="BK168" t="e">
        <f>AND(#REF!,"AAAAABK31z4=")</f>
        <v>#REF!</v>
      </c>
      <c r="BL168" t="e">
        <f>AND(#REF!,"AAAAABK31z8=")</f>
        <v>#REF!</v>
      </c>
      <c r="BM168" t="e">
        <f>AND(#REF!,"AAAAABK310A=")</f>
        <v>#REF!</v>
      </c>
      <c r="BN168" t="e">
        <f>AND(#REF!,"AAAAABK310E=")</f>
        <v>#REF!</v>
      </c>
      <c r="BO168" t="e">
        <f>AND(#REF!,"AAAAABK310I=")</f>
        <v>#REF!</v>
      </c>
      <c r="BP168" t="e">
        <f>AND(#REF!,"AAAAABK310M=")</f>
        <v>#REF!</v>
      </c>
      <c r="BQ168" t="e">
        <f>AND(#REF!,"AAAAABK310Q=")</f>
        <v>#REF!</v>
      </c>
      <c r="BR168" t="e">
        <f>AND(#REF!,"AAAAABK310U=")</f>
        <v>#REF!</v>
      </c>
      <c r="BS168" t="e">
        <f>AND(#REF!,"AAAAABK310Y=")</f>
        <v>#REF!</v>
      </c>
      <c r="BT168" t="e">
        <f>AND(#REF!,"AAAAABK310c=")</f>
        <v>#REF!</v>
      </c>
      <c r="BU168" t="e">
        <f>AND(#REF!,"AAAAABK310g=")</f>
        <v>#REF!</v>
      </c>
      <c r="BV168" t="e">
        <f>AND(#REF!,"AAAAABK310k=")</f>
        <v>#REF!</v>
      </c>
      <c r="BW168" t="e">
        <f>AND(#REF!,"AAAAABK310o=")</f>
        <v>#REF!</v>
      </c>
      <c r="BX168" t="e">
        <f>AND(#REF!,"AAAAABK310s=")</f>
        <v>#REF!</v>
      </c>
      <c r="BY168" t="e">
        <f>AND(#REF!,"AAAAABK310w=")</f>
        <v>#REF!</v>
      </c>
      <c r="BZ168" t="e">
        <f>AND(#REF!,"AAAAABK3100=")</f>
        <v>#REF!</v>
      </c>
      <c r="CA168" t="e">
        <f>AND(#REF!,"AAAAABK3104=")</f>
        <v>#REF!</v>
      </c>
      <c r="CB168" t="e">
        <f>AND(#REF!,"AAAAABK3108=")</f>
        <v>#REF!</v>
      </c>
      <c r="CC168" t="e">
        <f>AND(#REF!,"AAAAABK311A=")</f>
        <v>#REF!</v>
      </c>
      <c r="CD168" t="e">
        <f>AND(#REF!,"AAAAABK311E=")</f>
        <v>#REF!</v>
      </c>
      <c r="CE168" t="e">
        <f>AND(#REF!,"AAAAABK311I=")</f>
        <v>#REF!</v>
      </c>
      <c r="CF168" t="e">
        <f>AND(#REF!,"AAAAABK311M=")</f>
        <v>#REF!</v>
      </c>
      <c r="CG168" t="e">
        <f>AND(#REF!,"AAAAABK311Q=")</f>
        <v>#REF!</v>
      </c>
      <c r="CH168" t="e">
        <f>AND(#REF!,"AAAAABK311U=")</f>
        <v>#REF!</v>
      </c>
      <c r="CI168" t="e">
        <f>AND(#REF!,"AAAAABK311Y=")</f>
        <v>#REF!</v>
      </c>
      <c r="CJ168" t="e">
        <f>AND(#REF!,"AAAAABK311c=")</f>
        <v>#REF!</v>
      </c>
      <c r="CK168" t="e">
        <f>AND(#REF!,"AAAAABK311g=")</f>
        <v>#REF!</v>
      </c>
      <c r="CL168" t="e">
        <f>AND(#REF!,"AAAAABK311k=")</f>
        <v>#REF!</v>
      </c>
      <c r="CM168" t="e">
        <f>AND(#REF!,"AAAAABK311o=")</f>
        <v>#REF!</v>
      </c>
      <c r="CN168" t="e">
        <f>AND(#REF!,"AAAAABK311s=")</f>
        <v>#REF!</v>
      </c>
      <c r="CO168" t="e">
        <f>AND(#REF!,"AAAAABK311w=")</f>
        <v>#REF!</v>
      </c>
      <c r="CP168" t="e">
        <f>AND(#REF!,"AAAAABK3110=")</f>
        <v>#REF!</v>
      </c>
      <c r="CQ168" t="e">
        <f>AND(#REF!,"AAAAABK3114=")</f>
        <v>#REF!</v>
      </c>
      <c r="CR168" t="e">
        <f>AND(#REF!,"AAAAABK3118=")</f>
        <v>#REF!</v>
      </c>
      <c r="CS168" t="e">
        <f>AND(#REF!,"AAAAABK312A=")</f>
        <v>#REF!</v>
      </c>
      <c r="CT168" t="e">
        <f>AND(#REF!,"AAAAABK312E=")</f>
        <v>#REF!</v>
      </c>
      <c r="CU168" t="e">
        <f>AND(#REF!,"AAAAABK312I=")</f>
        <v>#REF!</v>
      </c>
      <c r="CV168" t="e">
        <f>AND(#REF!,"AAAAABK312M=")</f>
        <v>#REF!</v>
      </c>
      <c r="CW168" t="e">
        <f>AND(#REF!,"AAAAABK312Q=")</f>
        <v>#REF!</v>
      </c>
      <c r="CX168" t="e">
        <f>AND(#REF!,"AAAAABK312U=")</f>
        <v>#REF!</v>
      </c>
      <c r="CY168" t="e">
        <f>AND(#REF!,"AAAAABK312Y=")</f>
        <v>#REF!</v>
      </c>
      <c r="CZ168" t="e">
        <f>AND(#REF!,"AAAAABK312c=")</f>
        <v>#REF!</v>
      </c>
      <c r="DA168" t="e">
        <f>AND(#REF!,"AAAAABK312g=")</f>
        <v>#REF!</v>
      </c>
      <c r="DB168" t="e">
        <f>AND(#REF!,"AAAAABK312k=")</f>
        <v>#REF!</v>
      </c>
      <c r="DC168" t="e">
        <f>AND(#REF!,"AAAAABK312o=")</f>
        <v>#REF!</v>
      </c>
      <c r="DD168" t="e">
        <f>IF(#REF!,"AAAAABK312s=",0)</f>
        <v>#REF!</v>
      </c>
      <c r="DE168" t="e">
        <f>AND(#REF!,"AAAAABK312w=")</f>
        <v>#REF!</v>
      </c>
      <c r="DF168" t="e">
        <f>AND(#REF!,"AAAAABK3120=")</f>
        <v>#REF!</v>
      </c>
      <c r="DG168" t="e">
        <f>AND(#REF!,"AAAAABK3124=")</f>
        <v>#REF!</v>
      </c>
      <c r="DH168" t="e">
        <f>AND(#REF!,"AAAAABK3128=")</f>
        <v>#REF!</v>
      </c>
      <c r="DI168" t="e">
        <f>AND(#REF!,"AAAAABK313A=")</f>
        <v>#REF!</v>
      </c>
      <c r="DJ168" t="e">
        <f>AND(#REF!,"AAAAABK313E=")</f>
        <v>#REF!</v>
      </c>
      <c r="DK168" t="e">
        <f>AND(#REF!,"AAAAABK313I=")</f>
        <v>#REF!</v>
      </c>
      <c r="DL168" t="e">
        <f>AND(#REF!,"AAAAABK313M=")</f>
        <v>#REF!</v>
      </c>
      <c r="DM168" t="e">
        <f>AND(#REF!,"AAAAABK313Q=")</f>
        <v>#REF!</v>
      </c>
      <c r="DN168" t="e">
        <f>AND(#REF!,"AAAAABK313U=")</f>
        <v>#REF!</v>
      </c>
      <c r="DO168" t="e">
        <f>AND(#REF!,"AAAAABK313Y=")</f>
        <v>#REF!</v>
      </c>
      <c r="DP168" t="e">
        <f>AND(#REF!,"AAAAABK313c=")</f>
        <v>#REF!</v>
      </c>
      <c r="DQ168" t="e">
        <f>AND(#REF!,"AAAAABK313g=")</f>
        <v>#REF!</v>
      </c>
      <c r="DR168" t="e">
        <f>AND(#REF!,"AAAAABK313k=")</f>
        <v>#REF!</v>
      </c>
      <c r="DS168" t="e">
        <f>AND(#REF!,"AAAAABK313o=")</f>
        <v>#REF!</v>
      </c>
      <c r="DT168" t="e">
        <f>AND(#REF!,"AAAAABK313s=")</f>
        <v>#REF!</v>
      </c>
      <c r="DU168" t="e">
        <f>AND(#REF!,"AAAAABK313w=")</f>
        <v>#REF!</v>
      </c>
      <c r="DV168" t="e">
        <f>AND(#REF!,"AAAAABK3130=")</f>
        <v>#REF!</v>
      </c>
      <c r="DW168" t="e">
        <f>AND(#REF!,"AAAAABK3134=")</f>
        <v>#REF!</v>
      </c>
      <c r="DX168" t="e">
        <f>AND(#REF!,"AAAAABK3138=")</f>
        <v>#REF!</v>
      </c>
      <c r="DY168" t="e">
        <f>AND(#REF!,"AAAAABK314A=")</f>
        <v>#REF!</v>
      </c>
      <c r="DZ168" t="e">
        <f>AND(#REF!,"AAAAABK314E=")</f>
        <v>#REF!</v>
      </c>
      <c r="EA168" t="e">
        <f>AND(#REF!,"AAAAABK314I=")</f>
        <v>#REF!</v>
      </c>
      <c r="EB168" t="e">
        <f>AND(#REF!,"AAAAABK314M=")</f>
        <v>#REF!</v>
      </c>
      <c r="EC168" t="e">
        <f>AND(#REF!,"AAAAABK314Q=")</f>
        <v>#REF!</v>
      </c>
      <c r="ED168" t="e">
        <f>AND(#REF!,"AAAAABK314U=")</f>
        <v>#REF!</v>
      </c>
      <c r="EE168" t="e">
        <f>AND(#REF!,"AAAAABK314Y=")</f>
        <v>#REF!</v>
      </c>
      <c r="EF168" t="e">
        <f>AND(#REF!,"AAAAABK314c=")</f>
        <v>#REF!</v>
      </c>
      <c r="EG168" t="e">
        <f>AND(#REF!,"AAAAABK314g=")</f>
        <v>#REF!</v>
      </c>
      <c r="EH168" t="e">
        <f>AND(#REF!,"AAAAABK314k=")</f>
        <v>#REF!</v>
      </c>
      <c r="EI168" t="e">
        <f>AND(#REF!,"AAAAABK314o=")</f>
        <v>#REF!</v>
      </c>
      <c r="EJ168" t="e">
        <f>AND(#REF!,"AAAAABK314s=")</f>
        <v>#REF!</v>
      </c>
      <c r="EK168" t="e">
        <f>AND(#REF!,"AAAAABK314w=")</f>
        <v>#REF!</v>
      </c>
      <c r="EL168" t="e">
        <f>AND(#REF!,"AAAAABK3140=")</f>
        <v>#REF!</v>
      </c>
      <c r="EM168" t="e">
        <f>AND(#REF!,"AAAAABK3144=")</f>
        <v>#REF!</v>
      </c>
      <c r="EN168" t="e">
        <f>AND(#REF!,"AAAAABK3148=")</f>
        <v>#REF!</v>
      </c>
      <c r="EO168" t="e">
        <f>AND(#REF!,"AAAAABK315A=")</f>
        <v>#REF!</v>
      </c>
      <c r="EP168" t="e">
        <f>AND(#REF!,"AAAAABK315E=")</f>
        <v>#REF!</v>
      </c>
      <c r="EQ168" t="e">
        <f>AND(#REF!,"AAAAABK315I=")</f>
        <v>#REF!</v>
      </c>
      <c r="ER168" t="e">
        <f>AND(#REF!,"AAAAABK315M=")</f>
        <v>#REF!</v>
      </c>
      <c r="ES168" t="e">
        <f>AND(#REF!,"AAAAABK315Q=")</f>
        <v>#REF!</v>
      </c>
      <c r="ET168" t="e">
        <f>AND(#REF!,"AAAAABK315U=")</f>
        <v>#REF!</v>
      </c>
      <c r="EU168" t="e">
        <f>AND(#REF!,"AAAAABK315Y=")</f>
        <v>#REF!</v>
      </c>
      <c r="EV168" t="e">
        <f>AND(#REF!,"AAAAABK315c=")</f>
        <v>#REF!</v>
      </c>
      <c r="EW168" t="e">
        <f>AND(#REF!,"AAAAABK315g=")</f>
        <v>#REF!</v>
      </c>
      <c r="EX168" t="e">
        <f>AND(#REF!,"AAAAABK315k=")</f>
        <v>#REF!</v>
      </c>
      <c r="EY168" t="e">
        <f>AND(#REF!,"AAAAABK315o=")</f>
        <v>#REF!</v>
      </c>
      <c r="EZ168" t="e">
        <f>AND(#REF!,"AAAAABK315s=")</f>
        <v>#REF!</v>
      </c>
      <c r="FA168" t="e">
        <f>AND(#REF!,"AAAAABK315w=")</f>
        <v>#REF!</v>
      </c>
      <c r="FB168" t="e">
        <f>AND(#REF!,"AAAAABK3150=")</f>
        <v>#REF!</v>
      </c>
      <c r="FC168" t="e">
        <f>AND(#REF!,"AAAAABK3154=")</f>
        <v>#REF!</v>
      </c>
      <c r="FD168" t="e">
        <f>AND(#REF!,"AAAAABK3158=")</f>
        <v>#REF!</v>
      </c>
      <c r="FE168" t="e">
        <f>AND(#REF!,"AAAAABK316A=")</f>
        <v>#REF!</v>
      </c>
      <c r="FF168" t="e">
        <f>AND(#REF!,"AAAAABK316E=")</f>
        <v>#REF!</v>
      </c>
      <c r="FG168" t="e">
        <f>AND(#REF!,"AAAAABK316I=")</f>
        <v>#REF!</v>
      </c>
      <c r="FH168" t="e">
        <f>AND(#REF!,"AAAAABK316M=")</f>
        <v>#REF!</v>
      </c>
      <c r="FI168" t="e">
        <f>AND(#REF!,"AAAAABK316Q=")</f>
        <v>#REF!</v>
      </c>
      <c r="FJ168" t="e">
        <f>AND(#REF!,"AAAAABK316U=")</f>
        <v>#REF!</v>
      </c>
      <c r="FK168" t="e">
        <f>AND(#REF!,"AAAAABK316Y=")</f>
        <v>#REF!</v>
      </c>
      <c r="FL168" t="e">
        <f>AND(#REF!,"AAAAABK316c=")</f>
        <v>#REF!</v>
      </c>
      <c r="FM168" t="e">
        <f>AND(#REF!,"AAAAABK316g=")</f>
        <v>#REF!</v>
      </c>
      <c r="FN168" t="e">
        <f>AND(#REF!,"AAAAABK316k=")</f>
        <v>#REF!</v>
      </c>
      <c r="FO168" t="e">
        <f>AND(#REF!,"AAAAABK316o=")</f>
        <v>#REF!</v>
      </c>
      <c r="FP168" t="e">
        <f>AND(#REF!,"AAAAABK316s=")</f>
        <v>#REF!</v>
      </c>
      <c r="FQ168" t="e">
        <f>AND(#REF!,"AAAAABK316w=")</f>
        <v>#REF!</v>
      </c>
      <c r="FR168" t="e">
        <f>AND(#REF!,"AAAAABK3160=")</f>
        <v>#REF!</v>
      </c>
      <c r="FS168" t="e">
        <f>AND(#REF!,"AAAAABK3164=")</f>
        <v>#REF!</v>
      </c>
      <c r="FT168" t="e">
        <f>AND(#REF!,"AAAAABK3168=")</f>
        <v>#REF!</v>
      </c>
      <c r="FU168" t="e">
        <f>AND(#REF!,"AAAAABK317A=")</f>
        <v>#REF!</v>
      </c>
      <c r="FV168" t="e">
        <f>AND(#REF!,"AAAAABK317E=")</f>
        <v>#REF!</v>
      </c>
      <c r="FW168" t="e">
        <f>AND(#REF!,"AAAAABK317I=")</f>
        <v>#REF!</v>
      </c>
      <c r="FX168" t="e">
        <f>AND(#REF!,"AAAAABK317M=")</f>
        <v>#REF!</v>
      </c>
      <c r="FY168" t="e">
        <f>AND(#REF!,"AAAAABK317Q=")</f>
        <v>#REF!</v>
      </c>
      <c r="FZ168" t="e">
        <f>AND(#REF!,"AAAAABK317U=")</f>
        <v>#REF!</v>
      </c>
      <c r="GA168" t="e">
        <f>AND(#REF!,"AAAAABK317Y=")</f>
        <v>#REF!</v>
      </c>
      <c r="GB168" t="e">
        <f>AND(#REF!,"AAAAABK317c=")</f>
        <v>#REF!</v>
      </c>
      <c r="GC168" t="e">
        <f>AND(#REF!,"AAAAABK317g=")</f>
        <v>#REF!</v>
      </c>
      <c r="GD168" t="e">
        <f>AND(#REF!,"AAAAABK317k=")</f>
        <v>#REF!</v>
      </c>
      <c r="GE168" t="e">
        <f>AND(#REF!,"AAAAABK317o=")</f>
        <v>#REF!</v>
      </c>
      <c r="GF168" t="e">
        <f>AND(#REF!,"AAAAABK317s=")</f>
        <v>#REF!</v>
      </c>
      <c r="GG168" t="e">
        <f>AND(#REF!,"AAAAABK317w=")</f>
        <v>#REF!</v>
      </c>
      <c r="GH168" t="e">
        <f>AND(#REF!,"AAAAABK3170=")</f>
        <v>#REF!</v>
      </c>
      <c r="GI168" t="e">
        <f>AND(#REF!,"AAAAABK3174=")</f>
        <v>#REF!</v>
      </c>
      <c r="GJ168" t="e">
        <f>AND(#REF!,"AAAAABK3178=")</f>
        <v>#REF!</v>
      </c>
      <c r="GK168" t="e">
        <f>AND(#REF!,"AAAAABK318A=")</f>
        <v>#REF!</v>
      </c>
      <c r="GL168" t="e">
        <f>AND(#REF!,"AAAAABK318E=")</f>
        <v>#REF!</v>
      </c>
      <c r="GM168" t="e">
        <f>AND(#REF!,"AAAAABK318I=")</f>
        <v>#REF!</v>
      </c>
      <c r="GN168" t="e">
        <f>AND(#REF!,"AAAAABK318M=")</f>
        <v>#REF!</v>
      </c>
      <c r="GO168" t="e">
        <f>AND(#REF!,"AAAAABK318Q=")</f>
        <v>#REF!</v>
      </c>
      <c r="GP168" t="e">
        <f>AND(#REF!,"AAAAABK318U=")</f>
        <v>#REF!</v>
      </c>
      <c r="GQ168" t="e">
        <f>AND(#REF!,"AAAAABK318Y=")</f>
        <v>#REF!</v>
      </c>
      <c r="GR168" t="e">
        <f>AND(#REF!,"AAAAABK318c=")</f>
        <v>#REF!</v>
      </c>
      <c r="GS168" t="e">
        <f>AND(#REF!,"AAAAABK318g=")</f>
        <v>#REF!</v>
      </c>
      <c r="GT168" t="e">
        <f>AND(#REF!,"AAAAABK318k=")</f>
        <v>#REF!</v>
      </c>
      <c r="GU168" t="e">
        <f>AND(#REF!,"AAAAABK318o=")</f>
        <v>#REF!</v>
      </c>
      <c r="GV168" t="e">
        <f>AND(#REF!,"AAAAABK318s=")</f>
        <v>#REF!</v>
      </c>
      <c r="GW168" t="e">
        <f>AND(#REF!,"AAAAABK318w=")</f>
        <v>#REF!</v>
      </c>
      <c r="GX168" t="e">
        <f>AND(#REF!,"AAAAABK3180=")</f>
        <v>#REF!</v>
      </c>
      <c r="GY168" t="e">
        <f>AND(#REF!,"AAAAABK3184=")</f>
        <v>#REF!</v>
      </c>
      <c r="GZ168" t="e">
        <f>AND(#REF!,"AAAAABK3188=")</f>
        <v>#REF!</v>
      </c>
      <c r="HA168" t="e">
        <f>AND(#REF!,"AAAAABK319A=")</f>
        <v>#REF!</v>
      </c>
      <c r="HB168" t="e">
        <f>AND(#REF!,"AAAAABK319E=")</f>
        <v>#REF!</v>
      </c>
      <c r="HC168" t="e">
        <f>AND(#REF!,"AAAAABK319I=")</f>
        <v>#REF!</v>
      </c>
      <c r="HD168" t="e">
        <f>AND(#REF!,"AAAAABK319M=")</f>
        <v>#REF!</v>
      </c>
      <c r="HE168" t="e">
        <f>AND(#REF!,"AAAAABK319Q=")</f>
        <v>#REF!</v>
      </c>
      <c r="HF168" t="e">
        <f>AND(#REF!,"AAAAABK319U=")</f>
        <v>#REF!</v>
      </c>
      <c r="HG168" t="e">
        <f>AND(#REF!,"AAAAABK319Y=")</f>
        <v>#REF!</v>
      </c>
      <c r="HH168" t="e">
        <f>AND(#REF!,"AAAAABK319c=")</f>
        <v>#REF!</v>
      </c>
      <c r="HI168" t="e">
        <f>AND(#REF!,"AAAAABK319g=")</f>
        <v>#REF!</v>
      </c>
      <c r="HJ168" t="e">
        <f>AND(#REF!,"AAAAABK319k=")</f>
        <v>#REF!</v>
      </c>
      <c r="HK168" t="e">
        <f>AND(#REF!,"AAAAABK319o=")</f>
        <v>#REF!</v>
      </c>
      <c r="HL168" t="e">
        <f>AND(#REF!,"AAAAABK319s=")</f>
        <v>#REF!</v>
      </c>
      <c r="HM168" t="e">
        <f>AND(#REF!,"AAAAABK319w=")</f>
        <v>#REF!</v>
      </c>
      <c r="HN168" t="e">
        <f>AND(#REF!,"AAAAABK3190=")</f>
        <v>#REF!</v>
      </c>
      <c r="HO168" t="e">
        <f>AND(#REF!,"AAAAABK3194=")</f>
        <v>#REF!</v>
      </c>
      <c r="HP168" t="e">
        <f>AND(#REF!,"AAAAABK3198=")</f>
        <v>#REF!</v>
      </c>
      <c r="HQ168" t="e">
        <f>AND(#REF!,"AAAAABK31+A=")</f>
        <v>#REF!</v>
      </c>
      <c r="HR168" t="e">
        <f>AND(#REF!,"AAAAABK31+E=")</f>
        <v>#REF!</v>
      </c>
      <c r="HS168" t="e">
        <f>AND(#REF!,"AAAAABK31+I=")</f>
        <v>#REF!</v>
      </c>
      <c r="HT168" t="e">
        <f>AND(#REF!,"AAAAABK31+M=")</f>
        <v>#REF!</v>
      </c>
      <c r="HU168" t="e">
        <f>AND(#REF!,"AAAAABK31+Q=")</f>
        <v>#REF!</v>
      </c>
      <c r="HV168" t="e">
        <f>AND(#REF!,"AAAAABK31+U=")</f>
        <v>#REF!</v>
      </c>
      <c r="HW168" t="e">
        <f>AND(#REF!,"AAAAABK31+Y=")</f>
        <v>#REF!</v>
      </c>
      <c r="HX168" t="e">
        <f>AND(#REF!,"AAAAABK31+c=")</f>
        <v>#REF!</v>
      </c>
      <c r="HY168" t="e">
        <f>AND(#REF!,"AAAAABK31+g=")</f>
        <v>#REF!</v>
      </c>
      <c r="HZ168" t="e">
        <f>AND(#REF!,"AAAAABK31+k=")</f>
        <v>#REF!</v>
      </c>
      <c r="IA168" t="e">
        <f>AND(#REF!,"AAAAABK31+o=")</f>
        <v>#REF!</v>
      </c>
      <c r="IB168" t="e">
        <f>AND(#REF!,"AAAAABK31+s=")</f>
        <v>#REF!</v>
      </c>
      <c r="IC168" t="e">
        <f>AND(#REF!,"AAAAABK31+w=")</f>
        <v>#REF!</v>
      </c>
      <c r="ID168" t="e">
        <f>AND(#REF!,"AAAAABK31+0=")</f>
        <v>#REF!</v>
      </c>
      <c r="IE168" t="e">
        <f>AND(#REF!,"AAAAABK31+4=")</f>
        <v>#REF!</v>
      </c>
      <c r="IF168" t="e">
        <f>AND(#REF!,"AAAAABK31+8=")</f>
        <v>#REF!</v>
      </c>
      <c r="IG168" t="e">
        <f>AND(#REF!,"AAAAABK31/A=")</f>
        <v>#REF!</v>
      </c>
      <c r="IH168" t="e">
        <f>AND(#REF!,"AAAAABK31/E=")</f>
        <v>#REF!</v>
      </c>
      <c r="II168" t="e">
        <f>AND(#REF!,"AAAAABK31/I=")</f>
        <v>#REF!</v>
      </c>
      <c r="IJ168" t="e">
        <f>AND(#REF!,"AAAAABK31/M=")</f>
        <v>#REF!</v>
      </c>
      <c r="IK168" t="e">
        <f>AND(#REF!,"AAAAABK31/Q=")</f>
        <v>#REF!</v>
      </c>
      <c r="IL168" t="e">
        <f>AND(#REF!,"AAAAABK31/U=")</f>
        <v>#REF!</v>
      </c>
      <c r="IM168" t="e">
        <f>AND(#REF!,"AAAAABK31/Y=")</f>
        <v>#REF!</v>
      </c>
      <c r="IN168" t="e">
        <f>AND(#REF!,"AAAAABK31/c=")</f>
        <v>#REF!</v>
      </c>
      <c r="IO168" t="e">
        <f>AND(#REF!,"AAAAABK31/g=")</f>
        <v>#REF!</v>
      </c>
      <c r="IP168" t="e">
        <f>AND(#REF!,"AAAAABK31/k=")</f>
        <v>#REF!</v>
      </c>
      <c r="IQ168" t="e">
        <f>AND(#REF!,"AAAAABK31/o=")</f>
        <v>#REF!</v>
      </c>
      <c r="IR168" t="e">
        <f>AND(#REF!,"AAAAABK31/s=")</f>
        <v>#REF!</v>
      </c>
      <c r="IS168" t="e">
        <f>AND(#REF!,"AAAAABK31/w=")</f>
        <v>#REF!</v>
      </c>
      <c r="IT168" t="e">
        <f>AND(#REF!,"AAAAABK31/0=")</f>
        <v>#REF!</v>
      </c>
      <c r="IU168" t="e">
        <f>AND(#REF!,"AAAAABK31/4=")</f>
        <v>#REF!</v>
      </c>
      <c r="IV168" t="e">
        <f>AND(#REF!,"AAAAABK31/8=")</f>
        <v>#REF!</v>
      </c>
    </row>
    <row r="169" spans="1:256" x14ac:dyDescent="0.25">
      <c r="A169" t="e">
        <f>AND(#REF!,"AAAAAH9QrgA=")</f>
        <v>#REF!</v>
      </c>
      <c r="B169" t="e">
        <f>AND(#REF!,"AAAAAH9QrgE=")</f>
        <v>#REF!</v>
      </c>
      <c r="C169" t="e">
        <f>AND(#REF!,"AAAAAH9QrgI=")</f>
        <v>#REF!</v>
      </c>
      <c r="D169" t="e">
        <f>AND(#REF!,"AAAAAH9QrgM=")</f>
        <v>#REF!</v>
      </c>
      <c r="E169" t="e">
        <f>AND(#REF!,"AAAAAH9QrgQ=")</f>
        <v>#REF!</v>
      </c>
      <c r="F169" t="e">
        <f>AND(#REF!,"AAAAAH9QrgU=")</f>
        <v>#REF!</v>
      </c>
      <c r="G169" t="e">
        <f>AND(#REF!,"AAAAAH9QrgY=")</f>
        <v>#REF!</v>
      </c>
      <c r="H169" t="e">
        <f>AND(#REF!,"AAAAAH9Qrgc=")</f>
        <v>#REF!</v>
      </c>
      <c r="I169" t="e">
        <f>AND(#REF!,"AAAAAH9Qrgg=")</f>
        <v>#REF!</v>
      </c>
      <c r="J169" t="e">
        <f>AND(#REF!,"AAAAAH9Qrgk=")</f>
        <v>#REF!</v>
      </c>
      <c r="K169" t="e">
        <f>AND(#REF!,"AAAAAH9Qrgo=")</f>
        <v>#REF!</v>
      </c>
      <c r="L169" t="e">
        <f>AND(#REF!,"AAAAAH9Qrgs=")</f>
        <v>#REF!</v>
      </c>
      <c r="M169" t="e">
        <f>AND(#REF!,"AAAAAH9Qrgw=")</f>
        <v>#REF!</v>
      </c>
      <c r="N169" t="e">
        <f>AND(#REF!,"AAAAAH9Qrg0=")</f>
        <v>#REF!</v>
      </c>
      <c r="O169" t="e">
        <f>AND(#REF!,"AAAAAH9Qrg4=")</f>
        <v>#REF!</v>
      </c>
      <c r="P169" t="e">
        <f>AND(#REF!,"AAAAAH9Qrg8=")</f>
        <v>#REF!</v>
      </c>
      <c r="Q169" t="e">
        <f>AND(#REF!,"AAAAAH9QrhA=")</f>
        <v>#REF!</v>
      </c>
      <c r="R169" t="e">
        <f>AND(#REF!,"AAAAAH9QrhE=")</f>
        <v>#REF!</v>
      </c>
      <c r="S169" t="e">
        <f>AND(#REF!,"AAAAAH9QrhI=")</f>
        <v>#REF!</v>
      </c>
      <c r="T169" t="e">
        <f>AND(#REF!,"AAAAAH9QrhM=")</f>
        <v>#REF!</v>
      </c>
      <c r="U169" t="e">
        <f>AND(#REF!,"AAAAAH9QrhQ=")</f>
        <v>#REF!</v>
      </c>
      <c r="V169" t="e">
        <f>AND(#REF!,"AAAAAH9QrhU=")</f>
        <v>#REF!</v>
      </c>
      <c r="W169" t="e">
        <f>AND(#REF!,"AAAAAH9QrhY=")</f>
        <v>#REF!</v>
      </c>
      <c r="X169" t="e">
        <f>AND(#REF!,"AAAAAH9Qrhc=")</f>
        <v>#REF!</v>
      </c>
      <c r="Y169" t="e">
        <f>AND(#REF!,"AAAAAH9Qrhg=")</f>
        <v>#REF!</v>
      </c>
      <c r="Z169" t="e">
        <f>AND(#REF!,"AAAAAH9Qrhk=")</f>
        <v>#REF!</v>
      </c>
      <c r="AA169" t="e">
        <f>AND(#REF!,"AAAAAH9Qrho=")</f>
        <v>#REF!</v>
      </c>
      <c r="AB169" t="e">
        <f>AND(#REF!,"AAAAAH9Qrhs=")</f>
        <v>#REF!</v>
      </c>
      <c r="AC169" t="e">
        <f>AND(#REF!,"AAAAAH9Qrhw=")</f>
        <v>#REF!</v>
      </c>
      <c r="AD169" t="e">
        <f>AND(#REF!,"AAAAAH9Qrh0=")</f>
        <v>#REF!</v>
      </c>
      <c r="AE169" t="e">
        <f>AND(#REF!,"AAAAAH9Qrh4=")</f>
        <v>#REF!</v>
      </c>
      <c r="AF169" t="e">
        <f>AND(#REF!,"AAAAAH9Qrh8=")</f>
        <v>#REF!</v>
      </c>
      <c r="AG169" t="e">
        <f>AND(#REF!,"AAAAAH9QriA=")</f>
        <v>#REF!</v>
      </c>
      <c r="AH169" t="e">
        <f>AND(#REF!,"AAAAAH9QriE=")</f>
        <v>#REF!</v>
      </c>
      <c r="AI169" t="e">
        <f>AND(#REF!,"AAAAAH9QriI=")</f>
        <v>#REF!</v>
      </c>
      <c r="AJ169" t="e">
        <f>AND(#REF!,"AAAAAH9QriM=")</f>
        <v>#REF!</v>
      </c>
      <c r="AK169" t="e">
        <f>AND(#REF!,"AAAAAH9QriQ=")</f>
        <v>#REF!</v>
      </c>
      <c r="AL169" t="e">
        <f>AND(#REF!,"AAAAAH9QriU=")</f>
        <v>#REF!</v>
      </c>
      <c r="AM169" t="e">
        <f>AND(#REF!,"AAAAAH9QriY=")</f>
        <v>#REF!</v>
      </c>
      <c r="AN169" t="e">
        <f>AND(#REF!,"AAAAAH9Qric=")</f>
        <v>#REF!</v>
      </c>
      <c r="AO169" t="e">
        <f>IF(#REF!,"AAAAAH9Qrig=",0)</f>
        <v>#REF!</v>
      </c>
      <c r="AP169" t="e">
        <f>AND(#REF!,"AAAAAH9Qrik=")</f>
        <v>#REF!</v>
      </c>
      <c r="AQ169" t="e">
        <f>AND(#REF!,"AAAAAH9Qrio=")</f>
        <v>#REF!</v>
      </c>
      <c r="AR169" t="e">
        <f>AND(#REF!,"AAAAAH9Qris=")</f>
        <v>#REF!</v>
      </c>
      <c r="AS169" t="e">
        <f>AND(#REF!,"AAAAAH9Qriw=")</f>
        <v>#REF!</v>
      </c>
      <c r="AT169" t="e">
        <f>AND(#REF!,"AAAAAH9Qri0=")</f>
        <v>#REF!</v>
      </c>
      <c r="AU169" t="e">
        <f>AND(#REF!,"AAAAAH9Qri4=")</f>
        <v>#REF!</v>
      </c>
      <c r="AV169" t="e">
        <f>AND(#REF!,"AAAAAH9Qri8=")</f>
        <v>#REF!</v>
      </c>
      <c r="AW169" t="e">
        <f>AND(#REF!,"AAAAAH9QrjA=")</f>
        <v>#REF!</v>
      </c>
      <c r="AX169" t="e">
        <f>AND(#REF!,"AAAAAH9QrjE=")</f>
        <v>#REF!</v>
      </c>
      <c r="AY169" t="e">
        <f>AND(#REF!,"AAAAAH9QrjI=")</f>
        <v>#REF!</v>
      </c>
      <c r="AZ169" t="e">
        <f>AND(#REF!,"AAAAAH9QrjM=")</f>
        <v>#REF!</v>
      </c>
      <c r="BA169" t="e">
        <f>AND(#REF!,"AAAAAH9QrjQ=")</f>
        <v>#REF!</v>
      </c>
      <c r="BB169" t="e">
        <f>AND(#REF!,"AAAAAH9QrjU=")</f>
        <v>#REF!</v>
      </c>
      <c r="BC169" t="e">
        <f>AND(#REF!,"AAAAAH9QrjY=")</f>
        <v>#REF!</v>
      </c>
      <c r="BD169" t="e">
        <f>AND(#REF!,"AAAAAH9Qrjc=")</f>
        <v>#REF!</v>
      </c>
      <c r="BE169" t="e">
        <f>AND(#REF!,"AAAAAH9Qrjg=")</f>
        <v>#REF!</v>
      </c>
      <c r="BF169" t="e">
        <f>AND(#REF!,"AAAAAH9Qrjk=")</f>
        <v>#REF!</v>
      </c>
      <c r="BG169" t="e">
        <f>AND(#REF!,"AAAAAH9Qrjo=")</f>
        <v>#REF!</v>
      </c>
      <c r="BH169" t="e">
        <f>AND(#REF!,"AAAAAH9Qrjs=")</f>
        <v>#REF!</v>
      </c>
      <c r="BI169" t="e">
        <f>AND(#REF!,"AAAAAH9Qrjw=")</f>
        <v>#REF!</v>
      </c>
      <c r="BJ169" t="e">
        <f>AND(#REF!,"AAAAAH9Qrj0=")</f>
        <v>#REF!</v>
      </c>
      <c r="BK169" t="e">
        <f>AND(#REF!,"AAAAAH9Qrj4=")</f>
        <v>#REF!</v>
      </c>
      <c r="BL169" t="e">
        <f>AND(#REF!,"AAAAAH9Qrj8=")</f>
        <v>#REF!</v>
      </c>
      <c r="BM169" t="e">
        <f>AND(#REF!,"AAAAAH9QrkA=")</f>
        <v>#REF!</v>
      </c>
      <c r="BN169" t="e">
        <f>AND(#REF!,"AAAAAH9QrkE=")</f>
        <v>#REF!</v>
      </c>
      <c r="BO169" t="e">
        <f>AND(#REF!,"AAAAAH9QrkI=")</f>
        <v>#REF!</v>
      </c>
      <c r="BP169" t="e">
        <f>AND(#REF!,"AAAAAH9QrkM=")</f>
        <v>#REF!</v>
      </c>
      <c r="BQ169" t="e">
        <f>AND(#REF!,"AAAAAH9QrkQ=")</f>
        <v>#REF!</v>
      </c>
      <c r="BR169" t="e">
        <f>AND(#REF!,"AAAAAH9QrkU=")</f>
        <v>#REF!</v>
      </c>
      <c r="BS169" t="e">
        <f>AND(#REF!,"AAAAAH9QrkY=")</f>
        <v>#REF!</v>
      </c>
      <c r="BT169" t="e">
        <f>AND(#REF!,"AAAAAH9Qrkc=")</f>
        <v>#REF!</v>
      </c>
      <c r="BU169" t="e">
        <f>AND(#REF!,"AAAAAH9Qrkg=")</f>
        <v>#REF!</v>
      </c>
      <c r="BV169" t="e">
        <f>AND(#REF!,"AAAAAH9Qrkk=")</f>
        <v>#REF!</v>
      </c>
      <c r="BW169" t="e">
        <f>AND(#REF!,"AAAAAH9Qrko=")</f>
        <v>#REF!</v>
      </c>
      <c r="BX169" t="e">
        <f>AND(#REF!,"AAAAAH9Qrks=")</f>
        <v>#REF!</v>
      </c>
      <c r="BY169" t="e">
        <f>AND(#REF!,"AAAAAH9Qrkw=")</f>
        <v>#REF!</v>
      </c>
      <c r="BZ169" t="e">
        <f>AND(#REF!,"AAAAAH9Qrk0=")</f>
        <v>#REF!</v>
      </c>
      <c r="CA169" t="e">
        <f>AND(#REF!,"AAAAAH9Qrk4=")</f>
        <v>#REF!</v>
      </c>
      <c r="CB169" t="e">
        <f>AND(#REF!,"AAAAAH9Qrk8=")</f>
        <v>#REF!</v>
      </c>
      <c r="CC169" t="e">
        <f>AND(#REF!,"AAAAAH9QrlA=")</f>
        <v>#REF!</v>
      </c>
      <c r="CD169" t="e">
        <f>AND(#REF!,"AAAAAH9QrlE=")</f>
        <v>#REF!</v>
      </c>
      <c r="CE169" t="e">
        <f>AND(#REF!,"AAAAAH9QrlI=")</f>
        <v>#REF!</v>
      </c>
      <c r="CF169" t="e">
        <f>AND(#REF!,"AAAAAH9QrlM=")</f>
        <v>#REF!</v>
      </c>
      <c r="CG169" t="e">
        <f>AND(#REF!,"AAAAAH9QrlQ=")</f>
        <v>#REF!</v>
      </c>
      <c r="CH169" t="e">
        <f>AND(#REF!,"AAAAAH9QrlU=")</f>
        <v>#REF!</v>
      </c>
      <c r="CI169" t="e">
        <f>AND(#REF!,"AAAAAH9QrlY=")</f>
        <v>#REF!</v>
      </c>
      <c r="CJ169" t="e">
        <f>AND(#REF!,"AAAAAH9Qrlc=")</f>
        <v>#REF!</v>
      </c>
      <c r="CK169" t="e">
        <f>AND(#REF!,"AAAAAH9Qrlg=")</f>
        <v>#REF!</v>
      </c>
      <c r="CL169" t="e">
        <f>AND(#REF!,"AAAAAH9Qrlk=")</f>
        <v>#REF!</v>
      </c>
      <c r="CM169" t="e">
        <f>AND(#REF!,"AAAAAH9Qrlo=")</f>
        <v>#REF!</v>
      </c>
      <c r="CN169" t="e">
        <f>AND(#REF!,"AAAAAH9Qrls=")</f>
        <v>#REF!</v>
      </c>
      <c r="CO169" t="e">
        <f>AND(#REF!,"AAAAAH9Qrlw=")</f>
        <v>#REF!</v>
      </c>
      <c r="CP169" t="e">
        <f>AND(#REF!,"AAAAAH9Qrl0=")</f>
        <v>#REF!</v>
      </c>
      <c r="CQ169" t="e">
        <f>AND(#REF!,"AAAAAH9Qrl4=")</f>
        <v>#REF!</v>
      </c>
      <c r="CR169" t="e">
        <f>AND(#REF!,"AAAAAH9Qrl8=")</f>
        <v>#REF!</v>
      </c>
      <c r="CS169" t="e">
        <f>AND(#REF!,"AAAAAH9QrmA=")</f>
        <v>#REF!</v>
      </c>
      <c r="CT169" t="e">
        <f>AND(#REF!,"AAAAAH9QrmE=")</f>
        <v>#REF!</v>
      </c>
      <c r="CU169" t="e">
        <f>AND(#REF!,"AAAAAH9QrmI=")</f>
        <v>#REF!</v>
      </c>
      <c r="CV169" t="e">
        <f>AND(#REF!,"AAAAAH9QrmM=")</f>
        <v>#REF!</v>
      </c>
      <c r="CW169" t="e">
        <f>AND(#REF!,"AAAAAH9QrmQ=")</f>
        <v>#REF!</v>
      </c>
      <c r="CX169" t="e">
        <f>AND(#REF!,"AAAAAH9QrmU=")</f>
        <v>#REF!</v>
      </c>
      <c r="CY169" t="e">
        <f>AND(#REF!,"AAAAAH9QrmY=")</f>
        <v>#REF!</v>
      </c>
      <c r="CZ169" t="e">
        <f>AND(#REF!,"AAAAAH9Qrmc=")</f>
        <v>#REF!</v>
      </c>
      <c r="DA169" t="e">
        <f>AND(#REF!,"AAAAAH9Qrmg=")</f>
        <v>#REF!</v>
      </c>
      <c r="DB169" t="e">
        <f>AND(#REF!,"AAAAAH9Qrmk=")</f>
        <v>#REF!</v>
      </c>
      <c r="DC169" t="e">
        <f>AND(#REF!,"AAAAAH9Qrmo=")</f>
        <v>#REF!</v>
      </c>
      <c r="DD169" t="e">
        <f>AND(#REF!,"AAAAAH9Qrms=")</f>
        <v>#REF!</v>
      </c>
      <c r="DE169" t="e">
        <f>AND(#REF!,"AAAAAH9Qrmw=")</f>
        <v>#REF!</v>
      </c>
      <c r="DF169" t="e">
        <f>AND(#REF!,"AAAAAH9Qrm0=")</f>
        <v>#REF!</v>
      </c>
      <c r="DG169" t="e">
        <f>AND(#REF!,"AAAAAH9Qrm4=")</f>
        <v>#REF!</v>
      </c>
      <c r="DH169" t="e">
        <f>AND(#REF!,"AAAAAH9Qrm8=")</f>
        <v>#REF!</v>
      </c>
      <c r="DI169" t="e">
        <f>AND(#REF!,"AAAAAH9QrnA=")</f>
        <v>#REF!</v>
      </c>
      <c r="DJ169" t="e">
        <f>AND(#REF!,"AAAAAH9QrnE=")</f>
        <v>#REF!</v>
      </c>
      <c r="DK169" t="e">
        <f>AND(#REF!,"AAAAAH9QrnI=")</f>
        <v>#REF!</v>
      </c>
      <c r="DL169" t="e">
        <f>AND(#REF!,"AAAAAH9QrnM=")</f>
        <v>#REF!</v>
      </c>
      <c r="DM169" t="e">
        <f>AND(#REF!,"AAAAAH9QrnQ=")</f>
        <v>#REF!</v>
      </c>
      <c r="DN169" t="e">
        <f>AND(#REF!,"AAAAAH9QrnU=")</f>
        <v>#REF!</v>
      </c>
      <c r="DO169" t="e">
        <f>AND(#REF!,"AAAAAH9QrnY=")</f>
        <v>#REF!</v>
      </c>
      <c r="DP169" t="e">
        <f>AND(#REF!,"AAAAAH9Qrnc=")</f>
        <v>#REF!</v>
      </c>
      <c r="DQ169" t="e">
        <f>AND(#REF!,"AAAAAH9Qrng=")</f>
        <v>#REF!</v>
      </c>
      <c r="DR169" t="e">
        <f>AND(#REF!,"AAAAAH9Qrnk=")</f>
        <v>#REF!</v>
      </c>
      <c r="DS169" t="e">
        <f>AND(#REF!,"AAAAAH9Qrno=")</f>
        <v>#REF!</v>
      </c>
      <c r="DT169" t="e">
        <f>AND(#REF!,"AAAAAH9Qrns=")</f>
        <v>#REF!</v>
      </c>
      <c r="DU169" t="e">
        <f>AND(#REF!,"AAAAAH9Qrnw=")</f>
        <v>#REF!</v>
      </c>
      <c r="DV169" t="e">
        <f>AND(#REF!,"AAAAAH9Qrn0=")</f>
        <v>#REF!</v>
      </c>
      <c r="DW169" t="e">
        <f>AND(#REF!,"AAAAAH9Qrn4=")</f>
        <v>#REF!</v>
      </c>
      <c r="DX169" t="e">
        <f>AND(#REF!,"AAAAAH9Qrn8=")</f>
        <v>#REF!</v>
      </c>
      <c r="DY169" t="e">
        <f>AND(#REF!,"AAAAAH9QroA=")</f>
        <v>#REF!</v>
      </c>
      <c r="DZ169" t="e">
        <f>AND(#REF!,"AAAAAH9QroE=")</f>
        <v>#REF!</v>
      </c>
      <c r="EA169" t="e">
        <f>AND(#REF!,"AAAAAH9QroI=")</f>
        <v>#REF!</v>
      </c>
      <c r="EB169" t="e">
        <f>AND(#REF!,"AAAAAH9QroM=")</f>
        <v>#REF!</v>
      </c>
      <c r="EC169" t="e">
        <f>AND(#REF!,"AAAAAH9QroQ=")</f>
        <v>#REF!</v>
      </c>
      <c r="ED169" t="e">
        <f>AND(#REF!,"AAAAAH9QroU=")</f>
        <v>#REF!</v>
      </c>
      <c r="EE169" t="e">
        <f>AND(#REF!,"AAAAAH9QroY=")</f>
        <v>#REF!</v>
      </c>
      <c r="EF169" t="e">
        <f>AND(#REF!,"AAAAAH9Qroc=")</f>
        <v>#REF!</v>
      </c>
      <c r="EG169" t="e">
        <f>AND(#REF!,"AAAAAH9Qrog=")</f>
        <v>#REF!</v>
      </c>
      <c r="EH169" t="e">
        <f>AND(#REF!,"AAAAAH9Qrok=")</f>
        <v>#REF!</v>
      </c>
      <c r="EI169" t="e">
        <f>AND(#REF!,"AAAAAH9Qroo=")</f>
        <v>#REF!</v>
      </c>
      <c r="EJ169" t="e">
        <f>AND(#REF!,"AAAAAH9Qros=")</f>
        <v>#REF!</v>
      </c>
      <c r="EK169" t="e">
        <f>AND(#REF!,"AAAAAH9Qrow=")</f>
        <v>#REF!</v>
      </c>
      <c r="EL169" t="e">
        <f>AND(#REF!,"AAAAAH9Qro0=")</f>
        <v>#REF!</v>
      </c>
      <c r="EM169" t="e">
        <f>AND(#REF!,"AAAAAH9Qro4=")</f>
        <v>#REF!</v>
      </c>
      <c r="EN169" t="e">
        <f>AND(#REF!,"AAAAAH9Qro8=")</f>
        <v>#REF!</v>
      </c>
      <c r="EO169" t="e">
        <f>AND(#REF!,"AAAAAH9QrpA=")</f>
        <v>#REF!</v>
      </c>
      <c r="EP169" t="e">
        <f>AND(#REF!,"AAAAAH9QrpE=")</f>
        <v>#REF!</v>
      </c>
      <c r="EQ169" t="e">
        <f>AND(#REF!,"AAAAAH9QrpI=")</f>
        <v>#REF!</v>
      </c>
      <c r="ER169" t="e">
        <f>AND(#REF!,"AAAAAH9QrpM=")</f>
        <v>#REF!</v>
      </c>
      <c r="ES169" t="e">
        <f>AND(#REF!,"AAAAAH9QrpQ=")</f>
        <v>#REF!</v>
      </c>
      <c r="ET169" t="e">
        <f>AND(#REF!,"AAAAAH9QrpU=")</f>
        <v>#REF!</v>
      </c>
      <c r="EU169" t="e">
        <f>AND(#REF!,"AAAAAH9QrpY=")</f>
        <v>#REF!</v>
      </c>
      <c r="EV169" t="e">
        <f>AND(#REF!,"AAAAAH9Qrpc=")</f>
        <v>#REF!</v>
      </c>
      <c r="EW169" t="e">
        <f>AND(#REF!,"AAAAAH9Qrpg=")</f>
        <v>#REF!</v>
      </c>
      <c r="EX169" t="e">
        <f>AND(#REF!,"AAAAAH9Qrpk=")</f>
        <v>#REF!</v>
      </c>
      <c r="EY169" t="e">
        <f>AND(#REF!,"AAAAAH9Qrpo=")</f>
        <v>#REF!</v>
      </c>
      <c r="EZ169" t="e">
        <f>AND(#REF!,"AAAAAH9Qrps=")</f>
        <v>#REF!</v>
      </c>
      <c r="FA169" t="e">
        <f>AND(#REF!,"AAAAAH9Qrpw=")</f>
        <v>#REF!</v>
      </c>
      <c r="FB169" t="e">
        <f>AND(#REF!,"AAAAAH9Qrp0=")</f>
        <v>#REF!</v>
      </c>
      <c r="FC169" t="e">
        <f>AND(#REF!,"AAAAAH9Qrp4=")</f>
        <v>#REF!</v>
      </c>
      <c r="FD169" t="e">
        <f>AND(#REF!,"AAAAAH9Qrp8=")</f>
        <v>#REF!</v>
      </c>
      <c r="FE169" t="e">
        <f>AND(#REF!,"AAAAAH9QrqA=")</f>
        <v>#REF!</v>
      </c>
      <c r="FF169" t="e">
        <f>AND(#REF!,"AAAAAH9QrqE=")</f>
        <v>#REF!</v>
      </c>
      <c r="FG169" t="e">
        <f>AND(#REF!,"AAAAAH9QrqI=")</f>
        <v>#REF!</v>
      </c>
      <c r="FH169" t="e">
        <f>AND(#REF!,"AAAAAH9QrqM=")</f>
        <v>#REF!</v>
      </c>
      <c r="FI169" t="e">
        <f>AND(#REF!,"AAAAAH9QrqQ=")</f>
        <v>#REF!</v>
      </c>
      <c r="FJ169" t="e">
        <f>AND(#REF!,"AAAAAH9QrqU=")</f>
        <v>#REF!</v>
      </c>
      <c r="FK169" t="e">
        <f>AND(#REF!,"AAAAAH9QrqY=")</f>
        <v>#REF!</v>
      </c>
      <c r="FL169" t="e">
        <f>AND(#REF!,"AAAAAH9Qrqc=")</f>
        <v>#REF!</v>
      </c>
      <c r="FM169" t="e">
        <f>AND(#REF!,"AAAAAH9Qrqg=")</f>
        <v>#REF!</v>
      </c>
      <c r="FN169" t="e">
        <f>AND(#REF!,"AAAAAH9Qrqk=")</f>
        <v>#REF!</v>
      </c>
      <c r="FO169" t="e">
        <f>AND(#REF!,"AAAAAH9Qrqo=")</f>
        <v>#REF!</v>
      </c>
      <c r="FP169" t="e">
        <f>AND(#REF!,"AAAAAH9Qrqs=")</f>
        <v>#REF!</v>
      </c>
      <c r="FQ169" t="e">
        <f>AND(#REF!,"AAAAAH9Qrqw=")</f>
        <v>#REF!</v>
      </c>
      <c r="FR169" t="e">
        <f>AND(#REF!,"AAAAAH9Qrq0=")</f>
        <v>#REF!</v>
      </c>
      <c r="FS169" t="e">
        <f>AND(#REF!,"AAAAAH9Qrq4=")</f>
        <v>#REF!</v>
      </c>
      <c r="FT169" t="e">
        <f>AND(#REF!,"AAAAAH9Qrq8=")</f>
        <v>#REF!</v>
      </c>
      <c r="FU169" t="e">
        <f>AND(#REF!,"AAAAAH9QrrA=")</f>
        <v>#REF!</v>
      </c>
      <c r="FV169" t="e">
        <f>AND(#REF!,"AAAAAH9QrrE=")</f>
        <v>#REF!</v>
      </c>
      <c r="FW169" t="e">
        <f>AND(#REF!,"AAAAAH9QrrI=")</f>
        <v>#REF!</v>
      </c>
      <c r="FX169" t="e">
        <f>AND(#REF!,"AAAAAH9QrrM=")</f>
        <v>#REF!</v>
      </c>
      <c r="FY169" t="e">
        <f>AND(#REF!,"AAAAAH9QrrQ=")</f>
        <v>#REF!</v>
      </c>
      <c r="FZ169" t="e">
        <f>AND(#REF!,"AAAAAH9QrrU=")</f>
        <v>#REF!</v>
      </c>
      <c r="GA169" t="e">
        <f>AND(#REF!,"AAAAAH9QrrY=")</f>
        <v>#REF!</v>
      </c>
      <c r="GB169" t="e">
        <f>AND(#REF!,"AAAAAH9Qrrc=")</f>
        <v>#REF!</v>
      </c>
      <c r="GC169" t="e">
        <f>AND(#REF!,"AAAAAH9Qrrg=")</f>
        <v>#REF!</v>
      </c>
      <c r="GD169" t="e">
        <f>AND(#REF!,"AAAAAH9Qrrk=")</f>
        <v>#REF!</v>
      </c>
      <c r="GE169" t="e">
        <f>AND(#REF!,"AAAAAH9Qrro=")</f>
        <v>#REF!</v>
      </c>
      <c r="GF169" t="e">
        <f>AND(#REF!,"AAAAAH9Qrrs=")</f>
        <v>#REF!</v>
      </c>
      <c r="GG169" t="e">
        <f>AND(#REF!,"AAAAAH9Qrrw=")</f>
        <v>#REF!</v>
      </c>
      <c r="GH169" t="e">
        <f>AND(#REF!,"AAAAAH9Qrr0=")</f>
        <v>#REF!</v>
      </c>
      <c r="GI169" t="e">
        <f>AND(#REF!,"AAAAAH9Qrr4=")</f>
        <v>#REF!</v>
      </c>
      <c r="GJ169" t="e">
        <f>AND(#REF!,"AAAAAH9Qrr8=")</f>
        <v>#REF!</v>
      </c>
      <c r="GK169" t="e">
        <f>AND(#REF!,"AAAAAH9QrsA=")</f>
        <v>#REF!</v>
      </c>
      <c r="GL169" t="e">
        <f>AND(#REF!,"AAAAAH9QrsE=")</f>
        <v>#REF!</v>
      </c>
      <c r="GM169" t="e">
        <f>AND(#REF!,"AAAAAH9QrsI=")</f>
        <v>#REF!</v>
      </c>
      <c r="GN169" t="e">
        <f>AND(#REF!,"AAAAAH9QrsM=")</f>
        <v>#REF!</v>
      </c>
      <c r="GO169" t="e">
        <f>AND(#REF!,"AAAAAH9QrsQ=")</f>
        <v>#REF!</v>
      </c>
      <c r="GP169" t="e">
        <f>AND(#REF!,"AAAAAH9QrsU=")</f>
        <v>#REF!</v>
      </c>
      <c r="GQ169" t="e">
        <f>AND(#REF!,"AAAAAH9QrsY=")</f>
        <v>#REF!</v>
      </c>
      <c r="GR169" t="e">
        <f>AND(#REF!,"AAAAAH9Qrsc=")</f>
        <v>#REF!</v>
      </c>
      <c r="GS169" t="e">
        <f>AND(#REF!,"AAAAAH9Qrsg=")</f>
        <v>#REF!</v>
      </c>
      <c r="GT169" t="e">
        <f>AND(#REF!,"AAAAAH9Qrsk=")</f>
        <v>#REF!</v>
      </c>
      <c r="GU169" t="e">
        <f>AND(#REF!,"AAAAAH9Qrso=")</f>
        <v>#REF!</v>
      </c>
      <c r="GV169" t="e">
        <f>AND(#REF!,"AAAAAH9Qrss=")</f>
        <v>#REF!</v>
      </c>
      <c r="GW169" t="e">
        <f>AND(#REF!,"AAAAAH9Qrsw=")</f>
        <v>#REF!</v>
      </c>
      <c r="GX169" t="e">
        <f>AND(#REF!,"AAAAAH9Qrs0=")</f>
        <v>#REF!</v>
      </c>
      <c r="GY169" t="e">
        <f>AND(#REF!,"AAAAAH9Qrs4=")</f>
        <v>#REF!</v>
      </c>
      <c r="GZ169" t="e">
        <f>AND(#REF!,"AAAAAH9Qrs8=")</f>
        <v>#REF!</v>
      </c>
      <c r="HA169" t="e">
        <f>AND(#REF!,"AAAAAH9QrtA=")</f>
        <v>#REF!</v>
      </c>
      <c r="HB169" t="e">
        <f>AND(#REF!,"AAAAAH9QrtE=")</f>
        <v>#REF!</v>
      </c>
      <c r="HC169" t="e">
        <f>AND(#REF!,"AAAAAH9QrtI=")</f>
        <v>#REF!</v>
      </c>
      <c r="HD169" t="e">
        <f>AND(#REF!,"AAAAAH9QrtM=")</f>
        <v>#REF!</v>
      </c>
      <c r="HE169" t="e">
        <f>AND(#REF!,"AAAAAH9QrtQ=")</f>
        <v>#REF!</v>
      </c>
      <c r="HF169" t="e">
        <f>AND(#REF!,"AAAAAH9QrtU=")</f>
        <v>#REF!</v>
      </c>
      <c r="HG169" t="e">
        <f>AND(#REF!,"AAAAAH9QrtY=")</f>
        <v>#REF!</v>
      </c>
      <c r="HH169" t="e">
        <f>AND(#REF!,"AAAAAH9Qrtc=")</f>
        <v>#REF!</v>
      </c>
      <c r="HI169" t="e">
        <f>AND(#REF!,"AAAAAH9Qrtg=")</f>
        <v>#REF!</v>
      </c>
      <c r="HJ169" t="e">
        <f>AND(#REF!,"AAAAAH9Qrtk=")</f>
        <v>#REF!</v>
      </c>
      <c r="HK169" t="e">
        <f>AND(#REF!,"AAAAAH9Qrto=")</f>
        <v>#REF!</v>
      </c>
      <c r="HL169" t="e">
        <f>AND(#REF!,"AAAAAH9Qrts=")</f>
        <v>#REF!</v>
      </c>
      <c r="HM169" t="e">
        <f>AND(#REF!,"AAAAAH9Qrtw=")</f>
        <v>#REF!</v>
      </c>
      <c r="HN169" t="e">
        <f>AND(#REF!,"AAAAAH9Qrt0=")</f>
        <v>#REF!</v>
      </c>
      <c r="HO169" t="e">
        <f>AND(#REF!,"AAAAAH9Qrt4=")</f>
        <v>#REF!</v>
      </c>
      <c r="HP169" t="e">
        <f>AND(#REF!,"AAAAAH9Qrt8=")</f>
        <v>#REF!</v>
      </c>
      <c r="HQ169" t="e">
        <f>AND(#REF!,"AAAAAH9QruA=")</f>
        <v>#REF!</v>
      </c>
      <c r="HR169" t="e">
        <f>AND(#REF!,"AAAAAH9QruE=")</f>
        <v>#REF!</v>
      </c>
      <c r="HS169" t="e">
        <f>AND(#REF!,"AAAAAH9QruI=")</f>
        <v>#REF!</v>
      </c>
      <c r="HT169" t="e">
        <f>AND(#REF!,"AAAAAH9QruM=")</f>
        <v>#REF!</v>
      </c>
      <c r="HU169" t="e">
        <f>AND(#REF!,"AAAAAH9QruQ=")</f>
        <v>#REF!</v>
      </c>
      <c r="HV169" t="e">
        <f>IF(#REF!,"AAAAAH9QruU=",0)</f>
        <v>#REF!</v>
      </c>
      <c r="HW169" t="e">
        <f>AND(#REF!,"AAAAAH9QruY=")</f>
        <v>#REF!</v>
      </c>
      <c r="HX169" t="e">
        <f>AND(#REF!,"AAAAAH9Qruc=")</f>
        <v>#REF!</v>
      </c>
      <c r="HY169" t="e">
        <f>AND(#REF!,"AAAAAH9Qrug=")</f>
        <v>#REF!</v>
      </c>
      <c r="HZ169" t="e">
        <f>AND(#REF!,"AAAAAH9Qruk=")</f>
        <v>#REF!</v>
      </c>
      <c r="IA169" t="e">
        <f>AND(#REF!,"AAAAAH9Qruo=")</f>
        <v>#REF!</v>
      </c>
      <c r="IB169" t="e">
        <f>AND(#REF!,"AAAAAH9Qrus=")</f>
        <v>#REF!</v>
      </c>
      <c r="IC169" t="e">
        <f>AND(#REF!,"AAAAAH9Qruw=")</f>
        <v>#REF!</v>
      </c>
      <c r="ID169" t="e">
        <f>AND(#REF!,"AAAAAH9Qru0=")</f>
        <v>#REF!</v>
      </c>
      <c r="IE169" t="e">
        <f>AND(#REF!,"AAAAAH9Qru4=")</f>
        <v>#REF!</v>
      </c>
      <c r="IF169" t="e">
        <f>AND(#REF!,"AAAAAH9Qru8=")</f>
        <v>#REF!</v>
      </c>
      <c r="IG169" t="e">
        <f>AND(#REF!,"AAAAAH9QrvA=")</f>
        <v>#REF!</v>
      </c>
      <c r="IH169" t="e">
        <f>AND(#REF!,"AAAAAH9QrvE=")</f>
        <v>#REF!</v>
      </c>
      <c r="II169" t="e">
        <f>AND(#REF!,"AAAAAH9QrvI=")</f>
        <v>#REF!</v>
      </c>
      <c r="IJ169" t="e">
        <f>AND(#REF!,"AAAAAH9QrvM=")</f>
        <v>#REF!</v>
      </c>
      <c r="IK169" t="e">
        <f>AND(#REF!,"AAAAAH9QrvQ=")</f>
        <v>#REF!</v>
      </c>
      <c r="IL169" t="e">
        <f>AND(#REF!,"AAAAAH9QrvU=")</f>
        <v>#REF!</v>
      </c>
      <c r="IM169" t="e">
        <f>AND(#REF!,"AAAAAH9QrvY=")</f>
        <v>#REF!</v>
      </c>
      <c r="IN169" t="e">
        <f>AND(#REF!,"AAAAAH9Qrvc=")</f>
        <v>#REF!</v>
      </c>
      <c r="IO169" t="e">
        <f>AND(#REF!,"AAAAAH9Qrvg=")</f>
        <v>#REF!</v>
      </c>
      <c r="IP169" t="e">
        <f>AND(#REF!,"AAAAAH9Qrvk=")</f>
        <v>#REF!</v>
      </c>
      <c r="IQ169" t="e">
        <f>AND(#REF!,"AAAAAH9Qrvo=")</f>
        <v>#REF!</v>
      </c>
      <c r="IR169" t="e">
        <f>AND(#REF!,"AAAAAH9Qrvs=")</f>
        <v>#REF!</v>
      </c>
      <c r="IS169" t="e">
        <f>AND(#REF!,"AAAAAH9Qrvw=")</f>
        <v>#REF!</v>
      </c>
      <c r="IT169" t="e">
        <f>AND(#REF!,"AAAAAH9Qrv0=")</f>
        <v>#REF!</v>
      </c>
      <c r="IU169" t="e">
        <f>AND(#REF!,"AAAAAH9Qrv4=")</f>
        <v>#REF!</v>
      </c>
      <c r="IV169" t="e">
        <f>AND(#REF!,"AAAAAH9Qrv8=")</f>
        <v>#REF!</v>
      </c>
    </row>
    <row r="170" spans="1:256" x14ac:dyDescent="0.25">
      <c r="A170" t="e">
        <f>AND(#REF!,"AAAAAG3rfgA=")</f>
        <v>#REF!</v>
      </c>
      <c r="B170" t="e">
        <f>AND(#REF!,"AAAAAG3rfgE=")</f>
        <v>#REF!</v>
      </c>
      <c r="C170" t="e">
        <f>AND(#REF!,"AAAAAG3rfgI=")</f>
        <v>#REF!</v>
      </c>
      <c r="D170" t="e">
        <f>AND(#REF!,"AAAAAG3rfgM=")</f>
        <v>#REF!</v>
      </c>
      <c r="E170" t="e">
        <f>AND(#REF!,"AAAAAG3rfgQ=")</f>
        <v>#REF!</v>
      </c>
      <c r="F170" t="e">
        <f>AND(#REF!,"AAAAAG3rfgU=")</f>
        <v>#REF!</v>
      </c>
      <c r="G170" t="e">
        <f>AND(#REF!,"AAAAAG3rfgY=")</f>
        <v>#REF!</v>
      </c>
      <c r="H170" t="e">
        <f>AND(#REF!,"AAAAAG3rfgc=")</f>
        <v>#REF!</v>
      </c>
      <c r="I170" t="e">
        <f>AND(#REF!,"AAAAAG3rfgg=")</f>
        <v>#REF!</v>
      </c>
      <c r="J170" t="e">
        <f>AND(#REF!,"AAAAAG3rfgk=")</f>
        <v>#REF!</v>
      </c>
      <c r="K170" t="e">
        <f>AND(#REF!,"AAAAAG3rfgo=")</f>
        <v>#REF!</v>
      </c>
      <c r="L170" t="e">
        <f>AND(#REF!,"AAAAAG3rfgs=")</f>
        <v>#REF!</v>
      </c>
      <c r="M170" t="e">
        <f>AND(#REF!,"AAAAAG3rfgw=")</f>
        <v>#REF!</v>
      </c>
      <c r="N170" t="e">
        <f>AND(#REF!,"AAAAAG3rfg0=")</f>
        <v>#REF!</v>
      </c>
      <c r="O170" t="e">
        <f>AND(#REF!,"AAAAAG3rfg4=")</f>
        <v>#REF!</v>
      </c>
      <c r="P170" t="e">
        <f>AND(#REF!,"AAAAAG3rfg8=")</f>
        <v>#REF!</v>
      </c>
      <c r="Q170" t="e">
        <f>AND(#REF!,"AAAAAG3rfhA=")</f>
        <v>#REF!</v>
      </c>
      <c r="R170" t="e">
        <f>AND(#REF!,"AAAAAG3rfhE=")</f>
        <v>#REF!</v>
      </c>
      <c r="S170" t="e">
        <f>AND(#REF!,"AAAAAG3rfhI=")</f>
        <v>#REF!</v>
      </c>
      <c r="T170" t="e">
        <f>AND(#REF!,"AAAAAG3rfhM=")</f>
        <v>#REF!</v>
      </c>
      <c r="U170" t="e">
        <f>AND(#REF!,"AAAAAG3rfhQ=")</f>
        <v>#REF!</v>
      </c>
      <c r="V170" t="e">
        <f>AND(#REF!,"AAAAAG3rfhU=")</f>
        <v>#REF!</v>
      </c>
      <c r="W170" t="e">
        <f>AND(#REF!,"AAAAAG3rfhY=")</f>
        <v>#REF!</v>
      </c>
      <c r="X170" t="e">
        <f>AND(#REF!,"AAAAAG3rfhc=")</f>
        <v>#REF!</v>
      </c>
      <c r="Y170" t="e">
        <f>AND(#REF!,"AAAAAG3rfhg=")</f>
        <v>#REF!</v>
      </c>
      <c r="Z170" t="e">
        <f>AND(#REF!,"AAAAAG3rfhk=")</f>
        <v>#REF!</v>
      </c>
      <c r="AA170" t="e">
        <f>AND(#REF!,"AAAAAG3rfho=")</f>
        <v>#REF!</v>
      </c>
      <c r="AB170" t="e">
        <f>AND(#REF!,"AAAAAG3rfhs=")</f>
        <v>#REF!</v>
      </c>
      <c r="AC170" t="e">
        <f>AND(#REF!,"AAAAAG3rfhw=")</f>
        <v>#REF!</v>
      </c>
      <c r="AD170" t="e">
        <f>AND(#REF!,"AAAAAG3rfh0=")</f>
        <v>#REF!</v>
      </c>
      <c r="AE170" t="e">
        <f>AND(#REF!,"AAAAAG3rfh4=")</f>
        <v>#REF!</v>
      </c>
      <c r="AF170" t="e">
        <f>AND(#REF!,"AAAAAG3rfh8=")</f>
        <v>#REF!</v>
      </c>
      <c r="AG170" t="e">
        <f>AND(#REF!,"AAAAAG3rfiA=")</f>
        <v>#REF!</v>
      </c>
      <c r="AH170" t="e">
        <f>AND(#REF!,"AAAAAG3rfiE=")</f>
        <v>#REF!</v>
      </c>
      <c r="AI170" t="e">
        <f>AND(#REF!,"AAAAAG3rfiI=")</f>
        <v>#REF!</v>
      </c>
      <c r="AJ170" t="e">
        <f>AND(#REF!,"AAAAAG3rfiM=")</f>
        <v>#REF!</v>
      </c>
      <c r="AK170" t="e">
        <f>AND(#REF!,"AAAAAG3rfiQ=")</f>
        <v>#REF!</v>
      </c>
      <c r="AL170" t="e">
        <f>AND(#REF!,"AAAAAG3rfiU=")</f>
        <v>#REF!</v>
      </c>
      <c r="AM170" t="e">
        <f>AND(#REF!,"AAAAAG3rfiY=")</f>
        <v>#REF!</v>
      </c>
      <c r="AN170" t="e">
        <f>AND(#REF!,"AAAAAG3rfic=")</f>
        <v>#REF!</v>
      </c>
      <c r="AO170" t="e">
        <f>AND(#REF!,"AAAAAG3rfig=")</f>
        <v>#REF!</v>
      </c>
      <c r="AP170" t="e">
        <f>AND(#REF!,"AAAAAG3rfik=")</f>
        <v>#REF!</v>
      </c>
      <c r="AQ170" t="e">
        <f>AND(#REF!,"AAAAAG3rfio=")</f>
        <v>#REF!</v>
      </c>
      <c r="AR170" t="e">
        <f>AND(#REF!,"AAAAAG3rfis=")</f>
        <v>#REF!</v>
      </c>
      <c r="AS170" t="e">
        <f>AND(#REF!,"AAAAAG3rfiw=")</f>
        <v>#REF!</v>
      </c>
      <c r="AT170" t="e">
        <f>AND(#REF!,"AAAAAG3rfi0=")</f>
        <v>#REF!</v>
      </c>
      <c r="AU170" t="e">
        <f>AND(#REF!,"AAAAAG3rfi4=")</f>
        <v>#REF!</v>
      </c>
      <c r="AV170" t="e">
        <f>AND(#REF!,"AAAAAG3rfi8=")</f>
        <v>#REF!</v>
      </c>
      <c r="AW170" t="e">
        <f>AND(#REF!,"AAAAAG3rfjA=")</f>
        <v>#REF!</v>
      </c>
      <c r="AX170" t="e">
        <f>AND(#REF!,"AAAAAG3rfjE=")</f>
        <v>#REF!</v>
      </c>
      <c r="AY170" t="e">
        <f>AND(#REF!,"AAAAAG3rfjI=")</f>
        <v>#REF!</v>
      </c>
      <c r="AZ170" t="e">
        <f>AND(#REF!,"AAAAAG3rfjM=")</f>
        <v>#REF!</v>
      </c>
      <c r="BA170" t="e">
        <f>AND(#REF!,"AAAAAG3rfjQ=")</f>
        <v>#REF!</v>
      </c>
      <c r="BB170" t="e">
        <f>AND(#REF!,"AAAAAG3rfjU=")</f>
        <v>#REF!</v>
      </c>
      <c r="BC170" t="e">
        <f>AND(#REF!,"AAAAAG3rfjY=")</f>
        <v>#REF!</v>
      </c>
      <c r="BD170" t="e">
        <f>AND(#REF!,"AAAAAG3rfjc=")</f>
        <v>#REF!</v>
      </c>
      <c r="BE170" t="e">
        <f>AND(#REF!,"AAAAAG3rfjg=")</f>
        <v>#REF!</v>
      </c>
      <c r="BF170" t="e">
        <f>AND(#REF!,"AAAAAG3rfjk=")</f>
        <v>#REF!</v>
      </c>
      <c r="BG170" t="e">
        <f>AND(#REF!,"AAAAAG3rfjo=")</f>
        <v>#REF!</v>
      </c>
      <c r="BH170" t="e">
        <f>AND(#REF!,"AAAAAG3rfjs=")</f>
        <v>#REF!</v>
      </c>
      <c r="BI170" t="e">
        <f>AND(#REF!,"AAAAAG3rfjw=")</f>
        <v>#REF!</v>
      </c>
      <c r="BJ170" t="e">
        <f>AND(#REF!,"AAAAAG3rfj0=")</f>
        <v>#REF!</v>
      </c>
      <c r="BK170" t="e">
        <f>AND(#REF!,"AAAAAG3rfj4=")</f>
        <v>#REF!</v>
      </c>
      <c r="BL170" t="e">
        <f>AND(#REF!,"AAAAAG3rfj8=")</f>
        <v>#REF!</v>
      </c>
      <c r="BM170" t="e">
        <f>AND(#REF!,"AAAAAG3rfkA=")</f>
        <v>#REF!</v>
      </c>
      <c r="BN170" t="e">
        <f>AND(#REF!,"AAAAAG3rfkE=")</f>
        <v>#REF!</v>
      </c>
      <c r="BO170" t="e">
        <f>AND(#REF!,"AAAAAG3rfkI=")</f>
        <v>#REF!</v>
      </c>
      <c r="BP170" t="e">
        <f>AND(#REF!,"AAAAAG3rfkM=")</f>
        <v>#REF!</v>
      </c>
      <c r="BQ170" t="e">
        <f>AND(#REF!,"AAAAAG3rfkQ=")</f>
        <v>#REF!</v>
      </c>
      <c r="BR170" t="e">
        <f>AND(#REF!,"AAAAAG3rfkU=")</f>
        <v>#REF!</v>
      </c>
      <c r="BS170" t="e">
        <f>AND(#REF!,"AAAAAG3rfkY=")</f>
        <v>#REF!</v>
      </c>
      <c r="BT170" t="e">
        <f>AND(#REF!,"AAAAAG3rfkc=")</f>
        <v>#REF!</v>
      </c>
      <c r="BU170" t="e">
        <f>AND(#REF!,"AAAAAG3rfkg=")</f>
        <v>#REF!</v>
      </c>
      <c r="BV170" t="e">
        <f>AND(#REF!,"AAAAAG3rfkk=")</f>
        <v>#REF!</v>
      </c>
      <c r="BW170" t="e">
        <f>AND(#REF!,"AAAAAG3rfko=")</f>
        <v>#REF!</v>
      </c>
      <c r="BX170" t="e">
        <f>AND(#REF!,"AAAAAG3rfks=")</f>
        <v>#REF!</v>
      </c>
      <c r="BY170" t="e">
        <f>AND(#REF!,"AAAAAG3rfkw=")</f>
        <v>#REF!</v>
      </c>
      <c r="BZ170" t="e">
        <f>AND(#REF!,"AAAAAG3rfk0=")</f>
        <v>#REF!</v>
      </c>
      <c r="CA170" t="e">
        <f>AND(#REF!,"AAAAAG3rfk4=")</f>
        <v>#REF!</v>
      </c>
      <c r="CB170" t="e">
        <f>AND(#REF!,"AAAAAG3rfk8=")</f>
        <v>#REF!</v>
      </c>
      <c r="CC170" t="e">
        <f>AND(#REF!,"AAAAAG3rflA=")</f>
        <v>#REF!</v>
      </c>
      <c r="CD170" t="e">
        <f>AND(#REF!,"AAAAAG3rflE=")</f>
        <v>#REF!</v>
      </c>
      <c r="CE170" t="e">
        <f>AND(#REF!,"AAAAAG3rflI=")</f>
        <v>#REF!</v>
      </c>
      <c r="CF170" t="e">
        <f>AND(#REF!,"AAAAAG3rflM=")</f>
        <v>#REF!</v>
      </c>
      <c r="CG170" t="e">
        <f>AND(#REF!,"AAAAAG3rflQ=")</f>
        <v>#REF!</v>
      </c>
      <c r="CH170" t="e">
        <f>AND(#REF!,"AAAAAG3rflU=")</f>
        <v>#REF!</v>
      </c>
      <c r="CI170" t="e">
        <f>AND(#REF!,"AAAAAG3rflY=")</f>
        <v>#REF!</v>
      </c>
      <c r="CJ170" t="e">
        <f>AND(#REF!,"AAAAAG3rflc=")</f>
        <v>#REF!</v>
      </c>
      <c r="CK170" t="e">
        <f>AND(#REF!,"AAAAAG3rflg=")</f>
        <v>#REF!</v>
      </c>
      <c r="CL170" t="e">
        <f>AND(#REF!,"AAAAAG3rflk=")</f>
        <v>#REF!</v>
      </c>
      <c r="CM170" t="e">
        <f>AND(#REF!,"AAAAAG3rflo=")</f>
        <v>#REF!</v>
      </c>
      <c r="CN170" t="e">
        <f>AND(#REF!,"AAAAAG3rfls=")</f>
        <v>#REF!</v>
      </c>
      <c r="CO170" t="e">
        <f>AND(#REF!,"AAAAAG3rflw=")</f>
        <v>#REF!</v>
      </c>
      <c r="CP170" t="e">
        <f>AND(#REF!,"AAAAAG3rfl0=")</f>
        <v>#REF!</v>
      </c>
      <c r="CQ170" t="e">
        <f>AND(#REF!,"AAAAAG3rfl4=")</f>
        <v>#REF!</v>
      </c>
      <c r="CR170" t="e">
        <f>AND(#REF!,"AAAAAG3rfl8=")</f>
        <v>#REF!</v>
      </c>
      <c r="CS170" t="e">
        <f>AND(#REF!,"AAAAAG3rfmA=")</f>
        <v>#REF!</v>
      </c>
      <c r="CT170" t="e">
        <f>AND(#REF!,"AAAAAG3rfmE=")</f>
        <v>#REF!</v>
      </c>
      <c r="CU170" t="e">
        <f>AND(#REF!,"AAAAAG3rfmI=")</f>
        <v>#REF!</v>
      </c>
      <c r="CV170" t="e">
        <f>AND(#REF!,"AAAAAG3rfmM=")</f>
        <v>#REF!</v>
      </c>
      <c r="CW170" t="e">
        <f>AND(#REF!,"AAAAAG3rfmQ=")</f>
        <v>#REF!</v>
      </c>
      <c r="CX170" t="e">
        <f>AND(#REF!,"AAAAAG3rfmU=")</f>
        <v>#REF!</v>
      </c>
      <c r="CY170" t="e">
        <f>AND(#REF!,"AAAAAG3rfmY=")</f>
        <v>#REF!</v>
      </c>
      <c r="CZ170" t="e">
        <f>AND(#REF!,"AAAAAG3rfmc=")</f>
        <v>#REF!</v>
      </c>
      <c r="DA170" t="e">
        <f>AND(#REF!,"AAAAAG3rfmg=")</f>
        <v>#REF!</v>
      </c>
      <c r="DB170" t="e">
        <f>AND(#REF!,"AAAAAG3rfmk=")</f>
        <v>#REF!</v>
      </c>
      <c r="DC170" t="e">
        <f>AND(#REF!,"AAAAAG3rfmo=")</f>
        <v>#REF!</v>
      </c>
      <c r="DD170" t="e">
        <f>AND(#REF!,"AAAAAG3rfms=")</f>
        <v>#REF!</v>
      </c>
      <c r="DE170" t="e">
        <f>AND(#REF!,"AAAAAG3rfmw=")</f>
        <v>#REF!</v>
      </c>
      <c r="DF170" t="e">
        <f>AND(#REF!,"AAAAAG3rfm0=")</f>
        <v>#REF!</v>
      </c>
      <c r="DG170" t="e">
        <f>AND(#REF!,"AAAAAG3rfm4=")</f>
        <v>#REF!</v>
      </c>
      <c r="DH170" t="e">
        <f>AND(#REF!,"AAAAAG3rfm8=")</f>
        <v>#REF!</v>
      </c>
      <c r="DI170" t="e">
        <f>AND(#REF!,"AAAAAG3rfnA=")</f>
        <v>#REF!</v>
      </c>
      <c r="DJ170" t="e">
        <f>AND(#REF!,"AAAAAG3rfnE=")</f>
        <v>#REF!</v>
      </c>
      <c r="DK170" t="e">
        <f>AND(#REF!,"AAAAAG3rfnI=")</f>
        <v>#REF!</v>
      </c>
      <c r="DL170" t="e">
        <f>AND(#REF!,"AAAAAG3rfnM=")</f>
        <v>#REF!</v>
      </c>
      <c r="DM170" t="e">
        <f>AND(#REF!,"AAAAAG3rfnQ=")</f>
        <v>#REF!</v>
      </c>
      <c r="DN170" t="e">
        <f>AND(#REF!,"AAAAAG3rfnU=")</f>
        <v>#REF!</v>
      </c>
      <c r="DO170" t="e">
        <f>AND(#REF!,"AAAAAG3rfnY=")</f>
        <v>#REF!</v>
      </c>
      <c r="DP170" t="e">
        <f>AND(#REF!,"AAAAAG3rfnc=")</f>
        <v>#REF!</v>
      </c>
      <c r="DQ170" t="e">
        <f>AND(#REF!,"AAAAAG3rfng=")</f>
        <v>#REF!</v>
      </c>
      <c r="DR170" t="e">
        <f>AND(#REF!,"AAAAAG3rfnk=")</f>
        <v>#REF!</v>
      </c>
      <c r="DS170" t="e">
        <f>AND(#REF!,"AAAAAG3rfno=")</f>
        <v>#REF!</v>
      </c>
      <c r="DT170" t="e">
        <f>AND(#REF!,"AAAAAG3rfns=")</f>
        <v>#REF!</v>
      </c>
      <c r="DU170" t="e">
        <f>AND(#REF!,"AAAAAG3rfnw=")</f>
        <v>#REF!</v>
      </c>
      <c r="DV170" t="e">
        <f>AND(#REF!,"AAAAAG3rfn0=")</f>
        <v>#REF!</v>
      </c>
      <c r="DW170" t="e">
        <f>AND(#REF!,"AAAAAG3rfn4=")</f>
        <v>#REF!</v>
      </c>
      <c r="DX170" t="e">
        <f>AND(#REF!,"AAAAAG3rfn8=")</f>
        <v>#REF!</v>
      </c>
      <c r="DY170" t="e">
        <f>AND(#REF!,"AAAAAG3rfoA=")</f>
        <v>#REF!</v>
      </c>
      <c r="DZ170" t="e">
        <f>AND(#REF!,"AAAAAG3rfoE=")</f>
        <v>#REF!</v>
      </c>
      <c r="EA170" t="e">
        <f>AND(#REF!,"AAAAAG3rfoI=")</f>
        <v>#REF!</v>
      </c>
      <c r="EB170" t="e">
        <f>AND(#REF!,"AAAAAG3rfoM=")</f>
        <v>#REF!</v>
      </c>
      <c r="EC170" t="e">
        <f>AND(#REF!,"AAAAAG3rfoQ=")</f>
        <v>#REF!</v>
      </c>
      <c r="ED170" t="e">
        <f>AND(#REF!,"AAAAAG3rfoU=")</f>
        <v>#REF!</v>
      </c>
      <c r="EE170" t="e">
        <f>AND(#REF!,"AAAAAG3rfoY=")</f>
        <v>#REF!</v>
      </c>
      <c r="EF170" t="e">
        <f>AND(#REF!,"AAAAAG3rfoc=")</f>
        <v>#REF!</v>
      </c>
      <c r="EG170" t="e">
        <f>AND(#REF!,"AAAAAG3rfog=")</f>
        <v>#REF!</v>
      </c>
      <c r="EH170" t="e">
        <f>AND(#REF!,"AAAAAG3rfok=")</f>
        <v>#REF!</v>
      </c>
      <c r="EI170" t="e">
        <f>AND(#REF!,"AAAAAG3rfoo=")</f>
        <v>#REF!</v>
      </c>
      <c r="EJ170" t="e">
        <f>AND(#REF!,"AAAAAG3rfos=")</f>
        <v>#REF!</v>
      </c>
      <c r="EK170" t="e">
        <f>AND(#REF!,"AAAAAG3rfow=")</f>
        <v>#REF!</v>
      </c>
      <c r="EL170" t="e">
        <f>AND(#REF!,"AAAAAG3rfo0=")</f>
        <v>#REF!</v>
      </c>
      <c r="EM170" t="e">
        <f>AND(#REF!,"AAAAAG3rfo4=")</f>
        <v>#REF!</v>
      </c>
      <c r="EN170" t="e">
        <f>AND(#REF!,"AAAAAG3rfo8=")</f>
        <v>#REF!</v>
      </c>
      <c r="EO170" t="e">
        <f>AND(#REF!,"AAAAAG3rfpA=")</f>
        <v>#REF!</v>
      </c>
      <c r="EP170" t="e">
        <f>AND(#REF!,"AAAAAG3rfpE=")</f>
        <v>#REF!</v>
      </c>
      <c r="EQ170" t="e">
        <f>AND(#REF!,"AAAAAG3rfpI=")</f>
        <v>#REF!</v>
      </c>
      <c r="ER170" t="e">
        <f>AND(#REF!,"AAAAAG3rfpM=")</f>
        <v>#REF!</v>
      </c>
      <c r="ES170" t="e">
        <f>AND(#REF!,"AAAAAG3rfpQ=")</f>
        <v>#REF!</v>
      </c>
      <c r="ET170" t="e">
        <f>AND(#REF!,"AAAAAG3rfpU=")</f>
        <v>#REF!</v>
      </c>
      <c r="EU170" t="e">
        <f>AND(#REF!,"AAAAAG3rfpY=")</f>
        <v>#REF!</v>
      </c>
      <c r="EV170" t="e">
        <f>AND(#REF!,"AAAAAG3rfpc=")</f>
        <v>#REF!</v>
      </c>
      <c r="EW170" t="e">
        <f>AND(#REF!,"AAAAAG3rfpg=")</f>
        <v>#REF!</v>
      </c>
      <c r="EX170" t="e">
        <f>AND(#REF!,"AAAAAG3rfpk=")</f>
        <v>#REF!</v>
      </c>
      <c r="EY170" t="e">
        <f>AND(#REF!,"AAAAAG3rfpo=")</f>
        <v>#REF!</v>
      </c>
      <c r="EZ170" t="e">
        <f>AND(#REF!,"AAAAAG3rfps=")</f>
        <v>#REF!</v>
      </c>
      <c r="FA170" t="e">
        <f>AND(#REF!,"AAAAAG3rfpw=")</f>
        <v>#REF!</v>
      </c>
      <c r="FB170" t="e">
        <f>AND(#REF!,"AAAAAG3rfp0=")</f>
        <v>#REF!</v>
      </c>
      <c r="FC170" t="e">
        <f>AND(#REF!,"AAAAAG3rfp4=")</f>
        <v>#REF!</v>
      </c>
      <c r="FD170" t="e">
        <f>AND(#REF!,"AAAAAG3rfp8=")</f>
        <v>#REF!</v>
      </c>
      <c r="FE170" t="e">
        <f>AND(#REF!,"AAAAAG3rfqA=")</f>
        <v>#REF!</v>
      </c>
      <c r="FF170" t="e">
        <f>AND(#REF!,"AAAAAG3rfqE=")</f>
        <v>#REF!</v>
      </c>
      <c r="FG170" t="e">
        <f>IF(#REF!,"AAAAAG3rfqI=",0)</f>
        <v>#REF!</v>
      </c>
      <c r="FH170" t="e">
        <f>AND(#REF!,"AAAAAG3rfqM=")</f>
        <v>#REF!</v>
      </c>
      <c r="FI170" t="e">
        <f>AND(#REF!,"AAAAAG3rfqQ=")</f>
        <v>#REF!</v>
      </c>
      <c r="FJ170" t="e">
        <f>AND(#REF!,"AAAAAG3rfqU=")</f>
        <v>#REF!</v>
      </c>
      <c r="FK170" t="e">
        <f>AND(#REF!,"AAAAAG3rfqY=")</f>
        <v>#REF!</v>
      </c>
      <c r="FL170" t="e">
        <f>AND(#REF!,"AAAAAG3rfqc=")</f>
        <v>#REF!</v>
      </c>
      <c r="FM170" t="e">
        <f>AND(#REF!,"AAAAAG3rfqg=")</f>
        <v>#REF!</v>
      </c>
      <c r="FN170" t="e">
        <f>AND(#REF!,"AAAAAG3rfqk=")</f>
        <v>#REF!</v>
      </c>
      <c r="FO170" t="e">
        <f>AND(#REF!,"AAAAAG3rfqo=")</f>
        <v>#REF!</v>
      </c>
      <c r="FP170" t="e">
        <f>AND(#REF!,"AAAAAG3rfqs=")</f>
        <v>#REF!</v>
      </c>
      <c r="FQ170" t="e">
        <f>AND(#REF!,"AAAAAG3rfqw=")</f>
        <v>#REF!</v>
      </c>
      <c r="FR170" t="e">
        <f>AND(#REF!,"AAAAAG3rfq0=")</f>
        <v>#REF!</v>
      </c>
      <c r="FS170" t="e">
        <f>AND(#REF!,"AAAAAG3rfq4=")</f>
        <v>#REF!</v>
      </c>
      <c r="FT170" t="e">
        <f>AND(#REF!,"AAAAAG3rfq8=")</f>
        <v>#REF!</v>
      </c>
      <c r="FU170" t="e">
        <f>AND(#REF!,"AAAAAG3rfrA=")</f>
        <v>#REF!</v>
      </c>
      <c r="FV170" t="e">
        <f>AND(#REF!,"AAAAAG3rfrE=")</f>
        <v>#REF!</v>
      </c>
      <c r="FW170" t="e">
        <f>AND(#REF!,"AAAAAG3rfrI=")</f>
        <v>#REF!</v>
      </c>
      <c r="FX170" t="e">
        <f>AND(#REF!,"AAAAAG3rfrM=")</f>
        <v>#REF!</v>
      </c>
      <c r="FY170" t="e">
        <f>AND(#REF!,"AAAAAG3rfrQ=")</f>
        <v>#REF!</v>
      </c>
      <c r="FZ170" t="e">
        <f>AND(#REF!,"AAAAAG3rfrU=")</f>
        <v>#REF!</v>
      </c>
      <c r="GA170" t="e">
        <f>AND(#REF!,"AAAAAG3rfrY=")</f>
        <v>#REF!</v>
      </c>
      <c r="GB170" t="e">
        <f>AND(#REF!,"AAAAAG3rfrc=")</f>
        <v>#REF!</v>
      </c>
      <c r="GC170" t="e">
        <f>AND(#REF!,"AAAAAG3rfrg=")</f>
        <v>#REF!</v>
      </c>
      <c r="GD170" t="e">
        <f>AND(#REF!,"AAAAAG3rfrk=")</f>
        <v>#REF!</v>
      </c>
      <c r="GE170" t="e">
        <f>AND(#REF!,"AAAAAG3rfro=")</f>
        <v>#REF!</v>
      </c>
      <c r="GF170" t="e">
        <f>AND(#REF!,"AAAAAG3rfrs=")</f>
        <v>#REF!</v>
      </c>
      <c r="GG170" t="e">
        <f>AND(#REF!,"AAAAAG3rfrw=")</f>
        <v>#REF!</v>
      </c>
      <c r="GH170" t="e">
        <f>AND(#REF!,"AAAAAG3rfr0=")</f>
        <v>#REF!</v>
      </c>
      <c r="GI170" t="e">
        <f>AND(#REF!,"AAAAAG3rfr4=")</f>
        <v>#REF!</v>
      </c>
      <c r="GJ170" t="e">
        <f>AND(#REF!,"AAAAAG3rfr8=")</f>
        <v>#REF!</v>
      </c>
      <c r="GK170" t="e">
        <f>AND(#REF!,"AAAAAG3rfsA=")</f>
        <v>#REF!</v>
      </c>
      <c r="GL170" t="e">
        <f>AND(#REF!,"AAAAAG3rfsE=")</f>
        <v>#REF!</v>
      </c>
      <c r="GM170" t="e">
        <f>AND(#REF!,"AAAAAG3rfsI=")</f>
        <v>#REF!</v>
      </c>
      <c r="GN170" t="e">
        <f>AND(#REF!,"AAAAAG3rfsM=")</f>
        <v>#REF!</v>
      </c>
      <c r="GO170" t="e">
        <f>AND(#REF!,"AAAAAG3rfsQ=")</f>
        <v>#REF!</v>
      </c>
      <c r="GP170" t="e">
        <f>AND(#REF!,"AAAAAG3rfsU=")</f>
        <v>#REF!</v>
      </c>
      <c r="GQ170" t="e">
        <f>AND(#REF!,"AAAAAG3rfsY=")</f>
        <v>#REF!</v>
      </c>
      <c r="GR170" t="e">
        <f>AND(#REF!,"AAAAAG3rfsc=")</f>
        <v>#REF!</v>
      </c>
      <c r="GS170" t="e">
        <f>AND(#REF!,"AAAAAG3rfsg=")</f>
        <v>#REF!</v>
      </c>
      <c r="GT170" t="e">
        <f>AND(#REF!,"AAAAAG3rfsk=")</f>
        <v>#REF!</v>
      </c>
      <c r="GU170" t="e">
        <f>AND(#REF!,"AAAAAG3rfso=")</f>
        <v>#REF!</v>
      </c>
      <c r="GV170" t="e">
        <f>AND(#REF!,"AAAAAG3rfss=")</f>
        <v>#REF!</v>
      </c>
      <c r="GW170" t="e">
        <f>AND(#REF!,"AAAAAG3rfsw=")</f>
        <v>#REF!</v>
      </c>
      <c r="GX170" t="e">
        <f>AND(#REF!,"AAAAAG3rfs0=")</f>
        <v>#REF!</v>
      </c>
      <c r="GY170" t="e">
        <f>AND(#REF!,"AAAAAG3rfs4=")</f>
        <v>#REF!</v>
      </c>
      <c r="GZ170" t="e">
        <f>AND(#REF!,"AAAAAG3rfs8=")</f>
        <v>#REF!</v>
      </c>
      <c r="HA170" t="e">
        <f>AND(#REF!,"AAAAAG3rftA=")</f>
        <v>#REF!</v>
      </c>
      <c r="HB170" t="e">
        <f>AND(#REF!,"AAAAAG3rftE=")</f>
        <v>#REF!</v>
      </c>
      <c r="HC170" t="e">
        <f>AND(#REF!,"AAAAAG3rftI=")</f>
        <v>#REF!</v>
      </c>
      <c r="HD170" t="e">
        <f>AND(#REF!,"AAAAAG3rftM=")</f>
        <v>#REF!</v>
      </c>
      <c r="HE170" t="e">
        <f>AND(#REF!,"AAAAAG3rftQ=")</f>
        <v>#REF!</v>
      </c>
      <c r="HF170" t="e">
        <f>AND(#REF!,"AAAAAG3rftU=")</f>
        <v>#REF!</v>
      </c>
      <c r="HG170" t="e">
        <f>AND(#REF!,"AAAAAG3rftY=")</f>
        <v>#REF!</v>
      </c>
      <c r="HH170" t="e">
        <f>AND(#REF!,"AAAAAG3rftc=")</f>
        <v>#REF!</v>
      </c>
      <c r="HI170" t="e">
        <f>AND(#REF!,"AAAAAG3rftg=")</f>
        <v>#REF!</v>
      </c>
      <c r="HJ170" t="e">
        <f>AND(#REF!,"AAAAAG3rftk=")</f>
        <v>#REF!</v>
      </c>
      <c r="HK170" t="e">
        <f>AND(#REF!,"AAAAAG3rfto=")</f>
        <v>#REF!</v>
      </c>
      <c r="HL170" t="e">
        <f>AND(#REF!,"AAAAAG3rfts=")</f>
        <v>#REF!</v>
      </c>
      <c r="HM170" t="e">
        <f>AND(#REF!,"AAAAAG3rftw=")</f>
        <v>#REF!</v>
      </c>
      <c r="HN170" t="e">
        <f>AND(#REF!,"AAAAAG3rft0=")</f>
        <v>#REF!</v>
      </c>
      <c r="HO170" t="e">
        <f>AND(#REF!,"AAAAAG3rft4=")</f>
        <v>#REF!</v>
      </c>
      <c r="HP170" t="e">
        <f>AND(#REF!,"AAAAAG3rft8=")</f>
        <v>#REF!</v>
      </c>
      <c r="HQ170" t="e">
        <f>AND(#REF!,"AAAAAG3rfuA=")</f>
        <v>#REF!</v>
      </c>
      <c r="HR170" t="e">
        <f>AND(#REF!,"AAAAAG3rfuE=")</f>
        <v>#REF!</v>
      </c>
      <c r="HS170" t="e">
        <f>AND(#REF!,"AAAAAG3rfuI=")</f>
        <v>#REF!</v>
      </c>
      <c r="HT170" t="e">
        <f>AND(#REF!,"AAAAAG3rfuM=")</f>
        <v>#REF!</v>
      </c>
      <c r="HU170" t="e">
        <f>AND(#REF!,"AAAAAG3rfuQ=")</f>
        <v>#REF!</v>
      </c>
      <c r="HV170" t="e">
        <f>AND(#REF!,"AAAAAG3rfuU=")</f>
        <v>#REF!</v>
      </c>
      <c r="HW170" t="e">
        <f>AND(#REF!,"AAAAAG3rfuY=")</f>
        <v>#REF!</v>
      </c>
      <c r="HX170" t="e">
        <f>AND(#REF!,"AAAAAG3rfuc=")</f>
        <v>#REF!</v>
      </c>
      <c r="HY170" t="e">
        <f>AND(#REF!,"AAAAAG3rfug=")</f>
        <v>#REF!</v>
      </c>
      <c r="HZ170" t="e">
        <f>AND(#REF!,"AAAAAG3rfuk=")</f>
        <v>#REF!</v>
      </c>
      <c r="IA170" t="e">
        <f>AND(#REF!,"AAAAAG3rfuo=")</f>
        <v>#REF!</v>
      </c>
      <c r="IB170" t="e">
        <f>AND(#REF!,"AAAAAG3rfus=")</f>
        <v>#REF!</v>
      </c>
      <c r="IC170" t="e">
        <f>AND(#REF!,"AAAAAG3rfuw=")</f>
        <v>#REF!</v>
      </c>
      <c r="ID170" t="e">
        <f>AND(#REF!,"AAAAAG3rfu0=")</f>
        <v>#REF!</v>
      </c>
      <c r="IE170" t="e">
        <f>AND(#REF!,"AAAAAG3rfu4=")</f>
        <v>#REF!</v>
      </c>
      <c r="IF170" t="e">
        <f>AND(#REF!,"AAAAAG3rfu8=")</f>
        <v>#REF!</v>
      </c>
      <c r="IG170" t="e">
        <f>AND(#REF!,"AAAAAG3rfvA=")</f>
        <v>#REF!</v>
      </c>
      <c r="IH170" t="e">
        <f>AND(#REF!,"AAAAAG3rfvE=")</f>
        <v>#REF!</v>
      </c>
      <c r="II170" t="e">
        <f>AND(#REF!,"AAAAAG3rfvI=")</f>
        <v>#REF!</v>
      </c>
      <c r="IJ170" t="e">
        <f>AND(#REF!,"AAAAAG3rfvM=")</f>
        <v>#REF!</v>
      </c>
      <c r="IK170" t="e">
        <f>AND(#REF!,"AAAAAG3rfvQ=")</f>
        <v>#REF!</v>
      </c>
      <c r="IL170" t="e">
        <f>AND(#REF!,"AAAAAG3rfvU=")</f>
        <v>#REF!</v>
      </c>
      <c r="IM170" t="e">
        <f>AND(#REF!,"AAAAAG3rfvY=")</f>
        <v>#REF!</v>
      </c>
      <c r="IN170" t="e">
        <f>AND(#REF!,"AAAAAG3rfvc=")</f>
        <v>#REF!</v>
      </c>
      <c r="IO170" t="e">
        <f>AND(#REF!,"AAAAAG3rfvg=")</f>
        <v>#REF!</v>
      </c>
      <c r="IP170" t="e">
        <f>AND(#REF!,"AAAAAG3rfvk=")</f>
        <v>#REF!</v>
      </c>
      <c r="IQ170" t="e">
        <f>AND(#REF!,"AAAAAG3rfvo=")</f>
        <v>#REF!</v>
      </c>
      <c r="IR170" t="e">
        <f>AND(#REF!,"AAAAAG3rfvs=")</f>
        <v>#REF!</v>
      </c>
      <c r="IS170" t="e">
        <f>AND(#REF!,"AAAAAG3rfvw=")</f>
        <v>#REF!</v>
      </c>
      <c r="IT170" t="e">
        <f>AND(#REF!,"AAAAAG3rfv0=")</f>
        <v>#REF!</v>
      </c>
      <c r="IU170" t="e">
        <f>AND(#REF!,"AAAAAG3rfv4=")</f>
        <v>#REF!</v>
      </c>
      <c r="IV170" t="e">
        <f>AND(#REF!,"AAAAAG3rfv8=")</f>
        <v>#REF!</v>
      </c>
    </row>
    <row r="171" spans="1:256" x14ac:dyDescent="0.25">
      <c r="A171" t="e">
        <f>AND(#REF!,"AAAAAHF/vwA=")</f>
        <v>#REF!</v>
      </c>
      <c r="B171" t="e">
        <f>AND(#REF!,"AAAAAHF/vwE=")</f>
        <v>#REF!</v>
      </c>
      <c r="C171" t="e">
        <f>AND(#REF!,"AAAAAHF/vwI=")</f>
        <v>#REF!</v>
      </c>
      <c r="D171" t="e">
        <f>AND(#REF!,"AAAAAHF/vwM=")</f>
        <v>#REF!</v>
      </c>
      <c r="E171" t="e">
        <f>AND(#REF!,"AAAAAHF/vwQ=")</f>
        <v>#REF!</v>
      </c>
      <c r="F171" t="e">
        <f>AND(#REF!,"AAAAAHF/vwU=")</f>
        <v>#REF!</v>
      </c>
      <c r="G171" t="e">
        <f>AND(#REF!,"AAAAAHF/vwY=")</f>
        <v>#REF!</v>
      </c>
      <c r="H171" t="e">
        <f>AND(#REF!,"AAAAAHF/vwc=")</f>
        <v>#REF!</v>
      </c>
      <c r="I171" t="e">
        <f>AND(#REF!,"AAAAAHF/vwg=")</f>
        <v>#REF!</v>
      </c>
      <c r="J171" t="e">
        <f>AND(#REF!,"AAAAAHF/vwk=")</f>
        <v>#REF!</v>
      </c>
      <c r="K171" t="e">
        <f>AND(#REF!,"AAAAAHF/vwo=")</f>
        <v>#REF!</v>
      </c>
      <c r="L171" t="e">
        <f>AND(#REF!,"AAAAAHF/vws=")</f>
        <v>#REF!</v>
      </c>
      <c r="M171" t="e">
        <f>AND(#REF!,"AAAAAHF/vww=")</f>
        <v>#REF!</v>
      </c>
      <c r="N171" t="e">
        <f>AND(#REF!,"AAAAAHF/vw0=")</f>
        <v>#REF!</v>
      </c>
      <c r="O171" t="e">
        <f>AND(#REF!,"AAAAAHF/vw4=")</f>
        <v>#REF!</v>
      </c>
      <c r="P171" t="e">
        <f>AND(#REF!,"AAAAAHF/vw8=")</f>
        <v>#REF!</v>
      </c>
      <c r="Q171" t="e">
        <f>AND(#REF!,"AAAAAHF/vxA=")</f>
        <v>#REF!</v>
      </c>
      <c r="R171" t="e">
        <f>AND(#REF!,"AAAAAHF/vxE=")</f>
        <v>#REF!</v>
      </c>
      <c r="S171" t="e">
        <f>AND(#REF!,"AAAAAHF/vxI=")</f>
        <v>#REF!</v>
      </c>
      <c r="T171" t="e">
        <f>AND(#REF!,"AAAAAHF/vxM=")</f>
        <v>#REF!</v>
      </c>
      <c r="U171" t="e">
        <f>AND(#REF!,"AAAAAHF/vxQ=")</f>
        <v>#REF!</v>
      </c>
      <c r="V171" t="e">
        <f>AND(#REF!,"AAAAAHF/vxU=")</f>
        <v>#REF!</v>
      </c>
      <c r="W171" t="e">
        <f>AND(#REF!,"AAAAAHF/vxY=")</f>
        <v>#REF!</v>
      </c>
      <c r="X171" t="e">
        <f>AND(#REF!,"AAAAAHF/vxc=")</f>
        <v>#REF!</v>
      </c>
      <c r="Y171" t="e">
        <f>AND(#REF!,"AAAAAHF/vxg=")</f>
        <v>#REF!</v>
      </c>
      <c r="Z171" t="e">
        <f>AND(#REF!,"AAAAAHF/vxk=")</f>
        <v>#REF!</v>
      </c>
      <c r="AA171" t="e">
        <f>AND(#REF!,"AAAAAHF/vxo=")</f>
        <v>#REF!</v>
      </c>
      <c r="AB171" t="e">
        <f>AND(#REF!,"AAAAAHF/vxs=")</f>
        <v>#REF!</v>
      </c>
      <c r="AC171" t="e">
        <f>AND(#REF!,"AAAAAHF/vxw=")</f>
        <v>#REF!</v>
      </c>
      <c r="AD171" t="e">
        <f>AND(#REF!,"AAAAAHF/vx0=")</f>
        <v>#REF!</v>
      </c>
      <c r="AE171" t="e">
        <f>AND(#REF!,"AAAAAHF/vx4=")</f>
        <v>#REF!</v>
      </c>
      <c r="AF171" t="e">
        <f>AND(#REF!,"AAAAAHF/vx8=")</f>
        <v>#REF!</v>
      </c>
      <c r="AG171" t="e">
        <f>AND(#REF!,"AAAAAHF/vyA=")</f>
        <v>#REF!</v>
      </c>
      <c r="AH171" t="e">
        <f>AND(#REF!,"AAAAAHF/vyE=")</f>
        <v>#REF!</v>
      </c>
      <c r="AI171" t="e">
        <f>AND(#REF!,"AAAAAHF/vyI=")</f>
        <v>#REF!</v>
      </c>
      <c r="AJ171" t="e">
        <f>AND(#REF!,"AAAAAHF/vyM=")</f>
        <v>#REF!</v>
      </c>
      <c r="AK171" t="e">
        <f>AND(#REF!,"AAAAAHF/vyQ=")</f>
        <v>#REF!</v>
      </c>
      <c r="AL171" t="e">
        <f>AND(#REF!,"AAAAAHF/vyU=")</f>
        <v>#REF!</v>
      </c>
      <c r="AM171" t="e">
        <f>AND(#REF!,"AAAAAHF/vyY=")</f>
        <v>#REF!</v>
      </c>
      <c r="AN171" t="e">
        <f>AND(#REF!,"AAAAAHF/vyc=")</f>
        <v>#REF!</v>
      </c>
      <c r="AO171" t="e">
        <f>AND(#REF!,"AAAAAHF/vyg=")</f>
        <v>#REF!</v>
      </c>
      <c r="AP171" t="e">
        <f>AND(#REF!,"AAAAAHF/vyk=")</f>
        <v>#REF!</v>
      </c>
      <c r="AQ171" t="e">
        <f>AND(#REF!,"AAAAAHF/vyo=")</f>
        <v>#REF!</v>
      </c>
      <c r="AR171" t="e">
        <f>AND(#REF!,"AAAAAHF/vys=")</f>
        <v>#REF!</v>
      </c>
      <c r="AS171" t="e">
        <f>AND(#REF!,"AAAAAHF/vyw=")</f>
        <v>#REF!</v>
      </c>
      <c r="AT171" t="e">
        <f>AND(#REF!,"AAAAAHF/vy0=")</f>
        <v>#REF!</v>
      </c>
      <c r="AU171" t="e">
        <f>AND(#REF!,"AAAAAHF/vy4=")</f>
        <v>#REF!</v>
      </c>
      <c r="AV171" t="e">
        <f>AND(#REF!,"AAAAAHF/vy8=")</f>
        <v>#REF!</v>
      </c>
      <c r="AW171" t="e">
        <f>AND(#REF!,"AAAAAHF/vzA=")</f>
        <v>#REF!</v>
      </c>
      <c r="AX171" t="e">
        <f>AND(#REF!,"AAAAAHF/vzE=")</f>
        <v>#REF!</v>
      </c>
      <c r="AY171" t="e">
        <f>AND(#REF!,"AAAAAHF/vzI=")</f>
        <v>#REF!</v>
      </c>
      <c r="AZ171" t="e">
        <f>AND(#REF!,"AAAAAHF/vzM=")</f>
        <v>#REF!</v>
      </c>
      <c r="BA171" t="e">
        <f>AND(#REF!,"AAAAAHF/vzQ=")</f>
        <v>#REF!</v>
      </c>
      <c r="BB171" t="e">
        <f>AND(#REF!,"AAAAAHF/vzU=")</f>
        <v>#REF!</v>
      </c>
      <c r="BC171" t="e">
        <f>AND(#REF!,"AAAAAHF/vzY=")</f>
        <v>#REF!</v>
      </c>
      <c r="BD171" t="e">
        <f>AND(#REF!,"AAAAAHF/vzc=")</f>
        <v>#REF!</v>
      </c>
      <c r="BE171" t="e">
        <f>AND(#REF!,"AAAAAHF/vzg=")</f>
        <v>#REF!</v>
      </c>
      <c r="BF171" t="e">
        <f>AND(#REF!,"AAAAAHF/vzk=")</f>
        <v>#REF!</v>
      </c>
      <c r="BG171" t="e">
        <f>AND(#REF!,"AAAAAHF/vzo=")</f>
        <v>#REF!</v>
      </c>
      <c r="BH171" t="e">
        <f>AND(#REF!,"AAAAAHF/vzs=")</f>
        <v>#REF!</v>
      </c>
      <c r="BI171" t="e">
        <f>AND(#REF!,"AAAAAHF/vzw=")</f>
        <v>#REF!</v>
      </c>
      <c r="BJ171" t="e">
        <f>AND(#REF!,"AAAAAHF/vz0=")</f>
        <v>#REF!</v>
      </c>
      <c r="BK171" t="e">
        <f>AND(#REF!,"AAAAAHF/vz4=")</f>
        <v>#REF!</v>
      </c>
      <c r="BL171" t="e">
        <f>AND(#REF!,"AAAAAHF/vz8=")</f>
        <v>#REF!</v>
      </c>
      <c r="BM171" t="e">
        <f>AND(#REF!,"AAAAAHF/v0A=")</f>
        <v>#REF!</v>
      </c>
      <c r="BN171" t="e">
        <f>AND(#REF!,"AAAAAHF/v0E=")</f>
        <v>#REF!</v>
      </c>
      <c r="BO171" t="e">
        <f>AND(#REF!,"AAAAAHF/v0I=")</f>
        <v>#REF!</v>
      </c>
      <c r="BP171" t="e">
        <f>AND(#REF!,"AAAAAHF/v0M=")</f>
        <v>#REF!</v>
      </c>
      <c r="BQ171" t="e">
        <f>AND(#REF!,"AAAAAHF/v0Q=")</f>
        <v>#REF!</v>
      </c>
      <c r="BR171" t="e">
        <f>AND(#REF!,"AAAAAHF/v0U=")</f>
        <v>#REF!</v>
      </c>
      <c r="BS171" t="e">
        <f>AND(#REF!,"AAAAAHF/v0Y=")</f>
        <v>#REF!</v>
      </c>
      <c r="BT171" t="e">
        <f>AND(#REF!,"AAAAAHF/v0c=")</f>
        <v>#REF!</v>
      </c>
      <c r="BU171" t="e">
        <f>AND(#REF!,"AAAAAHF/v0g=")</f>
        <v>#REF!</v>
      </c>
      <c r="BV171" t="e">
        <f>AND(#REF!,"AAAAAHF/v0k=")</f>
        <v>#REF!</v>
      </c>
      <c r="BW171" t="e">
        <f>AND(#REF!,"AAAAAHF/v0o=")</f>
        <v>#REF!</v>
      </c>
      <c r="BX171" t="e">
        <f>AND(#REF!,"AAAAAHF/v0s=")</f>
        <v>#REF!</v>
      </c>
      <c r="BY171" t="e">
        <f>AND(#REF!,"AAAAAHF/v0w=")</f>
        <v>#REF!</v>
      </c>
      <c r="BZ171" t="e">
        <f>AND(#REF!,"AAAAAHF/v00=")</f>
        <v>#REF!</v>
      </c>
      <c r="CA171" t="e">
        <f>AND(#REF!,"AAAAAHF/v04=")</f>
        <v>#REF!</v>
      </c>
      <c r="CB171" t="e">
        <f>AND(#REF!,"AAAAAHF/v08=")</f>
        <v>#REF!</v>
      </c>
      <c r="CC171" t="e">
        <f>AND(#REF!,"AAAAAHF/v1A=")</f>
        <v>#REF!</v>
      </c>
      <c r="CD171" t="e">
        <f>AND(#REF!,"AAAAAHF/v1E=")</f>
        <v>#REF!</v>
      </c>
      <c r="CE171" t="e">
        <f>AND(#REF!,"AAAAAHF/v1I=")</f>
        <v>#REF!</v>
      </c>
      <c r="CF171" t="e">
        <f>AND(#REF!,"AAAAAHF/v1M=")</f>
        <v>#REF!</v>
      </c>
      <c r="CG171" t="e">
        <f>AND(#REF!,"AAAAAHF/v1Q=")</f>
        <v>#REF!</v>
      </c>
      <c r="CH171" t="e">
        <f>AND(#REF!,"AAAAAHF/v1U=")</f>
        <v>#REF!</v>
      </c>
      <c r="CI171" t="e">
        <f>AND(#REF!,"AAAAAHF/v1Y=")</f>
        <v>#REF!</v>
      </c>
      <c r="CJ171" t="e">
        <f>AND(#REF!,"AAAAAHF/v1c=")</f>
        <v>#REF!</v>
      </c>
      <c r="CK171" t="e">
        <f>AND(#REF!,"AAAAAHF/v1g=")</f>
        <v>#REF!</v>
      </c>
      <c r="CL171" t="e">
        <f>AND(#REF!,"AAAAAHF/v1k=")</f>
        <v>#REF!</v>
      </c>
      <c r="CM171" t="e">
        <f>AND(#REF!,"AAAAAHF/v1o=")</f>
        <v>#REF!</v>
      </c>
      <c r="CN171" t="e">
        <f>AND(#REF!,"AAAAAHF/v1s=")</f>
        <v>#REF!</v>
      </c>
      <c r="CO171" t="e">
        <f>AND(#REF!,"AAAAAHF/v1w=")</f>
        <v>#REF!</v>
      </c>
      <c r="CP171" t="e">
        <f>AND(#REF!,"AAAAAHF/v10=")</f>
        <v>#REF!</v>
      </c>
      <c r="CQ171" t="e">
        <f>AND(#REF!,"AAAAAHF/v14=")</f>
        <v>#REF!</v>
      </c>
      <c r="CR171" t="e">
        <f>IF(#REF!,"AAAAAHF/v18=",0)</f>
        <v>#REF!</v>
      </c>
      <c r="CS171" t="e">
        <f>AND(#REF!,"AAAAAHF/v2A=")</f>
        <v>#REF!</v>
      </c>
      <c r="CT171" t="e">
        <f>AND(#REF!,"AAAAAHF/v2E=")</f>
        <v>#REF!</v>
      </c>
      <c r="CU171" t="e">
        <f>AND(#REF!,"AAAAAHF/v2I=")</f>
        <v>#REF!</v>
      </c>
      <c r="CV171" t="e">
        <f>AND(#REF!,"AAAAAHF/v2M=")</f>
        <v>#REF!</v>
      </c>
      <c r="CW171" t="e">
        <f>AND(#REF!,"AAAAAHF/v2Q=")</f>
        <v>#REF!</v>
      </c>
      <c r="CX171" t="e">
        <f>AND(#REF!,"AAAAAHF/v2U=")</f>
        <v>#REF!</v>
      </c>
      <c r="CY171" t="e">
        <f>AND(#REF!,"AAAAAHF/v2Y=")</f>
        <v>#REF!</v>
      </c>
      <c r="CZ171" t="e">
        <f>AND(#REF!,"AAAAAHF/v2c=")</f>
        <v>#REF!</v>
      </c>
      <c r="DA171" t="e">
        <f>AND(#REF!,"AAAAAHF/v2g=")</f>
        <v>#REF!</v>
      </c>
      <c r="DB171" t="e">
        <f>AND(#REF!,"AAAAAHF/v2k=")</f>
        <v>#REF!</v>
      </c>
      <c r="DC171" t="e">
        <f>AND(#REF!,"AAAAAHF/v2o=")</f>
        <v>#REF!</v>
      </c>
      <c r="DD171" t="e">
        <f>AND(#REF!,"AAAAAHF/v2s=")</f>
        <v>#REF!</v>
      </c>
      <c r="DE171" t="e">
        <f>AND(#REF!,"AAAAAHF/v2w=")</f>
        <v>#REF!</v>
      </c>
      <c r="DF171" t="e">
        <f>AND(#REF!,"AAAAAHF/v20=")</f>
        <v>#REF!</v>
      </c>
      <c r="DG171" t="e">
        <f>AND(#REF!,"AAAAAHF/v24=")</f>
        <v>#REF!</v>
      </c>
      <c r="DH171" t="e">
        <f>AND(#REF!,"AAAAAHF/v28=")</f>
        <v>#REF!</v>
      </c>
      <c r="DI171" t="e">
        <f>AND(#REF!,"AAAAAHF/v3A=")</f>
        <v>#REF!</v>
      </c>
      <c r="DJ171" t="e">
        <f>AND(#REF!,"AAAAAHF/v3E=")</f>
        <v>#REF!</v>
      </c>
      <c r="DK171" t="e">
        <f>AND(#REF!,"AAAAAHF/v3I=")</f>
        <v>#REF!</v>
      </c>
      <c r="DL171" t="e">
        <f>AND(#REF!,"AAAAAHF/v3M=")</f>
        <v>#REF!</v>
      </c>
      <c r="DM171" t="e">
        <f>AND(#REF!,"AAAAAHF/v3Q=")</f>
        <v>#REF!</v>
      </c>
      <c r="DN171" t="e">
        <f>AND(#REF!,"AAAAAHF/v3U=")</f>
        <v>#REF!</v>
      </c>
      <c r="DO171" t="e">
        <f>AND(#REF!,"AAAAAHF/v3Y=")</f>
        <v>#REF!</v>
      </c>
      <c r="DP171" t="e">
        <f>AND(#REF!,"AAAAAHF/v3c=")</f>
        <v>#REF!</v>
      </c>
      <c r="DQ171" t="e">
        <f>AND(#REF!,"AAAAAHF/v3g=")</f>
        <v>#REF!</v>
      </c>
      <c r="DR171" t="e">
        <f>AND(#REF!,"AAAAAHF/v3k=")</f>
        <v>#REF!</v>
      </c>
      <c r="DS171" t="e">
        <f>AND(#REF!,"AAAAAHF/v3o=")</f>
        <v>#REF!</v>
      </c>
      <c r="DT171" t="e">
        <f>AND(#REF!,"AAAAAHF/v3s=")</f>
        <v>#REF!</v>
      </c>
      <c r="DU171" t="e">
        <f>AND(#REF!,"AAAAAHF/v3w=")</f>
        <v>#REF!</v>
      </c>
      <c r="DV171" t="e">
        <f>AND(#REF!,"AAAAAHF/v30=")</f>
        <v>#REF!</v>
      </c>
      <c r="DW171" t="e">
        <f>AND(#REF!,"AAAAAHF/v34=")</f>
        <v>#REF!</v>
      </c>
      <c r="DX171" t="e">
        <f>AND(#REF!,"AAAAAHF/v38=")</f>
        <v>#REF!</v>
      </c>
      <c r="DY171" t="e">
        <f>AND(#REF!,"AAAAAHF/v4A=")</f>
        <v>#REF!</v>
      </c>
      <c r="DZ171" t="e">
        <f>AND(#REF!,"AAAAAHF/v4E=")</f>
        <v>#REF!</v>
      </c>
      <c r="EA171" t="e">
        <f>AND(#REF!,"AAAAAHF/v4I=")</f>
        <v>#REF!</v>
      </c>
      <c r="EB171" t="e">
        <f>AND(#REF!,"AAAAAHF/v4M=")</f>
        <v>#REF!</v>
      </c>
      <c r="EC171" t="e">
        <f>AND(#REF!,"AAAAAHF/v4Q=")</f>
        <v>#REF!</v>
      </c>
      <c r="ED171" t="e">
        <f>AND(#REF!,"AAAAAHF/v4U=")</f>
        <v>#REF!</v>
      </c>
      <c r="EE171" t="e">
        <f>AND(#REF!,"AAAAAHF/v4Y=")</f>
        <v>#REF!</v>
      </c>
      <c r="EF171" t="e">
        <f>AND(#REF!,"AAAAAHF/v4c=")</f>
        <v>#REF!</v>
      </c>
      <c r="EG171" t="e">
        <f>AND(#REF!,"AAAAAHF/v4g=")</f>
        <v>#REF!</v>
      </c>
      <c r="EH171" t="e">
        <f>AND(#REF!,"AAAAAHF/v4k=")</f>
        <v>#REF!</v>
      </c>
      <c r="EI171" t="e">
        <f>AND(#REF!,"AAAAAHF/v4o=")</f>
        <v>#REF!</v>
      </c>
      <c r="EJ171" t="e">
        <f>AND(#REF!,"AAAAAHF/v4s=")</f>
        <v>#REF!</v>
      </c>
      <c r="EK171" t="e">
        <f>AND(#REF!,"AAAAAHF/v4w=")</f>
        <v>#REF!</v>
      </c>
      <c r="EL171" t="e">
        <f>AND(#REF!,"AAAAAHF/v40=")</f>
        <v>#REF!</v>
      </c>
      <c r="EM171" t="e">
        <f>AND(#REF!,"AAAAAHF/v44=")</f>
        <v>#REF!</v>
      </c>
      <c r="EN171" t="e">
        <f>AND(#REF!,"AAAAAHF/v48=")</f>
        <v>#REF!</v>
      </c>
      <c r="EO171" t="e">
        <f>AND(#REF!,"AAAAAHF/v5A=")</f>
        <v>#REF!</v>
      </c>
      <c r="EP171" t="e">
        <f>AND(#REF!,"AAAAAHF/v5E=")</f>
        <v>#REF!</v>
      </c>
      <c r="EQ171" t="e">
        <f>AND(#REF!,"AAAAAHF/v5I=")</f>
        <v>#REF!</v>
      </c>
      <c r="ER171" t="e">
        <f>AND(#REF!,"AAAAAHF/v5M=")</f>
        <v>#REF!</v>
      </c>
      <c r="ES171" t="e">
        <f>AND(#REF!,"AAAAAHF/v5Q=")</f>
        <v>#REF!</v>
      </c>
      <c r="ET171" t="e">
        <f>AND(#REF!,"AAAAAHF/v5U=")</f>
        <v>#REF!</v>
      </c>
      <c r="EU171" t="e">
        <f>AND(#REF!,"AAAAAHF/v5Y=")</f>
        <v>#REF!</v>
      </c>
      <c r="EV171" t="e">
        <f>AND(#REF!,"AAAAAHF/v5c=")</f>
        <v>#REF!</v>
      </c>
      <c r="EW171" t="e">
        <f>AND(#REF!,"AAAAAHF/v5g=")</f>
        <v>#REF!</v>
      </c>
      <c r="EX171" t="e">
        <f>AND(#REF!,"AAAAAHF/v5k=")</f>
        <v>#REF!</v>
      </c>
      <c r="EY171" t="e">
        <f>AND(#REF!,"AAAAAHF/v5o=")</f>
        <v>#REF!</v>
      </c>
      <c r="EZ171" t="e">
        <f>AND(#REF!,"AAAAAHF/v5s=")</f>
        <v>#REF!</v>
      </c>
      <c r="FA171" t="e">
        <f>AND(#REF!,"AAAAAHF/v5w=")</f>
        <v>#REF!</v>
      </c>
      <c r="FB171" t="e">
        <f>AND(#REF!,"AAAAAHF/v50=")</f>
        <v>#REF!</v>
      </c>
      <c r="FC171" t="e">
        <f>AND(#REF!,"AAAAAHF/v54=")</f>
        <v>#REF!</v>
      </c>
      <c r="FD171" t="e">
        <f>AND(#REF!,"AAAAAHF/v58=")</f>
        <v>#REF!</v>
      </c>
      <c r="FE171" t="e">
        <f>AND(#REF!,"AAAAAHF/v6A=")</f>
        <v>#REF!</v>
      </c>
      <c r="FF171" t="e">
        <f>AND(#REF!,"AAAAAHF/v6E=")</f>
        <v>#REF!</v>
      </c>
      <c r="FG171" t="e">
        <f>AND(#REF!,"AAAAAHF/v6I=")</f>
        <v>#REF!</v>
      </c>
      <c r="FH171" t="e">
        <f>AND(#REF!,"AAAAAHF/v6M=")</f>
        <v>#REF!</v>
      </c>
      <c r="FI171" t="e">
        <f>AND(#REF!,"AAAAAHF/v6Q=")</f>
        <v>#REF!</v>
      </c>
      <c r="FJ171" t="e">
        <f>AND(#REF!,"AAAAAHF/v6U=")</f>
        <v>#REF!</v>
      </c>
      <c r="FK171" t="e">
        <f>AND(#REF!,"AAAAAHF/v6Y=")</f>
        <v>#REF!</v>
      </c>
      <c r="FL171" t="e">
        <f>AND(#REF!,"AAAAAHF/v6c=")</f>
        <v>#REF!</v>
      </c>
      <c r="FM171" t="e">
        <f>AND(#REF!,"AAAAAHF/v6g=")</f>
        <v>#REF!</v>
      </c>
      <c r="FN171" t="e">
        <f>AND(#REF!,"AAAAAHF/v6k=")</f>
        <v>#REF!</v>
      </c>
      <c r="FO171" t="e">
        <f>AND(#REF!,"AAAAAHF/v6o=")</f>
        <v>#REF!</v>
      </c>
      <c r="FP171" t="e">
        <f>AND(#REF!,"AAAAAHF/v6s=")</f>
        <v>#REF!</v>
      </c>
      <c r="FQ171" t="e">
        <f>AND(#REF!,"AAAAAHF/v6w=")</f>
        <v>#REF!</v>
      </c>
      <c r="FR171" t="e">
        <f>AND(#REF!,"AAAAAHF/v60=")</f>
        <v>#REF!</v>
      </c>
      <c r="FS171" t="e">
        <f>AND(#REF!,"AAAAAHF/v64=")</f>
        <v>#REF!</v>
      </c>
      <c r="FT171" t="e">
        <f>AND(#REF!,"AAAAAHF/v68=")</f>
        <v>#REF!</v>
      </c>
      <c r="FU171" t="e">
        <f>AND(#REF!,"AAAAAHF/v7A=")</f>
        <v>#REF!</v>
      </c>
      <c r="FV171" t="e">
        <f>AND(#REF!,"AAAAAHF/v7E=")</f>
        <v>#REF!</v>
      </c>
      <c r="FW171" t="e">
        <f>AND(#REF!,"AAAAAHF/v7I=")</f>
        <v>#REF!</v>
      </c>
      <c r="FX171" t="e">
        <f>AND(#REF!,"AAAAAHF/v7M=")</f>
        <v>#REF!</v>
      </c>
      <c r="FY171" t="e">
        <f>AND(#REF!,"AAAAAHF/v7Q=")</f>
        <v>#REF!</v>
      </c>
      <c r="FZ171" t="e">
        <f>AND(#REF!,"AAAAAHF/v7U=")</f>
        <v>#REF!</v>
      </c>
      <c r="GA171" t="e">
        <f>AND(#REF!,"AAAAAHF/v7Y=")</f>
        <v>#REF!</v>
      </c>
      <c r="GB171" t="e">
        <f>AND(#REF!,"AAAAAHF/v7c=")</f>
        <v>#REF!</v>
      </c>
      <c r="GC171" t="e">
        <f>AND(#REF!,"AAAAAHF/v7g=")</f>
        <v>#REF!</v>
      </c>
      <c r="GD171" t="e">
        <f>AND(#REF!,"AAAAAHF/v7k=")</f>
        <v>#REF!</v>
      </c>
      <c r="GE171" t="e">
        <f>AND(#REF!,"AAAAAHF/v7o=")</f>
        <v>#REF!</v>
      </c>
      <c r="GF171" t="e">
        <f>AND(#REF!,"AAAAAHF/v7s=")</f>
        <v>#REF!</v>
      </c>
      <c r="GG171" t="e">
        <f>AND(#REF!,"AAAAAHF/v7w=")</f>
        <v>#REF!</v>
      </c>
      <c r="GH171" t="e">
        <f>AND(#REF!,"AAAAAHF/v70=")</f>
        <v>#REF!</v>
      </c>
      <c r="GI171" t="e">
        <f>AND(#REF!,"AAAAAHF/v74=")</f>
        <v>#REF!</v>
      </c>
      <c r="GJ171" t="e">
        <f>AND(#REF!,"AAAAAHF/v78=")</f>
        <v>#REF!</v>
      </c>
      <c r="GK171" t="e">
        <f>AND(#REF!,"AAAAAHF/v8A=")</f>
        <v>#REF!</v>
      </c>
      <c r="GL171" t="e">
        <f>AND(#REF!,"AAAAAHF/v8E=")</f>
        <v>#REF!</v>
      </c>
      <c r="GM171" t="e">
        <f>AND(#REF!,"AAAAAHF/v8I=")</f>
        <v>#REF!</v>
      </c>
      <c r="GN171" t="e">
        <f>AND(#REF!,"AAAAAHF/v8M=")</f>
        <v>#REF!</v>
      </c>
      <c r="GO171" t="e">
        <f>AND(#REF!,"AAAAAHF/v8Q=")</f>
        <v>#REF!</v>
      </c>
      <c r="GP171" t="e">
        <f>AND(#REF!,"AAAAAHF/v8U=")</f>
        <v>#REF!</v>
      </c>
      <c r="GQ171" t="e">
        <f>AND(#REF!,"AAAAAHF/v8Y=")</f>
        <v>#REF!</v>
      </c>
      <c r="GR171" t="e">
        <f>AND(#REF!,"AAAAAHF/v8c=")</f>
        <v>#REF!</v>
      </c>
      <c r="GS171" t="e">
        <f>AND(#REF!,"AAAAAHF/v8g=")</f>
        <v>#REF!</v>
      </c>
      <c r="GT171" t="e">
        <f>AND(#REF!,"AAAAAHF/v8k=")</f>
        <v>#REF!</v>
      </c>
      <c r="GU171" t="e">
        <f>AND(#REF!,"AAAAAHF/v8o=")</f>
        <v>#REF!</v>
      </c>
      <c r="GV171" t="e">
        <f>AND(#REF!,"AAAAAHF/v8s=")</f>
        <v>#REF!</v>
      </c>
      <c r="GW171" t="e">
        <f>AND(#REF!,"AAAAAHF/v8w=")</f>
        <v>#REF!</v>
      </c>
      <c r="GX171" t="e">
        <f>AND(#REF!,"AAAAAHF/v80=")</f>
        <v>#REF!</v>
      </c>
      <c r="GY171" t="e">
        <f>AND(#REF!,"AAAAAHF/v84=")</f>
        <v>#REF!</v>
      </c>
      <c r="GZ171" t="e">
        <f>AND(#REF!,"AAAAAHF/v88=")</f>
        <v>#REF!</v>
      </c>
      <c r="HA171" t="e">
        <f>AND(#REF!,"AAAAAHF/v9A=")</f>
        <v>#REF!</v>
      </c>
      <c r="HB171" t="e">
        <f>AND(#REF!,"AAAAAHF/v9E=")</f>
        <v>#REF!</v>
      </c>
      <c r="HC171" t="e">
        <f>AND(#REF!,"AAAAAHF/v9I=")</f>
        <v>#REF!</v>
      </c>
      <c r="HD171" t="e">
        <f>AND(#REF!,"AAAAAHF/v9M=")</f>
        <v>#REF!</v>
      </c>
      <c r="HE171" t="e">
        <f>AND(#REF!,"AAAAAHF/v9Q=")</f>
        <v>#REF!</v>
      </c>
      <c r="HF171" t="e">
        <f>AND(#REF!,"AAAAAHF/v9U=")</f>
        <v>#REF!</v>
      </c>
      <c r="HG171" t="e">
        <f>AND(#REF!,"AAAAAHF/v9Y=")</f>
        <v>#REF!</v>
      </c>
      <c r="HH171" t="e">
        <f>AND(#REF!,"AAAAAHF/v9c=")</f>
        <v>#REF!</v>
      </c>
      <c r="HI171" t="e">
        <f>AND(#REF!,"AAAAAHF/v9g=")</f>
        <v>#REF!</v>
      </c>
      <c r="HJ171" t="e">
        <f>AND(#REF!,"AAAAAHF/v9k=")</f>
        <v>#REF!</v>
      </c>
      <c r="HK171" t="e">
        <f>AND(#REF!,"AAAAAHF/v9o=")</f>
        <v>#REF!</v>
      </c>
      <c r="HL171" t="e">
        <f>AND(#REF!,"AAAAAHF/v9s=")</f>
        <v>#REF!</v>
      </c>
      <c r="HM171" t="e">
        <f>AND(#REF!,"AAAAAHF/v9w=")</f>
        <v>#REF!</v>
      </c>
      <c r="HN171" t="e">
        <f>AND(#REF!,"AAAAAHF/v90=")</f>
        <v>#REF!</v>
      </c>
      <c r="HO171" t="e">
        <f>AND(#REF!,"AAAAAHF/v94=")</f>
        <v>#REF!</v>
      </c>
      <c r="HP171" t="e">
        <f>AND(#REF!,"AAAAAHF/v98=")</f>
        <v>#REF!</v>
      </c>
      <c r="HQ171" t="e">
        <f>AND(#REF!,"AAAAAHF/v+A=")</f>
        <v>#REF!</v>
      </c>
      <c r="HR171" t="e">
        <f>AND(#REF!,"AAAAAHF/v+E=")</f>
        <v>#REF!</v>
      </c>
      <c r="HS171" t="e">
        <f>AND(#REF!,"AAAAAHF/v+I=")</f>
        <v>#REF!</v>
      </c>
      <c r="HT171" t="e">
        <f>AND(#REF!,"AAAAAHF/v+M=")</f>
        <v>#REF!</v>
      </c>
      <c r="HU171" t="e">
        <f>AND(#REF!,"AAAAAHF/v+Q=")</f>
        <v>#REF!</v>
      </c>
      <c r="HV171" t="e">
        <f>AND(#REF!,"AAAAAHF/v+U=")</f>
        <v>#REF!</v>
      </c>
      <c r="HW171" t="e">
        <f>AND(#REF!,"AAAAAHF/v+Y=")</f>
        <v>#REF!</v>
      </c>
      <c r="HX171" t="e">
        <f>AND(#REF!,"AAAAAHF/v+c=")</f>
        <v>#REF!</v>
      </c>
      <c r="HY171" t="e">
        <f>AND(#REF!,"AAAAAHF/v+g=")</f>
        <v>#REF!</v>
      </c>
      <c r="HZ171" t="e">
        <f>AND(#REF!,"AAAAAHF/v+k=")</f>
        <v>#REF!</v>
      </c>
      <c r="IA171" t="e">
        <f>AND(#REF!,"AAAAAHF/v+o=")</f>
        <v>#REF!</v>
      </c>
      <c r="IB171" t="e">
        <f>AND(#REF!,"AAAAAHF/v+s=")</f>
        <v>#REF!</v>
      </c>
      <c r="IC171" t="e">
        <f>AND(#REF!,"AAAAAHF/v+w=")</f>
        <v>#REF!</v>
      </c>
      <c r="ID171" t="e">
        <f>AND(#REF!,"AAAAAHF/v+0=")</f>
        <v>#REF!</v>
      </c>
      <c r="IE171" t="e">
        <f>AND(#REF!,"AAAAAHF/v+4=")</f>
        <v>#REF!</v>
      </c>
      <c r="IF171" t="e">
        <f>AND(#REF!,"AAAAAHF/v+8=")</f>
        <v>#REF!</v>
      </c>
      <c r="IG171" t="e">
        <f>AND(#REF!,"AAAAAHF/v/A=")</f>
        <v>#REF!</v>
      </c>
      <c r="IH171" t="e">
        <f>AND(#REF!,"AAAAAHF/v/E=")</f>
        <v>#REF!</v>
      </c>
      <c r="II171" t="e">
        <f>AND(#REF!,"AAAAAHF/v/I=")</f>
        <v>#REF!</v>
      </c>
      <c r="IJ171" t="e">
        <f>AND(#REF!,"AAAAAHF/v/M=")</f>
        <v>#REF!</v>
      </c>
      <c r="IK171" t="e">
        <f>AND(#REF!,"AAAAAHF/v/Q=")</f>
        <v>#REF!</v>
      </c>
      <c r="IL171" t="e">
        <f>AND(#REF!,"AAAAAHF/v/U=")</f>
        <v>#REF!</v>
      </c>
      <c r="IM171" t="e">
        <f>AND(#REF!,"AAAAAHF/v/Y=")</f>
        <v>#REF!</v>
      </c>
      <c r="IN171" t="e">
        <f>AND(#REF!,"AAAAAHF/v/c=")</f>
        <v>#REF!</v>
      </c>
      <c r="IO171" t="e">
        <f>AND(#REF!,"AAAAAHF/v/g=")</f>
        <v>#REF!</v>
      </c>
      <c r="IP171" t="e">
        <f>AND(#REF!,"AAAAAHF/v/k=")</f>
        <v>#REF!</v>
      </c>
      <c r="IQ171" t="e">
        <f>AND(#REF!,"AAAAAHF/v/o=")</f>
        <v>#REF!</v>
      </c>
      <c r="IR171" t="e">
        <f>AND(#REF!,"AAAAAHF/v/s=")</f>
        <v>#REF!</v>
      </c>
      <c r="IS171" t="e">
        <f>AND(#REF!,"AAAAAHF/v/w=")</f>
        <v>#REF!</v>
      </c>
      <c r="IT171" t="e">
        <f>AND(#REF!,"AAAAAHF/v/0=")</f>
        <v>#REF!</v>
      </c>
      <c r="IU171" t="e">
        <f>AND(#REF!,"AAAAAHF/v/4=")</f>
        <v>#REF!</v>
      </c>
      <c r="IV171" t="e">
        <f>AND(#REF!,"AAAAAHF/v/8=")</f>
        <v>#REF!</v>
      </c>
    </row>
    <row r="172" spans="1:256" x14ac:dyDescent="0.25">
      <c r="A172" t="e">
        <f>AND(#REF!,"AAAAAD/ntgA=")</f>
        <v>#REF!</v>
      </c>
      <c r="B172" t="e">
        <f>AND(#REF!,"AAAAAD/ntgE=")</f>
        <v>#REF!</v>
      </c>
      <c r="C172" t="e">
        <f>AND(#REF!,"AAAAAD/ntgI=")</f>
        <v>#REF!</v>
      </c>
      <c r="D172" t="e">
        <f>AND(#REF!,"AAAAAD/ntgM=")</f>
        <v>#REF!</v>
      </c>
      <c r="E172" t="e">
        <f>AND(#REF!,"AAAAAD/ntgQ=")</f>
        <v>#REF!</v>
      </c>
      <c r="F172" t="e">
        <f>AND(#REF!,"AAAAAD/ntgU=")</f>
        <v>#REF!</v>
      </c>
      <c r="G172" t="e">
        <f>AND(#REF!,"AAAAAD/ntgY=")</f>
        <v>#REF!</v>
      </c>
      <c r="H172" t="e">
        <f>AND(#REF!,"AAAAAD/ntgc=")</f>
        <v>#REF!</v>
      </c>
      <c r="I172" t="e">
        <f>AND(#REF!,"AAAAAD/ntgg=")</f>
        <v>#REF!</v>
      </c>
      <c r="J172" t="e">
        <f>AND(#REF!,"AAAAAD/ntgk=")</f>
        <v>#REF!</v>
      </c>
      <c r="K172" t="e">
        <f>AND(#REF!,"AAAAAD/ntgo=")</f>
        <v>#REF!</v>
      </c>
      <c r="L172" t="e">
        <f>AND(#REF!,"AAAAAD/ntgs=")</f>
        <v>#REF!</v>
      </c>
      <c r="M172" t="e">
        <f>AND(#REF!,"AAAAAD/ntgw=")</f>
        <v>#REF!</v>
      </c>
      <c r="N172" t="e">
        <f>AND(#REF!,"AAAAAD/ntg0=")</f>
        <v>#REF!</v>
      </c>
      <c r="O172" t="e">
        <f>AND(#REF!,"AAAAAD/ntg4=")</f>
        <v>#REF!</v>
      </c>
      <c r="P172" t="e">
        <f>AND(#REF!,"AAAAAD/ntg8=")</f>
        <v>#REF!</v>
      </c>
      <c r="Q172" t="e">
        <f>AND(#REF!,"AAAAAD/nthA=")</f>
        <v>#REF!</v>
      </c>
      <c r="R172" t="e">
        <f>AND(#REF!,"AAAAAD/nthE=")</f>
        <v>#REF!</v>
      </c>
      <c r="S172" t="e">
        <f>AND(#REF!,"AAAAAD/nthI=")</f>
        <v>#REF!</v>
      </c>
      <c r="T172" t="e">
        <f>AND(#REF!,"AAAAAD/nthM=")</f>
        <v>#REF!</v>
      </c>
      <c r="U172" t="e">
        <f>AND(#REF!,"AAAAAD/nthQ=")</f>
        <v>#REF!</v>
      </c>
      <c r="V172" t="e">
        <f>AND(#REF!,"AAAAAD/nthU=")</f>
        <v>#REF!</v>
      </c>
      <c r="W172" t="e">
        <f>AND(#REF!,"AAAAAD/nthY=")</f>
        <v>#REF!</v>
      </c>
      <c r="X172" t="e">
        <f>AND(#REF!,"AAAAAD/nthc=")</f>
        <v>#REF!</v>
      </c>
      <c r="Y172" t="e">
        <f>AND(#REF!,"AAAAAD/nthg=")</f>
        <v>#REF!</v>
      </c>
      <c r="Z172" t="e">
        <f>AND(#REF!,"AAAAAD/nthk=")</f>
        <v>#REF!</v>
      </c>
      <c r="AA172" t="e">
        <f>AND(#REF!,"AAAAAD/ntho=")</f>
        <v>#REF!</v>
      </c>
      <c r="AB172" t="e">
        <f>AND(#REF!,"AAAAAD/nths=")</f>
        <v>#REF!</v>
      </c>
      <c r="AC172" t="e">
        <f>IF(#REF!,"AAAAAD/nthw=",0)</f>
        <v>#REF!</v>
      </c>
      <c r="AD172" t="e">
        <f>AND(#REF!,"AAAAAD/nth0=")</f>
        <v>#REF!</v>
      </c>
      <c r="AE172" t="e">
        <f>AND(#REF!,"AAAAAD/nth4=")</f>
        <v>#REF!</v>
      </c>
      <c r="AF172" t="e">
        <f>AND(#REF!,"AAAAAD/nth8=")</f>
        <v>#REF!</v>
      </c>
      <c r="AG172" t="e">
        <f>AND(#REF!,"AAAAAD/ntiA=")</f>
        <v>#REF!</v>
      </c>
      <c r="AH172" t="e">
        <f>AND(#REF!,"AAAAAD/ntiE=")</f>
        <v>#REF!</v>
      </c>
      <c r="AI172" t="e">
        <f>AND(#REF!,"AAAAAD/ntiI=")</f>
        <v>#REF!</v>
      </c>
      <c r="AJ172" t="e">
        <f>AND(#REF!,"AAAAAD/ntiM=")</f>
        <v>#REF!</v>
      </c>
      <c r="AK172" t="e">
        <f>AND(#REF!,"AAAAAD/ntiQ=")</f>
        <v>#REF!</v>
      </c>
      <c r="AL172" t="e">
        <f>AND(#REF!,"AAAAAD/ntiU=")</f>
        <v>#REF!</v>
      </c>
      <c r="AM172" t="e">
        <f>AND(#REF!,"AAAAAD/ntiY=")</f>
        <v>#REF!</v>
      </c>
      <c r="AN172" t="e">
        <f>AND(#REF!,"AAAAAD/ntic=")</f>
        <v>#REF!</v>
      </c>
      <c r="AO172" t="e">
        <f>AND(#REF!,"AAAAAD/ntig=")</f>
        <v>#REF!</v>
      </c>
      <c r="AP172" t="e">
        <f>AND(#REF!,"AAAAAD/ntik=")</f>
        <v>#REF!</v>
      </c>
      <c r="AQ172" t="e">
        <f>AND(#REF!,"AAAAAD/ntio=")</f>
        <v>#REF!</v>
      </c>
      <c r="AR172" t="e">
        <f>AND(#REF!,"AAAAAD/ntis=")</f>
        <v>#REF!</v>
      </c>
      <c r="AS172" t="e">
        <f>AND(#REF!,"AAAAAD/ntiw=")</f>
        <v>#REF!</v>
      </c>
      <c r="AT172" t="e">
        <f>AND(#REF!,"AAAAAD/nti0=")</f>
        <v>#REF!</v>
      </c>
      <c r="AU172" t="e">
        <f>AND(#REF!,"AAAAAD/nti4=")</f>
        <v>#REF!</v>
      </c>
      <c r="AV172" t="e">
        <f>AND(#REF!,"AAAAAD/nti8=")</f>
        <v>#REF!</v>
      </c>
      <c r="AW172" t="e">
        <f>AND(#REF!,"AAAAAD/ntjA=")</f>
        <v>#REF!</v>
      </c>
      <c r="AX172" t="e">
        <f>AND(#REF!,"AAAAAD/ntjE=")</f>
        <v>#REF!</v>
      </c>
      <c r="AY172" t="e">
        <f>AND(#REF!,"AAAAAD/ntjI=")</f>
        <v>#REF!</v>
      </c>
      <c r="AZ172" t="e">
        <f>AND(#REF!,"AAAAAD/ntjM=")</f>
        <v>#REF!</v>
      </c>
      <c r="BA172" t="e">
        <f>AND(#REF!,"AAAAAD/ntjQ=")</f>
        <v>#REF!</v>
      </c>
      <c r="BB172" t="e">
        <f>AND(#REF!,"AAAAAD/ntjU=")</f>
        <v>#REF!</v>
      </c>
      <c r="BC172" t="e">
        <f>AND(#REF!,"AAAAAD/ntjY=")</f>
        <v>#REF!</v>
      </c>
      <c r="BD172" t="e">
        <f>AND(#REF!,"AAAAAD/ntjc=")</f>
        <v>#REF!</v>
      </c>
      <c r="BE172" t="e">
        <f>AND(#REF!,"AAAAAD/ntjg=")</f>
        <v>#REF!</v>
      </c>
      <c r="BF172" t="e">
        <f>AND(#REF!,"AAAAAD/ntjk=")</f>
        <v>#REF!</v>
      </c>
      <c r="BG172" t="e">
        <f>AND(#REF!,"AAAAAD/ntjo=")</f>
        <v>#REF!</v>
      </c>
      <c r="BH172" t="e">
        <f>AND(#REF!,"AAAAAD/ntjs=")</f>
        <v>#REF!</v>
      </c>
      <c r="BI172" t="e">
        <f>AND(#REF!,"AAAAAD/ntjw=")</f>
        <v>#REF!</v>
      </c>
      <c r="BJ172" t="e">
        <f>AND(#REF!,"AAAAAD/ntj0=")</f>
        <v>#REF!</v>
      </c>
      <c r="BK172" t="e">
        <f>AND(#REF!,"AAAAAD/ntj4=")</f>
        <v>#REF!</v>
      </c>
      <c r="BL172" t="e">
        <f>AND(#REF!,"AAAAAD/ntj8=")</f>
        <v>#REF!</v>
      </c>
      <c r="BM172" t="e">
        <f>AND(#REF!,"AAAAAD/ntkA=")</f>
        <v>#REF!</v>
      </c>
      <c r="BN172" t="e">
        <f>AND(#REF!,"AAAAAD/ntkE=")</f>
        <v>#REF!</v>
      </c>
      <c r="BO172" t="e">
        <f>AND(#REF!,"AAAAAD/ntkI=")</f>
        <v>#REF!</v>
      </c>
      <c r="BP172" t="e">
        <f>AND(#REF!,"AAAAAD/ntkM=")</f>
        <v>#REF!</v>
      </c>
      <c r="BQ172" t="e">
        <f>AND(#REF!,"AAAAAD/ntkQ=")</f>
        <v>#REF!</v>
      </c>
      <c r="BR172" t="e">
        <f>AND(#REF!,"AAAAAD/ntkU=")</f>
        <v>#REF!</v>
      </c>
      <c r="BS172" t="e">
        <f>AND(#REF!,"AAAAAD/ntkY=")</f>
        <v>#REF!</v>
      </c>
      <c r="BT172" t="e">
        <f>AND(#REF!,"AAAAAD/ntkc=")</f>
        <v>#REF!</v>
      </c>
      <c r="BU172" t="e">
        <f>AND(#REF!,"AAAAAD/ntkg=")</f>
        <v>#REF!</v>
      </c>
      <c r="BV172" t="e">
        <f>AND(#REF!,"AAAAAD/ntkk=")</f>
        <v>#REF!</v>
      </c>
      <c r="BW172" t="e">
        <f>AND(#REF!,"AAAAAD/ntko=")</f>
        <v>#REF!</v>
      </c>
      <c r="BX172" t="e">
        <f>AND(#REF!,"AAAAAD/ntks=")</f>
        <v>#REF!</v>
      </c>
      <c r="BY172" t="e">
        <f>AND(#REF!,"AAAAAD/ntkw=")</f>
        <v>#REF!</v>
      </c>
      <c r="BZ172" t="e">
        <f>AND(#REF!,"AAAAAD/ntk0=")</f>
        <v>#REF!</v>
      </c>
      <c r="CA172" t="e">
        <f>AND(#REF!,"AAAAAD/ntk4=")</f>
        <v>#REF!</v>
      </c>
      <c r="CB172" t="e">
        <f>AND(#REF!,"AAAAAD/ntk8=")</f>
        <v>#REF!</v>
      </c>
      <c r="CC172" t="e">
        <f>AND(#REF!,"AAAAAD/ntlA=")</f>
        <v>#REF!</v>
      </c>
      <c r="CD172" t="e">
        <f>AND(#REF!,"AAAAAD/ntlE=")</f>
        <v>#REF!</v>
      </c>
      <c r="CE172" t="e">
        <f>AND(#REF!,"AAAAAD/ntlI=")</f>
        <v>#REF!</v>
      </c>
      <c r="CF172" t="e">
        <f>AND(#REF!,"AAAAAD/ntlM=")</f>
        <v>#REF!</v>
      </c>
      <c r="CG172" t="e">
        <f>AND(#REF!,"AAAAAD/ntlQ=")</f>
        <v>#REF!</v>
      </c>
      <c r="CH172" t="e">
        <f>AND(#REF!,"AAAAAD/ntlU=")</f>
        <v>#REF!</v>
      </c>
      <c r="CI172" t="e">
        <f>AND(#REF!,"AAAAAD/ntlY=")</f>
        <v>#REF!</v>
      </c>
      <c r="CJ172" t="e">
        <f>AND(#REF!,"AAAAAD/ntlc=")</f>
        <v>#REF!</v>
      </c>
      <c r="CK172" t="e">
        <f>AND(#REF!,"AAAAAD/ntlg=")</f>
        <v>#REF!</v>
      </c>
      <c r="CL172" t="e">
        <f>AND(#REF!,"AAAAAD/ntlk=")</f>
        <v>#REF!</v>
      </c>
      <c r="CM172" t="e">
        <f>AND(#REF!,"AAAAAD/ntlo=")</f>
        <v>#REF!</v>
      </c>
      <c r="CN172" t="e">
        <f>AND(#REF!,"AAAAAD/ntls=")</f>
        <v>#REF!</v>
      </c>
      <c r="CO172" t="e">
        <f>AND(#REF!,"AAAAAD/ntlw=")</f>
        <v>#REF!</v>
      </c>
      <c r="CP172" t="e">
        <f>AND(#REF!,"AAAAAD/ntl0=")</f>
        <v>#REF!</v>
      </c>
      <c r="CQ172" t="e">
        <f>AND(#REF!,"AAAAAD/ntl4=")</f>
        <v>#REF!</v>
      </c>
      <c r="CR172" t="e">
        <f>AND(#REF!,"AAAAAD/ntl8=")</f>
        <v>#REF!</v>
      </c>
      <c r="CS172" t="e">
        <f>AND(#REF!,"AAAAAD/ntmA=")</f>
        <v>#REF!</v>
      </c>
      <c r="CT172" t="e">
        <f>AND(#REF!,"AAAAAD/ntmE=")</f>
        <v>#REF!</v>
      </c>
      <c r="CU172" t="e">
        <f>AND(#REF!,"AAAAAD/ntmI=")</f>
        <v>#REF!</v>
      </c>
      <c r="CV172" t="e">
        <f>AND(#REF!,"AAAAAD/ntmM=")</f>
        <v>#REF!</v>
      </c>
      <c r="CW172" t="e">
        <f>AND(#REF!,"AAAAAD/ntmQ=")</f>
        <v>#REF!</v>
      </c>
      <c r="CX172" t="e">
        <f>AND(#REF!,"AAAAAD/ntmU=")</f>
        <v>#REF!</v>
      </c>
      <c r="CY172" t="e">
        <f>AND(#REF!,"AAAAAD/ntmY=")</f>
        <v>#REF!</v>
      </c>
      <c r="CZ172" t="e">
        <f>AND(#REF!,"AAAAAD/ntmc=")</f>
        <v>#REF!</v>
      </c>
      <c r="DA172" t="e">
        <f>AND(#REF!,"AAAAAD/ntmg=")</f>
        <v>#REF!</v>
      </c>
      <c r="DB172" t="e">
        <f>AND(#REF!,"AAAAAD/ntmk=")</f>
        <v>#REF!</v>
      </c>
      <c r="DC172" t="e">
        <f>AND(#REF!,"AAAAAD/ntmo=")</f>
        <v>#REF!</v>
      </c>
      <c r="DD172" t="e">
        <f>AND(#REF!,"AAAAAD/ntms=")</f>
        <v>#REF!</v>
      </c>
      <c r="DE172" t="e">
        <f>AND(#REF!,"AAAAAD/ntmw=")</f>
        <v>#REF!</v>
      </c>
      <c r="DF172" t="e">
        <f>AND(#REF!,"AAAAAD/ntm0=")</f>
        <v>#REF!</v>
      </c>
      <c r="DG172" t="e">
        <f>AND(#REF!,"AAAAAD/ntm4=")</f>
        <v>#REF!</v>
      </c>
      <c r="DH172" t="e">
        <f>AND(#REF!,"AAAAAD/ntm8=")</f>
        <v>#REF!</v>
      </c>
      <c r="DI172" t="e">
        <f>AND(#REF!,"AAAAAD/ntnA=")</f>
        <v>#REF!</v>
      </c>
      <c r="DJ172" t="e">
        <f>AND(#REF!,"AAAAAD/ntnE=")</f>
        <v>#REF!</v>
      </c>
      <c r="DK172" t="e">
        <f>AND(#REF!,"AAAAAD/ntnI=")</f>
        <v>#REF!</v>
      </c>
      <c r="DL172" t="e">
        <f>AND(#REF!,"AAAAAD/ntnM=")</f>
        <v>#REF!</v>
      </c>
      <c r="DM172" t="e">
        <f>AND(#REF!,"AAAAAD/ntnQ=")</f>
        <v>#REF!</v>
      </c>
      <c r="DN172" t="e">
        <f>AND(#REF!,"AAAAAD/ntnU=")</f>
        <v>#REF!</v>
      </c>
      <c r="DO172" t="e">
        <f>AND(#REF!,"AAAAAD/ntnY=")</f>
        <v>#REF!</v>
      </c>
      <c r="DP172" t="e">
        <f>AND(#REF!,"AAAAAD/ntnc=")</f>
        <v>#REF!</v>
      </c>
      <c r="DQ172" t="e">
        <f>AND(#REF!,"AAAAAD/ntng=")</f>
        <v>#REF!</v>
      </c>
      <c r="DR172" t="e">
        <f>AND(#REF!,"AAAAAD/ntnk=")</f>
        <v>#REF!</v>
      </c>
      <c r="DS172" t="e">
        <f>AND(#REF!,"AAAAAD/ntno=")</f>
        <v>#REF!</v>
      </c>
      <c r="DT172" t="e">
        <f>AND(#REF!,"AAAAAD/ntns=")</f>
        <v>#REF!</v>
      </c>
      <c r="DU172" t="e">
        <f>AND(#REF!,"AAAAAD/ntnw=")</f>
        <v>#REF!</v>
      </c>
      <c r="DV172" t="e">
        <f>AND(#REF!,"AAAAAD/ntn0=")</f>
        <v>#REF!</v>
      </c>
      <c r="DW172" t="e">
        <f>AND(#REF!,"AAAAAD/ntn4=")</f>
        <v>#REF!</v>
      </c>
      <c r="DX172" t="e">
        <f>AND(#REF!,"AAAAAD/ntn8=")</f>
        <v>#REF!</v>
      </c>
      <c r="DY172" t="e">
        <f>AND(#REF!,"AAAAAD/ntoA=")</f>
        <v>#REF!</v>
      </c>
      <c r="DZ172" t="e">
        <f>AND(#REF!,"AAAAAD/ntoE=")</f>
        <v>#REF!</v>
      </c>
      <c r="EA172" t="e">
        <f>AND(#REF!,"AAAAAD/ntoI=")</f>
        <v>#REF!</v>
      </c>
      <c r="EB172" t="e">
        <f>AND(#REF!,"AAAAAD/ntoM=")</f>
        <v>#REF!</v>
      </c>
      <c r="EC172" t="e">
        <f>AND(#REF!,"AAAAAD/ntoQ=")</f>
        <v>#REF!</v>
      </c>
      <c r="ED172" t="e">
        <f>AND(#REF!,"AAAAAD/ntoU=")</f>
        <v>#REF!</v>
      </c>
      <c r="EE172" t="e">
        <f>AND(#REF!,"AAAAAD/ntoY=")</f>
        <v>#REF!</v>
      </c>
      <c r="EF172" t="e">
        <f>AND(#REF!,"AAAAAD/ntoc=")</f>
        <v>#REF!</v>
      </c>
      <c r="EG172" t="e">
        <f>AND(#REF!,"AAAAAD/ntog=")</f>
        <v>#REF!</v>
      </c>
      <c r="EH172" t="e">
        <f>AND(#REF!,"AAAAAD/ntok=")</f>
        <v>#REF!</v>
      </c>
      <c r="EI172" t="e">
        <f>AND(#REF!,"AAAAAD/ntoo=")</f>
        <v>#REF!</v>
      </c>
      <c r="EJ172" t="e">
        <f>AND(#REF!,"AAAAAD/ntos=")</f>
        <v>#REF!</v>
      </c>
      <c r="EK172" t="e">
        <f>AND(#REF!,"AAAAAD/ntow=")</f>
        <v>#REF!</v>
      </c>
      <c r="EL172" t="e">
        <f>AND(#REF!,"AAAAAD/nto0=")</f>
        <v>#REF!</v>
      </c>
      <c r="EM172" t="e">
        <f>AND(#REF!,"AAAAAD/nto4=")</f>
        <v>#REF!</v>
      </c>
      <c r="EN172" t="e">
        <f>AND(#REF!,"AAAAAD/nto8=")</f>
        <v>#REF!</v>
      </c>
      <c r="EO172" t="e">
        <f>AND(#REF!,"AAAAAD/ntpA=")</f>
        <v>#REF!</v>
      </c>
      <c r="EP172" t="e">
        <f>AND(#REF!,"AAAAAD/ntpE=")</f>
        <v>#REF!</v>
      </c>
      <c r="EQ172" t="e">
        <f>AND(#REF!,"AAAAAD/ntpI=")</f>
        <v>#REF!</v>
      </c>
      <c r="ER172" t="e">
        <f>AND(#REF!,"AAAAAD/ntpM=")</f>
        <v>#REF!</v>
      </c>
      <c r="ES172" t="e">
        <f>AND(#REF!,"AAAAAD/ntpQ=")</f>
        <v>#REF!</v>
      </c>
      <c r="ET172" t="e">
        <f>AND(#REF!,"AAAAAD/ntpU=")</f>
        <v>#REF!</v>
      </c>
      <c r="EU172" t="e">
        <f>AND(#REF!,"AAAAAD/ntpY=")</f>
        <v>#REF!</v>
      </c>
      <c r="EV172" t="e">
        <f>AND(#REF!,"AAAAAD/ntpc=")</f>
        <v>#REF!</v>
      </c>
      <c r="EW172" t="e">
        <f>AND(#REF!,"AAAAAD/ntpg=")</f>
        <v>#REF!</v>
      </c>
      <c r="EX172" t="e">
        <f>AND(#REF!,"AAAAAD/ntpk=")</f>
        <v>#REF!</v>
      </c>
      <c r="EY172" t="e">
        <f>AND(#REF!,"AAAAAD/ntpo=")</f>
        <v>#REF!</v>
      </c>
      <c r="EZ172" t="e">
        <f>AND(#REF!,"AAAAAD/ntps=")</f>
        <v>#REF!</v>
      </c>
      <c r="FA172" t="e">
        <f>AND(#REF!,"AAAAAD/ntpw=")</f>
        <v>#REF!</v>
      </c>
      <c r="FB172" t="e">
        <f>AND(#REF!,"AAAAAD/ntp0=")</f>
        <v>#REF!</v>
      </c>
      <c r="FC172" t="e">
        <f>AND(#REF!,"AAAAAD/ntp4=")</f>
        <v>#REF!</v>
      </c>
      <c r="FD172" t="e">
        <f>AND(#REF!,"AAAAAD/ntp8=")</f>
        <v>#REF!</v>
      </c>
      <c r="FE172" t="e">
        <f>AND(#REF!,"AAAAAD/ntqA=")</f>
        <v>#REF!</v>
      </c>
      <c r="FF172" t="e">
        <f>AND(#REF!,"AAAAAD/ntqE=")</f>
        <v>#REF!</v>
      </c>
      <c r="FG172" t="e">
        <f>AND(#REF!,"AAAAAD/ntqI=")</f>
        <v>#REF!</v>
      </c>
      <c r="FH172" t="e">
        <f>AND(#REF!,"AAAAAD/ntqM=")</f>
        <v>#REF!</v>
      </c>
      <c r="FI172" t="e">
        <f>AND(#REF!,"AAAAAD/ntqQ=")</f>
        <v>#REF!</v>
      </c>
      <c r="FJ172" t="e">
        <f>AND(#REF!,"AAAAAD/ntqU=")</f>
        <v>#REF!</v>
      </c>
      <c r="FK172" t="e">
        <f>AND(#REF!,"AAAAAD/ntqY=")</f>
        <v>#REF!</v>
      </c>
      <c r="FL172" t="e">
        <f>AND(#REF!,"AAAAAD/ntqc=")</f>
        <v>#REF!</v>
      </c>
      <c r="FM172" t="e">
        <f>AND(#REF!,"AAAAAD/ntqg=")</f>
        <v>#REF!</v>
      </c>
      <c r="FN172" t="e">
        <f>AND(#REF!,"AAAAAD/ntqk=")</f>
        <v>#REF!</v>
      </c>
      <c r="FO172" t="e">
        <f>AND(#REF!,"AAAAAD/ntqo=")</f>
        <v>#REF!</v>
      </c>
      <c r="FP172" t="e">
        <f>AND(#REF!,"AAAAAD/ntqs=")</f>
        <v>#REF!</v>
      </c>
      <c r="FQ172" t="e">
        <f>AND(#REF!,"AAAAAD/ntqw=")</f>
        <v>#REF!</v>
      </c>
      <c r="FR172" t="e">
        <f>AND(#REF!,"AAAAAD/ntq0=")</f>
        <v>#REF!</v>
      </c>
      <c r="FS172" t="e">
        <f>AND(#REF!,"AAAAAD/ntq4=")</f>
        <v>#REF!</v>
      </c>
      <c r="FT172" t="e">
        <f>AND(#REF!,"AAAAAD/ntq8=")</f>
        <v>#REF!</v>
      </c>
      <c r="FU172" t="e">
        <f>AND(#REF!,"AAAAAD/ntrA=")</f>
        <v>#REF!</v>
      </c>
      <c r="FV172" t="e">
        <f>AND(#REF!,"AAAAAD/ntrE=")</f>
        <v>#REF!</v>
      </c>
      <c r="FW172" t="e">
        <f>AND(#REF!,"AAAAAD/ntrI=")</f>
        <v>#REF!</v>
      </c>
      <c r="FX172" t="e">
        <f>AND(#REF!,"AAAAAD/ntrM=")</f>
        <v>#REF!</v>
      </c>
      <c r="FY172" t="e">
        <f>AND(#REF!,"AAAAAD/ntrQ=")</f>
        <v>#REF!</v>
      </c>
      <c r="FZ172" t="e">
        <f>AND(#REF!,"AAAAAD/ntrU=")</f>
        <v>#REF!</v>
      </c>
      <c r="GA172" t="e">
        <f>AND(#REF!,"AAAAAD/ntrY=")</f>
        <v>#REF!</v>
      </c>
      <c r="GB172" t="e">
        <f>AND(#REF!,"AAAAAD/ntrc=")</f>
        <v>#REF!</v>
      </c>
      <c r="GC172" t="e">
        <f>AND(#REF!,"AAAAAD/ntrg=")</f>
        <v>#REF!</v>
      </c>
      <c r="GD172" t="e">
        <f>AND(#REF!,"AAAAAD/ntrk=")</f>
        <v>#REF!</v>
      </c>
      <c r="GE172" t="e">
        <f>AND(#REF!,"AAAAAD/ntro=")</f>
        <v>#REF!</v>
      </c>
      <c r="GF172" t="e">
        <f>AND(#REF!,"AAAAAD/ntrs=")</f>
        <v>#REF!</v>
      </c>
      <c r="GG172" t="e">
        <f>AND(#REF!,"AAAAAD/ntrw=")</f>
        <v>#REF!</v>
      </c>
      <c r="GH172" t="e">
        <f>AND(#REF!,"AAAAAD/ntr0=")</f>
        <v>#REF!</v>
      </c>
      <c r="GI172" t="e">
        <f>AND(#REF!,"AAAAAD/ntr4=")</f>
        <v>#REF!</v>
      </c>
      <c r="GJ172" t="e">
        <f>AND(#REF!,"AAAAAD/ntr8=")</f>
        <v>#REF!</v>
      </c>
      <c r="GK172" t="e">
        <f>AND(#REF!,"AAAAAD/ntsA=")</f>
        <v>#REF!</v>
      </c>
      <c r="GL172" t="e">
        <f>AND(#REF!,"AAAAAD/ntsE=")</f>
        <v>#REF!</v>
      </c>
      <c r="GM172" t="e">
        <f>AND(#REF!,"AAAAAD/ntsI=")</f>
        <v>#REF!</v>
      </c>
      <c r="GN172" t="e">
        <f>AND(#REF!,"AAAAAD/ntsM=")</f>
        <v>#REF!</v>
      </c>
      <c r="GO172" t="e">
        <f>AND(#REF!,"AAAAAD/ntsQ=")</f>
        <v>#REF!</v>
      </c>
      <c r="GP172" t="e">
        <f>AND(#REF!,"AAAAAD/ntsU=")</f>
        <v>#REF!</v>
      </c>
      <c r="GQ172" t="e">
        <f>AND(#REF!,"AAAAAD/ntsY=")</f>
        <v>#REF!</v>
      </c>
      <c r="GR172" t="e">
        <f>AND(#REF!,"AAAAAD/ntsc=")</f>
        <v>#REF!</v>
      </c>
      <c r="GS172" t="e">
        <f>AND(#REF!,"AAAAAD/ntsg=")</f>
        <v>#REF!</v>
      </c>
      <c r="GT172" t="e">
        <f>AND(#REF!,"AAAAAD/ntsk=")</f>
        <v>#REF!</v>
      </c>
      <c r="GU172" t="e">
        <f>AND(#REF!,"AAAAAD/ntso=")</f>
        <v>#REF!</v>
      </c>
      <c r="GV172" t="e">
        <f>AND(#REF!,"AAAAAD/ntss=")</f>
        <v>#REF!</v>
      </c>
      <c r="GW172" t="e">
        <f>AND(#REF!,"AAAAAD/ntsw=")</f>
        <v>#REF!</v>
      </c>
      <c r="GX172" t="e">
        <f>AND(#REF!,"AAAAAD/nts0=")</f>
        <v>#REF!</v>
      </c>
      <c r="GY172" t="e">
        <f>AND(#REF!,"AAAAAD/nts4=")</f>
        <v>#REF!</v>
      </c>
      <c r="GZ172" t="e">
        <f>AND(#REF!,"AAAAAD/nts8=")</f>
        <v>#REF!</v>
      </c>
      <c r="HA172" t="e">
        <f>AND(#REF!,"AAAAAD/nttA=")</f>
        <v>#REF!</v>
      </c>
      <c r="HB172" t="e">
        <f>AND(#REF!,"AAAAAD/nttE=")</f>
        <v>#REF!</v>
      </c>
      <c r="HC172" t="e">
        <f>AND(#REF!,"AAAAAD/nttI=")</f>
        <v>#REF!</v>
      </c>
      <c r="HD172" t="e">
        <f>AND(#REF!,"AAAAAD/nttM=")</f>
        <v>#REF!</v>
      </c>
      <c r="HE172" t="e">
        <f>AND(#REF!,"AAAAAD/nttQ=")</f>
        <v>#REF!</v>
      </c>
      <c r="HF172" t="e">
        <f>AND(#REF!,"AAAAAD/nttU=")</f>
        <v>#REF!</v>
      </c>
      <c r="HG172" t="e">
        <f>AND(#REF!,"AAAAAD/nttY=")</f>
        <v>#REF!</v>
      </c>
      <c r="HH172" t="e">
        <f>AND(#REF!,"AAAAAD/nttc=")</f>
        <v>#REF!</v>
      </c>
      <c r="HI172" t="e">
        <f>AND(#REF!,"AAAAAD/nttg=")</f>
        <v>#REF!</v>
      </c>
      <c r="HJ172" t="e">
        <f>IF(#REF!,"AAAAAD/nttk=",0)</f>
        <v>#REF!</v>
      </c>
      <c r="HK172" t="e">
        <f>AND(#REF!,"AAAAAD/ntto=")</f>
        <v>#REF!</v>
      </c>
      <c r="HL172" t="e">
        <f>AND(#REF!,"AAAAAD/ntts=")</f>
        <v>#REF!</v>
      </c>
      <c r="HM172" t="e">
        <f>AND(#REF!,"AAAAAD/nttw=")</f>
        <v>#REF!</v>
      </c>
      <c r="HN172" t="e">
        <f>AND(#REF!,"AAAAAD/ntt0=")</f>
        <v>#REF!</v>
      </c>
      <c r="HO172" t="e">
        <f>AND(#REF!,"AAAAAD/ntt4=")</f>
        <v>#REF!</v>
      </c>
      <c r="HP172" t="e">
        <f>AND(#REF!,"AAAAAD/ntt8=")</f>
        <v>#REF!</v>
      </c>
      <c r="HQ172" t="e">
        <f>AND(#REF!,"AAAAAD/ntuA=")</f>
        <v>#REF!</v>
      </c>
      <c r="HR172" t="e">
        <f>AND(#REF!,"AAAAAD/ntuE=")</f>
        <v>#REF!</v>
      </c>
      <c r="HS172" t="e">
        <f>AND(#REF!,"AAAAAD/ntuI=")</f>
        <v>#REF!</v>
      </c>
      <c r="HT172" t="e">
        <f>AND(#REF!,"AAAAAD/ntuM=")</f>
        <v>#REF!</v>
      </c>
      <c r="HU172" t="e">
        <f>AND(#REF!,"AAAAAD/ntuQ=")</f>
        <v>#REF!</v>
      </c>
      <c r="HV172" t="e">
        <f>AND(#REF!,"AAAAAD/ntuU=")</f>
        <v>#REF!</v>
      </c>
      <c r="HW172" t="e">
        <f>AND(#REF!,"AAAAAD/ntuY=")</f>
        <v>#REF!</v>
      </c>
      <c r="HX172" t="e">
        <f>AND(#REF!,"AAAAAD/ntuc=")</f>
        <v>#REF!</v>
      </c>
      <c r="HY172" t="e">
        <f>AND(#REF!,"AAAAAD/ntug=")</f>
        <v>#REF!</v>
      </c>
      <c r="HZ172" t="e">
        <f>AND(#REF!,"AAAAAD/ntuk=")</f>
        <v>#REF!</v>
      </c>
      <c r="IA172" t="e">
        <f>AND(#REF!,"AAAAAD/ntuo=")</f>
        <v>#REF!</v>
      </c>
      <c r="IB172" t="e">
        <f>AND(#REF!,"AAAAAD/ntus=")</f>
        <v>#REF!</v>
      </c>
      <c r="IC172" t="e">
        <f>AND(#REF!,"AAAAAD/ntuw=")</f>
        <v>#REF!</v>
      </c>
      <c r="ID172" t="e">
        <f>AND(#REF!,"AAAAAD/ntu0=")</f>
        <v>#REF!</v>
      </c>
      <c r="IE172" t="e">
        <f>AND(#REF!,"AAAAAD/ntu4=")</f>
        <v>#REF!</v>
      </c>
      <c r="IF172" t="e">
        <f>AND(#REF!,"AAAAAD/ntu8=")</f>
        <v>#REF!</v>
      </c>
      <c r="IG172" t="e">
        <f>AND(#REF!,"AAAAAD/ntvA=")</f>
        <v>#REF!</v>
      </c>
      <c r="IH172" t="e">
        <f>AND(#REF!,"AAAAAD/ntvE=")</f>
        <v>#REF!</v>
      </c>
      <c r="II172" t="e">
        <f>AND(#REF!,"AAAAAD/ntvI=")</f>
        <v>#REF!</v>
      </c>
      <c r="IJ172" t="e">
        <f>AND(#REF!,"AAAAAD/ntvM=")</f>
        <v>#REF!</v>
      </c>
      <c r="IK172" t="e">
        <f>AND(#REF!,"AAAAAD/ntvQ=")</f>
        <v>#REF!</v>
      </c>
      <c r="IL172" t="e">
        <f>AND(#REF!,"AAAAAD/ntvU=")</f>
        <v>#REF!</v>
      </c>
      <c r="IM172" t="e">
        <f>AND(#REF!,"AAAAAD/ntvY=")</f>
        <v>#REF!</v>
      </c>
      <c r="IN172" t="e">
        <f>AND(#REF!,"AAAAAD/ntvc=")</f>
        <v>#REF!</v>
      </c>
      <c r="IO172" t="e">
        <f>AND(#REF!,"AAAAAD/ntvg=")</f>
        <v>#REF!</v>
      </c>
      <c r="IP172" t="e">
        <f>AND(#REF!,"AAAAAD/ntvk=")</f>
        <v>#REF!</v>
      </c>
      <c r="IQ172" t="e">
        <f>AND(#REF!,"AAAAAD/ntvo=")</f>
        <v>#REF!</v>
      </c>
      <c r="IR172" t="e">
        <f>AND(#REF!,"AAAAAD/ntvs=")</f>
        <v>#REF!</v>
      </c>
      <c r="IS172" t="e">
        <f>AND(#REF!,"AAAAAD/ntvw=")</f>
        <v>#REF!</v>
      </c>
      <c r="IT172" t="e">
        <f>AND(#REF!,"AAAAAD/ntv0=")</f>
        <v>#REF!</v>
      </c>
      <c r="IU172" t="e">
        <f>AND(#REF!,"AAAAAD/ntv4=")</f>
        <v>#REF!</v>
      </c>
      <c r="IV172" t="e">
        <f>AND(#REF!,"AAAAAD/ntv8=")</f>
        <v>#REF!</v>
      </c>
    </row>
    <row r="173" spans="1:256" x14ac:dyDescent="0.25">
      <c r="A173" t="e">
        <f>AND(#REF!,"AAAAAD/1VgA=")</f>
        <v>#REF!</v>
      </c>
      <c r="B173" t="e">
        <f>AND(#REF!,"AAAAAD/1VgE=")</f>
        <v>#REF!</v>
      </c>
      <c r="C173" t="e">
        <f>AND(#REF!,"AAAAAD/1VgI=")</f>
        <v>#REF!</v>
      </c>
      <c r="D173" t="e">
        <f>AND(#REF!,"AAAAAD/1VgM=")</f>
        <v>#REF!</v>
      </c>
      <c r="E173" t="e">
        <f>AND(#REF!,"AAAAAD/1VgQ=")</f>
        <v>#REF!</v>
      </c>
      <c r="F173" t="e">
        <f>AND(#REF!,"AAAAAD/1VgU=")</f>
        <v>#REF!</v>
      </c>
      <c r="G173" t="e">
        <f>AND(#REF!,"AAAAAD/1VgY=")</f>
        <v>#REF!</v>
      </c>
      <c r="H173" t="e">
        <f>AND(#REF!,"AAAAAD/1Vgc=")</f>
        <v>#REF!</v>
      </c>
      <c r="I173" t="e">
        <f>AND(#REF!,"AAAAAD/1Vgg=")</f>
        <v>#REF!</v>
      </c>
      <c r="J173" t="e">
        <f>AND(#REF!,"AAAAAD/1Vgk=")</f>
        <v>#REF!</v>
      </c>
      <c r="K173" t="e">
        <f>AND(#REF!,"AAAAAD/1Vgo=")</f>
        <v>#REF!</v>
      </c>
      <c r="L173" t="e">
        <f>AND(#REF!,"AAAAAD/1Vgs=")</f>
        <v>#REF!</v>
      </c>
      <c r="M173" t="e">
        <f>AND(#REF!,"AAAAAD/1Vgw=")</f>
        <v>#REF!</v>
      </c>
      <c r="N173" t="e">
        <f>AND(#REF!,"AAAAAD/1Vg0=")</f>
        <v>#REF!</v>
      </c>
      <c r="O173" t="e">
        <f>AND(#REF!,"AAAAAD/1Vg4=")</f>
        <v>#REF!</v>
      </c>
      <c r="P173" t="e">
        <f>AND(#REF!,"AAAAAD/1Vg8=")</f>
        <v>#REF!</v>
      </c>
      <c r="Q173" t="e">
        <f>AND(#REF!,"AAAAAD/1VhA=")</f>
        <v>#REF!</v>
      </c>
      <c r="R173" t="e">
        <f>AND(#REF!,"AAAAAD/1VhE=")</f>
        <v>#REF!</v>
      </c>
      <c r="S173" t="e">
        <f>AND(#REF!,"AAAAAD/1VhI=")</f>
        <v>#REF!</v>
      </c>
      <c r="T173" t="e">
        <f>AND(#REF!,"AAAAAD/1VhM=")</f>
        <v>#REF!</v>
      </c>
      <c r="U173" t="e">
        <f>AND(#REF!,"AAAAAD/1VhQ=")</f>
        <v>#REF!</v>
      </c>
      <c r="V173" t="e">
        <f>AND(#REF!,"AAAAAD/1VhU=")</f>
        <v>#REF!</v>
      </c>
      <c r="W173" t="e">
        <f>AND(#REF!,"AAAAAD/1VhY=")</f>
        <v>#REF!</v>
      </c>
      <c r="X173" t="e">
        <f>AND(#REF!,"AAAAAD/1Vhc=")</f>
        <v>#REF!</v>
      </c>
      <c r="Y173" t="e">
        <f>AND(#REF!,"AAAAAD/1Vhg=")</f>
        <v>#REF!</v>
      </c>
      <c r="Z173" t="e">
        <f>AND(#REF!,"AAAAAD/1Vhk=")</f>
        <v>#REF!</v>
      </c>
      <c r="AA173" t="e">
        <f>AND(#REF!,"AAAAAD/1Vho=")</f>
        <v>#REF!</v>
      </c>
      <c r="AB173" t="e">
        <f>AND(#REF!,"AAAAAD/1Vhs=")</f>
        <v>#REF!</v>
      </c>
      <c r="AC173" t="e">
        <f>AND(#REF!,"AAAAAD/1Vhw=")</f>
        <v>#REF!</v>
      </c>
      <c r="AD173" t="e">
        <f>AND(#REF!,"AAAAAD/1Vh0=")</f>
        <v>#REF!</v>
      </c>
      <c r="AE173" t="e">
        <f>AND(#REF!,"AAAAAD/1Vh4=")</f>
        <v>#REF!</v>
      </c>
      <c r="AF173" t="e">
        <f>AND(#REF!,"AAAAAD/1Vh8=")</f>
        <v>#REF!</v>
      </c>
      <c r="AG173" t="e">
        <f>AND(#REF!,"AAAAAD/1ViA=")</f>
        <v>#REF!</v>
      </c>
      <c r="AH173" t="e">
        <f>AND(#REF!,"AAAAAD/1ViE=")</f>
        <v>#REF!</v>
      </c>
      <c r="AI173" t="e">
        <f>AND(#REF!,"AAAAAD/1ViI=")</f>
        <v>#REF!</v>
      </c>
      <c r="AJ173" t="e">
        <f>AND(#REF!,"AAAAAD/1ViM=")</f>
        <v>#REF!</v>
      </c>
      <c r="AK173" t="e">
        <f>AND(#REF!,"AAAAAD/1ViQ=")</f>
        <v>#REF!</v>
      </c>
      <c r="AL173" t="e">
        <f>AND(#REF!,"AAAAAD/1ViU=")</f>
        <v>#REF!</v>
      </c>
      <c r="AM173" t="e">
        <f>AND(#REF!,"AAAAAD/1ViY=")</f>
        <v>#REF!</v>
      </c>
      <c r="AN173" t="e">
        <f>AND(#REF!,"AAAAAD/1Vic=")</f>
        <v>#REF!</v>
      </c>
      <c r="AO173" t="e">
        <f>AND(#REF!,"AAAAAD/1Vig=")</f>
        <v>#REF!</v>
      </c>
      <c r="AP173" t="e">
        <f>AND(#REF!,"AAAAAD/1Vik=")</f>
        <v>#REF!</v>
      </c>
      <c r="AQ173" t="e">
        <f>AND(#REF!,"AAAAAD/1Vio=")</f>
        <v>#REF!</v>
      </c>
      <c r="AR173" t="e">
        <f>AND(#REF!,"AAAAAD/1Vis=")</f>
        <v>#REF!</v>
      </c>
      <c r="AS173" t="e">
        <f>AND(#REF!,"AAAAAD/1Viw=")</f>
        <v>#REF!</v>
      </c>
      <c r="AT173" t="e">
        <f>AND(#REF!,"AAAAAD/1Vi0=")</f>
        <v>#REF!</v>
      </c>
      <c r="AU173" t="e">
        <f>AND(#REF!,"AAAAAD/1Vi4=")</f>
        <v>#REF!</v>
      </c>
      <c r="AV173" t="e">
        <f>AND(#REF!,"AAAAAD/1Vi8=")</f>
        <v>#REF!</v>
      </c>
      <c r="AW173" t="e">
        <f>AND(#REF!,"AAAAAD/1VjA=")</f>
        <v>#REF!</v>
      </c>
      <c r="AX173" t="e">
        <f>AND(#REF!,"AAAAAD/1VjE=")</f>
        <v>#REF!</v>
      </c>
      <c r="AY173" t="e">
        <f>AND(#REF!,"AAAAAD/1VjI=")</f>
        <v>#REF!</v>
      </c>
      <c r="AZ173" t="e">
        <f>AND(#REF!,"AAAAAD/1VjM=")</f>
        <v>#REF!</v>
      </c>
      <c r="BA173" t="e">
        <f>AND(#REF!,"AAAAAD/1VjQ=")</f>
        <v>#REF!</v>
      </c>
      <c r="BB173" t="e">
        <f>AND(#REF!,"AAAAAD/1VjU=")</f>
        <v>#REF!</v>
      </c>
      <c r="BC173" t="e">
        <f>AND(#REF!,"AAAAAD/1VjY=")</f>
        <v>#REF!</v>
      </c>
      <c r="BD173" t="e">
        <f>AND(#REF!,"AAAAAD/1Vjc=")</f>
        <v>#REF!</v>
      </c>
      <c r="BE173" t="e">
        <f>AND(#REF!,"AAAAAD/1Vjg=")</f>
        <v>#REF!</v>
      </c>
      <c r="BF173" t="e">
        <f>AND(#REF!,"AAAAAD/1Vjk=")</f>
        <v>#REF!</v>
      </c>
      <c r="BG173" t="e">
        <f>AND(#REF!,"AAAAAD/1Vjo=")</f>
        <v>#REF!</v>
      </c>
      <c r="BH173" t="e">
        <f>AND(#REF!,"AAAAAD/1Vjs=")</f>
        <v>#REF!</v>
      </c>
      <c r="BI173" t="e">
        <f>AND(#REF!,"AAAAAD/1Vjw=")</f>
        <v>#REF!</v>
      </c>
      <c r="BJ173" t="e">
        <f>AND(#REF!,"AAAAAD/1Vj0=")</f>
        <v>#REF!</v>
      </c>
      <c r="BK173" t="e">
        <f>AND(#REF!,"AAAAAD/1Vj4=")</f>
        <v>#REF!</v>
      </c>
      <c r="BL173" t="e">
        <f>AND(#REF!,"AAAAAD/1Vj8=")</f>
        <v>#REF!</v>
      </c>
      <c r="BM173" t="e">
        <f>AND(#REF!,"AAAAAD/1VkA=")</f>
        <v>#REF!</v>
      </c>
      <c r="BN173" t="e">
        <f>AND(#REF!,"AAAAAD/1VkE=")</f>
        <v>#REF!</v>
      </c>
      <c r="BO173" t="e">
        <f>AND(#REF!,"AAAAAD/1VkI=")</f>
        <v>#REF!</v>
      </c>
      <c r="BP173" t="e">
        <f>AND(#REF!,"AAAAAD/1VkM=")</f>
        <v>#REF!</v>
      </c>
      <c r="BQ173" t="e">
        <f>AND(#REF!,"AAAAAD/1VkQ=")</f>
        <v>#REF!</v>
      </c>
      <c r="BR173" t="e">
        <f>AND(#REF!,"AAAAAD/1VkU=")</f>
        <v>#REF!</v>
      </c>
      <c r="BS173" t="e">
        <f>AND(#REF!,"AAAAAD/1VkY=")</f>
        <v>#REF!</v>
      </c>
      <c r="BT173" t="e">
        <f>AND(#REF!,"AAAAAD/1Vkc=")</f>
        <v>#REF!</v>
      </c>
      <c r="BU173" t="e">
        <f>AND(#REF!,"AAAAAD/1Vkg=")</f>
        <v>#REF!</v>
      </c>
      <c r="BV173" t="e">
        <f>AND(#REF!,"AAAAAD/1Vkk=")</f>
        <v>#REF!</v>
      </c>
      <c r="BW173" t="e">
        <f>AND(#REF!,"AAAAAD/1Vko=")</f>
        <v>#REF!</v>
      </c>
      <c r="BX173" t="e">
        <f>AND(#REF!,"AAAAAD/1Vks=")</f>
        <v>#REF!</v>
      </c>
      <c r="BY173" t="e">
        <f>AND(#REF!,"AAAAAD/1Vkw=")</f>
        <v>#REF!</v>
      </c>
      <c r="BZ173" t="e">
        <f>AND(#REF!,"AAAAAD/1Vk0=")</f>
        <v>#REF!</v>
      </c>
      <c r="CA173" t="e">
        <f>AND(#REF!,"AAAAAD/1Vk4=")</f>
        <v>#REF!</v>
      </c>
      <c r="CB173" t="e">
        <f>AND(#REF!,"AAAAAD/1Vk8=")</f>
        <v>#REF!</v>
      </c>
      <c r="CC173" t="e">
        <f>AND(#REF!,"AAAAAD/1VlA=")</f>
        <v>#REF!</v>
      </c>
      <c r="CD173" t="e">
        <f>AND(#REF!,"AAAAAD/1VlE=")</f>
        <v>#REF!</v>
      </c>
      <c r="CE173" t="e">
        <f>AND(#REF!,"AAAAAD/1VlI=")</f>
        <v>#REF!</v>
      </c>
      <c r="CF173" t="e">
        <f>AND(#REF!,"AAAAAD/1VlM=")</f>
        <v>#REF!</v>
      </c>
      <c r="CG173" t="e">
        <f>AND(#REF!,"AAAAAD/1VlQ=")</f>
        <v>#REF!</v>
      </c>
      <c r="CH173" t="e">
        <f>AND(#REF!,"AAAAAD/1VlU=")</f>
        <v>#REF!</v>
      </c>
      <c r="CI173" t="e">
        <f>AND(#REF!,"AAAAAD/1VlY=")</f>
        <v>#REF!</v>
      </c>
      <c r="CJ173" t="e">
        <f>AND(#REF!,"AAAAAD/1Vlc=")</f>
        <v>#REF!</v>
      </c>
      <c r="CK173" t="e">
        <f>AND(#REF!,"AAAAAD/1Vlg=")</f>
        <v>#REF!</v>
      </c>
      <c r="CL173" t="e">
        <f>AND(#REF!,"AAAAAD/1Vlk=")</f>
        <v>#REF!</v>
      </c>
      <c r="CM173" t="e">
        <f>AND(#REF!,"AAAAAD/1Vlo=")</f>
        <v>#REF!</v>
      </c>
      <c r="CN173" t="e">
        <f>AND(#REF!,"AAAAAD/1Vls=")</f>
        <v>#REF!</v>
      </c>
      <c r="CO173" t="e">
        <f>AND(#REF!,"AAAAAD/1Vlw=")</f>
        <v>#REF!</v>
      </c>
      <c r="CP173" t="e">
        <f>AND(#REF!,"AAAAAD/1Vl0=")</f>
        <v>#REF!</v>
      </c>
      <c r="CQ173" t="e">
        <f>AND(#REF!,"AAAAAD/1Vl4=")</f>
        <v>#REF!</v>
      </c>
      <c r="CR173" t="e">
        <f>AND(#REF!,"AAAAAD/1Vl8=")</f>
        <v>#REF!</v>
      </c>
      <c r="CS173" t="e">
        <f>AND(#REF!,"AAAAAD/1VmA=")</f>
        <v>#REF!</v>
      </c>
      <c r="CT173" t="e">
        <f>AND(#REF!,"AAAAAD/1VmE=")</f>
        <v>#REF!</v>
      </c>
      <c r="CU173" t="e">
        <f>AND(#REF!,"AAAAAD/1VmI=")</f>
        <v>#REF!</v>
      </c>
      <c r="CV173" t="e">
        <f>AND(#REF!,"AAAAAD/1VmM=")</f>
        <v>#REF!</v>
      </c>
      <c r="CW173" t="e">
        <f>AND(#REF!,"AAAAAD/1VmQ=")</f>
        <v>#REF!</v>
      </c>
      <c r="CX173" t="e">
        <f>AND(#REF!,"AAAAAD/1VmU=")</f>
        <v>#REF!</v>
      </c>
      <c r="CY173" t="e">
        <f>AND(#REF!,"AAAAAD/1VmY=")</f>
        <v>#REF!</v>
      </c>
      <c r="CZ173" t="e">
        <f>AND(#REF!,"AAAAAD/1Vmc=")</f>
        <v>#REF!</v>
      </c>
      <c r="DA173" t="e">
        <f>AND(#REF!,"AAAAAD/1Vmg=")</f>
        <v>#REF!</v>
      </c>
      <c r="DB173" t="e">
        <f>AND(#REF!,"AAAAAD/1Vmk=")</f>
        <v>#REF!</v>
      </c>
      <c r="DC173" t="e">
        <f>AND(#REF!,"AAAAAD/1Vmo=")</f>
        <v>#REF!</v>
      </c>
      <c r="DD173" t="e">
        <f>AND(#REF!,"AAAAAD/1Vms=")</f>
        <v>#REF!</v>
      </c>
      <c r="DE173" t="e">
        <f>AND(#REF!,"AAAAAD/1Vmw=")</f>
        <v>#REF!</v>
      </c>
      <c r="DF173" t="e">
        <f>AND(#REF!,"AAAAAD/1Vm0=")</f>
        <v>#REF!</v>
      </c>
      <c r="DG173" t="e">
        <f>AND(#REF!,"AAAAAD/1Vm4=")</f>
        <v>#REF!</v>
      </c>
      <c r="DH173" t="e">
        <f>AND(#REF!,"AAAAAD/1Vm8=")</f>
        <v>#REF!</v>
      </c>
      <c r="DI173" t="e">
        <f>AND(#REF!,"AAAAAD/1VnA=")</f>
        <v>#REF!</v>
      </c>
      <c r="DJ173" t="e">
        <f>AND(#REF!,"AAAAAD/1VnE=")</f>
        <v>#REF!</v>
      </c>
      <c r="DK173" t="e">
        <f>AND(#REF!,"AAAAAD/1VnI=")</f>
        <v>#REF!</v>
      </c>
      <c r="DL173" t="e">
        <f>AND(#REF!,"AAAAAD/1VnM=")</f>
        <v>#REF!</v>
      </c>
      <c r="DM173" t="e">
        <f>AND(#REF!,"AAAAAD/1VnQ=")</f>
        <v>#REF!</v>
      </c>
      <c r="DN173" t="e">
        <f>AND(#REF!,"AAAAAD/1VnU=")</f>
        <v>#REF!</v>
      </c>
      <c r="DO173" t="e">
        <f>AND(#REF!,"AAAAAD/1VnY=")</f>
        <v>#REF!</v>
      </c>
      <c r="DP173" t="e">
        <f>AND(#REF!,"AAAAAD/1Vnc=")</f>
        <v>#REF!</v>
      </c>
      <c r="DQ173" t="e">
        <f>AND(#REF!,"AAAAAD/1Vng=")</f>
        <v>#REF!</v>
      </c>
      <c r="DR173" t="e">
        <f>AND(#REF!,"AAAAAD/1Vnk=")</f>
        <v>#REF!</v>
      </c>
      <c r="DS173" t="e">
        <f>AND(#REF!,"AAAAAD/1Vno=")</f>
        <v>#REF!</v>
      </c>
      <c r="DT173" t="e">
        <f>AND(#REF!,"AAAAAD/1Vns=")</f>
        <v>#REF!</v>
      </c>
      <c r="DU173" t="e">
        <f>AND(#REF!,"AAAAAD/1Vnw=")</f>
        <v>#REF!</v>
      </c>
      <c r="DV173" t="e">
        <f>AND(#REF!,"AAAAAD/1Vn0=")</f>
        <v>#REF!</v>
      </c>
      <c r="DW173" t="e">
        <f>AND(#REF!,"AAAAAD/1Vn4=")</f>
        <v>#REF!</v>
      </c>
      <c r="DX173" t="e">
        <f>AND(#REF!,"AAAAAD/1Vn8=")</f>
        <v>#REF!</v>
      </c>
      <c r="DY173" t="e">
        <f>AND(#REF!,"AAAAAD/1VoA=")</f>
        <v>#REF!</v>
      </c>
      <c r="DZ173" t="e">
        <f>AND(#REF!,"AAAAAD/1VoE=")</f>
        <v>#REF!</v>
      </c>
      <c r="EA173" t="e">
        <f>AND(#REF!,"AAAAAD/1VoI=")</f>
        <v>#REF!</v>
      </c>
      <c r="EB173" t="e">
        <f>AND(#REF!,"AAAAAD/1VoM=")</f>
        <v>#REF!</v>
      </c>
      <c r="EC173" t="e">
        <f>AND(#REF!,"AAAAAD/1VoQ=")</f>
        <v>#REF!</v>
      </c>
      <c r="ED173" t="e">
        <f>AND(#REF!,"AAAAAD/1VoU=")</f>
        <v>#REF!</v>
      </c>
      <c r="EE173" t="e">
        <f>AND(#REF!,"AAAAAD/1VoY=")</f>
        <v>#REF!</v>
      </c>
      <c r="EF173" t="e">
        <f>AND(#REF!,"AAAAAD/1Voc=")</f>
        <v>#REF!</v>
      </c>
      <c r="EG173" t="e">
        <f>AND(#REF!,"AAAAAD/1Vog=")</f>
        <v>#REF!</v>
      </c>
      <c r="EH173" t="e">
        <f>AND(#REF!,"AAAAAD/1Vok=")</f>
        <v>#REF!</v>
      </c>
      <c r="EI173" t="e">
        <f>AND(#REF!,"AAAAAD/1Voo=")</f>
        <v>#REF!</v>
      </c>
      <c r="EJ173" t="e">
        <f>AND(#REF!,"AAAAAD/1Vos=")</f>
        <v>#REF!</v>
      </c>
      <c r="EK173" t="e">
        <f>AND(#REF!,"AAAAAD/1Vow=")</f>
        <v>#REF!</v>
      </c>
      <c r="EL173" t="e">
        <f>AND(#REF!,"AAAAAD/1Vo0=")</f>
        <v>#REF!</v>
      </c>
      <c r="EM173" t="e">
        <f>AND(#REF!,"AAAAAD/1Vo4=")</f>
        <v>#REF!</v>
      </c>
      <c r="EN173" t="e">
        <f>AND(#REF!,"AAAAAD/1Vo8=")</f>
        <v>#REF!</v>
      </c>
      <c r="EO173" t="e">
        <f>AND(#REF!,"AAAAAD/1VpA=")</f>
        <v>#REF!</v>
      </c>
      <c r="EP173" t="e">
        <f>AND(#REF!,"AAAAAD/1VpE=")</f>
        <v>#REF!</v>
      </c>
      <c r="EQ173" t="e">
        <f>AND(#REF!,"AAAAAD/1VpI=")</f>
        <v>#REF!</v>
      </c>
      <c r="ER173" t="e">
        <f>AND(#REF!,"AAAAAD/1VpM=")</f>
        <v>#REF!</v>
      </c>
      <c r="ES173" t="e">
        <f>AND(#REF!,"AAAAAD/1VpQ=")</f>
        <v>#REF!</v>
      </c>
      <c r="ET173" t="e">
        <f>AND(#REF!,"AAAAAD/1VpU=")</f>
        <v>#REF!</v>
      </c>
      <c r="EU173" t="e">
        <f>IF(#REF!,"AAAAAD/1VpY=",0)</f>
        <v>#REF!</v>
      </c>
      <c r="EV173" t="e">
        <f>AND(#REF!,"AAAAAD/1Vpc=")</f>
        <v>#REF!</v>
      </c>
      <c r="EW173" t="e">
        <f>AND(#REF!,"AAAAAD/1Vpg=")</f>
        <v>#REF!</v>
      </c>
      <c r="EX173" t="e">
        <f>AND(#REF!,"AAAAAD/1Vpk=")</f>
        <v>#REF!</v>
      </c>
      <c r="EY173" t="e">
        <f>AND(#REF!,"AAAAAD/1Vpo=")</f>
        <v>#REF!</v>
      </c>
      <c r="EZ173" t="e">
        <f>AND(#REF!,"AAAAAD/1Vps=")</f>
        <v>#REF!</v>
      </c>
      <c r="FA173" t="e">
        <f>AND(#REF!,"AAAAAD/1Vpw=")</f>
        <v>#REF!</v>
      </c>
      <c r="FB173" t="e">
        <f>AND(#REF!,"AAAAAD/1Vp0=")</f>
        <v>#REF!</v>
      </c>
      <c r="FC173" t="e">
        <f>AND(#REF!,"AAAAAD/1Vp4=")</f>
        <v>#REF!</v>
      </c>
      <c r="FD173" t="e">
        <f>AND(#REF!,"AAAAAD/1Vp8=")</f>
        <v>#REF!</v>
      </c>
      <c r="FE173" t="e">
        <f>AND(#REF!,"AAAAAD/1VqA=")</f>
        <v>#REF!</v>
      </c>
      <c r="FF173" t="e">
        <f>AND(#REF!,"AAAAAD/1VqE=")</f>
        <v>#REF!</v>
      </c>
      <c r="FG173" t="e">
        <f>AND(#REF!,"AAAAAD/1VqI=")</f>
        <v>#REF!</v>
      </c>
      <c r="FH173" t="e">
        <f>AND(#REF!,"AAAAAD/1VqM=")</f>
        <v>#REF!</v>
      </c>
      <c r="FI173" t="e">
        <f>AND(#REF!,"AAAAAD/1VqQ=")</f>
        <v>#REF!</v>
      </c>
      <c r="FJ173" t="e">
        <f>AND(#REF!,"AAAAAD/1VqU=")</f>
        <v>#REF!</v>
      </c>
      <c r="FK173" t="e">
        <f>AND(#REF!,"AAAAAD/1VqY=")</f>
        <v>#REF!</v>
      </c>
      <c r="FL173" t="e">
        <f>AND(#REF!,"AAAAAD/1Vqc=")</f>
        <v>#REF!</v>
      </c>
      <c r="FM173" t="e">
        <f>AND(#REF!,"AAAAAD/1Vqg=")</f>
        <v>#REF!</v>
      </c>
      <c r="FN173" t="e">
        <f>AND(#REF!,"AAAAAD/1Vqk=")</f>
        <v>#REF!</v>
      </c>
      <c r="FO173" t="e">
        <f>AND(#REF!,"AAAAAD/1Vqo=")</f>
        <v>#REF!</v>
      </c>
      <c r="FP173" t="e">
        <f>AND(#REF!,"AAAAAD/1Vqs=")</f>
        <v>#REF!</v>
      </c>
      <c r="FQ173" t="e">
        <f>AND(#REF!,"AAAAAD/1Vqw=")</f>
        <v>#REF!</v>
      </c>
      <c r="FR173" t="e">
        <f>AND(#REF!,"AAAAAD/1Vq0=")</f>
        <v>#REF!</v>
      </c>
      <c r="FS173" t="e">
        <f>AND(#REF!,"AAAAAD/1Vq4=")</f>
        <v>#REF!</v>
      </c>
      <c r="FT173" t="e">
        <f>AND(#REF!,"AAAAAD/1Vq8=")</f>
        <v>#REF!</v>
      </c>
      <c r="FU173" t="e">
        <f>AND(#REF!,"AAAAAD/1VrA=")</f>
        <v>#REF!</v>
      </c>
      <c r="FV173" t="e">
        <f>AND(#REF!,"AAAAAD/1VrE=")</f>
        <v>#REF!</v>
      </c>
      <c r="FW173" t="e">
        <f>AND(#REF!,"AAAAAD/1VrI=")</f>
        <v>#REF!</v>
      </c>
      <c r="FX173" t="e">
        <f>AND(#REF!,"AAAAAD/1VrM=")</f>
        <v>#REF!</v>
      </c>
      <c r="FY173" t="e">
        <f>AND(#REF!,"AAAAAD/1VrQ=")</f>
        <v>#REF!</v>
      </c>
      <c r="FZ173" t="e">
        <f>AND(#REF!,"AAAAAD/1VrU=")</f>
        <v>#REF!</v>
      </c>
      <c r="GA173" t="e">
        <f>AND(#REF!,"AAAAAD/1VrY=")</f>
        <v>#REF!</v>
      </c>
      <c r="GB173" t="e">
        <f>AND(#REF!,"AAAAAD/1Vrc=")</f>
        <v>#REF!</v>
      </c>
      <c r="GC173" t="e">
        <f>AND(#REF!,"AAAAAD/1Vrg=")</f>
        <v>#REF!</v>
      </c>
      <c r="GD173" t="e">
        <f>AND(#REF!,"AAAAAD/1Vrk=")</f>
        <v>#REF!</v>
      </c>
      <c r="GE173" t="e">
        <f>AND(#REF!,"AAAAAD/1Vro=")</f>
        <v>#REF!</v>
      </c>
      <c r="GF173" t="e">
        <f>AND(#REF!,"AAAAAD/1Vrs=")</f>
        <v>#REF!</v>
      </c>
      <c r="GG173" t="e">
        <f>AND(#REF!,"AAAAAD/1Vrw=")</f>
        <v>#REF!</v>
      </c>
      <c r="GH173" t="e">
        <f>AND(#REF!,"AAAAAD/1Vr0=")</f>
        <v>#REF!</v>
      </c>
      <c r="GI173" t="e">
        <f>AND(#REF!,"AAAAAD/1Vr4=")</f>
        <v>#REF!</v>
      </c>
      <c r="GJ173" t="e">
        <f>AND(#REF!,"AAAAAD/1Vr8=")</f>
        <v>#REF!</v>
      </c>
      <c r="GK173" t="e">
        <f>AND(#REF!,"AAAAAD/1VsA=")</f>
        <v>#REF!</v>
      </c>
      <c r="GL173" t="e">
        <f>AND(#REF!,"AAAAAD/1VsE=")</f>
        <v>#REF!</v>
      </c>
      <c r="GM173" t="e">
        <f>AND(#REF!,"AAAAAD/1VsI=")</f>
        <v>#REF!</v>
      </c>
      <c r="GN173" t="e">
        <f>AND(#REF!,"AAAAAD/1VsM=")</f>
        <v>#REF!</v>
      </c>
      <c r="GO173" t="e">
        <f>AND(#REF!,"AAAAAD/1VsQ=")</f>
        <v>#REF!</v>
      </c>
      <c r="GP173" t="e">
        <f>AND(#REF!,"AAAAAD/1VsU=")</f>
        <v>#REF!</v>
      </c>
      <c r="GQ173" t="e">
        <f>AND(#REF!,"AAAAAD/1VsY=")</f>
        <v>#REF!</v>
      </c>
      <c r="GR173" t="e">
        <f>AND(#REF!,"AAAAAD/1Vsc=")</f>
        <v>#REF!</v>
      </c>
      <c r="GS173" t="e">
        <f>AND(#REF!,"AAAAAD/1Vsg=")</f>
        <v>#REF!</v>
      </c>
      <c r="GT173" t="e">
        <f>AND(#REF!,"AAAAAD/1Vsk=")</f>
        <v>#REF!</v>
      </c>
      <c r="GU173" t="e">
        <f>AND(#REF!,"AAAAAD/1Vso=")</f>
        <v>#REF!</v>
      </c>
      <c r="GV173" t="e">
        <f>AND(#REF!,"AAAAAD/1Vss=")</f>
        <v>#REF!</v>
      </c>
      <c r="GW173" t="e">
        <f>AND(#REF!,"AAAAAD/1Vsw=")</f>
        <v>#REF!</v>
      </c>
      <c r="GX173" t="e">
        <f>AND(#REF!,"AAAAAD/1Vs0=")</f>
        <v>#REF!</v>
      </c>
      <c r="GY173" t="e">
        <f>AND(#REF!,"AAAAAD/1Vs4=")</f>
        <v>#REF!</v>
      </c>
      <c r="GZ173" t="e">
        <f>AND(#REF!,"AAAAAD/1Vs8=")</f>
        <v>#REF!</v>
      </c>
      <c r="HA173" t="e">
        <f>AND(#REF!,"AAAAAD/1VtA=")</f>
        <v>#REF!</v>
      </c>
      <c r="HB173" t="e">
        <f>AND(#REF!,"AAAAAD/1VtE=")</f>
        <v>#REF!</v>
      </c>
      <c r="HC173" t="e">
        <f>AND(#REF!,"AAAAAD/1VtI=")</f>
        <v>#REF!</v>
      </c>
      <c r="HD173" t="e">
        <f>AND(#REF!,"AAAAAD/1VtM=")</f>
        <v>#REF!</v>
      </c>
      <c r="HE173" t="e">
        <f>AND(#REF!,"AAAAAD/1VtQ=")</f>
        <v>#REF!</v>
      </c>
      <c r="HF173" t="e">
        <f>AND(#REF!,"AAAAAD/1VtU=")</f>
        <v>#REF!</v>
      </c>
      <c r="HG173" t="e">
        <f>AND(#REF!,"AAAAAD/1VtY=")</f>
        <v>#REF!</v>
      </c>
      <c r="HH173" t="e">
        <f>AND(#REF!,"AAAAAD/1Vtc=")</f>
        <v>#REF!</v>
      </c>
      <c r="HI173" t="e">
        <f>AND(#REF!,"AAAAAD/1Vtg=")</f>
        <v>#REF!</v>
      </c>
      <c r="HJ173" t="e">
        <f>AND(#REF!,"AAAAAD/1Vtk=")</f>
        <v>#REF!</v>
      </c>
      <c r="HK173" t="e">
        <f>AND(#REF!,"AAAAAD/1Vto=")</f>
        <v>#REF!</v>
      </c>
      <c r="HL173" t="e">
        <f>AND(#REF!,"AAAAAD/1Vts=")</f>
        <v>#REF!</v>
      </c>
      <c r="HM173" t="e">
        <f>AND(#REF!,"AAAAAD/1Vtw=")</f>
        <v>#REF!</v>
      </c>
      <c r="HN173" t="e">
        <f>AND(#REF!,"AAAAAD/1Vt0=")</f>
        <v>#REF!</v>
      </c>
      <c r="HO173" t="e">
        <f>AND(#REF!,"AAAAAD/1Vt4=")</f>
        <v>#REF!</v>
      </c>
      <c r="HP173" t="e">
        <f>AND(#REF!,"AAAAAD/1Vt8=")</f>
        <v>#REF!</v>
      </c>
      <c r="HQ173" t="e">
        <f>AND(#REF!,"AAAAAD/1VuA=")</f>
        <v>#REF!</v>
      </c>
      <c r="HR173" t="e">
        <f>AND(#REF!,"AAAAAD/1VuE=")</f>
        <v>#REF!</v>
      </c>
      <c r="HS173" t="e">
        <f>AND(#REF!,"AAAAAD/1VuI=")</f>
        <v>#REF!</v>
      </c>
      <c r="HT173" t="e">
        <f>AND(#REF!,"AAAAAD/1VuM=")</f>
        <v>#REF!</v>
      </c>
      <c r="HU173" t="e">
        <f>AND(#REF!,"AAAAAD/1VuQ=")</f>
        <v>#REF!</v>
      </c>
      <c r="HV173" t="e">
        <f>AND(#REF!,"AAAAAD/1VuU=")</f>
        <v>#REF!</v>
      </c>
      <c r="HW173" t="e">
        <f>AND(#REF!,"AAAAAD/1VuY=")</f>
        <v>#REF!</v>
      </c>
      <c r="HX173" t="e">
        <f>AND(#REF!,"AAAAAD/1Vuc=")</f>
        <v>#REF!</v>
      </c>
      <c r="HY173" t="e">
        <f>AND(#REF!,"AAAAAD/1Vug=")</f>
        <v>#REF!</v>
      </c>
      <c r="HZ173" t="e">
        <f>AND(#REF!,"AAAAAD/1Vuk=")</f>
        <v>#REF!</v>
      </c>
      <c r="IA173" t="e">
        <f>AND(#REF!,"AAAAAD/1Vuo=")</f>
        <v>#REF!</v>
      </c>
      <c r="IB173" t="e">
        <f>AND(#REF!,"AAAAAD/1Vus=")</f>
        <v>#REF!</v>
      </c>
      <c r="IC173" t="e">
        <f>AND(#REF!,"AAAAAD/1Vuw=")</f>
        <v>#REF!</v>
      </c>
      <c r="ID173" t="e">
        <f>AND(#REF!,"AAAAAD/1Vu0=")</f>
        <v>#REF!</v>
      </c>
      <c r="IE173" t="e">
        <f>AND(#REF!,"AAAAAD/1Vu4=")</f>
        <v>#REF!</v>
      </c>
      <c r="IF173" t="e">
        <f>AND(#REF!,"AAAAAD/1Vu8=")</f>
        <v>#REF!</v>
      </c>
      <c r="IG173" t="e">
        <f>AND(#REF!,"AAAAAD/1VvA=")</f>
        <v>#REF!</v>
      </c>
      <c r="IH173" t="e">
        <f>AND(#REF!,"AAAAAD/1VvE=")</f>
        <v>#REF!</v>
      </c>
      <c r="II173" t="e">
        <f>AND(#REF!,"AAAAAD/1VvI=")</f>
        <v>#REF!</v>
      </c>
      <c r="IJ173" t="e">
        <f>AND(#REF!,"AAAAAD/1VvM=")</f>
        <v>#REF!</v>
      </c>
      <c r="IK173" t="e">
        <f>AND(#REF!,"AAAAAD/1VvQ=")</f>
        <v>#REF!</v>
      </c>
      <c r="IL173" t="e">
        <f>AND(#REF!,"AAAAAD/1VvU=")</f>
        <v>#REF!</v>
      </c>
      <c r="IM173" t="e">
        <f>AND(#REF!,"AAAAAD/1VvY=")</f>
        <v>#REF!</v>
      </c>
      <c r="IN173" t="e">
        <f>AND(#REF!,"AAAAAD/1Vvc=")</f>
        <v>#REF!</v>
      </c>
      <c r="IO173" t="e">
        <f>AND(#REF!,"AAAAAD/1Vvg=")</f>
        <v>#REF!</v>
      </c>
      <c r="IP173" t="e">
        <f>AND(#REF!,"AAAAAD/1Vvk=")</f>
        <v>#REF!</v>
      </c>
      <c r="IQ173" t="e">
        <f>AND(#REF!,"AAAAAD/1Vvo=")</f>
        <v>#REF!</v>
      </c>
      <c r="IR173" t="e">
        <f>AND(#REF!,"AAAAAD/1Vvs=")</f>
        <v>#REF!</v>
      </c>
      <c r="IS173" t="e">
        <f>AND(#REF!,"AAAAAD/1Vvw=")</f>
        <v>#REF!</v>
      </c>
      <c r="IT173" t="e">
        <f>AND(#REF!,"AAAAAD/1Vv0=")</f>
        <v>#REF!</v>
      </c>
      <c r="IU173" t="e">
        <f>AND(#REF!,"AAAAAD/1Vv4=")</f>
        <v>#REF!</v>
      </c>
      <c r="IV173" t="e">
        <f>AND(#REF!,"AAAAAD/1Vv8=")</f>
        <v>#REF!</v>
      </c>
    </row>
    <row r="174" spans="1:256" x14ac:dyDescent="0.25">
      <c r="A174" t="e">
        <f>AND(#REF!,"AAAAAH2HfgA=")</f>
        <v>#REF!</v>
      </c>
      <c r="B174" t="e">
        <f>AND(#REF!,"AAAAAH2HfgE=")</f>
        <v>#REF!</v>
      </c>
      <c r="C174" t="e">
        <f>AND(#REF!,"AAAAAH2HfgI=")</f>
        <v>#REF!</v>
      </c>
      <c r="D174" t="e">
        <f>AND(#REF!,"AAAAAH2HfgM=")</f>
        <v>#REF!</v>
      </c>
      <c r="E174" t="e">
        <f>AND(#REF!,"AAAAAH2HfgQ=")</f>
        <v>#REF!</v>
      </c>
      <c r="F174" t="e">
        <f>AND(#REF!,"AAAAAH2HfgU=")</f>
        <v>#REF!</v>
      </c>
      <c r="G174" t="e">
        <f>AND(#REF!,"AAAAAH2HfgY=")</f>
        <v>#REF!</v>
      </c>
      <c r="H174" t="e">
        <f>AND(#REF!,"AAAAAH2Hfgc=")</f>
        <v>#REF!</v>
      </c>
      <c r="I174" t="e">
        <f>AND(#REF!,"AAAAAH2Hfgg=")</f>
        <v>#REF!</v>
      </c>
      <c r="J174" t="e">
        <f>AND(#REF!,"AAAAAH2Hfgk=")</f>
        <v>#REF!</v>
      </c>
      <c r="K174" t="e">
        <f>AND(#REF!,"AAAAAH2Hfgo=")</f>
        <v>#REF!</v>
      </c>
      <c r="L174" t="e">
        <f>AND(#REF!,"AAAAAH2Hfgs=")</f>
        <v>#REF!</v>
      </c>
      <c r="M174" t="e">
        <f>AND(#REF!,"AAAAAH2Hfgw=")</f>
        <v>#REF!</v>
      </c>
      <c r="N174" t="e">
        <f>AND(#REF!,"AAAAAH2Hfg0=")</f>
        <v>#REF!</v>
      </c>
      <c r="O174" t="e">
        <f>AND(#REF!,"AAAAAH2Hfg4=")</f>
        <v>#REF!</v>
      </c>
      <c r="P174" t="e">
        <f>AND(#REF!,"AAAAAH2Hfg8=")</f>
        <v>#REF!</v>
      </c>
      <c r="Q174" t="e">
        <f>AND(#REF!,"AAAAAH2HfhA=")</f>
        <v>#REF!</v>
      </c>
      <c r="R174" t="e">
        <f>AND(#REF!,"AAAAAH2HfhE=")</f>
        <v>#REF!</v>
      </c>
      <c r="S174" t="e">
        <f>AND(#REF!,"AAAAAH2HfhI=")</f>
        <v>#REF!</v>
      </c>
      <c r="T174" t="e">
        <f>AND(#REF!,"AAAAAH2HfhM=")</f>
        <v>#REF!</v>
      </c>
      <c r="U174" t="e">
        <f>AND(#REF!,"AAAAAH2HfhQ=")</f>
        <v>#REF!</v>
      </c>
      <c r="V174" t="e">
        <f>AND(#REF!,"AAAAAH2HfhU=")</f>
        <v>#REF!</v>
      </c>
      <c r="W174" t="e">
        <f>AND(#REF!,"AAAAAH2HfhY=")</f>
        <v>#REF!</v>
      </c>
      <c r="X174" t="e">
        <f>AND(#REF!,"AAAAAH2Hfhc=")</f>
        <v>#REF!</v>
      </c>
      <c r="Y174" t="e">
        <f>AND(#REF!,"AAAAAH2Hfhg=")</f>
        <v>#REF!</v>
      </c>
      <c r="Z174" t="e">
        <f>AND(#REF!,"AAAAAH2Hfhk=")</f>
        <v>#REF!</v>
      </c>
      <c r="AA174" t="e">
        <f>AND(#REF!,"AAAAAH2Hfho=")</f>
        <v>#REF!</v>
      </c>
      <c r="AB174" t="e">
        <f>AND(#REF!,"AAAAAH2Hfhs=")</f>
        <v>#REF!</v>
      </c>
      <c r="AC174" t="e">
        <f>AND(#REF!,"AAAAAH2Hfhw=")</f>
        <v>#REF!</v>
      </c>
      <c r="AD174" t="e">
        <f>AND(#REF!,"AAAAAH2Hfh0=")</f>
        <v>#REF!</v>
      </c>
      <c r="AE174" t="e">
        <f>AND(#REF!,"AAAAAH2Hfh4=")</f>
        <v>#REF!</v>
      </c>
      <c r="AF174" t="e">
        <f>AND(#REF!,"AAAAAH2Hfh8=")</f>
        <v>#REF!</v>
      </c>
      <c r="AG174" t="e">
        <f>AND(#REF!,"AAAAAH2HfiA=")</f>
        <v>#REF!</v>
      </c>
      <c r="AH174" t="e">
        <f>AND(#REF!,"AAAAAH2HfiE=")</f>
        <v>#REF!</v>
      </c>
      <c r="AI174" t="e">
        <f>AND(#REF!,"AAAAAH2HfiI=")</f>
        <v>#REF!</v>
      </c>
      <c r="AJ174" t="e">
        <f>AND(#REF!,"AAAAAH2HfiM=")</f>
        <v>#REF!</v>
      </c>
      <c r="AK174" t="e">
        <f>AND(#REF!,"AAAAAH2HfiQ=")</f>
        <v>#REF!</v>
      </c>
      <c r="AL174" t="e">
        <f>AND(#REF!,"AAAAAH2HfiU=")</f>
        <v>#REF!</v>
      </c>
      <c r="AM174" t="e">
        <f>AND(#REF!,"AAAAAH2HfiY=")</f>
        <v>#REF!</v>
      </c>
      <c r="AN174" t="e">
        <f>AND(#REF!,"AAAAAH2Hfic=")</f>
        <v>#REF!</v>
      </c>
      <c r="AO174" t="e">
        <f>AND(#REF!,"AAAAAH2Hfig=")</f>
        <v>#REF!</v>
      </c>
      <c r="AP174" t="e">
        <f>AND(#REF!,"AAAAAH2Hfik=")</f>
        <v>#REF!</v>
      </c>
      <c r="AQ174" t="e">
        <f>AND(#REF!,"AAAAAH2Hfio=")</f>
        <v>#REF!</v>
      </c>
      <c r="AR174" t="e">
        <f>AND(#REF!,"AAAAAH2Hfis=")</f>
        <v>#REF!</v>
      </c>
      <c r="AS174" t="e">
        <f>AND(#REF!,"AAAAAH2Hfiw=")</f>
        <v>#REF!</v>
      </c>
      <c r="AT174" t="e">
        <f>AND(#REF!,"AAAAAH2Hfi0=")</f>
        <v>#REF!</v>
      </c>
      <c r="AU174" t="e">
        <f>AND(#REF!,"AAAAAH2Hfi4=")</f>
        <v>#REF!</v>
      </c>
      <c r="AV174" t="e">
        <f>AND(#REF!,"AAAAAH2Hfi8=")</f>
        <v>#REF!</v>
      </c>
      <c r="AW174" t="e">
        <f>AND(#REF!,"AAAAAH2HfjA=")</f>
        <v>#REF!</v>
      </c>
      <c r="AX174" t="e">
        <f>AND(#REF!,"AAAAAH2HfjE=")</f>
        <v>#REF!</v>
      </c>
      <c r="AY174" t="e">
        <f>AND(#REF!,"AAAAAH2HfjI=")</f>
        <v>#REF!</v>
      </c>
      <c r="AZ174" t="e">
        <f>AND(#REF!,"AAAAAH2HfjM=")</f>
        <v>#REF!</v>
      </c>
      <c r="BA174" t="e">
        <f>AND(#REF!,"AAAAAH2HfjQ=")</f>
        <v>#REF!</v>
      </c>
      <c r="BB174" t="e">
        <f>AND(#REF!,"AAAAAH2HfjU=")</f>
        <v>#REF!</v>
      </c>
      <c r="BC174" t="e">
        <f>AND(#REF!,"AAAAAH2HfjY=")</f>
        <v>#REF!</v>
      </c>
      <c r="BD174" t="e">
        <f>AND(#REF!,"AAAAAH2Hfjc=")</f>
        <v>#REF!</v>
      </c>
      <c r="BE174" t="e">
        <f>AND(#REF!,"AAAAAH2Hfjg=")</f>
        <v>#REF!</v>
      </c>
      <c r="BF174" t="e">
        <f>AND(#REF!,"AAAAAH2Hfjk=")</f>
        <v>#REF!</v>
      </c>
      <c r="BG174" t="e">
        <f>AND(#REF!,"AAAAAH2Hfjo=")</f>
        <v>#REF!</v>
      </c>
      <c r="BH174" t="e">
        <f>AND(#REF!,"AAAAAH2Hfjs=")</f>
        <v>#REF!</v>
      </c>
      <c r="BI174" t="e">
        <f>AND(#REF!,"AAAAAH2Hfjw=")</f>
        <v>#REF!</v>
      </c>
      <c r="BJ174" t="e">
        <f>AND(#REF!,"AAAAAH2Hfj0=")</f>
        <v>#REF!</v>
      </c>
      <c r="BK174" t="e">
        <f>AND(#REF!,"AAAAAH2Hfj4=")</f>
        <v>#REF!</v>
      </c>
      <c r="BL174" t="e">
        <f>AND(#REF!,"AAAAAH2Hfj8=")</f>
        <v>#REF!</v>
      </c>
      <c r="BM174" t="e">
        <f>AND(#REF!,"AAAAAH2HfkA=")</f>
        <v>#REF!</v>
      </c>
      <c r="BN174" t="e">
        <f>AND(#REF!,"AAAAAH2HfkE=")</f>
        <v>#REF!</v>
      </c>
      <c r="BO174" t="e">
        <f>AND(#REF!,"AAAAAH2HfkI=")</f>
        <v>#REF!</v>
      </c>
      <c r="BP174" t="e">
        <f>AND(#REF!,"AAAAAH2HfkM=")</f>
        <v>#REF!</v>
      </c>
      <c r="BQ174" t="e">
        <f>AND(#REF!,"AAAAAH2HfkQ=")</f>
        <v>#REF!</v>
      </c>
      <c r="BR174" t="e">
        <f>AND(#REF!,"AAAAAH2HfkU=")</f>
        <v>#REF!</v>
      </c>
      <c r="BS174" t="e">
        <f>AND(#REF!,"AAAAAH2HfkY=")</f>
        <v>#REF!</v>
      </c>
      <c r="BT174" t="e">
        <f>AND(#REF!,"AAAAAH2Hfkc=")</f>
        <v>#REF!</v>
      </c>
      <c r="BU174" t="e">
        <f>AND(#REF!,"AAAAAH2Hfkg=")</f>
        <v>#REF!</v>
      </c>
      <c r="BV174" t="e">
        <f>AND(#REF!,"AAAAAH2Hfkk=")</f>
        <v>#REF!</v>
      </c>
      <c r="BW174" t="e">
        <f>AND(#REF!,"AAAAAH2Hfko=")</f>
        <v>#REF!</v>
      </c>
      <c r="BX174" t="e">
        <f>AND(#REF!,"AAAAAH2Hfks=")</f>
        <v>#REF!</v>
      </c>
      <c r="BY174" t="e">
        <f>AND(#REF!,"AAAAAH2Hfkw=")</f>
        <v>#REF!</v>
      </c>
      <c r="BZ174" t="e">
        <f>AND(#REF!,"AAAAAH2Hfk0=")</f>
        <v>#REF!</v>
      </c>
      <c r="CA174" t="e">
        <f>AND(#REF!,"AAAAAH2Hfk4=")</f>
        <v>#REF!</v>
      </c>
      <c r="CB174" t="e">
        <f>AND(#REF!,"AAAAAH2Hfk8=")</f>
        <v>#REF!</v>
      </c>
      <c r="CC174" t="e">
        <f>AND(#REF!,"AAAAAH2HflA=")</f>
        <v>#REF!</v>
      </c>
      <c r="CD174" t="e">
        <f>AND(#REF!,"AAAAAH2HflE=")</f>
        <v>#REF!</v>
      </c>
      <c r="CE174" t="e">
        <f>AND(#REF!,"AAAAAH2HflI=")</f>
        <v>#REF!</v>
      </c>
      <c r="CF174" t="e">
        <f>IF(#REF!,"AAAAAH2HflM=",0)</f>
        <v>#REF!</v>
      </c>
      <c r="CG174" t="e">
        <f>AND(#REF!,"AAAAAH2HflQ=")</f>
        <v>#REF!</v>
      </c>
      <c r="CH174" t="e">
        <f>AND(#REF!,"AAAAAH2HflU=")</f>
        <v>#REF!</v>
      </c>
      <c r="CI174" t="e">
        <f>AND(#REF!,"AAAAAH2HflY=")</f>
        <v>#REF!</v>
      </c>
      <c r="CJ174" t="e">
        <f>AND(#REF!,"AAAAAH2Hflc=")</f>
        <v>#REF!</v>
      </c>
      <c r="CK174" t="e">
        <f>AND(#REF!,"AAAAAH2Hflg=")</f>
        <v>#REF!</v>
      </c>
      <c r="CL174" t="e">
        <f>AND(#REF!,"AAAAAH2Hflk=")</f>
        <v>#REF!</v>
      </c>
      <c r="CM174" t="e">
        <f>AND(#REF!,"AAAAAH2Hflo=")</f>
        <v>#REF!</v>
      </c>
      <c r="CN174" t="e">
        <f>AND(#REF!,"AAAAAH2Hfls=")</f>
        <v>#REF!</v>
      </c>
      <c r="CO174" t="e">
        <f>AND(#REF!,"AAAAAH2Hflw=")</f>
        <v>#REF!</v>
      </c>
      <c r="CP174" t="e">
        <f>AND(#REF!,"AAAAAH2Hfl0=")</f>
        <v>#REF!</v>
      </c>
      <c r="CQ174" t="e">
        <f>AND(#REF!,"AAAAAH2Hfl4=")</f>
        <v>#REF!</v>
      </c>
      <c r="CR174" t="e">
        <f>AND(#REF!,"AAAAAH2Hfl8=")</f>
        <v>#REF!</v>
      </c>
      <c r="CS174" t="e">
        <f>AND(#REF!,"AAAAAH2HfmA=")</f>
        <v>#REF!</v>
      </c>
      <c r="CT174" t="e">
        <f>AND(#REF!,"AAAAAH2HfmE=")</f>
        <v>#REF!</v>
      </c>
      <c r="CU174" t="e">
        <f>AND(#REF!,"AAAAAH2HfmI=")</f>
        <v>#REF!</v>
      </c>
      <c r="CV174" t="e">
        <f>AND(#REF!,"AAAAAH2HfmM=")</f>
        <v>#REF!</v>
      </c>
      <c r="CW174" t="e">
        <f>AND(#REF!,"AAAAAH2HfmQ=")</f>
        <v>#REF!</v>
      </c>
      <c r="CX174" t="e">
        <f>AND(#REF!,"AAAAAH2HfmU=")</f>
        <v>#REF!</v>
      </c>
      <c r="CY174" t="e">
        <f>AND(#REF!,"AAAAAH2HfmY=")</f>
        <v>#REF!</v>
      </c>
      <c r="CZ174" t="e">
        <f>AND(#REF!,"AAAAAH2Hfmc=")</f>
        <v>#REF!</v>
      </c>
      <c r="DA174" t="e">
        <f>AND(#REF!,"AAAAAH2Hfmg=")</f>
        <v>#REF!</v>
      </c>
      <c r="DB174" t="e">
        <f>AND(#REF!,"AAAAAH2Hfmk=")</f>
        <v>#REF!</v>
      </c>
      <c r="DC174" t="e">
        <f>AND(#REF!,"AAAAAH2Hfmo=")</f>
        <v>#REF!</v>
      </c>
      <c r="DD174" t="e">
        <f>AND(#REF!,"AAAAAH2Hfms=")</f>
        <v>#REF!</v>
      </c>
      <c r="DE174" t="e">
        <f>AND(#REF!,"AAAAAH2Hfmw=")</f>
        <v>#REF!</v>
      </c>
      <c r="DF174" t="e">
        <f>AND(#REF!,"AAAAAH2Hfm0=")</f>
        <v>#REF!</v>
      </c>
      <c r="DG174" t="e">
        <f>AND(#REF!,"AAAAAH2Hfm4=")</f>
        <v>#REF!</v>
      </c>
      <c r="DH174" t="e">
        <f>AND(#REF!,"AAAAAH2Hfm8=")</f>
        <v>#REF!</v>
      </c>
      <c r="DI174" t="e">
        <f>AND(#REF!,"AAAAAH2HfnA=")</f>
        <v>#REF!</v>
      </c>
      <c r="DJ174" t="e">
        <f>AND(#REF!,"AAAAAH2HfnE=")</f>
        <v>#REF!</v>
      </c>
      <c r="DK174" t="e">
        <f>AND(#REF!,"AAAAAH2HfnI=")</f>
        <v>#REF!</v>
      </c>
      <c r="DL174" t="e">
        <f>AND(#REF!,"AAAAAH2HfnM=")</f>
        <v>#REF!</v>
      </c>
      <c r="DM174" t="e">
        <f>AND(#REF!,"AAAAAH2HfnQ=")</f>
        <v>#REF!</v>
      </c>
      <c r="DN174" t="e">
        <f>AND(#REF!,"AAAAAH2HfnU=")</f>
        <v>#REF!</v>
      </c>
      <c r="DO174" t="e">
        <f>AND(#REF!,"AAAAAH2HfnY=")</f>
        <v>#REF!</v>
      </c>
      <c r="DP174" t="e">
        <f>AND(#REF!,"AAAAAH2Hfnc=")</f>
        <v>#REF!</v>
      </c>
      <c r="DQ174" t="e">
        <f>AND(#REF!,"AAAAAH2Hfng=")</f>
        <v>#REF!</v>
      </c>
      <c r="DR174" t="e">
        <f>AND(#REF!,"AAAAAH2Hfnk=")</f>
        <v>#REF!</v>
      </c>
      <c r="DS174" t="e">
        <f>AND(#REF!,"AAAAAH2Hfno=")</f>
        <v>#REF!</v>
      </c>
      <c r="DT174" t="e">
        <f>AND(#REF!,"AAAAAH2Hfns=")</f>
        <v>#REF!</v>
      </c>
      <c r="DU174" t="e">
        <f>AND(#REF!,"AAAAAH2Hfnw=")</f>
        <v>#REF!</v>
      </c>
      <c r="DV174" t="e">
        <f>AND(#REF!,"AAAAAH2Hfn0=")</f>
        <v>#REF!</v>
      </c>
      <c r="DW174" t="e">
        <f>AND(#REF!,"AAAAAH2Hfn4=")</f>
        <v>#REF!</v>
      </c>
      <c r="DX174" t="e">
        <f>AND(#REF!,"AAAAAH2Hfn8=")</f>
        <v>#REF!</v>
      </c>
      <c r="DY174" t="e">
        <f>AND(#REF!,"AAAAAH2HfoA=")</f>
        <v>#REF!</v>
      </c>
      <c r="DZ174" t="e">
        <f>AND(#REF!,"AAAAAH2HfoE=")</f>
        <v>#REF!</v>
      </c>
      <c r="EA174" t="e">
        <f>AND(#REF!,"AAAAAH2HfoI=")</f>
        <v>#REF!</v>
      </c>
      <c r="EB174" t="e">
        <f>AND(#REF!,"AAAAAH2HfoM=")</f>
        <v>#REF!</v>
      </c>
      <c r="EC174" t="e">
        <f>AND(#REF!,"AAAAAH2HfoQ=")</f>
        <v>#REF!</v>
      </c>
      <c r="ED174" t="e">
        <f>AND(#REF!,"AAAAAH2HfoU=")</f>
        <v>#REF!</v>
      </c>
      <c r="EE174" t="e">
        <f>AND(#REF!,"AAAAAH2HfoY=")</f>
        <v>#REF!</v>
      </c>
      <c r="EF174" t="e">
        <f>AND(#REF!,"AAAAAH2Hfoc=")</f>
        <v>#REF!</v>
      </c>
      <c r="EG174" t="e">
        <f>AND(#REF!,"AAAAAH2Hfog=")</f>
        <v>#REF!</v>
      </c>
      <c r="EH174" t="e">
        <f>AND(#REF!,"AAAAAH2Hfok=")</f>
        <v>#REF!</v>
      </c>
      <c r="EI174" t="e">
        <f>AND(#REF!,"AAAAAH2Hfoo=")</f>
        <v>#REF!</v>
      </c>
      <c r="EJ174" t="e">
        <f>AND(#REF!,"AAAAAH2Hfos=")</f>
        <v>#REF!</v>
      </c>
      <c r="EK174" t="e">
        <f>AND(#REF!,"AAAAAH2Hfow=")</f>
        <v>#REF!</v>
      </c>
      <c r="EL174" t="e">
        <f>AND(#REF!,"AAAAAH2Hfo0=")</f>
        <v>#REF!</v>
      </c>
      <c r="EM174" t="e">
        <f>AND(#REF!,"AAAAAH2Hfo4=")</f>
        <v>#REF!</v>
      </c>
      <c r="EN174" t="e">
        <f>AND(#REF!,"AAAAAH2Hfo8=")</f>
        <v>#REF!</v>
      </c>
      <c r="EO174" t="e">
        <f>AND(#REF!,"AAAAAH2HfpA=")</f>
        <v>#REF!</v>
      </c>
      <c r="EP174" t="e">
        <f>AND(#REF!,"AAAAAH2HfpE=")</f>
        <v>#REF!</v>
      </c>
      <c r="EQ174" t="e">
        <f>AND(#REF!,"AAAAAH2HfpI=")</f>
        <v>#REF!</v>
      </c>
      <c r="ER174" t="e">
        <f>AND(#REF!,"AAAAAH2HfpM=")</f>
        <v>#REF!</v>
      </c>
      <c r="ES174" t="e">
        <f>AND(#REF!,"AAAAAH2HfpQ=")</f>
        <v>#REF!</v>
      </c>
      <c r="ET174" t="e">
        <f>AND(#REF!,"AAAAAH2HfpU=")</f>
        <v>#REF!</v>
      </c>
      <c r="EU174" t="e">
        <f>AND(#REF!,"AAAAAH2HfpY=")</f>
        <v>#REF!</v>
      </c>
      <c r="EV174" t="e">
        <f>AND(#REF!,"AAAAAH2Hfpc=")</f>
        <v>#REF!</v>
      </c>
      <c r="EW174" t="e">
        <f>AND(#REF!,"AAAAAH2Hfpg=")</f>
        <v>#REF!</v>
      </c>
      <c r="EX174" t="e">
        <f>AND(#REF!,"AAAAAH2Hfpk=")</f>
        <v>#REF!</v>
      </c>
      <c r="EY174" t="e">
        <f>AND(#REF!,"AAAAAH2Hfpo=")</f>
        <v>#REF!</v>
      </c>
      <c r="EZ174" t="e">
        <f>AND(#REF!,"AAAAAH2Hfps=")</f>
        <v>#REF!</v>
      </c>
      <c r="FA174" t="e">
        <f>AND(#REF!,"AAAAAH2Hfpw=")</f>
        <v>#REF!</v>
      </c>
      <c r="FB174" t="e">
        <f>AND(#REF!,"AAAAAH2Hfp0=")</f>
        <v>#REF!</v>
      </c>
      <c r="FC174" t="e">
        <f>AND(#REF!,"AAAAAH2Hfp4=")</f>
        <v>#REF!</v>
      </c>
      <c r="FD174" t="e">
        <f>AND(#REF!,"AAAAAH2Hfp8=")</f>
        <v>#REF!</v>
      </c>
      <c r="FE174" t="e">
        <f>AND(#REF!,"AAAAAH2HfqA=")</f>
        <v>#REF!</v>
      </c>
      <c r="FF174" t="e">
        <f>AND(#REF!,"AAAAAH2HfqE=")</f>
        <v>#REF!</v>
      </c>
      <c r="FG174" t="e">
        <f>AND(#REF!,"AAAAAH2HfqI=")</f>
        <v>#REF!</v>
      </c>
      <c r="FH174" t="e">
        <f>AND(#REF!,"AAAAAH2HfqM=")</f>
        <v>#REF!</v>
      </c>
      <c r="FI174" t="e">
        <f>AND(#REF!,"AAAAAH2HfqQ=")</f>
        <v>#REF!</v>
      </c>
      <c r="FJ174" t="e">
        <f>AND(#REF!,"AAAAAH2HfqU=")</f>
        <v>#REF!</v>
      </c>
      <c r="FK174" t="e">
        <f>AND(#REF!,"AAAAAH2HfqY=")</f>
        <v>#REF!</v>
      </c>
      <c r="FL174" t="e">
        <f>AND(#REF!,"AAAAAH2Hfqc=")</f>
        <v>#REF!</v>
      </c>
      <c r="FM174" t="e">
        <f>AND(#REF!,"AAAAAH2Hfqg=")</f>
        <v>#REF!</v>
      </c>
      <c r="FN174" t="e">
        <f>AND(#REF!,"AAAAAH2Hfqk=")</f>
        <v>#REF!</v>
      </c>
      <c r="FO174" t="e">
        <f>AND(#REF!,"AAAAAH2Hfqo=")</f>
        <v>#REF!</v>
      </c>
      <c r="FP174" t="e">
        <f>AND(#REF!,"AAAAAH2Hfqs=")</f>
        <v>#REF!</v>
      </c>
      <c r="FQ174" t="e">
        <f>AND(#REF!,"AAAAAH2Hfqw=")</f>
        <v>#REF!</v>
      </c>
      <c r="FR174" t="e">
        <f>AND(#REF!,"AAAAAH2Hfq0=")</f>
        <v>#REF!</v>
      </c>
      <c r="FS174" t="e">
        <f>AND(#REF!,"AAAAAH2Hfq4=")</f>
        <v>#REF!</v>
      </c>
      <c r="FT174" t="e">
        <f>AND(#REF!,"AAAAAH2Hfq8=")</f>
        <v>#REF!</v>
      </c>
      <c r="FU174" t="e">
        <f>AND(#REF!,"AAAAAH2HfrA=")</f>
        <v>#REF!</v>
      </c>
      <c r="FV174" t="e">
        <f>AND(#REF!,"AAAAAH2HfrE=")</f>
        <v>#REF!</v>
      </c>
      <c r="FW174" t="e">
        <f>AND(#REF!,"AAAAAH2HfrI=")</f>
        <v>#REF!</v>
      </c>
      <c r="FX174" t="e">
        <f>AND(#REF!,"AAAAAH2HfrM=")</f>
        <v>#REF!</v>
      </c>
      <c r="FY174" t="e">
        <f>AND(#REF!,"AAAAAH2HfrQ=")</f>
        <v>#REF!</v>
      </c>
      <c r="FZ174" t="e">
        <f>AND(#REF!,"AAAAAH2HfrU=")</f>
        <v>#REF!</v>
      </c>
      <c r="GA174" t="e">
        <f>AND(#REF!,"AAAAAH2HfrY=")</f>
        <v>#REF!</v>
      </c>
      <c r="GB174" t="e">
        <f>AND(#REF!,"AAAAAH2Hfrc=")</f>
        <v>#REF!</v>
      </c>
      <c r="GC174" t="e">
        <f>AND(#REF!,"AAAAAH2Hfrg=")</f>
        <v>#REF!</v>
      </c>
      <c r="GD174" t="e">
        <f>AND(#REF!,"AAAAAH2Hfrk=")</f>
        <v>#REF!</v>
      </c>
      <c r="GE174" t="e">
        <f>AND(#REF!,"AAAAAH2Hfro=")</f>
        <v>#REF!</v>
      </c>
      <c r="GF174" t="e">
        <f>AND(#REF!,"AAAAAH2Hfrs=")</f>
        <v>#REF!</v>
      </c>
      <c r="GG174" t="e">
        <f>AND(#REF!,"AAAAAH2Hfrw=")</f>
        <v>#REF!</v>
      </c>
      <c r="GH174" t="e">
        <f>AND(#REF!,"AAAAAH2Hfr0=")</f>
        <v>#REF!</v>
      </c>
      <c r="GI174" t="e">
        <f>AND(#REF!,"AAAAAH2Hfr4=")</f>
        <v>#REF!</v>
      </c>
      <c r="GJ174" t="e">
        <f>AND(#REF!,"AAAAAH2Hfr8=")</f>
        <v>#REF!</v>
      </c>
      <c r="GK174" t="e">
        <f>AND(#REF!,"AAAAAH2HfsA=")</f>
        <v>#REF!</v>
      </c>
      <c r="GL174" t="e">
        <f>AND(#REF!,"AAAAAH2HfsE=")</f>
        <v>#REF!</v>
      </c>
      <c r="GM174" t="e">
        <f>AND(#REF!,"AAAAAH2HfsI=")</f>
        <v>#REF!</v>
      </c>
      <c r="GN174" t="e">
        <f>AND(#REF!,"AAAAAH2HfsM=")</f>
        <v>#REF!</v>
      </c>
      <c r="GO174" t="e">
        <f>AND(#REF!,"AAAAAH2HfsQ=")</f>
        <v>#REF!</v>
      </c>
      <c r="GP174" t="e">
        <f>AND(#REF!,"AAAAAH2HfsU=")</f>
        <v>#REF!</v>
      </c>
      <c r="GQ174" t="e">
        <f>AND(#REF!,"AAAAAH2HfsY=")</f>
        <v>#REF!</v>
      </c>
      <c r="GR174" t="e">
        <f>AND(#REF!,"AAAAAH2Hfsc=")</f>
        <v>#REF!</v>
      </c>
      <c r="GS174" t="e">
        <f>AND(#REF!,"AAAAAH2Hfsg=")</f>
        <v>#REF!</v>
      </c>
      <c r="GT174" t="e">
        <f>AND(#REF!,"AAAAAH2Hfsk=")</f>
        <v>#REF!</v>
      </c>
      <c r="GU174" t="e">
        <f>AND(#REF!,"AAAAAH2Hfso=")</f>
        <v>#REF!</v>
      </c>
      <c r="GV174" t="e">
        <f>AND(#REF!,"AAAAAH2Hfss=")</f>
        <v>#REF!</v>
      </c>
      <c r="GW174" t="e">
        <f>AND(#REF!,"AAAAAH2Hfsw=")</f>
        <v>#REF!</v>
      </c>
      <c r="GX174" t="e">
        <f>AND(#REF!,"AAAAAH2Hfs0=")</f>
        <v>#REF!</v>
      </c>
      <c r="GY174" t="e">
        <f>AND(#REF!,"AAAAAH2Hfs4=")</f>
        <v>#REF!</v>
      </c>
      <c r="GZ174" t="e">
        <f>AND(#REF!,"AAAAAH2Hfs8=")</f>
        <v>#REF!</v>
      </c>
      <c r="HA174" t="e">
        <f>AND(#REF!,"AAAAAH2HftA=")</f>
        <v>#REF!</v>
      </c>
      <c r="HB174" t="e">
        <f>AND(#REF!,"AAAAAH2HftE=")</f>
        <v>#REF!</v>
      </c>
      <c r="HC174" t="e">
        <f>AND(#REF!,"AAAAAH2HftI=")</f>
        <v>#REF!</v>
      </c>
      <c r="HD174" t="e">
        <f>AND(#REF!,"AAAAAH2HftM=")</f>
        <v>#REF!</v>
      </c>
      <c r="HE174" t="e">
        <f>AND(#REF!,"AAAAAH2HftQ=")</f>
        <v>#REF!</v>
      </c>
      <c r="HF174" t="e">
        <f>AND(#REF!,"AAAAAH2HftU=")</f>
        <v>#REF!</v>
      </c>
      <c r="HG174" t="e">
        <f>AND(#REF!,"AAAAAH2HftY=")</f>
        <v>#REF!</v>
      </c>
      <c r="HH174" t="e">
        <f>AND(#REF!,"AAAAAH2Hftc=")</f>
        <v>#REF!</v>
      </c>
      <c r="HI174" t="e">
        <f>AND(#REF!,"AAAAAH2Hftg=")</f>
        <v>#REF!</v>
      </c>
      <c r="HJ174" t="e">
        <f>AND(#REF!,"AAAAAH2Hftk=")</f>
        <v>#REF!</v>
      </c>
      <c r="HK174" t="e">
        <f>AND(#REF!,"AAAAAH2Hfto=")</f>
        <v>#REF!</v>
      </c>
      <c r="HL174" t="e">
        <f>AND(#REF!,"AAAAAH2Hfts=")</f>
        <v>#REF!</v>
      </c>
      <c r="HM174" t="e">
        <f>AND(#REF!,"AAAAAH2Hftw=")</f>
        <v>#REF!</v>
      </c>
      <c r="HN174" t="e">
        <f>AND(#REF!,"AAAAAH2Hft0=")</f>
        <v>#REF!</v>
      </c>
      <c r="HO174" t="e">
        <f>AND(#REF!,"AAAAAH2Hft4=")</f>
        <v>#REF!</v>
      </c>
      <c r="HP174" t="e">
        <f>AND(#REF!,"AAAAAH2Hft8=")</f>
        <v>#REF!</v>
      </c>
      <c r="HQ174" t="e">
        <f>AND(#REF!,"AAAAAH2HfuA=")</f>
        <v>#REF!</v>
      </c>
      <c r="HR174" t="e">
        <f>AND(#REF!,"AAAAAH2HfuE=")</f>
        <v>#REF!</v>
      </c>
      <c r="HS174" t="e">
        <f>AND(#REF!,"AAAAAH2HfuI=")</f>
        <v>#REF!</v>
      </c>
      <c r="HT174" t="e">
        <f>AND(#REF!,"AAAAAH2HfuM=")</f>
        <v>#REF!</v>
      </c>
      <c r="HU174" t="e">
        <f>AND(#REF!,"AAAAAH2HfuQ=")</f>
        <v>#REF!</v>
      </c>
      <c r="HV174" t="e">
        <f>AND(#REF!,"AAAAAH2HfuU=")</f>
        <v>#REF!</v>
      </c>
      <c r="HW174" t="e">
        <f>AND(#REF!,"AAAAAH2HfuY=")</f>
        <v>#REF!</v>
      </c>
      <c r="HX174" t="e">
        <f>AND(#REF!,"AAAAAH2Hfuc=")</f>
        <v>#REF!</v>
      </c>
      <c r="HY174" t="e">
        <f>AND(#REF!,"AAAAAH2Hfug=")</f>
        <v>#REF!</v>
      </c>
      <c r="HZ174" t="e">
        <f>AND(#REF!,"AAAAAH2Hfuk=")</f>
        <v>#REF!</v>
      </c>
      <c r="IA174" t="e">
        <f>AND(#REF!,"AAAAAH2Hfuo=")</f>
        <v>#REF!</v>
      </c>
      <c r="IB174" t="e">
        <f>AND(#REF!,"AAAAAH2Hfus=")</f>
        <v>#REF!</v>
      </c>
      <c r="IC174" t="e">
        <f>AND(#REF!,"AAAAAH2Hfuw=")</f>
        <v>#REF!</v>
      </c>
      <c r="ID174" t="e">
        <f>AND(#REF!,"AAAAAH2Hfu0=")</f>
        <v>#REF!</v>
      </c>
      <c r="IE174" t="e">
        <f>AND(#REF!,"AAAAAH2Hfu4=")</f>
        <v>#REF!</v>
      </c>
      <c r="IF174" t="e">
        <f>AND(#REF!,"AAAAAH2Hfu8=")</f>
        <v>#REF!</v>
      </c>
      <c r="IG174" t="e">
        <f>AND(#REF!,"AAAAAH2HfvA=")</f>
        <v>#REF!</v>
      </c>
      <c r="IH174" t="e">
        <f>AND(#REF!,"AAAAAH2HfvE=")</f>
        <v>#REF!</v>
      </c>
      <c r="II174" t="e">
        <f>AND(#REF!,"AAAAAH2HfvI=")</f>
        <v>#REF!</v>
      </c>
      <c r="IJ174" t="e">
        <f>AND(#REF!,"AAAAAH2HfvM=")</f>
        <v>#REF!</v>
      </c>
      <c r="IK174" t="e">
        <f>AND(#REF!,"AAAAAH2HfvQ=")</f>
        <v>#REF!</v>
      </c>
      <c r="IL174" t="e">
        <f>AND(#REF!,"AAAAAH2HfvU=")</f>
        <v>#REF!</v>
      </c>
      <c r="IM174" t="e">
        <f>AND(#REF!,"AAAAAH2HfvY=")</f>
        <v>#REF!</v>
      </c>
      <c r="IN174" t="e">
        <f>AND(#REF!,"AAAAAH2Hfvc=")</f>
        <v>#REF!</v>
      </c>
      <c r="IO174" t="e">
        <f>AND(#REF!,"AAAAAH2Hfvg=")</f>
        <v>#REF!</v>
      </c>
      <c r="IP174" t="e">
        <f>AND(#REF!,"AAAAAH2Hfvk=")</f>
        <v>#REF!</v>
      </c>
      <c r="IQ174" t="e">
        <f>AND(#REF!,"AAAAAH2Hfvo=")</f>
        <v>#REF!</v>
      </c>
      <c r="IR174" t="e">
        <f>AND(#REF!,"AAAAAH2Hfvs=")</f>
        <v>#REF!</v>
      </c>
      <c r="IS174" t="e">
        <f>AND(#REF!,"AAAAAH2Hfvw=")</f>
        <v>#REF!</v>
      </c>
      <c r="IT174" t="e">
        <f>AND(#REF!,"AAAAAH2Hfv0=")</f>
        <v>#REF!</v>
      </c>
      <c r="IU174" t="e">
        <f>AND(#REF!,"AAAAAH2Hfv4=")</f>
        <v>#REF!</v>
      </c>
      <c r="IV174" t="e">
        <f>AND(#REF!,"AAAAAH2Hfv8=")</f>
        <v>#REF!</v>
      </c>
    </row>
    <row r="175" spans="1:256" x14ac:dyDescent="0.25">
      <c r="A175" t="e">
        <f>AND(#REF!,"AAAAACW1NgA=")</f>
        <v>#REF!</v>
      </c>
      <c r="B175" t="e">
        <f>AND(#REF!,"AAAAACW1NgE=")</f>
        <v>#REF!</v>
      </c>
      <c r="C175" t="e">
        <f>AND(#REF!,"AAAAACW1NgI=")</f>
        <v>#REF!</v>
      </c>
      <c r="D175" t="e">
        <f>AND(#REF!,"AAAAACW1NgM=")</f>
        <v>#REF!</v>
      </c>
      <c r="E175" t="e">
        <f>AND(#REF!,"AAAAACW1NgQ=")</f>
        <v>#REF!</v>
      </c>
      <c r="F175" t="e">
        <f>AND(#REF!,"AAAAACW1NgU=")</f>
        <v>#REF!</v>
      </c>
      <c r="G175" t="e">
        <f>AND(#REF!,"AAAAACW1NgY=")</f>
        <v>#REF!</v>
      </c>
      <c r="H175" t="e">
        <f>AND(#REF!,"AAAAACW1Ngc=")</f>
        <v>#REF!</v>
      </c>
      <c r="I175" t="e">
        <f>AND(#REF!,"AAAAACW1Ngg=")</f>
        <v>#REF!</v>
      </c>
      <c r="J175" t="e">
        <f>AND(#REF!,"AAAAACW1Ngk=")</f>
        <v>#REF!</v>
      </c>
      <c r="K175" t="e">
        <f>AND(#REF!,"AAAAACW1Ngo=")</f>
        <v>#REF!</v>
      </c>
      <c r="L175" t="e">
        <f>AND(#REF!,"AAAAACW1Ngs=")</f>
        <v>#REF!</v>
      </c>
      <c r="M175" t="e">
        <f>AND(#REF!,"AAAAACW1Ngw=")</f>
        <v>#REF!</v>
      </c>
      <c r="N175" t="e">
        <f>AND(#REF!,"AAAAACW1Ng0=")</f>
        <v>#REF!</v>
      </c>
      <c r="O175" t="e">
        <f>AND(#REF!,"AAAAACW1Ng4=")</f>
        <v>#REF!</v>
      </c>
      <c r="P175" t="e">
        <f>AND(#REF!,"AAAAACW1Ng8=")</f>
        <v>#REF!</v>
      </c>
      <c r="Q175" t="e">
        <f>IF(#REF!,"AAAAACW1NhA=",0)</f>
        <v>#REF!</v>
      </c>
      <c r="R175" t="e">
        <f>AND(#REF!,"AAAAACW1NhE=")</f>
        <v>#REF!</v>
      </c>
      <c r="S175" t="e">
        <f>AND(#REF!,"AAAAACW1NhI=")</f>
        <v>#REF!</v>
      </c>
      <c r="T175" t="e">
        <f>AND(#REF!,"AAAAACW1NhM=")</f>
        <v>#REF!</v>
      </c>
      <c r="U175" t="e">
        <f>AND(#REF!,"AAAAACW1NhQ=")</f>
        <v>#REF!</v>
      </c>
      <c r="V175" t="e">
        <f>AND(#REF!,"AAAAACW1NhU=")</f>
        <v>#REF!</v>
      </c>
      <c r="W175" t="e">
        <f>AND(#REF!,"AAAAACW1NhY=")</f>
        <v>#REF!</v>
      </c>
      <c r="X175" t="e">
        <f>AND(#REF!,"AAAAACW1Nhc=")</f>
        <v>#REF!</v>
      </c>
      <c r="Y175" t="e">
        <f>AND(#REF!,"AAAAACW1Nhg=")</f>
        <v>#REF!</v>
      </c>
      <c r="Z175" t="e">
        <f>AND(#REF!,"AAAAACW1Nhk=")</f>
        <v>#REF!</v>
      </c>
      <c r="AA175" t="e">
        <f>AND(#REF!,"AAAAACW1Nho=")</f>
        <v>#REF!</v>
      </c>
      <c r="AB175" t="e">
        <f>AND(#REF!,"AAAAACW1Nhs=")</f>
        <v>#REF!</v>
      </c>
      <c r="AC175" t="e">
        <f>AND(#REF!,"AAAAACW1Nhw=")</f>
        <v>#REF!</v>
      </c>
      <c r="AD175" t="e">
        <f>AND(#REF!,"AAAAACW1Nh0=")</f>
        <v>#REF!</v>
      </c>
      <c r="AE175" t="e">
        <f>AND(#REF!,"AAAAACW1Nh4=")</f>
        <v>#REF!</v>
      </c>
      <c r="AF175" t="e">
        <f>AND(#REF!,"AAAAACW1Nh8=")</f>
        <v>#REF!</v>
      </c>
      <c r="AG175" t="e">
        <f>AND(#REF!,"AAAAACW1NiA=")</f>
        <v>#REF!</v>
      </c>
      <c r="AH175" t="e">
        <f>AND(#REF!,"AAAAACW1NiE=")</f>
        <v>#REF!</v>
      </c>
      <c r="AI175" t="e">
        <f>AND(#REF!,"AAAAACW1NiI=")</f>
        <v>#REF!</v>
      </c>
      <c r="AJ175" t="e">
        <f>AND(#REF!,"AAAAACW1NiM=")</f>
        <v>#REF!</v>
      </c>
      <c r="AK175" t="e">
        <f>AND(#REF!,"AAAAACW1NiQ=")</f>
        <v>#REF!</v>
      </c>
      <c r="AL175" t="e">
        <f>AND(#REF!,"AAAAACW1NiU=")</f>
        <v>#REF!</v>
      </c>
      <c r="AM175" t="e">
        <f>AND(#REF!,"AAAAACW1NiY=")</f>
        <v>#REF!</v>
      </c>
      <c r="AN175" t="e">
        <f>AND(#REF!,"AAAAACW1Nic=")</f>
        <v>#REF!</v>
      </c>
      <c r="AO175" t="e">
        <f>AND(#REF!,"AAAAACW1Nig=")</f>
        <v>#REF!</v>
      </c>
      <c r="AP175" t="e">
        <f>AND(#REF!,"AAAAACW1Nik=")</f>
        <v>#REF!</v>
      </c>
      <c r="AQ175" t="e">
        <f>AND(#REF!,"AAAAACW1Nio=")</f>
        <v>#REF!</v>
      </c>
      <c r="AR175" t="e">
        <f>AND(#REF!,"AAAAACW1Nis=")</f>
        <v>#REF!</v>
      </c>
      <c r="AS175" t="e">
        <f>AND(#REF!,"AAAAACW1Niw=")</f>
        <v>#REF!</v>
      </c>
      <c r="AT175" t="e">
        <f>AND(#REF!,"AAAAACW1Ni0=")</f>
        <v>#REF!</v>
      </c>
      <c r="AU175" t="e">
        <f>AND(#REF!,"AAAAACW1Ni4=")</f>
        <v>#REF!</v>
      </c>
      <c r="AV175" t="e">
        <f>AND(#REF!,"AAAAACW1Ni8=")</f>
        <v>#REF!</v>
      </c>
      <c r="AW175" t="e">
        <f>AND(#REF!,"AAAAACW1NjA=")</f>
        <v>#REF!</v>
      </c>
      <c r="AX175" t="e">
        <f>AND(#REF!,"AAAAACW1NjE=")</f>
        <v>#REF!</v>
      </c>
      <c r="AY175" t="e">
        <f>AND(#REF!,"AAAAACW1NjI=")</f>
        <v>#REF!</v>
      </c>
      <c r="AZ175" t="e">
        <f>AND(#REF!,"AAAAACW1NjM=")</f>
        <v>#REF!</v>
      </c>
      <c r="BA175" t="e">
        <f>AND(#REF!,"AAAAACW1NjQ=")</f>
        <v>#REF!</v>
      </c>
      <c r="BB175" t="e">
        <f>AND(#REF!,"AAAAACW1NjU=")</f>
        <v>#REF!</v>
      </c>
      <c r="BC175" t="e">
        <f>AND(#REF!,"AAAAACW1NjY=")</f>
        <v>#REF!</v>
      </c>
      <c r="BD175" t="e">
        <f>AND(#REF!,"AAAAACW1Njc=")</f>
        <v>#REF!</v>
      </c>
      <c r="BE175" t="e">
        <f>AND(#REF!,"AAAAACW1Njg=")</f>
        <v>#REF!</v>
      </c>
      <c r="BF175" t="e">
        <f>AND(#REF!,"AAAAACW1Njk=")</f>
        <v>#REF!</v>
      </c>
      <c r="BG175" t="e">
        <f>AND(#REF!,"AAAAACW1Njo=")</f>
        <v>#REF!</v>
      </c>
      <c r="BH175" t="e">
        <f>AND(#REF!,"AAAAACW1Njs=")</f>
        <v>#REF!</v>
      </c>
      <c r="BI175" t="e">
        <f>AND(#REF!,"AAAAACW1Njw=")</f>
        <v>#REF!</v>
      </c>
      <c r="BJ175" t="e">
        <f>AND(#REF!,"AAAAACW1Nj0=")</f>
        <v>#REF!</v>
      </c>
      <c r="BK175" t="e">
        <f>AND(#REF!,"AAAAACW1Nj4=")</f>
        <v>#REF!</v>
      </c>
      <c r="BL175" t="e">
        <f>AND(#REF!,"AAAAACW1Nj8=")</f>
        <v>#REF!</v>
      </c>
      <c r="BM175" t="e">
        <f>AND(#REF!,"AAAAACW1NkA=")</f>
        <v>#REF!</v>
      </c>
      <c r="BN175" t="e">
        <f>AND(#REF!,"AAAAACW1NkE=")</f>
        <v>#REF!</v>
      </c>
      <c r="BO175" t="e">
        <f>AND(#REF!,"AAAAACW1NkI=")</f>
        <v>#REF!</v>
      </c>
      <c r="BP175" t="e">
        <f>AND(#REF!,"AAAAACW1NkM=")</f>
        <v>#REF!</v>
      </c>
      <c r="BQ175" t="e">
        <f>AND(#REF!,"AAAAACW1NkQ=")</f>
        <v>#REF!</v>
      </c>
      <c r="BR175" t="e">
        <f>AND(#REF!,"AAAAACW1NkU=")</f>
        <v>#REF!</v>
      </c>
      <c r="BS175" t="e">
        <f>AND(#REF!,"AAAAACW1NkY=")</f>
        <v>#REF!</v>
      </c>
      <c r="BT175" t="e">
        <f>AND(#REF!,"AAAAACW1Nkc=")</f>
        <v>#REF!</v>
      </c>
      <c r="BU175" t="e">
        <f>AND(#REF!,"AAAAACW1Nkg=")</f>
        <v>#REF!</v>
      </c>
      <c r="BV175" t="e">
        <f>AND(#REF!,"AAAAACW1Nkk=")</f>
        <v>#REF!</v>
      </c>
      <c r="BW175" t="e">
        <f>AND(#REF!,"AAAAACW1Nko=")</f>
        <v>#REF!</v>
      </c>
      <c r="BX175" t="e">
        <f>AND(#REF!,"AAAAACW1Nks=")</f>
        <v>#REF!</v>
      </c>
      <c r="BY175" t="e">
        <f>AND(#REF!,"AAAAACW1Nkw=")</f>
        <v>#REF!</v>
      </c>
      <c r="BZ175" t="e">
        <f>AND(#REF!,"AAAAACW1Nk0=")</f>
        <v>#REF!</v>
      </c>
      <c r="CA175" t="e">
        <f>AND(#REF!,"AAAAACW1Nk4=")</f>
        <v>#REF!</v>
      </c>
      <c r="CB175" t="e">
        <f>AND(#REF!,"AAAAACW1Nk8=")</f>
        <v>#REF!</v>
      </c>
      <c r="CC175" t="e">
        <f>AND(#REF!,"AAAAACW1NlA=")</f>
        <v>#REF!</v>
      </c>
      <c r="CD175" t="e">
        <f>AND(#REF!,"AAAAACW1NlE=")</f>
        <v>#REF!</v>
      </c>
      <c r="CE175" t="e">
        <f>AND(#REF!,"AAAAACW1NlI=")</f>
        <v>#REF!</v>
      </c>
      <c r="CF175" t="e">
        <f>AND(#REF!,"AAAAACW1NlM=")</f>
        <v>#REF!</v>
      </c>
      <c r="CG175" t="e">
        <f>AND(#REF!,"AAAAACW1NlQ=")</f>
        <v>#REF!</v>
      </c>
      <c r="CH175" t="e">
        <f>AND(#REF!,"AAAAACW1NlU=")</f>
        <v>#REF!</v>
      </c>
      <c r="CI175" t="e">
        <f>AND(#REF!,"AAAAACW1NlY=")</f>
        <v>#REF!</v>
      </c>
      <c r="CJ175" t="e">
        <f>AND(#REF!,"AAAAACW1Nlc=")</f>
        <v>#REF!</v>
      </c>
      <c r="CK175" t="e">
        <f>AND(#REF!,"AAAAACW1Nlg=")</f>
        <v>#REF!</v>
      </c>
      <c r="CL175" t="e">
        <f>AND(#REF!,"AAAAACW1Nlk=")</f>
        <v>#REF!</v>
      </c>
      <c r="CM175" t="e">
        <f>AND(#REF!,"AAAAACW1Nlo=")</f>
        <v>#REF!</v>
      </c>
      <c r="CN175" t="e">
        <f>AND(#REF!,"AAAAACW1Nls=")</f>
        <v>#REF!</v>
      </c>
      <c r="CO175" t="e">
        <f>AND(#REF!,"AAAAACW1Nlw=")</f>
        <v>#REF!</v>
      </c>
      <c r="CP175" t="e">
        <f>AND(#REF!,"AAAAACW1Nl0=")</f>
        <v>#REF!</v>
      </c>
      <c r="CQ175" t="e">
        <f>AND(#REF!,"AAAAACW1Nl4=")</f>
        <v>#REF!</v>
      </c>
      <c r="CR175" t="e">
        <f>AND(#REF!,"AAAAACW1Nl8=")</f>
        <v>#REF!</v>
      </c>
      <c r="CS175" t="e">
        <f>AND(#REF!,"AAAAACW1NmA=")</f>
        <v>#REF!</v>
      </c>
      <c r="CT175" t="e">
        <f>AND(#REF!,"AAAAACW1NmE=")</f>
        <v>#REF!</v>
      </c>
      <c r="CU175" t="e">
        <f>AND(#REF!,"AAAAACW1NmI=")</f>
        <v>#REF!</v>
      </c>
      <c r="CV175" t="e">
        <f>AND(#REF!,"AAAAACW1NmM=")</f>
        <v>#REF!</v>
      </c>
      <c r="CW175" t="e">
        <f>AND(#REF!,"AAAAACW1NmQ=")</f>
        <v>#REF!</v>
      </c>
      <c r="CX175" t="e">
        <f>AND(#REF!,"AAAAACW1NmU=")</f>
        <v>#REF!</v>
      </c>
      <c r="CY175" t="e">
        <f>AND(#REF!,"AAAAACW1NmY=")</f>
        <v>#REF!</v>
      </c>
      <c r="CZ175" t="e">
        <f>AND(#REF!,"AAAAACW1Nmc=")</f>
        <v>#REF!</v>
      </c>
      <c r="DA175" t="e">
        <f>AND(#REF!,"AAAAACW1Nmg=")</f>
        <v>#REF!</v>
      </c>
      <c r="DB175" t="e">
        <f>AND(#REF!,"AAAAACW1Nmk=")</f>
        <v>#REF!</v>
      </c>
      <c r="DC175" t="e">
        <f>AND(#REF!,"AAAAACW1Nmo=")</f>
        <v>#REF!</v>
      </c>
      <c r="DD175" t="e">
        <f>AND(#REF!,"AAAAACW1Nms=")</f>
        <v>#REF!</v>
      </c>
      <c r="DE175" t="e">
        <f>AND(#REF!,"AAAAACW1Nmw=")</f>
        <v>#REF!</v>
      </c>
      <c r="DF175" t="e">
        <f>AND(#REF!,"AAAAACW1Nm0=")</f>
        <v>#REF!</v>
      </c>
      <c r="DG175" t="e">
        <f>AND(#REF!,"AAAAACW1Nm4=")</f>
        <v>#REF!</v>
      </c>
      <c r="DH175" t="e">
        <f>AND(#REF!,"AAAAACW1Nm8=")</f>
        <v>#REF!</v>
      </c>
      <c r="DI175" t="e">
        <f>AND(#REF!,"AAAAACW1NnA=")</f>
        <v>#REF!</v>
      </c>
      <c r="DJ175" t="e">
        <f>AND(#REF!,"AAAAACW1NnE=")</f>
        <v>#REF!</v>
      </c>
      <c r="DK175" t="e">
        <f>AND(#REF!,"AAAAACW1NnI=")</f>
        <v>#REF!</v>
      </c>
      <c r="DL175" t="e">
        <f>AND(#REF!,"AAAAACW1NnM=")</f>
        <v>#REF!</v>
      </c>
      <c r="DM175" t="e">
        <f>AND(#REF!,"AAAAACW1NnQ=")</f>
        <v>#REF!</v>
      </c>
      <c r="DN175" t="e">
        <f>AND(#REF!,"AAAAACW1NnU=")</f>
        <v>#REF!</v>
      </c>
      <c r="DO175" t="e">
        <f>AND(#REF!,"AAAAACW1NnY=")</f>
        <v>#REF!</v>
      </c>
      <c r="DP175" t="e">
        <f>AND(#REF!,"AAAAACW1Nnc=")</f>
        <v>#REF!</v>
      </c>
      <c r="DQ175" t="e">
        <f>AND(#REF!,"AAAAACW1Nng=")</f>
        <v>#REF!</v>
      </c>
      <c r="DR175" t="e">
        <f>AND(#REF!,"AAAAACW1Nnk=")</f>
        <v>#REF!</v>
      </c>
      <c r="DS175" t="e">
        <f>AND(#REF!,"AAAAACW1Nno=")</f>
        <v>#REF!</v>
      </c>
      <c r="DT175" t="e">
        <f>AND(#REF!,"AAAAACW1Nns=")</f>
        <v>#REF!</v>
      </c>
      <c r="DU175" t="e">
        <f>AND(#REF!,"AAAAACW1Nnw=")</f>
        <v>#REF!</v>
      </c>
      <c r="DV175" t="e">
        <f>AND(#REF!,"AAAAACW1Nn0=")</f>
        <v>#REF!</v>
      </c>
      <c r="DW175" t="e">
        <f>AND(#REF!,"AAAAACW1Nn4=")</f>
        <v>#REF!</v>
      </c>
      <c r="DX175" t="e">
        <f>AND(#REF!,"AAAAACW1Nn8=")</f>
        <v>#REF!</v>
      </c>
      <c r="DY175" t="e">
        <f>AND(#REF!,"AAAAACW1NoA=")</f>
        <v>#REF!</v>
      </c>
      <c r="DZ175" t="e">
        <f>AND(#REF!,"AAAAACW1NoE=")</f>
        <v>#REF!</v>
      </c>
      <c r="EA175" t="e">
        <f>AND(#REF!,"AAAAACW1NoI=")</f>
        <v>#REF!</v>
      </c>
      <c r="EB175" t="e">
        <f>AND(#REF!,"AAAAACW1NoM=")</f>
        <v>#REF!</v>
      </c>
      <c r="EC175" t="e">
        <f>AND(#REF!,"AAAAACW1NoQ=")</f>
        <v>#REF!</v>
      </c>
      <c r="ED175" t="e">
        <f>AND(#REF!,"AAAAACW1NoU=")</f>
        <v>#REF!</v>
      </c>
      <c r="EE175" t="e">
        <f>AND(#REF!,"AAAAACW1NoY=")</f>
        <v>#REF!</v>
      </c>
      <c r="EF175" t="e">
        <f>AND(#REF!,"AAAAACW1Noc=")</f>
        <v>#REF!</v>
      </c>
      <c r="EG175" t="e">
        <f>AND(#REF!,"AAAAACW1Nog=")</f>
        <v>#REF!</v>
      </c>
      <c r="EH175" t="e">
        <f>AND(#REF!,"AAAAACW1Nok=")</f>
        <v>#REF!</v>
      </c>
      <c r="EI175" t="e">
        <f>AND(#REF!,"AAAAACW1Noo=")</f>
        <v>#REF!</v>
      </c>
      <c r="EJ175" t="e">
        <f>AND(#REF!,"AAAAACW1Nos=")</f>
        <v>#REF!</v>
      </c>
      <c r="EK175" t="e">
        <f>AND(#REF!,"AAAAACW1Now=")</f>
        <v>#REF!</v>
      </c>
      <c r="EL175" t="e">
        <f>AND(#REF!,"AAAAACW1No0=")</f>
        <v>#REF!</v>
      </c>
      <c r="EM175" t="e">
        <f>AND(#REF!,"AAAAACW1No4=")</f>
        <v>#REF!</v>
      </c>
      <c r="EN175" t="e">
        <f>AND(#REF!,"AAAAACW1No8=")</f>
        <v>#REF!</v>
      </c>
      <c r="EO175" t="e">
        <f>AND(#REF!,"AAAAACW1NpA=")</f>
        <v>#REF!</v>
      </c>
      <c r="EP175" t="e">
        <f>AND(#REF!,"AAAAACW1NpE=")</f>
        <v>#REF!</v>
      </c>
      <c r="EQ175" t="e">
        <f>AND(#REF!,"AAAAACW1NpI=")</f>
        <v>#REF!</v>
      </c>
      <c r="ER175" t="e">
        <f>AND(#REF!,"AAAAACW1NpM=")</f>
        <v>#REF!</v>
      </c>
      <c r="ES175" t="e">
        <f>AND(#REF!,"AAAAACW1NpQ=")</f>
        <v>#REF!</v>
      </c>
      <c r="ET175" t="e">
        <f>AND(#REF!,"AAAAACW1NpU=")</f>
        <v>#REF!</v>
      </c>
      <c r="EU175" t="e">
        <f>AND(#REF!,"AAAAACW1NpY=")</f>
        <v>#REF!</v>
      </c>
      <c r="EV175" t="e">
        <f>AND(#REF!,"AAAAACW1Npc=")</f>
        <v>#REF!</v>
      </c>
      <c r="EW175" t="e">
        <f>AND(#REF!,"AAAAACW1Npg=")</f>
        <v>#REF!</v>
      </c>
      <c r="EX175" t="e">
        <f>AND(#REF!,"AAAAACW1Npk=")</f>
        <v>#REF!</v>
      </c>
      <c r="EY175" t="e">
        <f>AND(#REF!,"AAAAACW1Npo=")</f>
        <v>#REF!</v>
      </c>
      <c r="EZ175" t="e">
        <f>AND(#REF!,"AAAAACW1Nps=")</f>
        <v>#REF!</v>
      </c>
      <c r="FA175" t="e">
        <f>AND(#REF!,"AAAAACW1Npw=")</f>
        <v>#REF!</v>
      </c>
      <c r="FB175" t="e">
        <f>AND(#REF!,"AAAAACW1Np0=")</f>
        <v>#REF!</v>
      </c>
      <c r="FC175" t="e">
        <f>AND(#REF!,"AAAAACW1Np4=")</f>
        <v>#REF!</v>
      </c>
      <c r="FD175" t="e">
        <f>AND(#REF!,"AAAAACW1Np8=")</f>
        <v>#REF!</v>
      </c>
      <c r="FE175" t="e">
        <f>AND(#REF!,"AAAAACW1NqA=")</f>
        <v>#REF!</v>
      </c>
      <c r="FF175" t="e">
        <f>AND(#REF!,"AAAAACW1NqE=")</f>
        <v>#REF!</v>
      </c>
      <c r="FG175" t="e">
        <f>AND(#REF!,"AAAAACW1NqI=")</f>
        <v>#REF!</v>
      </c>
      <c r="FH175" t="e">
        <f>AND(#REF!,"AAAAACW1NqM=")</f>
        <v>#REF!</v>
      </c>
      <c r="FI175" t="e">
        <f>AND(#REF!,"AAAAACW1NqQ=")</f>
        <v>#REF!</v>
      </c>
      <c r="FJ175" t="e">
        <f>AND(#REF!,"AAAAACW1NqU=")</f>
        <v>#REF!</v>
      </c>
      <c r="FK175" t="e">
        <f>AND(#REF!,"AAAAACW1NqY=")</f>
        <v>#REF!</v>
      </c>
      <c r="FL175" t="e">
        <f>AND(#REF!,"AAAAACW1Nqc=")</f>
        <v>#REF!</v>
      </c>
      <c r="FM175" t="e">
        <f>AND(#REF!,"AAAAACW1Nqg=")</f>
        <v>#REF!</v>
      </c>
      <c r="FN175" t="e">
        <f>AND(#REF!,"AAAAACW1Nqk=")</f>
        <v>#REF!</v>
      </c>
      <c r="FO175" t="e">
        <f>AND(#REF!,"AAAAACW1Nqo=")</f>
        <v>#REF!</v>
      </c>
      <c r="FP175" t="e">
        <f>AND(#REF!,"AAAAACW1Nqs=")</f>
        <v>#REF!</v>
      </c>
      <c r="FQ175" t="e">
        <f>AND(#REF!,"AAAAACW1Nqw=")</f>
        <v>#REF!</v>
      </c>
      <c r="FR175" t="e">
        <f>AND(#REF!,"AAAAACW1Nq0=")</f>
        <v>#REF!</v>
      </c>
      <c r="FS175" t="e">
        <f>AND(#REF!,"AAAAACW1Nq4=")</f>
        <v>#REF!</v>
      </c>
      <c r="FT175" t="e">
        <f>AND(#REF!,"AAAAACW1Nq8=")</f>
        <v>#REF!</v>
      </c>
      <c r="FU175" t="e">
        <f>AND(#REF!,"AAAAACW1NrA=")</f>
        <v>#REF!</v>
      </c>
      <c r="FV175" t="e">
        <f>AND(#REF!,"AAAAACW1NrE=")</f>
        <v>#REF!</v>
      </c>
      <c r="FW175" t="e">
        <f>AND(#REF!,"AAAAACW1NrI=")</f>
        <v>#REF!</v>
      </c>
      <c r="FX175" t="e">
        <f>AND(#REF!,"AAAAACW1NrM=")</f>
        <v>#REF!</v>
      </c>
      <c r="FY175" t="e">
        <f>AND(#REF!,"AAAAACW1NrQ=")</f>
        <v>#REF!</v>
      </c>
      <c r="FZ175" t="e">
        <f>AND(#REF!,"AAAAACW1NrU=")</f>
        <v>#REF!</v>
      </c>
      <c r="GA175" t="e">
        <f>AND(#REF!,"AAAAACW1NrY=")</f>
        <v>#REF!</v>
      </c>
      <c r="GB175" t="e">
        <f>AND(#REF!,"AAAAACW1Nrc=")</f>
        <v>#REF!</v>
      </c>
      <c r="GC175" t="e">
        <f>AND(#REF!,"AAAAACW1Nrg=")</f>
        <v>#REF!</v>
      </c>
      <c r="GD175" t="e">
        <f>AND(#REF!,"AAAAACW1Nrk=")</f>
        <v>#REF!</v>
      </c>
      <c r="GE175" t="e">
        <f>AND(#REF!,"AAAAACW1Nro=")</f>
        <v>#REF!</v>
      </c>
      <c r="GF175" t="e">
        <f>AND(#REF!,"AAAAACW1Nrs=")</f>
        <v>#REF!</v>
      </c>
      <c r="GG175" t="e">
        <f>AND(#REF!,"AAAAACW1Nrw=")</f>
        <v>#REF!</v>
      </c>
      <c r="GH175" t="e">
        <f>AND(#REF!,"AAAAACW1Nr0=")</f>
        <v>#REF!</v>
      </c>
      <c r="GI175" t="e">
        <f>AND(#REF!,"AAAAACW1Nr4=")</f>
        <v>#REF!</v>
      </c>
      <c r="GJ175" t="e">
        <f>AND(#REF!,"AAAAACW1Nr8=")</f>
        <v>#REF!</v>
      </c>
      <c r="GK175" t="e">
        <f>AND(#REF!,"AAAAACW1NsA=")</f>
        <v>#REF!</v>
      </c>
      <c r="GL175" t="e">
        <f>AND(#REF!,"AAAAACW1NsE=")</f>
        <v>#REF!</v>
      </c>
      <c r="GM175" t="e">
        <f>AND(#REF!,"AAAAACW1NsI=")</f>
        <v>#REF!</v>
      </c>
      <c r="GN175" t="e">
        <f>AND(#REF!,"AAAAACW1NsM=")</f>
        <v>#REF!</v>
      </c>
      <c r="GO175" t="e">
        <f>AND(#REF!,"AAAAACW1NsQ=")</f>
        <v>#REF!</v>
      </c>
      <c r="GP175" t="e">
        <f>AND(#REF!,"AAAAACW1NsU=")</f>
        <v>#REF!</v>
      </c>
      <c r="GQ175" t="e">
        <f>AND(#REF!,"AAAAACW1NsY=")</f>
        <v>#REF!</v>
      </c>
      <c r="GR175" t="e">
        <f>AND(#REF!,"AAAAACW1Nsc=")</f>
        <v>#REF!</v>
      </c>
      <c r="GS175" t="e">
        <f>AND(#REF!,"AAAAACW1Nsg=")</f>
        <v>#REF!</v>
      </c>
      <c r="GT175" t="e">
        <f>AND(#REF!,"AAAAACW1Nsk=")</f>
        <v>#REF!</v>
      </c>
      <c r="GU175" t="e">
        <f>AND(#REF!,"AAAAACW1Nso=")</f>
        <v>#REF!</v>
      </c>
      <c r="GV175" t="e">
        <f>AND(#REF!,"AAAAACW1Nss=")</f>
        <v>#REF!</v>
      </c>
      <c r="GW175" t="e">
        <f>AND(#REF!,"AAAAACW1Nsw=")</f>
        <v>#REF!</v>
      </c>
      <c r="GX175" t="e">
        <f>IF(#REF!,"AAAAACW1Ns0=",0)</f>
        <v>#REF!</v>
      </c>
      <c r="GY175" t="e">
        <f>AND(#REF!,"AAAAACW1Ns4=")</f>
        <v>#REF!</v>
      </c>
      <c r="GZ175" t="e">
        <f>AND(#REF!,"AAAAACW1Ns8=")</f>
        <v>#REF!</v>
      </c>
      <c r="HA175" t="e">
        <f>AND(#REF!,"AAAAACW1NtA=")</f>
        <v>#REF!</v>
      </c>
      <c r="HB175" t="e">
        <f>AND(#REF!,"AAAAACW1NtE=")</f>
        <v>#REF!</v>
      </c>
      <c r="HC175" t="e">
        <f>AND(#REF!,"AAAAACW1NtI=")</f>
        <v>#REF!</v>
      </c>
      <c r="HD175" t="e">
        <f>AND(#REF!,"AAAAACW1NtM=")</f>
        <v>#REF!</v>
      </c>
      <c r="HE175" t="e">
        <f>AND(#REF!,"AAAAACW1NtQ=")</f>
        <v>#REF!</v>
      </c>
      <c r="HF175" t="e">
        <f>AND(#REF!,"AAAAACW1NtU=")</f>
        <v>#REF!</v>
      </c>
      <c r="HG175" t="e">
        <f>AND(#REF!,"AAAAACW1NtY=")</f>
        <v>#REF!</v>
      </c>
      <c r="HH175" t="e">
        <f>AND(#REF!,"AAAAACW1Ntc=")</f>
        <v>#REF!</v>
      </c>
      <c r="HI175" t="e">
        <f>AND(#REF!,"AAAAACW1Ntg=")</f>
        <v>#REF!</v>
      </c>
      <c r="HJ175" t="e">
        <f>AND(#REF!,"AAAAACW1Ntk=")</f>
        <v>#REF!</v>
      </c>
      <c r="HK175" t="e">
        <f>AND(#REF!,"AAAAACW1Nto=")</f>
        <v>#REF!</v>
      </c>
      <c r="HL175" t="e">
        <f>AND(#REF!,"AAAAACW1Nts=")</f>
        <v>#REF!</v>
      </c>
      <c r="HM175" t="e">
        <f>AND(#REF!,"AAAAACW1Ntw=")</f>
        <v>#REF!</v>
      </c>
      <c r="HN175" t="e">
        <f>AND(#REF!,"AAAAACW1Nt0=")</f>
        <v>#REF!</v>
      </c>
      <c r="HO175" t="e">
        <f>AND(#REF!,"AAAAACW1Nt4=")</f>
        <v>#REF!</v>
      </c>
      <c r="HP175" t="e">
        <f>AND(#REF!,"AAAAACW1Nt8=")</f>
        <v>#REF!</v>
      </c>
      <c r="HQ175" t="e">
        <f>AND(#REF!,"AAAAACW1NuA=")</f>
        <v>#REF!</v>
      </c>
      <c r="HR175" t="e">
        <f>AND(#REF!,"AAAAACW1NuE=")</f>
        <v>#REF!</v>
      </c>
      <c r="HS175" t="e">
        <f>AND(#REF!,"AAAAACW1NuI=")</f>
        <v>#REF!</v>
      </c>
      <c r="HT175" t="e">
        <f>AND(#REF!,"AAAAACW1NuM=")</f>
        <v>#REF!</v>
      </c>
      <c r="HU175" t="e">
        <f>AND(#REF!,"AAAAACW1NuQ=")</f>
        <v>#REF!</v>
      </c>
      <c r="HV175" t="e">
        <f>AND(#REF!,"AAAAACW1NuU=")</f>
        <v>#REF!</v>
      </c>
      <c r="HW175" t="e">
        <f>AND(#REF!,"AAAAACW1NuY=")</f>
        <v>#REF!</v>
      </c>
      <c r="HX175" t="e">
        <f>AND(#REF!,"AAAAACW1Nuc=")</f>
        <v>#REF!</v>
      </c>
      <c r="HY175" t="e">
        <f>AND(#REF!,"AAAAACW1Nug=")</f>
        <v>#REF!</v>
      </c>
      <c r="HZ175" t="e">
        <f>AND(#REF!,"AAAAACW1Nuk=")</f>
        <v>#REF!</v>
      </c>
      <c r="IA175" t="e">
        <f>AND(#REF!,"AAAAACW1Nuo=")</f>
        <v>#REF!</v>
      </c>
      <c r="IB175" t="e">
        <f>AND(#REF!,"AAAAACW1Nus=")</f>
        <v>#REF!</v>
      </c>
      <c r="IC175" t="e">
        <f>AND(#REF!,"AAAAACW1Nuw=")</f>
        <v>#REF!</v>
      </c>
      <c r="ID175" t="e">
        <f>AND(#REF!,"AAAAACW1Nu0=")</f>
        <v>#REF!</v>
      </c>
      <c r="IE175" t="e">
        <f>AND(#REF!,"AAAAACW1Nu4=")</f>
        <v>#REF!</v>
      </c>
      <c r="IF175" t="e">
        <f>AND(#REF!,"AAAAACW1Nu8=")</f>
        <v>#REF!</v>
      </c>
      <c r="IG175" t="e">
        <f>AND(#REF!,"AAAAACW1NvA=")</f>
        <v>#REF!</v>
      </c>
      <c r="IH175" t="e">
        <f>AND(#REF!,"AAAAACW1NvE=")</f>
        <v>#REF!</v>
      </c>
      <c r="II175" t="e">
        <f>AND(#REF!,"AAAAACW1NvI=")</f>
        <v>#REF!</v>
      </c>
      <c r="IJ175" t="e">
        <f>AND(#REF!,"AAAAACW1NvM=")</f>
        <v>#REF!</v>
      </c>
      <c r="IK175" t="e">
        <f>AND(#REF!,"AAAAACW1NvQ=")</f>
        <v>#REF!</v>
      </c>
      <c r="IL175" t="e">
        <f>AND(#REF!,"AAAAACW1NvU=")</f>
        <v>#REF!</v>
      </c>
      <c r="IM175" t="e">
        <f>AND(#REF!,"AAAAACW1NvY=")</f>
        <v>#REF!</v>
      </c>
      <c r="IN175" t="e">
        <f>AND(#REF!,"AAAAACW1Nvc=")</f>
        <v>#REF!</v>
      </c>
      <c r="IO175" t="e">
        <f>AND(#REF!,"AAAAACW1Nvg=")</f>
        <v>#REF!</v>
      </c>
      <c r="IP175" t="e">
        <f>AND(#REF!,"AAAAACW1Nvk=")</f>
        <v>#REF!</v>
      </c>
      <c r="IQ175" t="e">
        <f>AND(#REF!,"AAAAACW1Nvo=")</f>
        <v>#REF!</v>
      </c>
      <c r="IR175" t="e">
        <f>AND(#REF!,"AAAAACW1Nvs=")</f>
        <v>#REF!</v>
      </c>
      <c r="IS175" t="e">
        <f>AND(#REF!,"AAAAACW1Nvw=")</f>
        <v>#REF!</v>
      </c>
      <c r="IT175" t="e">
        <f>AND(#REF!,"AAAAACW1Nv0=")</f>
        <v>#REF!</v>
      </c>
      <c r="IU175" t="e">
        <f>AND(#REF!,"AAAAACW1Nv4=")</f>
        <v>#REF!</v>
      </c>
      <c r="IV175" t="e">
        <f>AND(#REF!,"AAAAACW1Nv8=")</f>
        <v>#REF!</v>
      </c>
    </row>
    <row r="176" spans="1:256" x14ac:dyDescent="0.25">
      <c r="A176" t="e">
        <f>AND(#REF!,"AAAAAG/0vgA=")</f>
        <v>#REF!</v>
      </c>
      <c r="B176" t="e">
        <f>AND(#REF!,"AAAAAG/0vgE=")</f>
        <v>#REF!</v>
      </c>
      <c r="C176" t="e">
        <f>AND(#REF!,"AAAAAG/0vgI=")</f>
        <v>#REF!</v>
      </c>
      <c r="D176" t="e">
        <f>AND(#REF!,"AAAAAG/0vgM=")</f>
        <v>#REF!</v>
      </c>
      <c r="E176" t="e">
        <f>AND(#REF!,"AAAAAG/0vgQ=")</f>
        <v>#REF!</v>
      </c>
      <c r="F176" t="e">
        <f>AND(#REF!,"AAAAAG/0vgU=")</f>
        <v>#REF!</v>
      </c>
      <c r="G176" t="e">
        <f>AND(#REF!,"AAAAAG/0vgY=")</f>
        <v>#REF!</v>
      </c>
      <c r="H176" t="e">
        <f>AND(#REF!,"AAAAAG/0vgc=")</f>
        <v>#REF!</v>
      </c>
      <c r="I176" t="e">
        <f>AND(#REF!,"AAAAAG/0vgg=")</f>
        <v>#REF!</v>
      </c>
      <c r="J176" t="e">
        <f>AND(#REF!,"AAAAAG/0vgk=")</f>
        <v>#REF!</v>
      </c>
      <c r="K176" t="e">
        <f>AND(#REF!,"AAAAAG/0vgo=")</f>
        <v>#REF!</v>
      </c>
      <c r="L176" t="e">
        <f>AND(#REF!,"AAAAAG/0vgs=")</f>
        <v>#REF!</v>
      </c>
      <c r="M176" t="e">
        <f>AND(#REF!,"AAAAAG/0vgw=")</f>
        <v>#REF!</v>
      </c>
      <c r="N176" t="e">
        <f>AND(#REF!,"AAAAAG/0vg0=")</f>
        <v>#REF!</v>
      </c>
      <c r="O176" t="e">
        <f>AND(#REF!,"AAAAAG/0vg4=")</f>
        <v>#REF!</v>
      </c>
      <c r="P176" t="e">
        <f>AND(#REF!,"AAAAAG/0vg8=")</f>
        <v>#REF!</v>
      </c>
      <c r="Q176" t="e">
        <f>AND(#REF!,"AAAAAG/0vhA=")</f>
        <v>#REF!</v>
      </c>
      <c r="R176" t="e">
        <f>AND(#REF!,"AAAAAG/0vhE=")</f>
        <v>#REF!</v>
      </c>
      <c r="S176" t="e">
        <f>AND(#REF!,"AAAAAG/0vhI=")</f>
        <v>#REF!</v>
      </c>
      <c r="T176" t="e">
        <f>AND(#REF!,"AAAAAG/0vhM=")</f>
        <v>#REF!</v>
      </c>
      <c r="U176" t="e">
        <f>AND(#REF!,"AAAAAG/0vhQ=")</f>
        <v>#REF!</v>
      </c>
      <c r="V176" t="e">
        <f>AND(#REF!,"AAAAAG/0vhU=")</f>
        <v>#REF!</v>
      </c>
      <c r="W176" t="e">
        <f>AND(#REF!,"AAAAAG/0vhY=")</f>
        <v>#REF!</v>
      </c>
      <c r="X176" t="e">
        <f>AND(#REF!,"AAAAAG/0vhc=")</f>
        <v>#REF!</v>
      </c>
      <c r="Y176" t="e">
        <f>AND(#REF!,"AAAAAG/0vhg=")</f>
        <v>#REF!</v>
      </c>
      <c r="Z176" t="e">
        <f>AND(#REF!,"AAAAAG/0vhk=")</f>
        <v>#REF!</v>
      </c>
      <c r="AA176" t="e">
        <f>AND(#REF!,"AAAAAG/0vho=")</f>
        <v>#REF!</v>
      </c>
      <c r="AB176" t="e">
        <f>AND(#REF!,"AAAAAG/0vhs=")</f>
        <v>#REF!</v>
      </c>
      <c r="AC176" t="e">
        <f>AND(#REF!,"AAAAAG/0vhw=")</f>
        <v>#REF!</v>
      </c>
      <c r="AD176" t="e">
        <f>AND(#REF!,"AAAAAG/0vh0=")</f>
        <v>#REF!</v>
      </c>
      <c r="AE176" t="e">
        <f>AND(#REF!,"AAAAAG/0vh4=")</f>
        <v>#REF!</v>
      </c>
      <c r="AF176" t="e">
        <f>AND(#REF!,"AAAAAG/0vh8=")</f>
        <v>#REF!</v>
      </c>
      <c r="AG176" t="e">
        <f>AND(#REF!,"AAAAAG/0viA=")</f>
        <v>#REF!</v>
      </c>
      <c r="AH176" t="e">
        <f>AND(#REF!,"AAAAAG/0viE=")</f>
        <v>#REF!</v>
      </c>
      <c r="AI176" t="e">
        <f>AND(#REF!,"AAAAAG/0viI=")</f>
        <v>#REF!</v>
      </c>
      <c r="AJ176" t="e">
        <f>AND(#REF!,"AAAAAG/0viM=")</f>
        <v>#REF!</v>
      </c>
      <c r="AK176" t="e">
        <f>AND(#REF!,"AAAAAG/0viQ=")</f>
        <v>#REF!</v>
      </c>
      <c r="AL176" t="e">
        <f>AND(#REF!,"AAAAAG/0viU=")</f>
        <v>#REF!</v>
      </c>
      <c r="AM176" t="e">
        <f>AND(#REF!,"AAAAAG/0viY=")</f>
        <v>#REF!</v>
      </c>
      <c r="AN176" t="e">
        <f>AND(#REF!,"AAAAAG/0vic=")</f>
        <v>#REF!</v>
      </c>
      <c r="AO176" t="e">
        <f>AND(#REF!,"AAAAAG/0vig=")</f>
        <v>#REF!</v>
      </c>
      <c r="AP176" t="e">
        <f>AND(#REF!,"AAAAAG/0vik=")</f>
        <v>#REF!</v>
      </c>
      <c r="AQ176" t="e">
        <f>AND(#REF!,"AAAAAG/0vio=")</f>
        <v>#REF!</v>
      </c>
      <c r="AR176" t="e">
        <f>AND(#REF!,"AAAAAG/0vis=")</f>
        <v>#REF!</v>
      </c>
      <c r="AS176" t="e">
        <f>AND(#REF!,"AAAAAG/0viw=")</f>
        <v>#REF!</v>
      </c>
      <c r="AT176" t="e">
        <f>AND(#REF!,"AAAAAG/0vi0=")</f>
        <v>#REF!</v>
      </c>
      <c r="AU176" t="e">
        <f>AND(#REF!,"AAAAAG/0vi4=")</f>
        <v>#REF!</v>
      </c>
      <c r="AV176" t="e">
        <f>AND(#REF!,"AAAAAG/0vi8=")</f>
        <v>#REF!</v>
      </c>
      <c r="AW176" t="e">
        <f>AND(#REF!,"AAAAAG/0vjA=")</f>
        <v>#REF!</v>
      </c>
      <c r="AX176" t="e">
        <f>AND(#REF!,"AAAAAG/0vjE=")</f>
        <v>#REF!</v>
      </c>
      <c r="AY176" t="e">
        <f>AND(#REF!,"AAAAAG/0vjI=")</f>
        <v>#REF!</v>
      </c>
      <c r="AZ176" t="e">
        <f>AND(#REF!,"AAAAAG/0vjM=")</f>
        <v>#REF!</v>
      </c>
      <c r="BA176" t="e">
        <f>AND(#REF!,"AAAAAG/0vjQ=")</f>
        <v>#REF!</v>
      </c>
      <c r="BB176" t="e">
        <f>AND(#REF!,"AAAAAG/0vjU=")</f>
        <v>#REF!</v>
      </c>
      <c r="BC176" t="e">
        <f>AND(#REF!,"AAAAAG/0vjY=")</f>
        <v>#REF!</v>
      </c>
      <c r="BD176" t="e">
        <f>AND(#REF!,"AAAAAG/0vjc=")</f>
        <v>#REF!</v>
      </c>
      <c r="BE176" t="e">
        <f>AND(#REF!,"AAAAAG/0vjg=")</f>
        <v>#REF!</v>
      </c>
      <c r="BF176" t="e">
        <f>AND(#REF!,"AAAAAG/0vjk=")</f>
        <v>#REF!</v>
      </c>
      <c r="BG176" t="e">
        <f>AND(#REF!,"AAAAAG/0vjo=")</f>
        <v>#REF!</v>
      </c>
      <c r="BH176" t="e">
        <f>AND(#REF!,"AAAAAG/0vjs=")</f>
        <v>#REF!</v>
      </c>
      <c r="BI176" t="e">
        <f>AND(#REF!,"AAAAAG/0vjw=")</f>
        <v>#REF!</v>
      </c>
      <c r="BJ176" t="e">
        <f>AND(#REF!,"AAAAAG/0vj0=")</f>
        <v>#REF!</v>
      </c>
      <c r="BK176" t="e">
        <f>AND(#REF!,"AAAAAG/0vj4=")</f>
        <v>#REF!</v>
      </c>
      <c r="BL176" t="e">
        <f>AND(#REF!,"AAAAAG/0vj8=")</f>
        <v>#REF!</v>
      </c>
      <c r="BM176" t="e">
        <f>AND(#REF!,"AAAAAG/0vkA=")</f>
        <v>#REF!</v>
      </c>
      <c r="BN176" t="e">
        <f>AND(#REF!,"AAAAAG/0vkE=")</f>
        <v>#REF!</v>
      </c>
      <c r="BO176" t="e">
        <f>AND(#REF!,"AAAAAG/0vkI=")</f>
        <v>#REF!</v>
      </c>
      <c r="BP176" t="e">
        <f>AND(#REF!,"AAAAAG/0vkM=")</f>
        <v>#REF!</v>
      </c>
      <c r="BQ176" t="e">
        <f>AND(#REF!,"AAAAAG/0vkQ=")</f>
        <v>#REF!</v>
      </c>
      <c r="BR176" t="e">
        <f>AND(#REF!,"AAAAAG/0vkU=")</f>
        <v>#REF!</v>
      </c>
      <c r="BS176" t="e">
        <f>AND(#REF!,"AAAAAG/0vkY=")</f>
        <v>#REF!</v>
      </c>
      <c r="BT176" t="e">
        <f>AND(#REF!,"AAAAAG/0vkc=")</f>
        <v>#REF!</v>
      </c>
      <c r="BU176" t="e">
        <f>AND(#REF!,"AAAAAG/0vkg=")</f>
        <v>#REF!</v>
      </c>
      <c r="BV176" t="e">
        <f>AND(#REF!,"AAAAAG/0vkk=")</f>
        <v>#REF!</v>
      </c>
      <c r="BW176" t="e">
        <f>AND(#REF!,"AAAAAG/0vko=")</f>
        <v>#REF!</v>
      </c>
      <c r="BX176" t="e">
        <f>AND(#REF!,"AAAAAG/0vks=")</f>
        <v>#REF!</v>
      </c>
      <c r="BY176" t="e">
        <f>AND(#REF!,"AAAAAG/0vkw=")</f>
        <v>#REF!</v>
      </c>
      <c r="BZ176" t="e">
        <f>AND(#REF!,"AAAAAG/0vk0=")</f>
        <v>#REF!</v>
      </c>
      <c r="CA176" t="e">
        <f>AND(#REF!,"AAAAAG/0vk4=")</f>
        <v>#REF!</v>
      </c>
      <c r="CB176" t="e">
        <f>AND(#REF!,"AAAAAG/0vk8=")</f>
        <v>#REF!</v>
      </c>
      <c r="CC176" t="e">
        <f>AND(#REF!,"AAAAAG/0vlA=")</f>
        <v>#REF!</v>
      </c>
      <c r="CD176" t="e">
        <f>AND(#REF!,"AAAAAG/0vlE=")</f>
        <v>#REF!</v>
      </c>
      <c r="CE176" t="e">
        <f>AND(#REF!,"AAAAAG/0vlI=")</f>
        <v>#REF!</v>
      </c>
      <c r="CF176" t="e">
        <f>AND(#REF!,"AAAAAG/0vlM=")</f>
        <v>#REF!</v>
      </c>
      <c r="CG176" t="e">
        <f>AND(#REF!,"AAAAAG/0vlQ=")</f>
        <v>#REF!</v>
      </c>
      <c r="CH176" t="e">
        <f>AND(#REF!,"AAAAAG/0vlU=")</f>
        <v>#REF!</v>
      </c>
      <c r="CI176" t="e">
        <f>AND(#REF!,"AAAAAG/0vlY=")</f>
        <v>#REF!</v>
      </c>
      <c r="CJ176" t="e">
        <f>AND(#REF!,"AAAAAG/0vlc=")</f>
        <v>#REF!</v>
      </c>
      <c r="CK176" t="e">
        <f>AND(#REF!,"AAAAAG/0vlg=")</f>
        <v>#REF!</v>
      </c>
      <c r="CL176" t="e">
        <f>AND(#REF!,"AAAAAG/0vlk=")</f>
        <v>#REF!</v>
      </c>
      <c r="CM176" t="e">
        <f>AND(#REF!,"AAAAAG/0vlo=")</f>
        <v>#REF!</v>
      </c>
      <c r="CN176" t="e">
        <f>AND(#REF!,"AAAAAG/0vls=")</f>
        <v>#REF!</v>
      </c>
      <c r="CO176" t="e">
        <f>AND(#REF!,"AAAAAG/0vlw=")</f>
        <v>#REF!</v>
      </c>
      <c r="CP176" t="e">
        <f>AND(#REF!,"AAAAAG/0vl0=")</f>
        <v>#REF!</v>
      </c>
      <c r="CQ176" t="e">
        <f>AND(#REF!,"AAAAAG/0vl4=")</f>
        <v>#REF!</v>
      </c>
      <c r="CR176" t="e">
        <f>AND(#REF!,"AAAAAG/0vl8=")</f>
        <v>#REF!</v>
      </c>
      <c r="CS176" t="e">
        <f>AND(#REF!,"AAAAAG/0vmA=")</f>
        <v>#REF!</v>
      </c>
      <c r="CT176" t="e">
        <f>AND(#REF!,"AAAAAG/0vmE=")</f>
        <v>#REF!</v>
      </c>
      <c r="CU176" t="e">
        <f>AND(#REF!,"AAAAAG/0vmI=")</f>
        <v>#REF!</v>
      </c>
      <c r="CV176" t="e">
        <f>AND(#REF!,"AAAAAG/0vmM=")</f>
        <v>#REF!</v>
      </c>
      <c r="CW176" t="e">
        <f>AND(#REF!,"AAAAAG/0vmQ=")</f>
        <v>#REF!</v>
      </c>
      <c r="CX176" t="e">
        <f>AND(#REF!,"AAAAAG/0vmU=")</f>
        <v>#REF!</v>
      </c>
      <c r="CY176" t="e">
        <f>AND(#REF!,"AAAAAG/0vmY=")</f>
        <v>#REF!</v>
      </c>
      <c r="CZ176" t="e">
        <f>AND(#REF!,"AAAAAG/0vmc=")</f>
        <v>#REF!</v>
      </c>
      <c r="DA176" t="e">
        <f>AND(#REF!,"AAAAAG/0vmg=")</f>
        <v>#REF!</v>
      </c>
      <c r="DB176" t="e">
        <f>AND(#REF!,"AAAAAG/0vmk=")</f>
        <v>#REF!</v>
      </c>
      <c r="DC176" t="e">
        <f>AND(#REF!,"AAAAAG/0vmo=")</f>
        <v>#REF!</v>
      </c>
      <c r="DD176" t="e">
        <f>AND(#REF!,"AAAAAG/0vms=")</f>
        <v>#REF!</v>
      </c>
      <c r="DE176" t="e">
        <f>AND(#REF!,"AAAAAG/0vmw=")</f>
        <v>#REF!</v>
      </c>
      <c r="DF176" t="e">
        <f>AND(#REF!,"AAAAAG/0vm0=")</f>
        <v>#REF!</v>
      </c>
      <c r="DG176" t="e">
        <f>AND(#REF!,"AAAAAG/0vm4=")</f>
        <v>#REF!</v>
      </c>
      <c r="DH176" t="e">
        <f>AND(#REF!,"AAAAAG/0vm8=")</f>
        <v>#REF!</v>
      </c>
      <c r="DI176" t="e">
        <f>AND(#REF!,"AAAAAG/0vnA=")</f>
        <v>#REF!</v>
      </c>
      <c r="DJ176" t="e">
        <f>AND(#REF!,"AAAAAG/0vnE=")</f>
        <v>#REF!</v>
      </c>
      <c r="DK176" t="e">
        <f>AND(#REF!,"AAAAAG/0vnI=")</f>
        <v>#REF!</v>
      </c>
      <c r="DL176" t="e">
        <f>AND(#REF!,"AAAAAG/0vnM=")</f>
        <v>#REF!</v>
      </c>
      <c r="DM176" t="e">
        <f>AND(#REF!,"AAAAAG/0vnQ=")</f>
        <v>#REF!</v>
      </c>
      <c r="DN176" t="e">
        <f>AND(#REF!,"AAAAAG/0vnU=")</f>
        <v>#REF!</v>
      </c>
      <c r="DO176" t="e">
        <f>AND(#REF!,"AAAAAG/0vnY=")</f>
        <v>#REF!</v>
      </c>
      <c r="DP176" t="e">
        <f>AND(#REF!,"AAAAAG/0vnc=")</f>
        <v>#REF!</v>
      </c>
      <c r="DQ176" t="e">
        <f>AND(#REF!,"AAAAAG/0vng=")</f>
        <v>#REF!</v>
      </c>
      <c r="DR176" t="e">
        <f>AND(#REF!,"AAAAAG/0vnk=")</f>
        <v>#REF!</v>
      </c>
      <c r="DS176" t="e">
        <f>AND(#REF!,"AAAAAG/0vno=")</f>
        <v>#REF!</v>
      </c>
      <c r="DT176" t="e">
        <f>AND(#REF!,"AAAAAG/0vns=")</f>
        <v>#REF!</v>
      </c>
      <c r="DU176" t="e">
        <f>AND(#REF!,"AAAAAG/0vnw=")</f>
        <v>#REF!</v>
      </c>
      <c r="DV176" t="e">
        <f>AND(#REF!,"AAAAAG/0vn0=")</f>
        <v>#REF!</v>
      </c>
      <c r="DW176" t="e">
        <f>AND(#REF!,"AAAAAG/0vn4=")</f>
        <v>#REF!</v>
      </c>
      <c r="DX176" t="e">
        <f>AND(#REF!,"AAAAAG/0vn8=")</f>
        <v>#REF!</v>
      </c>
      <c r="DY176" t="e">
        <f>AND(#REF!,"AAAAAG/0voA=")</f>
        <v>#REF!</v>
      </c>
      <c r="DZ176" t="e">
        <f>AND(#REF!,"AAAAAG/0voE=")</f>
        <v>#REF!</v>
      </c>
      <c r="EA176" t="e">
        <f>AND(#REF!,"AAAAAG/0voI=")</f>
        <v>#REF!</v>
      </c>
      <c r="EB176" t="e">
        <f>AND(#REF!,"AAAAAG/0voM=")</f>
        <v>#REF!</v>
      </c>
      <c r="EC176" t="e">
        <f>AND(#REF!,"AAAAAG/0voQ=")</f>
        <v>#REF!</v>
      </c>
      <c r="ED176" t="e">
        <f>AND(#REF!,"AAAAAG/0voU=")</f>
        <v>#REF!</v>
      </c>
      <c r="EE176" t="e">
        <f>AND(#REF!,"AAAAAG/0voY=")</f>
        <v>#REF!</v>
      </c>
      <c r="EF176" t="e">
        <f>AND(#REF!,"AAAAAG/0voc=")</f>
        <v>#REF!</v>
      </c>
      <c r="EG176" t="e">
        <f>AND(#REF!,"AAAAAG/0vog=")</f>
        <v>#REF!</v>
      </c>
      <c r="EH176" t="e">
        <f>AND(#REF!,"AAAAAG/0vok=")</f>
        <v>#REF!</v>
      </c>
      <c r="EI176" t="e">
        <f>IF(#REF!,"AAAAAG/0voo=",0)</f>
        <v>#REF!</v>
      </c>
      <c r="EJ176" t="e">
        <f>AND(#REF!,"AAAAAG/0vos=")</f>
        <v>#REF!</v>
      </c>
      <c r="EK176" t="e">
        <f>AND(#REF!,"AAAAAG/0vow=")</f>
        <v>#REF!</v>
      </c>
      <c r="EL176" t="e">
        <f>AND(#REF!,"AAAAAG/0vo0=")</f>
        <v>#REF!</v>
      </c>
      <c r="EM176" t="e">
        <f>AND(#REF!,"AAAAAG/0vo4=")</f>
        <v>#REF!</v>
      </c>
      <c r="EN176" t="e">
        <f>AND(#REF!,"AAAAAG/0vo8=")</f>
        <v>#REF!</v>
      </c>
      <c r="EO176" t="e">
        <f>AND(#REF!,"AAAAAG/0vpA=")</f>
        <v>#REF!</v>
      </c>
      <c r="EP176" t="e">
        <f>AND(#REF!,"AAAAAG/0vpE=")</f>
        <v>#REF!</v>
      </c>
      <c r="EQ176" t="e">
        <f>AND(#REF!,"AAAAAG/0vpI=")</f>
        <v>#REF!</v>
      </c>
      <c r="ER176" t="e">
        <f>AND(#REF!,"AAAAAG/0vpM=")</f>
        <v>#REF!</v>
      </c>
      <c r="ES176" t="e">
        <f>AND(#REF!,"AAAAAG/0vpQ=")</f>
        <v>#REF!</v>
      </c>
      <c r="ET176" t="e">
        <f>AND(#REF!,"AAAAAG/0vpU=")</f>
        <v>#REF!</v>
      </c>
      <c r="EU176" t="e">
        <f>AND(#REF!,"AAAAAG/0vpY=")</f>
        <v>#REF!</v>
      </c>
      <c r="EV176" t="e">
        <f>AND(#REF!,"AAAAAG/0vpc=")</f>
        <v>#REF!</v>
      </c>
      <c r="EW176" t="e">
        <f>AND(#REF!,"AAAAAG/0vpg=")</f>
        <v>#REF!</v>
      </c>
      <c r="EX176" t="e">
        <f>AND(#REF!,"AAAAAG/0vpk=")</f>
        <v>#REF!</v>
      </c>
      <c r="EY176" t="e">
        <f>AND(#REF!,"AAAAAG/0vpo=")</f>
        <v>#REF!</v>
      </c>
      <c r="EZ176" t="e">
        <f>AND(#REF!,"AAAAAG/0vps=")</f>
        <v>#REF!</v>
      </c>
      <c r="FA176" t="e">
        <f>AND(#REF!,"AAAAAG/0vpw=")</f>
        <v>#REF!</v>
      </c>
      <c r="FB176" t="e">
        <f>AND(#REF!,"AAAAAG/0vp0=")</f>
        <v>#REF!</v>
      </c>
      <c r="FC176" t="e">
        <f>AND(#REF!,"AAAAAG/0vp4=")</f>
        <v>#REF!</v>
      </c>
      <c r="FD176" t="e">
        <f>AND(#REF!,"AAAAAG/0vp8=")</f>
        <v>#REF!</v>
      </c>
      <c r="FE176" t="e">
        <f>AND(#REF!,"AAAAAG/0vqA=")</f>
        <v>#REF!</v>
      </c>
      <c r="FF176" t="e">
        <f>AND(#REF!,"AAAAAG/0vqE=")</f>
        <v>#REF!</v>
      </c>
      <c r="FG176" t="e">
        <f>AND(#REF!,"AAAAAG/0vqI=")</f>
        <v>#REF!</v>
      </c>
      <c r="FH176" t="e">
        <f>AND(#REF!,"AAAAAG/0vqM=")</f>
        <v>#REF!</v>
      </c>
      <c r="FI176" t="e">
        <f>AND(#REF!,"AAAAAG/0vqQ=")</f>
        <v>#REF!</v>
      </c>
      <c r="FJ176" t="e">
        <f>AND(#REF!,"AAAAAG/0vqU=")</f>
        <v>#REF!</v>
      </c>
      <c r="FK176" t="e">
        <f>AND(#REF!,"AAAAAG/0vqY=")</f>
        <v>#REF!</v>
      </c>
      <c r="FL176" t="e">
        <f>AND(#REF!,"AAAAAG/0vqc=")</f>
        <v>#REF!</v>
      </c>
      <c r="FM176" t="e">
        <f>AND(#REF!,"AAAAAG/0vqg=")</f>
        <v>#REF!</v>
      </c>
      <c r="FN176" t="e">
        <f>AND(#REF!,"AAAAAG/0vqk=")</f>
        <v>#REF!</v>
      </c>
      <c r="FO176" t="e">
        <f>AND(#REF!,"AAAAAG/0vqo=")</f>
        <v>#REF!</v>
      </c>
      <c r="FP176" t="e">
        <f>AND(#REF!,"AAAAAG/0vqs=")</f>
        <v>#REF!</v>
      </c>
      <c r="FQ176" t="e">
        <f>AND(#REF!,"AAAAAG/0vqw=")</f>
        <v>#REF!</v>
      </c>
      <c r="FR176" t="e">
        <f>AND(#REF!,"AAAAAG/0vq0=")</f>
        <v>#REF!</v>
      </c>
      <c r="FS176" t="e">
        <f>AND(#REF!,"AAAAAG/0vq4=")</f>
        <v>#REF!</v>
      </c>
      <c r="FT176" t="e">
        <f>AND(#REF!,"AAAAAG/0vq8=")</f>
        <v>#REF!</v>
      </c>
      <c r="FU176" t="e">
        <f>AND(#REF!,"AAAAAG/0vrA=")</f>
        <v>#REF!</v>
      </c>
      <c r="FV176" t="e">
        <f>AND(#REF!,"AAAAAG/0vrE=")</f>
        <v>#REF!</v>
      </c>
      <c r="FW176" t="e">
        <f>AND(#REF!,"AAAAAG/0vrI=")</f>
        <v>#REF!</v>
      </c>
      <c r="FX176" t="e">
        <f>AND(#REF!,"AAAAAG/0vrM=")</f>
        <v>#REF!</v>
      </c>
      <c r="FY176" t="e">
        <f>AND(#REF!,"AAAAAG/0vrQ=")</f>
        <v>#REF!</v>
      </c>
      <c r="FZ176" t="e">
        <f>AND(#REF!,"AAAAAG/0vrU=")</f>
        <v>#REF!</v>
      </c>
      <c r="GA176" t="e">
        <f>AND(#REF!,"AAAAAG/0vrY=")</f>
        <v>#REF!</v>
      </c>
      <c r="GB176" t="e">
        <f>AND(#REF!,"AAAAAG/0vrc=")</f>
        <v>#REF!</v>
      </c>
      <c r="GC176" t="e">
        <f>AND(#REF!,"AAAAAG/0vrg=")</f>
        <v>#REF!</v>
      </c>
      <c r="GD176" t="e">
        <f>AND(#REF!,"AAAAAG/0vrk=")</f>
        <v>#REF!</v>
      </c>
      <c r="GE176" t="e">
        <f>AND(#REF!,"AAAAAG/0vro=")</f>
        <v>#REF!</v>
      </c>
      <c r="GF176" t="e">
        <f>AND(#REF!,"AAAAAG/0vrs=")</f>
        <v>#REF!</v>
      </c>
      <c r="GG176" t="e">
        <f>AND(#REF!,"AAAAAG/0vrw=")</f>
        <v>#REF!</v>
      </c>
      <c r="GH176" t="e">
        <f>AND(#REF!,"AAAAAG/0vr0=")</f>
        <v>#REF!</v>
      </c>
      <c r="GI176" t="e">
        <f>AND(#REF!,"AAAAAG/0vr4=")</f>
        <v>#REF!</v>
      </c>
      <c r="GJ176" t="e">
        <f>AND(#REF!,"AAAAAG/0vr8=")</f>
        <v>#REF!</v>
      </c>
      <c r="GK176" t="e">
        <f>AND(#REF!,"AAAAAG/0vsA=")</f>
        <v>#REF!</v>
      </c>
      <c r="GL176" t="e">
        <f>AND(#REF!,"AAAAAG/0vsE=")</f>
        <v>#REF!</v>
      </c>
      <c r="GM176" t="e">
        <f>AND(#REF!,"AAAAAG/0vsI=")</f>
        <v>#REF!</v>
      </c>
      <c r="GN176" t="e">
        <f>AND(#REF!,"AAAAAG/0vsM=")</f>
        <v>#REF!</v>
      </c>
      <c r="GO176" t="e">
        <f>AND(#REF!,"AAAAAG/0vsQ=")</f>
        <v>#REF!</v>
      </c>
      <c r="GP176" t="e">
        <f>AND(#REF!,"AAAAAG/0vsU=")</f>
        <v>#REF!</v>
      </c>
      <c r="GQ176" t="e">
        <f>AND(#REF!,"AAAAAG/0vsY=")</f>
        <v>#REF!</v>
      </c>
      <c r="GR176" t="e">
        <f>AND(#REF!,"AAAAAG/0vsc=")</f>
        <v>#REF!</v>
      </c>
      <c r="GS176" t="e">
        <f>AND(#REF!,"AAAAAG/0vsg=")</f>
        <v>#REF!</v>
      </c>
      <c r="GT176" t="e">
        <f>AND(#REF!,"AAAAAG/0vsk=")</f>
        <v>#REF!</v>
      </c>
      <c r="GU176" t="e">
        <f>AND(#REF!,"AAAAAG/0vso=")</f>
        <v>#REF!</v>
      </c>
      <c r="GV176" t="e">
        <f>AND(#REF!,"AAAAAG/0vss=")</f>
        <v>#REF!</v>
      </c>
      <c r="GW176" t="e">
        <f>AND(#REF!,"AAAAAG/0vsw=")</f>
        <v>#REF!</v>
      </c>
      <c r="GX176" t="e">
        <f>AND(#REF!,"AAAAAG/0vs0=")</f>
        <v>#REF!</v>
      </c>
      <c r="GY176" t="e">
        <f>AND(#REF!,"AAAAAG/0vs4=")</f>
        <v>#REF!</v>
      </c>
      <c r="GZ176" t="e">
        <f>AND(#REF!,"AAAAAG/0vs8=")</f>
        <v>#REF!</v>
      </c>
      <c r="HA176" t="e">
        <f>AND(#REF!,"AAAAAG/0vtA=")</f>
        <v>#REF!</v>
      </c>
      <c r="HB176" t="e">
        <f>AND(#REF!,"AAAAAG/0vtE=")</f>
        <v>#REF!</v>
      </c>
      <c r="HC176" t="e">
        <f>AND(#REF!,"AAAAAG/0vtI=")</f>
        <v>#REF!</v>
      </c>
      <c r="HD176" t="e">
        <f>AND(#REF!,"AAAAAG/0vtM=")</f>
        <v>#REF!</v>
      </c>
      <c r="HE176" t="e">
        <f>AND(#REF!,"AAAAAG/0vtQ=")</f>
        <v>#REF!</v>
      </c>
      <c r="HF176" t="e">
        <f>AND(#REF!,"AAAAAG/0vtU=")</f>
        <v>#REF!</v>
      </c>
      <c r="HG176" t="e">
        <f>AND(#REF!,"AAAAAG/0vtY=")</f>
        <v>#REF!</v>
      </c>
      <c r="HH176" t="e">
        <f>AND(#REF!,"AAAAAG/0vtc=")</f>
        <v>#REF!</v>
      </c>
      <c r="HI176" t="e">
        <f>AND(#REF!,"AAAAAG/0vtg=")</f>
        <v>#REF!</v>
      </c>
      <c r="HJ176" t="e">
        <f>AND(#REF!,"AAAAAG/0vtk=")</f>
        <v>#REF!</v>
      </c>
      <c r="HK176" t="e">
        <f>AND(#REF!,"AAAAAG/0vto=")</f>
        <v>#REF!</v>
      </c>
      <c r="HL176" t="e">
        <f>AND(#REF!,"AAAAAG/0vts=")</f>
        <v>#REF!</v>
      </c>
      <c r="HM176" t="e">
        <f>AND(#REF!,"AAAAAG/0vtw=")</f>
        <v>#REF!</v>
      </c>
      <c r="HN176" t="e">
        <f>AND(#REF!,"AAAAAG/0vt0=")</f>
        <v>#REF!</v>
      </c>
      <c r="HO176" t="e">
        <f>AND(#REF!,"AAAAAG/0vt4=")</f>
        <v>#REF!</v>
      </c>
      <c r="HP176" t="e">
        <f>AND(#REF!,"AAAAAG/0vt8=")</f>
        <v>#REF!</v>
      </c>
      <c r="HQ176" t="e">
        <f>AND(#REF!,"AAAAAG/0vuA=")</f>
        <v>#REF!</v>
      </c>
      <c r="HR176" t="e">
        <f>AND(#REF!,"AAAAAG/0vuE=")</f>
        <v>#REF!</v>
      </c>
      <c r="HS176" t="e">
        <f>AND(#REF!,"AAAAAG/0vuI=")</f>
        <v>#REF!</v>
      </c>
      <c r="HT176" t="e">
        <f>AND(#REF!,"AAAAAG/0vuM=")</f>
        <v>#REF!</v>
      </c>
      <c r="HU176" t="e">
        <f>AND(#REF!,"AAAAAG/0vuQ=")</f>
        <v>#REF!</v>
      </c>
      <c r="HV176" t="e">
        <f>AND(#REF!,"AAAAAG/0vuU=")</f>
        <v>#REF!</v>
      </c>
      <c r="HW176" t="e">
        <f>AND(#REF!,"AAAAAG/0vuY=")</f>
        <v>#REF!</v>
      </c>
      <c r="HX176" t="e">
        <f>AND(#REF!,"AAAAAG/0vuc=")</f>
        <v>#REF!</v>
      </c>
      <c r="HY176" t="e">
        <f>AND(#REF!,"AAAAAG/0vug=")</f>
        <v>#REF!</v>
      </c>
      <c r="HZ176" t="e">
        <f>AND(#REF!,"AAAAAG/0vuk=")</f>
        <v>#REF!</v>
      </c>
      <c r="IA176" t="e">
        <f>AND(#REF!,"AAAAAG/0vuo=")</f>
        <v>#REF!</v>
      </c>
      <c r="IB176" t="e">
        <f>AND(#REF!,"AAAAAG/0vus=")</f>
        <v>#REF!</v>
      </c>
      <c r="IC176" t="e">
        <f>AND(#REF!,"AAAAAG/0vuw=")</f>
        <v>#REF!</v>
      </c>
      <c r="ID176" t="e">
        <f>AND(#REF!,"AAAAAG/0vu0=")</f>
        <v>#REF!</v>
      </c>
      <c r="IE176" t="e">
        <f>AND(#REF!,"AAAAAG/0vu4=")</f>
        <v>#REF!</v>
      </c>
      <c r="IF176" t="e">
        <f>AND(#REF!,"AAAAAG/0vu8=")</f>
        <v>#REF!</v>
      </c>
      <c r="IG176" t="e">
        <f>AND(#REF!,"AAAAAG/0vvA=")</f>
        <v>#REF!</v>
      </c>
      <c r="IH176" t="e">
        <f>AND(#REF!,"AAAAAG/0vvE=")</f>
        <v>#REF!</v>
      </c>
      <c r="II176" t="e">
        <f>AND(#REF!,"AAAAAG/0vvI=")</f>
        <v>#REF!</v>
      </c>
      <c r="IJ176" t="e">
        <f>AND(#REF!,"AAAAAG/0vvM=")</f>
        <v>#REF!</v>
      </c>
      <c r="IK176" t="e">
        <f>AND(#REF!,"AAAAAG/0vvQ=")</f>
        <v>#REF!</v>
      </c>
      <c r="IL176" t="e">
        <f>AND(#REF!,"AAAAAG/0vvU=")</f>
        <v>#REF!</v>
      </c>
      <c r="IM176" t="e">
        <f>AND(#REF!,"AAAAAG/0vvY=")</f>
        <v>#REF!</v>
      </c>
      <c r="IN176" t="e">
        <f>AND(#REF!,"AAAAAG/0vvc=")</f>
        <v>#REF!</v>
      </c>
      <c r="IO176" t="e">
        <f>AND(#REF!,"AAAAAG/0vvg=")</f>
        <v>#REF!</v>
      </c>
      <c r="IP176" t="e">
        <f>AND(#REF!,"AAAAAG/0vvk=")</f>
        <v>#REF!</v>
      </c>
      <c r="IQ176" t="e">
        <f>AND(#REF!,"AAAAAG/0vvo=")</f>
        <v>#REF!</v>
      </c>
      <c r="IR176" t="e">
        <f>AND(#REF!,"AAAAAG/0vvs=")</f>
        <v>#REF!</v>
      </c>
      <c r="IS176" t="e">
        <f>AND(#REF!,"AAAAAG/0vvw=")</f>
        <v>#REF!</v>
      </c>
      <c r="IT176" t="e">
        <f>AND(#REF!,"AAAAAG/0vv0=")</f>
        <v>#REF!</v>
      </c>
      <c r="IU176" t="e">
        <f>AND(#REF!,"AAAAAG/0vv4=")</f>
        <v>#REF!</v>
      </c>
      <c r="IV176" t="e">
        <f>AND(#REF!,"AAAAAG/0vv8=")</f>
        <v>#REF!</v>
      </c>
    </row>
    <row r="177" spans="1:256" x14ac:dyDescent="0.25">
      <c r="A177" t="e">
        <f>AND(#REF!,"AAAAAH73vwA=")</f>
        <v>#REF!</v>
      </c>
      <c r="B177" t="e">
        <f>AND(#REF!,"AAAAAH73vwE=")</f>
        <v>#REF!</v>
      </c>
      <c r="C177" t="e">
        <f>AND(#REF!,"AAAAAH73vwI=")</f>
        <v>#REF!</v>
      </c>
      <c r="D177" t="e">
        <f>AND(#REF!,"AAAAAH73vwM=")</f>
        <v>#REF!</v>
      </c>
      <c r="E177" t="e">
        <f>AND(#REF!,"AAAAAH73vwQ=")</f>
        <v>#REF!</v>
      </c>
      <c r="F177" t="e">
        <f>AND(#REF!,"AAAAAH73vwU=")</f>
        <v>#REF!</v>
      </c>
      <c r="G177" t="e">
        <f>AND(#REF!,"AAAAAH73vwY=")</f>
        <v>#REF!</v>
      </c>
      <c r="H177" t="e">
        <f>AND(#REF!,"AAAAAH73vwc=")</f>
        <v>#REF!</v>
      </c>
      <c r="I177" t="e">
        <f>AND(#REF!,"AAAAAH73vwg=")</f>
        <v>#REF!</v>
      </c>
      <c r="J177" t="e">
        <f>AND(#REF!,"AAAAAH73vwk=")</f>
        <v>#REF!</v>
      </c>
      <c r="K177" t="e">
        <f>AND(#REF!,"AAAAAH73vwo=")</f>
        <v>#REF!</v>
      </c>
      <c r="L177" t="e">
        <f>AND(#REF!,"AAAAAH73vws=")</f>
        <v>#REF!</v>
      </c>
      <c r="M177" t="e">
        <f>AND(#REF!,"AAAAAH73vww=")</f>
        <v>#REF!</v>
      </c>
      <c r="N177" t="e">
        <f>AND(#REF!,"AAAAAH73vw0=")</f>
        <v>#REF!</v>
      </c>
      <c r="O177" t="e">
        <f>AND(#REF!,"AAAAAH73vw4=")</f>
        <v>#REF!</v>
      </c>
      <c r="P177" t="e">
        <f>AND(#REF!,"AAAAAH73vw8=")</f>
        <v>#REF!</v>
      </c>
      <c r="Q177" t="e">
        <f>AND(#REF!,"AAAAAH73vxA=")</f>
        <v>#REF!</v>
      </c>
      <c r="R177" t="e">
        <f>AND(#REF!,"AAAAAH73vxE=")</f>
        <v>#REF!</v>
      </c>
      <c r="S177" t="e">
        <f>AND(#REF!,"AAAAAH73vxI=")</f>
        <v>#REF!</v>
      </c>
      <c r="T177" t="e">
        <f>AND(#REF!,"AAAAAH73vxM=")</f>
        <v>#REF!</v>
      </c>
      <c r="U177" t="e">
        <f>AND(#REF!,"AAAAAH73vxQ=")</f>
        <v>#REF!</v>
      </c>
      <c r="V177" t="e">
        <f>AND(#REF!,"AAAAAH73vxU=")</f>
        <v>#REF!</v>
      </c>
      <c r="W177" t="e">
        <f>AND(#REF!,"AAAAAH73vxY=")</f>
        <v>#REF!</v>
      </c>
      <c r="X177" t="e">
        <f>AND(#REF!,"AAAAAH73vxc=")</f>
        <v>#REF!</v>
      </c>
      <c r="Y177" t="e">
        <f>AND(#REF!,"AAAAAH73vxg=")</f>
        <v>#REF!</v>
      </c>
      <c r="Z177" t="e">
        <f>AND(#REF!,"AAAAAH73vxk=")</f>
        <v>#REF!</v>
      </c>
      <c r="AA177" t="e">
        <f>AND(#REF!,"AAAAAH73vxo=")</f>
        <v>#REF!</v>
      </c>
      <c r="AB177" t="e">
        <f>AND(#REF!,"AAAAAH73vxs=")</f>
        <v>#REF!</v>
      </c>
      <c r="AC177" t="e">
        <f>AND(#REF!,"AAAAAH73vxw=")</f>
        <v>#REF!</v>
      </c>
      <c r="AD177" t="e">
        <f>AND(#REF!,"AAAAAH73vx0=")</f>
        <v>#REF!</v>
      </c>
      <c r="AE177" t="e">
        <f>AND(#REF!,"AAAAAH73vx4=")</f>
        <v>#REF!</v>
      </c>
      <c r="AF177" t="e">
        <f>AND(#REF!,"AAAAAH73vx8=")</f>
        <v>#REF!</v>
      </c>
      <c r="AG177" t="e">
        <f>AND(#REF!,"AAAAAH73vyA=")</f>
        <v>#REF!</v>
      </c>
      <c r="AH177" t="e">
        <f>AND(#REF!,"AAAAAH73vyE=")</f>
        <v>#REF!</v>
      </c>
      <c r="AI177" t="e">
        <f>AND(#REF!,"AAAAAH73vyI=")</f>
        <v>#REF!</v>
      </c>
      <c r="AJ177" t="e">
        <f>AND(#REF!,"AAAAAH73vyM=")</f>
        <v>#REF!</v>
      </c>
      <c r="AK177" t="e">
        <f>AND(#REF!,"AAAAAH73vyQ=")</f>
        <v>#REF!</v>
      </c>
      <c r="AL177" t="e">
        <f>AND(#REF!,"AAAAAH73vyU=")</f>
        <v>#REF!</v>
      </c>
      <c r="AM177" t="e">
        <f>AND(#REF!,"AAAAAH73vyY=")</f>
        <v>#REF!</v>
      </c>
      <c r="AN177" t="e">
        <f>AND(#REF!,"AAAAAH73vyc=")</f>
        <v>#REF!</v>
      </c>
      <c r="AO177" t="e">
        <f>AND(#REF!,"AAAAAH73vyg=")</f>
        <v>#REF!</v>
      </c>
      <c r="AP177" t="e">
        <f>AND(#REF!,"AAAAAH73vyk=")</f>
        <v>#REF!</v>
      </c>
      <c r="AQ177" t="e">
        <f>AND(#REF!,"AAAAAH73vyo=")</f>
        <v>#REF!</v>
      </c>
      <c r="AR177" t="e">
        <f>AND(#REF!,"AAAAAH73vys=")</f>
        <v>#REF!</v>
      </c>
      <c r="AS177" t="e">
        <f>AND(#REF!,"AAAAAH73vyw=")</f>
        <v>#REF!</v>
      </c>
      <c r="AT177" t="e">
        <f>AND(#REF!,"AAAAAH73vy0=")</f>
        <v>#REF!</v>
      </c>
      <c r="AU177" t="e">
        <f>AND(#REF!,"AAAAAH73vy4=")</f>
        <v>#REF!</v>
      </c>
      <c r="AV177" t="e">
        <f>AND(#REF!,"AAAAAH73vy8=")</f>
        <v>#REF!</v>
      </c>
      <c r="AW177" t="e">
        <f>AND(#REF!,"AAAAAH73vzA=")</f>
        <v>#REF!</v>
      </c>
      <c r="AX177" t="e">
        <f>AND(#REF!,"AAAAAH73vzE=")</f>
        <v>#REF!</v>
      </c>
      <c r="AY177" t="e">
        <f>AND(#REF!,"AAAAAH73vzI=")</f>
        <v>#REF!</v>
      </c>
      <c r="AZ177" t="e">
        <f>AND(#REF!,"AAAAAH73vzM=")</f>
        <v>#REF!</v>
      </c>
      <c r="BA177" t="e">
        <f>AND(#REF!,"AAAAAH73vzQ=")</f>
        <v>#REF!</v>
      </c>
      <c r="BB177" t="e">
        <f>AND(#REF!,"AAAAAH73vzU=")</f>
        <v>#REF!</v>
      </c>
      <c r="BC177" t="e">
        <f>AND(#REF!,"AAAAAH73vzY=")</f>
        <v>#REF!</v>
      </c>
      <c r="BD177" t="e">
        <f>AND(#REF!,"AAAAAH73vzc=")</f>
        <v>#REF!</v>
      </c>
      <c r="BE177" t="e">
        <f>AND(#REF!,"AAAAAH73vzg=")</f>
        <v>#REF!</v>
      </c>
      <c r="BF177" t="e">
        <f>AND(#REF!,"AAAAAH73vzk=")</f>
        <v>#REF!</v>
      </c>
      <c r="BG177" t="e">
        <f>AND(#REF!,"AAAAAH73vzo=")</f>
        <v>#REF!</v>
      </c>
      <c r="BH177" t="e">
        <f>AND(#REF!,"AAAAAH73vzs=")</f>
        <v>#REF!</v>
      </c>
      <c r="BI177" t="e">
        <f>AND(#REF!,"AAAAAH73vzw=")</f>
        <v>#REF!</v>
      </c>
      <c r="BJ177" t="e">
        <f>AND(#REF!,"AAAAAH73vz0=")</f>
        <v>#REF!</v>
      </c>
      <c r="BK177" t="e">
        <f>AND(#REF!,"AAAAAH73vz4=")</f>
        <v>#REF!</v>
      </c>
      <c r="BL177" t="e">
        <f>AND(#REF!,"AAAAAH73vz8=")</f>
        <v>#REF!</v>
      </c>
      <c r="BM177" t="e">
        <f>AND(#REF!,"AAAAAH73v0A=")</f>
        <v>#REF!</v>
      </c>
      <c r="BN177" t="e">
        <f>AND(#REF!,"AAAAAH73v0E=")</f>
        <v>#REF!</v>
      </c>
      <c r="BO177" t="e">
        <f>AND(#REF!,"AAAAAH73v0I=")</f>
        <v>#REF!</v>
      </c>
      <c r="BP177" t="e">
        <f>AND(#REF!,"AAAAAH73v0M=")</f>
        <v>#REF!</v>
      </c>
      <c r="BQ177" t="e">
        <f>AND(#REF!,"AAAAAH73v0Q=")</f>
        <v>#REF!</v>
      </c>
      <c r="BR177" t="e">
        <f>AND(#REF!,"AAAAAH73v0U=")</f>
        <v>#REF!</v>
      </c>
      <c r="BS177" t="e">
        <f>AND(#REF!,"AAAAAH73v0Y=")</f>
        <v>#REF!</v>
      </c>
      <c r="BT177" t="e">
        <f>IF(#REF!,"AAAAAH73v0c=",0)</f>
        <v>#REF!</v>
      </c>
      <c r="BU177" t="e">
        <f>AND(#REF!,"AAAAAH73v0g=")</f>
        <v>#REF!</v>
      </c>
      <c r="BV177" t="e">
        <f>AND(#REF!,"AAAAAH73v0k=")</f>
        <v>#REF!</v>
      </c>
      <c r="BW177" t="e">
        <f>AND(#REF!,"AAAAAH73v0o=")</f>
        <v>#REF!</v>
      </c>
      <c r="BX177" t="e">
        <f>AND(#REF!,"AAAAAH73v0s=")</f>
        <v>#REF!</v>
      </c>
      <c r="BY177" t="e">
        <f>AND(#REF!,"AAAAAH73v0w=")</f>
        <v>#REF!</v>
      </c>
      <c r="BZ177" t="e">
        <f>AND(#REF!,"AAAAAH73v00=")</f>
        <v>#REF!</v>
      </c>
      <c r="CA177" t="e">
        <f>AND(#REF!,"AAAAAH73v04=")</f>
        <v>#REF!</v>
      </c>
      <c r="CB177" t="e">
        <f>AND(#REF!,"AAAAAH73v08=")</f>
        <v>#REF!</v>
      </c>
      <c r="CC177" t="e">
        <f>AND(#REF!,"AAAAAH73v1A=")</f>
        <v>#REF!</v>
      </c>
      <c r="CD177" t="e">
        <f>AND(#REF!,"AAAAAH73v1E=")</f>
        <v>#REF!</v>
      </c>
      <c r="CE177" t="e">
        <f>AND(#REF!,"AAAAAH73v1I=")</f>
        <v>#REF!</v>
      </c>
      <c r="CF177" t="e">
        <f>AND(#REF!,"AAAAAH73v1M=")</f>
        <v>#REF!</v>
      </c>
      <c r="CG177" t="e">
        <f>AND(#REF!,"AAAAAH73v1Q=")</f>
        <v>#REF!</v>
      </c>
      <c r="CH177" t="e">
        <f>AND(#REF!,"AAAAAH73v1U=")</f>
        <v>#REF!</v>
      </c>
      <c r="CI177" t="e">
        <f>AND(#REF!,"AAAAAH73v1Y=")</f>
        <v>#REF!</v>
      </c>
      <c r="CJ177" t="e">
        <f>AND(#REF!,"AAAAAH73v1c=")</f>
        <v>#REF!</v>
      </c>
      <c r="CK177" t="e">
        <f>AND(#REF!,"AAAAAH73v1g=")</f>
        <v>#REF!</v>
      </c>
      <c r="CL177" t="e">
        <f>AND(#REF!,"AAAAAH73v1k=")</f>
        <v>#REF!</v>
      </c>
      <c r="CM177" t="e">
        <f>AND(#REF!,"AAAAAH73v1o=")</f>
        <v>#REF!</v>
      </c>
      <c r="CN177" t="e">
        <f>AND(#REF!,"AAAAAH73v1s=")</f>
        <v>#REF!</v>
      </c>
      <c r="CO177" t="e">
        <f>AND(#REF!,"AAAAAH73v1w=")</f>
        <v>#REF!</v>
      </c>
      <c r="CP177" t="e">
        <f>AND(#REF!,"AAAAAH73v10=")</f>
        <v>#REF!</v>
      </c>
      <c r="CQ177" t="e">
        <f>AND(#REF!,"AAAAAH73v14=")</f>
        <v>#REF!</v>
      </c>
      <c r="CR177" t="e">
        <f>AND(#REF!,"AAAAAH73v18=")</f>
        <v>#REF!</v>
      </c>
      <c r="CS177" t="e">
        <f>AND(#REF!,"AAAAAH73v2A=")</f>
        <v>#REF!</v>
      </c>
      <c r="CT177" t="e">
        <f>AND(#REF!,"AAAAAH73v2E=")</f>
        <v>#REF!</v>
      </c>
      <c r="CU177" t="e">
        <f>AND(#REF!,"AAAAAH73v2I=")</f>
        <v>#REF!</v>
      </c>
      <c r="CV177" t="e">
        <f>AND(#REF!,"AAAAAH73v2M=")</f>
        <v>#REF!</v>
      </c>
      <c r="CW177" t="e">
        <f>AND(#REF!,"AAAAAH73v2Q=")</f>
        <v>#REF!</v>
      </c>
      <c r="CX177" t="e">
        <f>AND(#REF!,"AAAAAH73v2U=")</f>
        <v>#REF!</v>
      </c>
      <c r="CY177" t="e">
        <f>AND(#REF!,"AAAAAH73v2Y=")</f>
        <v>#REF!</v>
      </c>
      <c r="CZ177" t="e">
        <f>AND(#REF!,"AAAAAH73v2c=")</f>
        <v>#REF!</v>
      </c>
      <c r="DA177" t="e">
        <f>AND(#REF!,"AAAAAH73v2g=")</f>
        <v>#REF!</v>
      </c>
      <c r="DB177" t="e">
        <f>AND(#REF!,"AAAAAH73v2k=")</f>
        <v>#REF!</v>
      </c>
      <c r="DC177" t="e">
        <f>AND(#REF!,"AAAAAH73v2o=")</f>
        <v>#REF!</v>
      </c>
      <c r="DD177" t="e">
        <f>AND(#REF!,"AAAAAH73v2s=")</f>
        <v>#REF!</v>
      </c>
      <c r="DE177" t="e">
        <f>AND(#REF!,"AAAAAH73v2w=")</f>
        <v>#REF!</v>
      </c>
      <c r="DF177" t="e">
        <f>AND(#REF!,"AAAAAH73v20=")</f>
        <v>#REF!</v>
      </c>
      <c r="DG177" t="e">
        <f>AND(#REF!,"AAAAAH73v24=")</f>
        <v>#REF!</v>
      </c>
      <c r="DH177" t="e">
        <f>AND(#REF!,"AAAAAH73v28=")</f>
        <v>#REF!</v>
      </c>
      <c r="DI177" t="e">
        <f>AND(#REF!,"AAAAAH73v3A=")</f>
        <v>#REF!</v>
      </c>
      <c r="DJ177" t="e">
        <f>AND(#REF!,"AAAAAH73v3E=")</f>
        <v>#REF!</v>
      </c>
      <c r="DK177" t="e">
        <f>AND(#REF!,"AAAAAH73v3I=")</f>
        <v>#REF!</v>
      </c>
      <c r="DL177" t="e">
        <f>AND(#REF!,"AAAAAH73v3M=")</f>
        <v>#REF!</v>
      </c>
      <c r="DM177" t="e">
        <f>AND(#REF!,"AAAAAH73v3Q=")</f>
        <v>#REF!</v>
      </c>
      <c r="DN177" t="e">
        <f>AND(#REF!,"AAAAAH73v3U=")</f>
        <v>#REF!</v>
      </c>
      <c r="DO177" t="e">
        <f>AND(#REF!,"AAAAAH73v3Y=")</f>
        <v>#REF!</v>
      </c>
      <c r="DP177" t="e">
        <f>AND(#REF!,"AAAAAH73v3c=")</f>
        <v>#REF!</v>
      </c>
      <c r="DQ177" t="e">
        <f>AND(#REF!,"AAAAAH73v3g=")</f>
        <v>#REF!</v>
      </c>
      <c r="DR177" t="e">
        <f>AND(#REF!,"AAAAAH73v3k=")</f>
        <v>#REF!</v>
      </c>
      <c r="DS177" t="e">
        <f>AND(#REF!,"AAAAAH73v3o=")</f>
        <v>#REF!</v>
      </c>
      <c r="DT177" t="e">
        <f>AND(#REF!,"AAAAAH73v3s=")</f>
        <v>#REF!</v>
      </c>
      <c r="DU177" t="e">
        <f>AND(#REF!,"AAAAAH73v3w=")</f>
        <v>#REF!</v>
      </c>
      <c r="DV177" t="e">
        <f>AND(#REF!,"AAAAAH73v30=")</f>
        <v>#REF!</v>
      </c>
      <c r="DW177" t="e">
        <f>AND(#REF!,"AAAAAH73v34=")</f>
        <v>#REF!</v>
      </c>
      <c r="DX177" t="e">
        <f>AND(#REF!,"AAAAAH73v38=")</f>
        <v>#REF!</v>
      </c>
      <c r="DY177" t="e">
        <f>AND(#REF!,"AAAAAH73v4A=")</f>
        <v>#REF!</v>
      </c>
      <c r="DZ177" t="e">
        <f>AND(#REF!,"AAAAAH73v4E=")</f>
        <v>#REF!</v>
      </c>
      <c r="EA177" t="e">
        <f>AND(#REF!,"AAAAAH73v4I=")</f>
        <v>#REF!</v>
      </c>
      <c r="EB177" t="e">
        <f>AND(#REF!,"AAAAAH73v4M=")</f>
        <v>#REF!</v>
      </c>
      <c r="EC177" t="e">
        <f>AND(#REF!,"AAAAAH73v4Q=")</f>
        <v>#REF!</v>
      </c>
      <c r="ED177" t="e">
        <f>AND(#REF!,"AAAAAH73v4U=")</f>
        <v>#REF!</v>
      </c>
      <c r="EE177" t="e">
        <f>AND(#REF!,"AAAAAH73v4Y=")</f>
        <v>#REF!</v>
      </c>
      <c r="EF177" t="e">
        <f>AND(#REF!,"AAAAAH73v4c=")</f>
        <v>#REF!</v>
      </c>
      <c r="EG177" t="e">
        <f>AND(#REF!,"AAAAAH73v4g=")</f>
        <v>#REF!</v>
      </c>
      <c r="EH177" t="e">
        <f>AND(#REF!,"AAAAAH73v4k=")</f>
        <v>#REF!</v>
      </c>
      <c r="EI177" t="e">
        <f>AND(#REF!,"AAAAAH73v4o=")</f>
        <v>#REF!</v>
      </c>
      <c r="EJ177" t="e">
        <f>AND(#REF!,"AAAAAH73v4s=")</f>
        <v>#REF!</v>
      </c>
      <c r="EK177" t="e">
        <f>AND(#REF!,"AAAAAH73v4w=")</f>
        <v>#REF!</v>
      </c>
      <c r="EL177" t="e">
        <f>AND(#REF!,"AAAAAH73v40=")</f>
        <v>#REF!</v>
      </c>
      <c r="EM177" t="e">
        <f>AND(#REF!,"AAAAAH73v44=")</f>
        <v>#REF!</v>
      </c>
      <c r="EN177" t="e">
        <f>AND(#REF!,"AAAAAH73v48=")</f>
        <v>#REF!</v>
      </c>
      <c r="EO177" t="e">
        <f>AND(#REF!,"AAAAAH73v5A=")</f>
        <v>#REF!</v>
      </c>
      <c r="EP177" t="e">
        <f>AND(#REF!,"AAAAAH73v5E=")</f>
        <v>#REF!</v>
      </c>
      <c r="EQ177" t="e">
        <f>AND(#REF!,"AAAAAH73v5I=")</f>
        <v>#REF!</v>
      </c>
      <c r="ER177" t="e">
        <f>AND(#REF!,"AAAAAH73v5M=")</f>
        <v>#REF!</v>
      </c>
      <c r="ES177" t="e">
        <f>AND(#REF!,"AAAAAH73v5Q=")</f>
        <v>#REF!</v>
      </c>
      <c r="ET177" t="e">
        <f>AND(#REF!,"AAAAAH73v5U=")</f>
        <v>#REF!</v>
      </c>
      <c r="EU177" t="e">
        <f>AND(#REF!,"AAAAAH73v5Y=")</f>
        <v>#REF!</v>
      </c>
      <c r="EV177" t="e">
        <f>AND(#REF!,"AAAAAH73v5c=")</f>
        <v>#REF!</v>
      </c>
      <c r="EW177" t="e">
        <f>AND(#REF!,"AAAAAH73v5g=")</f>
        <v>#REF!</v>
      </c>
      <c r="EX177" t="e">
        <f>AND(#REF!,"AAAAAH73v5k=")</f>
        <v>#REF!</v>
      </c>
      <c r="EY177" t="e">
        <f>AND(#REF!,"AAAAAH73v5o=")</f>
        <v>#REF!</v>
      </c>
      <c r="EZ177" t="e">
        <f>AND(#REF!,"AAAAAH73v5s=")</f>
        <v>#REF!</v>
      </c>
      <c r="FA177" t="e">
        <f>AND(#REF!,"AAAAAH73v5w=")</f>
        <v>#REF!</v>
      </c>
      <c r="FB177" t="e">
        <f>AND(#REF!,"AAAAAH73v50=")</f>
        <v>#REF!</v>
      </c>
      <c r="FC177" t="e">
        <f>AND(#REF!,"AAAAAH73v54=")</f>
        <v>#REF!</v>
      </c>
      <c r="FD177" t="e">
        <f>AND(#REF!,"AAAAAH73v58=")</f>
        <v>#REF!</v>
      </c>
      <c r="FE177" t="e">
        <f>AND(#REF!,"AAAAAH73v6A=")</f>
        <v>#REF!</v>
      </c>
      <c r="FF177" t="e">
        <f>AND(#REF!,"AAAAAH73v6E=")</f>
        <v>#REF!</v>
      </c>
      <c r="FG177" t="e">
        <f>AND(#REF!,"AAAAAH73v6I=")</f>
        <v>#REF!</v>
      </c>
      <c r="FH177" t="e">
        <f>AND(#REF!,"AAAAAH73v6M=")</f>
        <v>#REF!</v>
      </c>
      <c r="FI177" t="e">
        <f>AND(#REF!,"AAAAAH73v6Q=")</f>
        <v>#REF!</v>
      </c>
      <c r="FJ177" t="e">
        <f>AND(#REF!,"AAAAAH73v6U=")</f>
        <v>#REF!</v>
      </c>
      <c r="FK177" t="e">
        <f>AND(#REF!,"AAAAAH73v6Y=")</f>
        <v>#REF!</v>
      </c>
      <c r="FL177" t="e">
        <f>AND(#REF!,"AAAAAH73v6c=")</f>
        <v>#REF!</v>
      </c>
      <c r="FM177" t="e">
        <f>AND(#REF!,"AAAAAH73v6g=")</f>
        <v>#REF!</v>
      </c>
      <c r="FN177" t="e">
        <f>AND(#REF!,"AAAAAH73v6k=")</f>
        <v>#REF!</v>
      </c>
      <c r="FO177" t="e">
        <f>AND(#REF!,"AAAAAH73v6o=")</f>
        <v>#REF!</v>
      </c>
      <c r="FP177" t="e">
        <f>AND(#REF!,"AAAAAH73v6s=")</f>
        <v>#REF!</v>
      </c>
      <c r="FQ177" t="e">
        <f>AND(#REF!,"AAAAAH73v6w=")</f>
        <v>#REF!</v>
      </c>
      <c r="FR177" t="e">
        <f>AND(#REF!,"AAAAAH73v60=")</f>
        <v>#REF!</v>
      </c>
      <c r="FS177" t="e">
        <f>AND(#REF!,"AAAAAH73v64=")</f>
        <v>#REF!</v>
      </c>
      <c r="FT177" t="e">
        <f>AND(#REF!,"AAAAAH73v68=")</f>
        <v>#REF!</v>
      </c>
      <c r="FU177" t="e">
        <f>AND(#REF!,"AAAAAH73v7A=")</f>
        <v>#REF!</v>
      </c>
      <c r="FV177" t="e">
        <f>AND(#REF!,"AAAAAH73v7E=")</f>
        <v>#REF!</v>
      </c>
      <c r="FW177" t="e">
        <f>AND(#REF!,"AAAAAH73v7I=")</f>
        <v>#REF!</v>
      </c>
      <c r="FX177" t="e">
        <f>AND(#REF!,"AAAAAH73v7M=")</f>
        <v>#REF!</v>
      </c>
      <c r="FY177" t="e">
        <f>AND(#REF!,"AAAAAH73v7Q=")</f>
        <v>#REF!</v>
      </c>
      <c r="FZ177" t="e">
        <f>AND(#REF!,"AAAAAH73v7U=")</f>
        <v>#REF!</v>
      </c>
      <c r="GA177" t="e">
        <f>AND(#REF!,"AAAAAH73v7Y=")</f>
        <v>#REF!</v>
      </c>
      <c r="GB177" t="e">
        <f>AND(#REF!,"AAAAAH73v7c=")</f>
        <v>#REF!</v>
      </c>
      <c r="GC177" t="e">
        <f>AND(#REF!,"AAAAAH73v7g=")</f>
        <v>#REF!</v>
      </c>
      <c r="GD177" t="e">
        <f>AND(#REF!,"AAAAAH73v7k=")</f>
        <v>#REF!</v>
      </c>
      <c r="GE177" t="e">
        <f>AND(#REF!,"AAAAAH73v7o=")</f>
        <v>#REF!</v>
      </c>
      <c r="GF177" t="e">
        <f>AND(#REF!,"AAAAAH73v7s=")</f>
        <v>#REF!</v>
      </c>
      <c r="GG177" t="e">
        <f>AND(#REF!,"AAAAAH73v7w=")</f>
        <v>#REF!</v>
      </c>
      <c r="GH177" t="e">
        <f>AND(#REF!,"AAAAAH73v70=")</f>
        <v>#REF!</v>
      </c>
      <c r="GI177" t="e">
        <f>AND(#REF!,"AAAAAH73v74=")</f>
        <v>#REF!</v>
      </c>
      <c r="GJ177" t="e">
        <f>AND(#REF!,"AAAAAH73v78=")</f>
        <v>#REF!</v>
      </c>
      <c r="GK177" t="e">
        <f>AND(#REF!,"AAAAAH73v8A=")</f>
        <v>#REF!</v>
      </c>
      <c r="GL177" t="e">
        <f>AND(#REF!,"AAAAAH73v8E=")</f>
        <v>#REF!</v>
      </c>
      <c r="GM177" t="e">
        <f>AND(#REF!,"AAAAAH73v8I=")</f>
        <v>#REF!</v>
      </c>
      <c r="GN177" t="e">
        <f>AND(#REF!,"AAAAAH73v8M=")</f>
        <v>#REF!</v>
      </c>
      <c r="GO177" t="e">
        <f>AND(#REF!,"AAAAAH73v8Q=")</f>
        <v>#REF!</v>
      </c>
      <c r="GP177" t="e">
        <f>AND(#REF!,"AAAAAH73v8U=")</f>
        <v>#REF!</v>
      </c>
      <c r="GQ177" t="e">
        <f>AND(#REF!,"AAAAAH73v8Y=")</f>
        <v>#REF!</v>
      </c>
      <c r="GR177" t="e">
        <f>AND(#REF!,"AAAAAH73v8c=")</f>
        <v>#REF!</v>
      </c>
      <c r="GS177" t="e">
        <f>AND(#REF!,"AAAAAH73v8g=")</f>
        <v>#REF!</v>
      </c>
      <c r="GT177" t="e">
        <f>AND(#REF!,"AAAAAH73v8k=")</f>
        <v>#REF!</v>
      </c>
      <c r="GU177" t="e">
        <f>AND(#REF!,"AAAAAH73v8o=")</f>
        <v>#REF!</v>
      </c>
      <c r="GV177" t="e">
        <f>AND(#REF!,"AAAAAH73v8s=")</f>
        <v>#REF!</v>
      </c>
      <c r="GW177" t="e">
        <f>AND(#REF!,"AAAAAH73v8w=")</f>
        <v>#REF!</v>
      </c>
      <c r="GX177" t="e">
        <f>AND(#REF!,"AAAAAH73v80=")</f>
        <v>#REF!</v>
      </c>
      <c r="GY177" t="e">
        <f>AND(#REF!,"AAAAAH73v84=")</f>
        <v>#REF!</v>
      </c>
      <c r="GZ177" t="e">
        <f>AND(#REF!,"AAAAAH73v88=")</f>
        <v>#REF!</v>
      </c>
      <c r="HA177" t="e">
        <f>AND(#REF!,"AAAAAH73v9A=")</f>
        <v>#REF!</v>
      </c>
      <c r="HB177" t="e">
        <f>AND(#REF!,"AAAAAH73v9E=")</f>
        <v>#REF!</v>
      </c>
      <c r="HC177" t="e">
        <f>AND(#REF!,"AAAAAH73v9I=")</f>
        <v>#REF!</v>
      </c>
      <c r="HD177" t="e">
        <f>AND(#REF!,"AAAAAH73v9M=")</f>
        <v>#REF!</v>
      </c>
      <c r="HE177" t="e">
        <f>AND(#REF!,"AAAAAH73v9Q=")</f>
        <v>#REF!</v>
      </c>
      <c r="HF177" t="e">
        <f>AND(#REF!,"AAAAAH73v9U=")</f>
        <v>#REF!</v>
      </c>
      <c r="HG177" t="e">
        <f>AND(#REF!,"AAAAAH73v9Y=")</f>
        <v>#REF!</v>
      </c>
      <c r="HH177" t="e">
        <f>AND(#REF!,"AAAAAH73v9c=")</f>
        <v>#REF!</v>
      </c>
      <c r="HI177" t="e">
        <f>AND(#REF!,"AAAAAH73v9g=")</f>
        <v>#REF!</v>
      </c>
      <c r="HJ177" t="e">
        <f>AND(#REF!,"AAAAAH73v9k=")</f>
        <v>#REF!</v>
      </c>
      <c r="HK177" t="e">
        <f>AND(#REF!,"AAAAAH73v9o=")</f>
        <v>#REF!</v>
      </c>
      <c r="HL177" t="e">
        <f>AND(#REF!,"AAAAAH73v9s=")</f>
        <v>#REF!</v>
      </c>
      <c r="HM177" t="e">
        <f>AND(#REF!,"AAAAAH73v9w=")</f>
        <v>#REF!</v>
      </c>
      <c r="HN177" t="e">
        <f>AND(#REF!,"AAAAAH73v90=")</f>
        <v>#REF!</v>
      </c>
      <c r="HO177" t="e">
        <f>AND(#REF!,"AAAAAH73v94=")</f>
        <v>#REF!</v>
      </c>
      <c r="HP177" t="e">
        <f>AND(#REF!,"AAAAAH73v98=")</f>
        <v>#REF!</v>
      </c>
      <c r="HQ177" t="e">
        <f>AND(#REF!,"AAAAAH73v+A=")</f>
        <v>#REF!</v>
      </c>
      <c r="HR177" t="e">
        <f>AND(#REF!,"AAAAAH73v+E=")</f>
        <v>#REF!</v>
      </c>
      <c r="HS177" t="e">
        <f>AND(#REF!,"AAAAAH73v+I=")</f>
        <v>#REF!</v>
      </c>
      <c r="HT177" t="e">
        <f>AND(#REF!,"AAAAAH73v+M=")</f>
        <v>#REF!</v>
      </c>
      <c r="HU177" t="e">
        <f>AND(#REF!,"AAAAAH73v+Q=")</f>
        <v>#REF!</v>
      </c>
      <c r="HV177" t="e">
        <f>AND(#REF!,"AAAAAH73v+U=")</f>
        <v>#REF!</v>
      </c>
      <c r="HW177" t="e">
        <f>AND(#REF!,"AAAAAH73v+Y=")</f>
        <v>#REF!</v>
      </c>
      <c r="HX177" t="e">
        <f>AND(#REF!,"AAAAAH73v+c=")</f>
        <v>#REF!</v>
      </c>
      <c r="HY177" t="e">
        <f>AND(#REF!,"AAAAAH73v+g=")</f>
        <v>#REF!</v>
      </c>
      <c r="HZ177" t="e">
        <f>AND(#REF!,"AAAAAH73v+k=")</f>
        <v>#REF!</v>
      </c>
      <c r="IA177" t="e">
        <f>AND(#REF!,"AAAAAH73v+o=")</f>
        <v>#REF!</v>
      </c>
      <c r="IB177" t="e">
        <f>AND(#REF!,"AAAAAH73v+s=")</f>
        <v>#REF!</v>
      </c>
      <c r="IC177" t="e">
        <f>AND(#REF!,"AAAAAH73v+w=")</f>
        <v>#REF!</v>
      </c>
      <c r="ID177" t="e">
        <f>AND(#REF!,"AAAAAH73v+0=")</f>
        <v>#REF!</v>
      </c>
      <c r="IE177" t="e">
        <f>AND(#REF!,"AAAAAH73v+4=")</f>
        <v>#REF!</v>
      </c>
      <c r="IF177" t="e">
        <f>AND(#REF!,"AAAAAH73v+8=")</f>
        <v>#REF!</v>
      </c>
      <c r="IG177" t="e">
        <f>AND(#REF!,"AAAAAH73v/A=")</f>
        <v>#REF!</v>
      </c>
      <c r="IH177" t="e">
        <f>AND(#REF!,"AAAAAH73v/E=")</f>
        <v>#REF!</v>
      </c>
      <c r="II177" t="e">
        <f>AND(#REF!,"AAAAAH73v/I=")</f>
        <v>#REF!</v>
      </c>
      <c r="IJ177" t="e">
        <f>AND(#REF!,"AAAAAH73v/M=")</f>
        <v>#REF!</v>
      </c>
      <c r="IK177" t="e">
        <f>AND(#REF!,"AAAAAH73v/Q=")</f>
        <v>#REF!</v>
      </c>
      <c r="IL177" t="e">
        <f>AND(#REF!,"AAAAAH73v/U=")</f>
        <v>#REF!</v>
      </c>
      <c r="IM177" t="e">
        <f>AND(#REF!,"AAAAAH73v/Y=")</f>
        <v>#REF!</v>
      </c>
      <c r="IN177" t="e">
        <f>AND(#REF!,"AAAAAH73v/c=")</f>
        <v>#REF!</v>
      </c>
      <c r="IO177" t="e">
        <f>AND(#REF!,"AAAAAH73v/g=")</f>
        <v>#REF!</v>
      </c>
      <c r="IP177" t="e">
        <f>AND(#REF!,"AAAAAH73v/k=")</f>
        <v>#REF!</v>
      </c>
      <c r="IQ177" t="e">
        <f>AND(#REF!,"AAAAAH73v/o=")</f>
        <v>#REF!</v>
      </c>
      <c r="IR177" t="e">
        <f>AND(#REF!,"AAAAAH73v/s=")</f>
        <v>#REF!</v>
      </c>
      <c r="IS177" t="e">
        <f>AND(#REF!,"AAAAAH73v/w=")</f>
        <v>#REF!</v>
      </c>
      <c r="IT177" t="e">
        <f>AND(#REF!,"AAAAAH73v/0=")</f>
        <v>#REF!</v>
      </c>
      <c r="IU177" t="e">
        <f>AND(#REF!,"AAAAAH73v/4=")</f>
        <v>#REF!</v>
      </c>
      <c r="IV177" t="e">
        <f>AND(#REF!,"AAAAAH73v/8=")</f>
        <v>#REF!</v>
      </c>
    </row>
    <row r="178" spans="1:256" x14ac:dyDescent="0.25">
      <c r="A178" t="e">
        <f>AND(#REF!,"AAAAAHp/PgA=")</f>
        <v>#REF!</v>
      </c>
      <c r="B178" t="e">
        <f>AND(#REF!,"AAAAAHp/PgE=")</f>
        <v>#REF!</v>
      </c>
      <c r="C178" t="e">
        <f>AND(#REF!,"AAAAAHp/PgI=")</f>
        <v>#REF!</v>
      </c>
      <c r="D178" t="e">
        <f>AND(#REF!,"AAAAAHp/PgM=")</f>
        <v>#REF!</v>
      </c>
      <c r="E178" t="e">
        <f>IF(#REF!,"AAAAAHp/PgQ=",0)</f>
        <v>#REF!</v>
      </c>
      <c r="F178" t="e">
        <f>AND(#REF!,"AAAAAHp/PgU=")</f>
        <v>#REF!</v>
      </c>
      <c r="G178" t="e">
        <f>AND(#REF!,"AAAAAHp/PgY=")</f>
        <v>#REF!</v>
      </c>
      <c r="H178" t="e">
        <f>AND(#REF!,"AAAAAHp/Pgc=")</f>
        <v>#REF!</v>
      </c>
      <c r="I178" t="e">
        <f>AND(#REF!,"AAAAAHp/Pgg=")</f>
        <v>#REF!</v>
      </c>
      <c r="J178" t="e">
        <f>AND(#REF!,"AAAAAHp/Pgk=")</f>
        <v>#REF!</v>
      </c>
      <c r="K178" t="e">
        <f>AND(#REF!,"AAAAAHp/Pgo=")</f>
        <v>#REF!</v>
      </c>
      <c r="L178" t="e">
        <f>AND(#REF!,"AAAAAHp/Pgs=")</f>
        <v>#REF!</v>
      </c>
      <c r="M178" t="e">
        <f>AND(#REF!,"AAAAAHp/Pgw=")</f>
        <v>#REF!</v>
      </c>
      <c r="N178" t="e">
        <f>AND(#REF!,"AAAAAHp/Pg0=")</f>
        <v>#REF!</v>
      </c>
      <c r="O178" t="e">
        <f>AND(#REF!,"AAAAAHp/Pg4=")</f>
        <v>#REF!</v>
      </c>
      <c r="P178" t="e">
        <f>AND(#REF!,"AAAAAHp/Pg8=")</f>
        <v>#REF!</v>
      </c>
      <c r="Q178" t="e">
        <f>AND(#REF!,"AAAAAHp/PhA=")</f>
        <v>#REF!</v>
      </c>
      <c r="R178" t="e">
        <f>AND(#REF!,"AAAAAHp/PhE=")</f>
        <v>#REF!</v>
      </c>
      <c r="S178" t="e">
        <f>AND(#REF!,"AAAAAHp/PhI=")</f>
        <v>#REF!</v>
      </c>
      <c r="T178" t="e">
        <f>AND(#REF!,"AAAAAHp/PhM=")</f>
        <v>#REF!</v>
      </c>
      <c r="U178" t="e">
        <f>AND(#REF!,"AAAAAHp/PhQ=")</f>
        <v>#REF!</v>
      </c>
      <c r="V178" t="e">
        <f>AND(#REF!,"AAAAAHp/PhU=")</f>
        <v>#REF!</v>
      </c>
      <c r="W178" t="e">
        <f>AND(#REF!,"AAAAAHp/PhY=")</f>
        <v>#REF!</v>
      </c>
      <c r="X178" t="e">
        <f>AND(#REF!,"AAAAAHp/Phc=")</f>
        <v>#REF!</v>
      </c>
      <c r="Y178" t="e">
        <f>AND(#REF!,"AAAAAHp/Phg=")</f>
        <v>#REF!</v>
      </c>
      <c r="Z178" t="e">
        <f>AND(#REF!,"AAAAAHp/Phk=")</f>
        <v>#REF!</v>
      </c>
      <c r="AA178" t="e">
        <f>AND(#REF!,"AAAAAHp/Pho=")</f>
        <v>#REF!</v>
      </c>
      <c r="AB178" t="e">
        <f>AND(#REF!,"AAAAAHp/Phs=")</f>
        <v>#REF!</v>
      </c>
      <c r="AC178" t="e">
        <f>AND(#REF!,"AAAAAHp/Phw=")</f>
        <v>#REF!</v>
      </c>
      <c r="AD178" t="e">
        <f>AND(#REF!,"AAAAAHp/Ph0=")</f>
        <v>#REF!</v>
      </c>
      <c r="AE178" t="e">
        <f>AND(#REF!,"AAAAAHp/Ph4=")</f>
        <v>#REF!</v>
      </c>
      <c r="AF178" t="e">
        <f>AND(#REF!,"AAAAAHp/Ph8=")</f>
        <v>#REF!</v>
      </c>
      <c r="AG178" t="e">
        <f>AND(#REF!,"AAAAAHp/PiA=")</f>
        <v>#REF!</v>
      </c>
      <c r="AH178" t="e">
        <f>AND(#REF!,"AAAAAHp/PiE=")</f>
        <v>#REF!</v>
      </c>
      <c r="AI178" t="e">
        <f>AND(#REF!,"AAAAAHp/PiI=")</f>
        <v>#REF!</v>
      </c>
      <c r="AJ178" t="e">
        <f>AND(#REF!,"AAAAAHp/PiM=")</f>
        <v>#REF!</v>
      </c>
      <c r="AK178" t="e">
        <f>AND(#REF!,"AAAAAHp/PiQ=")</f>
        <v>#REF!</v>
      </c>
      <c r="AL178" t="e">
        <f>AND(#REF!,"AAAAAHp/PiU=")</f>
        <v>#REF!</v>
      </c>
      <c r="AM178" t="e">
        <f>AND(#REF!,"AAAAAHp/PiY=")</f>
        <v>#REF!</v>
      </c>
      <c r="AN178" t="e">
        <f>AND(#REF!,"AAAAAHp/Pic=")</f>
        <v>#REF!</v>
      </c>
      <c r="AO178" t="e">
        <f>AND(#REF!,"AAAAAHp/Pig=")</f>
        <v>#REF!</v>
      </c>
      <c r="AP178" t="e">
        <f>AND(#REF!,"AAAAAHp/Pik=")</f>
        <v>#REF!</v>
      </c>
      <c r="AQ178" t="e">
        <f>AND(#REF!,"AAAAAHp/Pio=")</f>
        <v>#REF!</v>
      </c>
      <c r="AR178" t="e">
        <f>AND(#REF!,"AAAAAHp/Pis=")</f>
        <v>#REF!</v>
      </c>
      <c r="AS178" t="e">
        <f>AND(#REF!,"AAAAAHp/Piw=")</f>
        <v>#REF!</v>
      </c>
      <c r="AT178" t="e">
        <f>AND(#REF!,"AAAAAHp/Pi0=")</f>
        <v>#REF!</v>
      </c>
      <c r="AU178" t="e">
        <f>AND(#REF!,"AAAAAHp/Pi4=")</f>
        <v>#REF!</v>
      </c>
      <c r="AV178" t="e">
        <f>AND(#REF!,"AAAAAHp/Pi8=")</f>
        <v>#REF!</v>
      </c>
      <c r="AW178" t="e">
        <f>AND(#REF!,"AAAAAHp/PjA=")</f>
        <v>#REF!</v>
      </c>
      <c r="AX178" t="e">
        <f>AND(#REF!,"AAAAAHp/PjE=")</f>
        <v>#REF!</v>
      </c>
      <c r="AY178" t="e">
        <f>AND(#REF!,"AAAAAHp/PjI=")</f>
        <v>#REF!</v>
      </c>
      <c r="AZ178" t="e">
        <f>AND(#REF!,"AAAAAHp/PjM=")</f>
        <v>#REF!</v>
      </c>
      <c r="BA178" t="e">
        <f>AND(#REF!,"AAAAAHp/PjQ=")</f>
        <v>#REF!</v>
      </c>
      <c r="BB178" t="e">
        <f>AND(#REF!,"AAAAAHp/PjU=")</f>
        <v>#REF!</v>
      </c>
      <c r="BC178" t="e">
        <f>AND(#REF!,"AAAAAHp/PjY=")</f>
        <v>#REF!</v>
      </c>
      <c r="BD178" t="e">
        <f>AND(#REF!,"AAAAAHp/Pjc=")</f>
        <v>#REF!</v>
      </c>
      <c r="BE178" t="e">
        <f>AND(#REF!,"AAAAAHp/Pjg=")</f>
        <v>#REF!</v>
      </c>
      <c r="BF178" t="e">
        <f>AND(#REF!,"AAAAAHp/Pjk=")</f>
        <v>#REF!</v>
      </c>
      <c r="BG178" t="e">
        <f>AND(#REF!,"AAAAAHp/Pjo=")</f>
        <v>#REF!</v>
      </c>
      <c r="BH178" t="e">
        <f>AND(#REF!,"AAAAAHp/Pjs=")</f>
        <v>#REF!</v>
      </c>
      <c r="BI178" t="e">
        <f>AND(#REF!,"AAAAAHp/Pjw=")</f>
        <v>#REF!</v>
      </c>
      <c r="BJ178" t="e">
        <f>AND(#REF!,"AAAAAHp/Pj0=")</f>
        <v>#REF!</v>
      </c>
      <c r="BK178" t="e">
        <f>AND(#REF!,"AAAAAHp/Pj4=")</f>
        <v>#REF!</v>
      </c>
      <c r="BL178" t="e">
        <f>AND(#REF!,"AAAAAHp/Pj8=")</f>
        <v>#REF!</v>
      </c>
      <c r="BM178" t="e">
        <f>AND(#REF!,"AAAAAHp/PkA=")</f>
        <v>#REF!</v>
      </c>
      <c r="BN178" t="e">
        <f>AND(#REF!,"AAAAAHp/PkE=")</f>
        <v>#REF!</v>
      </c>
      <c r="BO178" t="e">
        <f>AND(#REF!,"AAAAAHp/PkI=")</f>
        <v>#REF!</v>
      </c>
      <c r="BP178" t="e">
        <f>AND(#REF!,"AAAAAHp/PkM=")</f>
        <v>#REF!</v>
      </c>
      <c r="BQ178" t="e">
        <f>AND(#REF!,"AAAAAHp/PkQ=")</f>
        <v>#REF!</v>
      </c>
      <c r="BR178" t="e">
        <f>AND(#REF!,"AAAAAHp/PkU=")</f>
        <v>#REF!</v>
      </c>
      <c r="BS178" t="e">
        <f>AND(#REF!,"AAAAAHp/PkY=")</f>
        <v>#REF!</v>
      </c>
      <c r="BT178" t="e">
        <f>AND(#REF!,"AAAAAHp/Pkc=")</f>
        <v>#REF!</v>
      </c>
      <c r="BU178" t="e">
        <f>AND(#REF!,"AAAAAHp/Pkg=")</f>
        <v>#REF!</v>
      </c>
      <c r="BV178" t="e">
        <f>AND(#REF!,"AAAAAHp/Pkk=")</f>
        <v>#REF!</v>
      </c>
      <c r="BW178" t="e">
        <f>AND(#REF!,"AAAAAHp/Pko=")</f>
        <v>#REF!</v>
      </c>
      <c r="BX178" t="e">
        <f>AND(#REF!,"AAAAAHp/Pks=")</f>
        <v>#REF!</v>
      </c>
      <c r="BY178" t="e">
        <f>AND(#REF!,"AAAAAHp/Pkw=")</f>
        <v>#REF!</v>
      </c>
      <c r="BZ178" t="e">
        <f>AND(#REF!,"AAAAAHp/Pk0=")</f>
        <v>#REF!</v>
      </c>
      <c r="CA178" t="e">
        <f>AND(#REF!,"AAAAAHp/Pk4=")</f>
        <v>#REF!</v>
      </c>
      <c r="CB178" t="e">
        <f>AND(#REF!,"AAAAAHp/Pk8=")</f>
        <v>#REF!</v>
      </c>
      <c r="CC178" t="e">
        <f>AND(#REF!,"AAAAAHp/PlA=")</f>
        <v>#REF!</v>
      </c>
      <c r="CD178" t="e">
        <f>AND(#REF!,"AAAAAHp/PlE=")</f>
        <v>#REF!</v>
      </c>
      <c r="CE178" t="e">
        <f>AND(#REF!,"AAAAAHp/PlI=")</f>
        <v>#REF!</v>
      </c>
      <c r="CF178" t="e">
        <f>AND(#REF!,"AAAAAHp/PlM=")</f>
        <v>#REF!</v>
      </c>
      <c r="CG178" t="e">
        <f>AND(#REF!,"AAAAAHp/PlQ=")</f>
        <v>#REF!</v>
      </c>
      <c r="CH178" t="e">
        <f>AND(#REF!,"AAAAAHp/PlU=")</f>
        <v>#REF!</v>
      </c>
      <c r="CI178" t="e">
        <f>AND(#REF!,"AAAAAHp/PlY=")</f>
        <v>#REF!</v>
      </c>
      <c r="CJ178" t="e">
        <f>AND(#REF!,"AAAAAHp/Plc=")</f>
        <v>#REF!</v>
      </c>
      <c r="CK178" t="e">
        <f>AND(#REF!,"AAAAAHp/Plg=")</f>
        <v>#REF!</v>
      </c>
      <c r="CL178" t="e">
        <f>AND(#REF!,"AAAAAHp/Plk=")</f>
        <v>#REF!</v>
      </c>
      <c r="CM178" t="e">
        <f>AND(#REF!,"AAAAAHp/Plo=")</f>
        <v>#REF!</v>
      </c>
      <c r="CN178" t="e">
        <f>AND(#REF!,"AAAAAHp/Pls=")</f>
        <v>#REF!</v>
      </c>
      <c r="CO178" t="e">
        <f>AND(#REF!,"AAAAAHp/Plw=")</f>
        <v>#REF!</v>
      </c>
      <c r="CP178" t="e">
        <f>AND(#REF!,"AAAAAHp/Pl0=")</f>
        <v>#REF!</v>
      </c>
      <c r="CQ178" t="e">
        <f>AND(#REF!,"AAAAAHp/Pl4=")</f>
        <v>#REF!</v>
      </c>
      <c r="CR178" t="e">
        <f>AND(#REF!,"AAAAAHp/Pl8=")</f>
        <v>#REF!</v>
      </c>
      <c r="CS178" t="e">
        <f>AND(#REF!,"AAAAAHp/PmA=")</f>
        <v>#REF!</v>
      </c>
      <c r="CT178" t="e">
        <f>AND(#REF!,"AAAAAHp/PmE=")</f>
        <v>#REF!</v>
      </c>
      <c r="CU178" t="e">
        <f>AND(#REF!,"AAAAAHp/PmI=")</f>
        <v>#REF!</v>
      </c>
      <c r="CV178" t="e">
        <f>AND(#REF!,"AAAAAHp/PmM=")</f>
        <v>#REF!</v>
      </c>
      <c r="CW178" t="e">
        <f>AND(#REF!,"AAAAAHp/PmQ=")</f>
        <v>#REF!</v>
      </c>
      <c r="CX178" t="e">
        <f>AND(#REF!,"AAAAAHp/PmU=")</f>
        <v>#REF!</v>
      </c>
      <c r="CY178" t="e">
        <f>AND(#REF!,"AAAAAHp/PmY=")</f>
        <v>#REF!</v>
      </c>
      <c r="CZ178" t="e">
        <f>AND(#REF!,"AAAAAHp/Pmc=")</f>
        <v>#REF!</v>
      </c>
      <c r="DA178" t="e">
        <f>AND(#REF!,"AAAAAHp/Pmg=")</f>
        <v>#REF!</v>
      </c>
      <c r="DB178" t="e">
        <f>AND(#REF!,"AAAAAHp/Pmk=")</f>
        <v>#REF!</v>
      </c>
      <c r="DC178" t="e">
        <f>AND(#REF!,"AAAAAHp/Pmo=")</f>
        <v>#REF!</v>
      </c>
      <c r="DD178" t="e">
        <f>AND(#REF!,"AAAAAHp/Pms=")</f>
        <v>#REF!</v>
      </c>
      <c r="DE178" t="e">
        <f>AND(#REF!,"AAAAAHp/Pmw=")</f>
        <v>#REF!</v>
      </c>
      <c r="DF178" t="e">
        <f>AND(#REF!,"AAAAAHp/Pm0=")</f>
        <v>#REF!</v>
      </c>
      <c r="DG178" t="e">
        <f>AND(#REF!,"AAAAAHp/Pm4=")</f>
        <v>#REF!</v>
      </c>
      <c r="DH178" t="e">
        <f>AND(#REF!,"AAAAAHp/Pm8=")</f>
        <v>#REF!</v>
      </c>
      <c r="DI178" t="e">
        <f>AND(#REF!,"AAAAAHp/PnA=")</f>
        <v>#REF!</v>
      </c>
      <c r="DJ178" t="e">
        <f>AND(#REF!,"AAAAAHp/PnE=")</f>
        <v>#REF!</v>
      </c>
      <c r="DK178" t="e">
        <f>AND(#REF!,"AAAAAHp/PnI=")</f>
        <v>#REF!</v>
      </c>
      <c r="DL178" t="e">
        <f>AND(#REF!,"AAAAAHp/PnM=")</f>
        <v>#REF!</v>
      </c>
      <c r="DM178" t="e">
        <f>AND(#REF!,"AAAAAHp/PnQ=")</f>
        <v>#REF!</v>
      </c>
      <c r="DN178" t="e">
        <f>AND(#REF!,"AAAAAHp/PnU=")</f>
        <v>#REF!</v>
      </c>
      <c r="DO178" t="e">
        <f>AND(#REF!,"AAAAAHp/PnY=")</f>
        <v>#REF!</v>
      </c>
      <c r="DP178" t="e">
        <f>AND(#REF!,"AAAAAHp/Pnc=")</f>
        <v>#REF!</v>
      </c>
      <c r="DQ178" t="e">
        <f>AND(#REF!,"AAAAAHp/Png=")</f>
        <v>#REF!</v>
      </c>
      <c r="DR178" t="e">
        <f>AND(#REF!,"AAAAAHp/Pnk=")</f>
        <v>#REF!</v>
      </c>
      <c r="DS178" t="e">
        <f>AND(#REF!,"AAAAAHp/Pno=")</f>
        <v>#REF!</v>
      </c>
      <c r="DT178" t="e">
        <f>AND(#REF!,"AAAAAHp/Pns=")</f>
        <v>#REF!</v>
      </c>
      <c r="DU178" t="e">
        <f>AND(#REF!,"AAAAAHp/Pnw=")</f>
        <v>#REF!</v>
      </c>
      <c r="DV178" t="e">
        <f>AND(#REF!,"AAAAAHp/Pn0=")</f>
        <v>#REF!</v>
      </c>
      <c r="DW178" t="e">
        <f>AND(#REF!,"AAAAAHp/Pn4=")</f>
        <v>#REF!</v>
      </c>
      <c r="DX178" t="e">
        <f>AND(#REF!,"AAAAAHp/Pn8=")</f>
        <v>#REF!</v>
      </c>
      <c r="DY178" t="e">
        <f>AND(#REF!,"AAAAAHp/PoA=")</f>
        <v>#REF!</v>
      </c>
      <c r="DZ178" t="e">
        <f>AND(#REF!,"AAAAAHp/PoE=")</f>
        <v>#REF!</v>
      </c>
      <c r="EA178" t="e">
        <f>AND(#REF!,"AAAAAHp/PoI=")</f>
        <v>#REF!</v>
      </c>
      <c r="EB178" t="e">
        <f>AND(#REF!,"AAAAAHp/PoM=")</f>
        <v>#REF!</v>
      </c>
      <c r="EC178" t="e">
        <f>AND(#REF!,"AAAAAHp/PoQ=")</f>
        <v>#REF!</v>
      </c>
      <c r="ED178" t="e">
        <f>AND(#REF!,"AAAAAHp/PoU=")</f>
        <v>#REF!</v>
      </c>
      <c r="EE178" t="e">
        <f>AND(#REF!,"AAAAAHp/PoY=")</f>
        <v>#REF!</v>
      </c>
      <c r="EF178" t="e">
        <f>AND(#REF!,"AAAAAHp/Poc=")</f>
        <v>#REF!</v>
      </c>
      <c r="EG178" t="e">
        <f>AND(#REF!,"AAAAAHp/Pog=")</f>
        <v>#REF!</v>
      </c>
      <c r="EH178" t="e">
        <f>AND(#REF!,"AAAAAHp/Pok=")</f>
        <v>#REF!</v>
      </c>
      <c r="EI178" t="e">
        <f>AND(#REF!,"AAAAAHp/Poo=")</f>
        <v>#REF!</v>
      </c>
      <c r="EJ178" t="e">
        <f>AND(#REF!,"AAAAAHp/Pos=")</f>
        <v>#REF!</v>
      </c>
      <c r="EK178" t="e">
        <f>AND(#REF!,"AAAAAHp/Pow=")</f>
        <v>#REF!</v>
      </c>
      <c r="EL178" t="e">
        <f>AND(#REF!,"AAAAAHp/Po0=")</f>
        <v>#REF!</v>
      </c>
      <c r="EM178" t="e">
        <f>AND(#REF!,"AAAAAHp/Po4=")</f>
        <v>#REF!</v>
      </c>
      <c r="EN178" t="e">
        <f>AND(#REF!,"AAAAAHp/Po8=")</f>
        <v>#REF!</v>
      </c>
      <c r="EO178" t="e">
        <f>AND(#REF!,"AAAAAHp/PpA=")</f>
        <v>#REF!</v>
      </c>
      <c r="EP178" t="e">
        <f>AND(#REF!,"AAAAAHp/PpE=")</f>
        <v>#REF!</v>
      </c>
      <c r="EQ178" t="e">
        <f>AND(#REF!,"AAAAAHp/PpI=")</f>
        <v>#REF!</v>
      </c>
      <c r="ER178" t="e">
        <f>AND(#REF!,"AAAAAHp/PpM=")</f>
        <v>#REF!</v>
      </c>
      <c r="ES178" t="e">
        <f>AND(#REF!,"AAAAAHp/PpQ=")</f>
        <v>#REF!</v>
      </c>
      <c r="ET178" t="e">
        <f>AND(#REF!,"AAAAAHp/PpU=")</f>
        <v>#REF!</v>
      </c>
      <c r="EU178" t="e">
        <f>AND(#REF!,"AAAAAHp/PpY=")</f>
        <v>#REF!</v>
      </c>
      <c r="EV178" t="e">
        <f>AND(#REF!,"AAAAAHp/Ppc=")</f>
        <v>#REF!</v>
      </c>
      <c r="EW178" t="e">
        <f>AND(#REF!,"AAAAAHp/Ppg=")</f>
        <v>#REF!</v>
      </c>
      <c r="EX178" t="e">
        <f>AND(#REF!,"AAAAAHp/Ppk=")</f>
        <v>#REF!</v>
      </c>
      <c r="EY178" t="e">
        <f>AND(#REF!,"AAAAAHp/Ppo=")</f>
        <v>#REF!</v>
      </c>
      <c r="EZ178" t="e">
        <f>AND(#REF!,"AAAAAHp/Pps=")</f>
        <v>#REF!</v>
      </c>
      <c r="FA178" t="e">
        <f>AND(#REF!,"AAAAAHp/Ppw=")</f>
        <v>#REF!</v>
      </c>
      <c r="FB178" t="e">
        <f>AND(#REF!,"AAAAAHp/Pp0=")</f>
        <v>#REF!</v>
      </c>
      <c r="FC178" t="e">
        <f>AND(#REF!,"AAAAAHp/Pp4=")</f>
        <v>#REF!</v>
      </c>
      <c r="FD178" t="e">
        <f>AND(#REF!,"AAAAAHp/Pp8=")</f>
        <v>#REF!</v>
      </c>
      <c r="FE178" t="e">
        <f>AND(#REF!,"AAAAAHp/PqA=")</f>
        <v>#REF!</v>
      </c>
      <c r="FF178" t="e">
        <f>AND(#REF!,"AAAAAHp/PqE=")</f>
        <v>#REF!</v>
      </c>
      <c r="FG178" t="e">
        <f>AND(#REF!,"AAAAAHp/PqI=")</f>
        <v>#REF!</v>
      </c>
      <c r="FH178" t="e">
        <f>AND(#REF!,"AAAAAHp/PqM=")</f>
        <v>#REF!</v>
      </c>
      <c r="FI178" t="e">
        <f>AND(#REF!,"AAAAAHp/PqQ=")</f>
        <v>#REF!</v>
      </c>
      <c r="FJ178" t="e">
        <f>AND(#REF!,"AAAAAHp/PqU=")</f>
        <v>#REF!</v>
      </c>
      <c r="FK178" t="e">
        <f>AND(#REF!,"AAAAAHp/PqY=")</f>
        <v>#REF!</v>
      </c>
      <c r="FL178" t="e">
        <f>AND(#REF!,"AAAAAHp/Pqc=")</f>
        <v>#REF!</v>
      </c>
      <c r="FM178" t="e">
        <f>AND(#REF!,"AAAAAHp/Pqg=")</f>
        <v>#REF!</v>
      </c>
      <c r="FN178" t="e">
        <f>AND(#REF!,"AAAAAHp/Pqk=")</f>
        <v>#REF!</v>
      </c>
      <c r="FO178" t="e">
        <f>AND(#REF!,"AAAAAHp/Pqo=")</f>
        <v>#REF!</v>
      </c>
      <c r="FP178" t="e">
        <f>AND(#REF!,"AAAAAHp/Pqs=")</f>
        <v>#REF!</v>
      </c>
      <c r="FQ178" t="e">
        <f>AND(#REF!,"AAAAAHp/Pqw=")</f>
        <v>#REF!</v>
      </c>
      <c r="FR178" t="e">
        <f>AND(#REF!,"AAAAAHp/Pq0=")</f>
        <v>#REF!</v>
      </c>
      <c r="FS178" t="e">
        <f>AND(#REF!,"AAAAAHp/Pq4=")</f>
        <v>#REF!</v>
      </c>
      <c r="FT178" t="e">
        <f>AND(#REF!,"AAAAAHp/Pq8=")</f>
        <v>#REF!</v>
      </c>
      <c r="FU178" t="e">
        <f>AND(#REF!,"AAAAAHp/PrA=")</f>
        <v>#REF!</v>
      </c>
      <c r="FV178" t="e">
        <f>AND(#REF!,"AAAAAHp/PrE=")</f>
        <v>#REF!</v>
      </c>
      <c r="FW178" t="e">
        <f>AND(#REF!,"AAAAAHp/PrI=")</f>
        <v>#REF!</v>
      </c>
      <c r="FX178" t="e">
        <f>AND(#REF!,"AAAAAHp/PrM=")</f>
        <v>#REF!</v>
      </c>
      <c r="FY178" t="e">
        <f>AND(#REF!,"AAAAAHp/PrQ=")</f>
        <v>#REF!</v>
      </c>
      <c r="FZ178" t="e">
        <f>AND(#REF!,"AAAAAHp/PrU=")</f>
        <v>#REF!</v>
      </c>
      <c r="GA178" t="e">
        <f>AND(#REF!,"AAAAAHp/PrY=")</f>
        <v>#REF!</v>
      </c>
      <c r="GB178" t="e">
        <f>AND(#REF!,"AAAAAHp/Prc=")</f>
        <v>#REF!</v>
      </c>
      <c r="GC178" t="e">
        <f>AND(#REF!,"AAAAAHp/Prg=")</f>
        <v>#REF!</v>
      </c>
      <c r="GD178" t="e">
        <f>AND(#REF!,"AAAAAHp/Prk=")</f>
        <v>#REF!</v>
      </c>
      <c r="GE178" t="e">
        <f>AND(#REF!,"AAAAAHp/Pro=")</f>
        <v>#REF!</v>
      </c>
      <c r="GF178" t="e">
        <f>AND(#REF!,"AAAAAHp/Prs=")</f>
        <v>#REF!</v>
      </c>
      <c r="GG178" t="e">
        <f>AND(#REF!,"AAAAAHp/Prw=")</f>
        <v>#REF!</v>
      </c>
      <c r="GH178" t="e">
        <f>AND(#REF!,"AAAAAHp/Pr0=")</f>
        <v>#REF!</v>
      </c>
      <c r="GI178" t="e">
        <f>AND(#REF!,"AAAAAHp/Pr4=")</f>
        <v>#REF!</v>
      </c>
      <c r="GJ178" t="e">
        <f>AND(#REF!,"AAAAAHp/Pr8=")</f>
        <v>#REF!</v>
      </c>
      <c r="GK178" t="e">
        <f>AND(#REF!,"AAAAAHp/PsA=")</f>
        <v>#REF!</v>
      </c>
      <c r="GL178" t="e">
        <f>IF(#REF!,"AAAAAHp/PsE=",0)</f>
        <v>#REF!</v>
      </c>
      <c r="GM178" t="e">
        <f>AND(#REF!,"AAAAAHp/PsI=")</f>
        <v>#REF!</v>
      </c>
      <c r="GN178" t="e">
        <f>AND(#REF!,"AAAAAHp/PsM=")</f>
        <v>#REF!</v>
      </c>
      <c r="GO178" t="e">
        <f>AND(#REF!,"AAAAAHp/PsQ=")</f>
        <v>#REF!</v>
      </c>
      <c r="GP178" t="e">
        <f>AND(#REF!,"AAAAAHp/PsU=")</f>
        <v>#REF!</v>
      </c>
      <c r="GQ178" t="e">
        <f>AND(#REF!,"AAAAAHp/PsY=")</f>
        <v>#REF!</v>
      </c>
      <c r="GR178" t="e">
        <f>AND(#REF!,"AAAAAHp/Psc=")</f>
        <v>#REF!</v>
      </c>
      <c r="GS178" t="e">
        <f>AND(#REF!,"AAAAAHp/Psg=")</f>
        <v>#REF!</v>
      </c>
      <c r="GT178" t="e">
        <f>AND(#REF!,"AAAAAHp/Psk=")</f>
        <v>#REF!</v>
      </c>
      <c r="GU178" t="e">
        <f>AND(#REF!,"AAAAAHp/Pso=")</f>
        <v>#REF!</v>
      </c>
      <c r="GV178" t="e">
        <f>AND(#REF!,"AAAAAHp/Pss=")</f>
        <v>#REF!</v>
      </c>
      <c r="GW178" t="e">
        <f>AND(#REF!,"AAAAAHp/Psw=")</f>
        <v>#REF!</v>
      </c>
      <c r="GX178" t="e">
        <f>AND(#REF!,"AAAAAHp/Ps0=")</f>
        <v>#REF!</v>
      </c>
      <c r="GY178" t="e">
        <f>AND(#REF!,"AAAAAHp/Ps4=")</f>
        <v>#REF!</v>
      </c>
      <c r="GZ178" t="e">
        <f>AND(#REF!,"AAAAAHp/Ps8=")</f>
        <v>#REF!</v>
      </c>
      <c r="HA178" t="e">
        <f>AND(#REF!,"AAAAAHp/PtA=")</f>
        <v>#REF!</v>
      </c>
      <c r="HB178" t="e">
        <f>AND(#REF!,"AAAAAHp/PtE=")</f>
        <v>#REF!</v>
      </c>
      <c r="HC178" t="e">
        <f>AND(#REF!,"AAAAAHp/PtI=")</f>
        <v>#REF!</v>
      </c>
      <c r="HD178" t="e">
        <f>AND(#REF!,"AAAAAHp/PtM=")</f>
        <v>#REF!</v>
      </c>
      <c r="HE178" t="e">
        <f>AND(#REF!,"AAAAAHp/PtQ=")</f>
        <v>#REF!</v>
      </c>
      <c r="HF178" t="e">
        <f>AND(#REF!,"AAAAAHp/PtU=")</f>
        <v>#REF!</v>
      </c>
      <c r="HG178" t="e">
        <f>AND(#REF!,"AAAAAHp/PtY=")</f>
        <v>#REF!</v>
      </c>
      <c r="HH178" t="e">
        <f>AND(#REF!,"AAAAAHp/Ptc=")</f>
        <v>#REF!</v>
      </c>
      <c r="HI178" t="e">
        <f>AND(#REF!,"AAAAAHp/Ptg=")</f>
        <v>#REF!</v>
      </c>
      <c r="HJ178" t="e">
        <f>AND(#REF!,"AAAAAHp/Ptk=")</f>
        <v>#REF!</v>
      </c>
      <c r="HK178" t="e">
        <f>AND(#REF!,"AAAAAHp/Pto=")</f>
        <v>#REF!</v>
      </c>
      <c r="HL178" t="e">
        <f>AND(#REF!,"AAAAAHp/Pts=")</f>
        <v>#REF!</v>
      </c>
      <c r="HM178" t="e">
        <f>AND(#REF!,"AAAAAHp/Ptw=")</f>
        <v>#REF!</v>
      </c>
      <c r="HN178" t="e">
        <f>AND(#REF!,"AAAAAHp/Pt0=")</f>
        <v>#REF!</v>
      </c>
      <c r="HO178" t="e">
        <f>AND(#REF!,"AAAAAHp/Pt4=")</f>
        <v>#REF!</v>
      </c>
      <c r="HP178" t="e">
        <f>AND(#REF!,"AAAAAHp/Pt8=")</f>
        <v>#REF!</v>
      </c>
      <c r="HQ178" t="e">
        <f>AND(#REF!,"AAAAAHp/PuA=")</f>
        <v>#REF!</v>
      </c>
      <c r="HR178" t="e">
        <f>AND(#REF!,"AAAAAHp/PuE=")</f>
        <v>#REF!</v>
      </c>
      <c r="HS178" t="e">
        <f>AND(#REF!,"AAAAAHp/PuI=")</f>
        <v>#REF!</v>
      </c>
      <c r="HT178" t="e">
        <f>AND(#REF!,"AAAAAHp/PuM=")</f>
        <v>#REF!</v>
      </c>
      <c r="HU178" t="e">
        <f>AND(#REF!,"AAAAAHp/PuQ=")</f>
        <v>#REF!</v>
      </c>
      <c r="HV178" t="e">
        <f>AND(#REF!,"AAAAAHp/PuU=")</f>
        <v>#REF!</v>
      </c>
      <c r="HW178" t="e">
        <f>AND(#REF!,"AAAAAHp/PuY=")</f>
        <v>#REF!</v>
      </c>
      <c r="HX178" t="e">
        <f>AND(#REF!,"AAAAAHp/Puc=")</f>
        <v>#REF!</v>
      </c>
      <c r="HY178" t="e">
        <f>AND(#REF!,"AAAAAHp/Pug=")</f>
        <v>#REF!</v>
      </c>
      <c r="HZ178" t="e">
        <f>AND(#REF!,"AAAAAHp/Puk=")</f>
        <v>#REF!</v>
      </c>
      <c r="IA178" t="e">
        <f>AND(#REF!,"AAAAAHp/Puo=")</f>
        <v>#REF!</v>
      </c>
      <c r="IB178" t="e">
        <f>AND(#REF!,"AAAAAHp/Pus=")</f>
        <v>#REF!</v>
      </c>
      <c r="IC178" t="e">
        <f>AND(#REF!,"AAAAAHp/Puw=")</f>
        <v>#REF!</v>
      </c>
      <c r="ID178" t="e">
        <f>AND(#REF!,"AAAAAHp/Pu0=")</f>
        <v>#REF!</v>
      </c>
      <c r="IE178" t="e">
        <f>AND(#REF!,"AAAAAHp/Pu4=")</f>
        <v>#REF!</v>
      </c>
      <c r="IF178" t="e">
        <f>AND(#REF!,"AAAAAHp/Pu8=")</f>
        <v>#REF!</v>
      </c>
      <c r="IG178" t="e">
        <f>AND(#REF!,"AAAAAHp/PvA=")</f>
        <v>#REF!</v>
      </c>
      <c r="IH178" t="e">
        <f>AND(#REF!,"AAAAAHp/PvE=")</f>
        <v>#REF!</v>
      </c>
      <c r="II178" t="e">
        <f>AND(#REF!,"AAAAAHp/PvI=")</f>
        <v>#REF!</v>
      </c>
      <c r="IJ178" t="e">
        <f>AND(#REF!,"AAAAAHp/PvM=")</f>
        <v>#REF!</v>
      </c>
      <c r="IK178" t="e">
        <f>AND(#REF!,"AAAAAHp/PvQ=")</f>
        <v>#REF!</v>
      </c>
      <c r="IL178" t="e">
        <f>AND(#REF!,"AAAAAHp/PvU=")</f>
        <v>#REF!</v>
      </c>
      <c r="IM178" t="e">
        <f>AND(#REF!,"AAAAAHp/PvY=")</f>
        <v>#REF!</v>
      </c>
      <c r="IN178" t="e">
        <f>AND(#REF!,"AAAAAHp/Pvc=")</f>
        <v>#REF!</v>
      </c>
      <c r="IO178" t="e">
        <f>AND(#REF!,"AAAAAHp/Pvg=")</f>
        <v>#REF!</v>
      </c>
      <c r="IP178" t="e">
        <f>AND(#REF!,"AAAAAHp/Pvk=")</f>
        <v>#REF!</v>
      </c>
      <c r="IQ178" t="e">
        <f>AND(#REF!,"AAAAAHp/Pvo=")</f>
        <v>#REF!</v>
      </c>
      <c r="IR178" t="e">
        <f>AND(#REF!,"AAAAAHp/Pvs=")</f>
        <v>#REF!</v>
      </c>
      <c r="IS178" t="e">
        <f>AND(#REF!,"AAAAAHp/Pvw=")</f>
        <v>#REF!</v>
      </c>
      <c r="IT178" t="e">
        <f>AND(#REF!,"AAAAAHp/Pv0=")</f>
        <v>#REF!</v>
      </c>
      <c r="IU178" t="e">
        <f>AND(#REF!,"AAAAAHp/Pv4=")</f>
        <v>#REF!</v>
      </c>
      <c r="IV178" t="e">
        <f>AND(#REF!,"AAAAAHp/Pv8=")</f>
        <v>#REF!</v>
      </c>
    </row>
    <row r="179" spans="1:256" x14ac:dyDescent="0.25">
      <c r="A179" t="e">
        <f>AND(#REF!,"AAAAAD5r+gA=")</f>
        <v>#REF!</v>
      </c>
      <c r="B179" t="e">
        <f>AND(#REF!,"AAAAAD5r+gE=")</f>
        <v>#REF!</v>
      </c>
      <c r="C179" t="e">
        <f>AND(#REF!,"AAAAAD5r+gI=")</f>
        <v>#REF!</v>
      </c>
      <c r="D179" t="e">
        <f>AND(#REF!,"AAAAAD5r+gM=")</f>
        <v>#REF!</v>
      </c>
      <c r="E179" t="e">
        <f>AND(#REF!,"AAAAAD5r+gQ=")</f>
        <v>#REF!</v>
      </c>
      <c r="F179" t="e">
        <f>AND(#REF!,"AAAAAD5r+gU=")</f>
        <v>#REF!</v>
      </c>
      <c r="G179" t="e">
        <f>AND(#REF!,"AAAAAD5r+gY=")</f>
        <v>#REF!</v>
      </c>
      <c r="H179" t="e">
        <f>AND(#REF!,"AAAAAD5r+gc=")</f>
        <v>#REF!</v>
      </c>
      <c r="I179" t="e">
        <f>AND(#REF!,"AAAAAD5r+gg=")</f>
        <v>#REF!</v>
      </c>
      <c r="J179" t="e">
        <f>AND(#REF!,"AAAAAD5r+gk=")</f>
        <v>#REF!</v>
      </c>
      <c r="K179" t="e">
        <f>AND(#REF!,"AAAAAD5r+go=")</f>
        <v>#REF!</v>
      </c>
      <c r="L179" t="e">
        <f>AND(#REF!,"AAAAAD5r+gs=")</f>
        <v>#REF!</v>
      </c>
      <c r="M179" t="e">
        <f>AND(#REF!,"AAAAAD5r+gw=")</f>
        <v>#REF!</v>
      </c>
      <c r="N179" t="e">
        <f>AND(#REF!,"AAAAAD5r+g0=")</f>
        <v>#REF!</v>
      </c>
      <c r="O179" t="e">
        <f>AND(#REF!,"AAAAAD5r+g4=")</f>
        <v>#REF!</v>
      </c>
      <c r="P179" t="e">
        <f>AND(#REF!,"AAAAAD5r+g8=")</f>
        <v>#REF!</v>
      </c>
      <c r="Q179" t="e">
        <f>AND(#REF!,"AAAAAD5r+hA=")</f>
        <v>#REF!</v>
      </c>
      <c r="R179" t="e">
        <f>AND(#REF!,"AAAAAD5r+hE=")</f>
        <v>#REF!</v>
      </c>
      <c r="S179" t="e">
        <f>AND(#REF!,"AAAAAD5r+hI=")</f>
        <v>#REF!</v>
      </c>
      <c r="T179" t="e">
        <f>AND(#REF!,"AAAAAD5r+hM=")</f>
        <v>#REF!</v>
      </c>
      <c r="U179" t="e">
        <f>AND(#REF!,"AAAAAD5r+hQ=")</f>
        <v>#REF!</v>
      </c>
      <c r="V179" t="e">
        <f>AND(#REF!,"AAAAAD5r+hU=")</f>
        <v>#REF!</v>
      </c>
      <c r="W179" t="e">
        <f>AND(#REF!,"AAAAAD5r+hY=")</f>
        <v>#REF!</v>
      </c>
      <c r="X179" t="e">
        <f>AND(#REF!,"AAAAAD5r+hc=")</f>
        <v>#REF!</v>
      </c>
      <c r="Y179" t="e">
        <f>AND(#REF!,"AAAAAD5r+hg=")</f>
        <v>#REF!</v>
      </c>
      <c r="Z179" t="e">
        <f>AND(#REF!,"AAAAAD5r+hk=")</f>
        <v>#REF!</v>
      </c>
      <c r="AA179" t="e">
        <f>AND(#REF!,"AAAAAD5r+ho=")</f>
        <v>#REF!</v>
      </c>
      <c r="AB179" t="e">
        <f>AND(#REF!,"AAAAAD5r+hs=")</f>
        <v>#REF!</v>
      </c>
      <c r="AC179" t="e">
        <f>AND(#REF!,"AAAAAD5r+hw=")</f>
        <v>#REF!</v>
      </c>
      <c r="AD179" t="e">
        <f>AND(#REF!,"AAAAAD5r+h0=")</f>
        <v>#REF!</v>
      </c>
      <c r="AE179" t="e">
        <f>AND(#REF!,"AAAAAD5r+h4=")</f>
        <v>#REF!</v>
      </c>
      <c r="AF179" t="e">
        <f>AND(#REF!,"AAAAAD5r+h8=")</f>
        <v>#REF!</v>
      </c>
      <c r="AG179" t="e">
        <f>AND(#REF!,"AAAAAD5r+iA=")</f>
        <v>#REF!</v>
      </c>
      <c r="AH179" t="e">
        <f>AND(#REF!,"AAAAAD5r+iE=")</f>
        <v>#REF!</v>
      </c>
      <c r="AI179" t="e">
        <f>AND(#REF!,"AAAAAD5r+iI=")</f>
        <v>#REF!</v>
      </c>
      <c r="AJ179" t="e">
        <f>AND(#REF!,"AAAAAD5r+iM=")</f>
        <v>#REF!</v>
      </c>
      <c r="AK179" t="e">
        <f>AND(#REF!,"AAAAAD5r+iQ=")</f>
        <v>#REF!</v>
      </c>
      <c r="AL179" t="e">
        <f>AND(#REF!,"AAAAAD5r+iU=")</f>
        <v>#REF!</v>
      </c>
      <c r="AM179" t="e">
        <f>AND(#REF!,"AAAAAD5r+iY=")</f>
        <v>#REF!</v>
      </c>
      <c r="AN179" t="e">
        <f>AND(#REF!,"AAAAAD5r+ic=")</f>
        <v>#REF!</v>
      </c>
      <c r="AO179" t="e">
        <f>AND(#REF!,"AAAAAD5r+ig=")</f>
        <v>#REF!</v>
      </c>
      <c r="AP179" t="e">
        <f>AND(#REF!,"AAAAAD5r+ik=")</f>
        <v>#REF!</v>
      </c>
      <c r="AQ179" t="e">
        <f>AND(#REF!,"AAAAAD5r+io=")</f>
        <v>#REF!</v>
      </c>
      <c r="AR179" t="e">
        <f>AND(#REF!,"AAAAAD5r+is=")</f>
        <v>#REF!</v>
      </c>
      <c r="AS179" t="e">
        <f>AND(#REF!,"AAAAAD5r+iw=")</f>
        <v>#REF!</v>
      </c>
      <c r="AT179" t="e">
        <f>AND(#REF!,"AAAAAD5r+i0=")</f>
        <v>#REF!</v>
      </c>
      <c r="AU179" t="e">
        <f>AND(#REF!,"AAAAAD5r+i4=")</f>
        <v>#REF!</v>
      </c>
      <c r="AV179" t="e">
        <f>AND(#REF!,"AAAAAD5r+i8=")</f>
        <v>#REF!</v>
      </c>
      <c r="AW179" t="e">
        <f>AND(#REF!,"AAAAAD5r+jA=")</f>
        <v>#REF!</v>
      </c>
      <c r="AX179" t="e">
        <f>AND(#REF!,"AAAAAD5r+jE=")</f>
        <v>#REF!</v>
      </c>
      <c r="AY179" t="e">
        <f>AND(#REF!,"AAAAAD5r+jI=")</f>
        <v>#REF!</v>
      </c>
      <c r="AZ179" t="e">
        <f>AND(#REF!,"AAAAAD5r+jM=")</f>
        <v>#REF!</v>
      </c>
      <c r="BA179" t="e">
        <f>AND(#REF!,"AAAAAD5r+jQ=")</f>
        <v>#REF!</v>
      </c>
      <c r="BB179" t="e">
        <f>AND(#REF!,"AAAAAD5r+jU=")</f>
        <v>#REF!</v>
      </c>
      <c r="BC179" t="e">
        <f>AND(#REF!,"AAAAAD5r+jY=")</f>
        <v>#REF!</v>
      </c>
      <c r="BD179" t="e">
        <f>AND(#REF!,"AAAAAD5r+jc=")</f>
        <v>#REF!</v>
      </c>
      <c r="BE179" t="e">
        <f>AND(#REF!,"AAAAAD5r+jg=")</f>
        <v>#REF!</v>
      </c>
      <c r="BF179" t="e">
        <f>AND(#REF!,"AAAAAD5r+jk=")</f>
        <v>#REF!</v>
      </c>
      <c r="BG179" t="e">
        <f>AND(#REF!,"AAAAAD5r+jo=")</f>
        <v>#REF!</v>
      </c>
      <c r="BH179" t="e">
        <f>AND(#REF!,"AAAAAD5r+js=")</f>
        <v>#REF!</v>
      </c>
      <c r="BI179" t="e">
        <f>AND(#REF!,"AAAAAD5r+jw=")</f>
        <v>#REF!</v>
      </c>
      <c r="BJ179" t="e">
        <f>AND(#REF!,"AAAAAD5r+j0=")</f>
        <v>#REF!</v>
      </c>
      <c r="BK179" t="e">
        <f>AND(#REF!,"AAAAAD5r+j4=")</f>
        <v>#REF!</v>
      </c>
      <c r="BL179" t="e">
        <f>AND(#REF!,"AAAAAD5r+j8=")</f>
        <v>#REF!</v>
      </c>
      <c r="BM179" t="e">
        <f>AND(#REF!,"AAAAAD5r+kA=")</f>
        <v>#REF!</v>
      </c>
      <c r="BN179" t="e">
        <f>AND(#REF!,"AAAAAD5r+kE=")</f>
        <v>#REF!</v>
      </c>
      <c r="BO179" t="e">
        <f>AND(#REF!,"AAAAAD5r+kI=")</f>
        <v>#REF!</v>
      </c>
      <c r="BP179" t="e">
        <f>AND(#REF!,"AAAAAD5r+kM=")</f>
        <v>#REF!</v>
      </c>
      <c r="BQ179" t="e">
        <f>AND(#REF!,"AAAAAD5r+kQ=")</f>
        <v>#REF!</v>
      </c>
      <c r="BR179" t="e">
        <f>AND(#REF!,"AAAAAD5r+kU=")</f>
        <v>#REF!</v>
      </c>
      <c r="BS179" t="e">
        <f>AND(#REF!,"AAAAAD5r+kY=")</f>
        <v>#REF!</v>
      </c>
      <c r="BT179" t="e">
        <f>AND(#REF!,"AAAAAD5r+kc=")</f>
        <v>#REF!</v>
      </c>
      <c r="BU179" t="e">
        <f>AND(#REF!,"AAAAAD5r+kg=")</f>
        <v>#REF!</v>
      </c>
      <c r="BV179" t="e">
        <f>AND(#REF!,"AAAAAD5r+kk=")</f>
        <v>#REF!</v>
      </c>
      <c r="BW179" t="e">
        <f>AND(#REF!,"AAAAAD5r+ko=")</f>
        <v>#REF!</v>
      </c>
      <c r="BX179" t="e">
        <f>AND(#REF!,"AAAAAD5r+ks=")</f>
        <v>#REF!</v>
      </c>
      <c r="BY179" t="e">
        <f>AND(#REF!,"AAAAAD5r+kw=")</f>
        <v>#REF!</v>
      </c>
      <c r="BZ179" t="e">
        <f>AND(#REF!,"AAAAAD5r+k0=")</f>
        <v>#REF!</v>
      </c>
      <c r="CA179" t="e">
        <f>AND(#REF!,"AAAAAD5r+k4=")</f>
        <v>#REF!</v>
      </c>
      <c r="CB179" t="e">
        <f>AND(#REF!,"AAAAAD5r+k8=")</f>
        <v>#REF!</v>
      </c>
      <c r="CC179" t="e">
        <f>AND(#REF!,"AAAAAD5r+lA=")</f>
        <v>#REF!</v>
      </c>
      <c r="CD179" t="e">
        <f>AND(#REF!,"AAAAAD5r+lE=")</f>
        <v>#REF!</v>
      </c>
      <c r="CE179" t="e">
        <f>AND(#REF!,"AAAAAD5r+lI=")</f>
        <v>#REF!</v>
      </c>
      <c r="CF179" t="e">
        <f>AND(#REF!,"AAAAAD5r+lM=")</f>
        <v>#REF!</v>
      </c>
      <c r="CG179" t="e">
        <f>AND(#REF!,"AAAAAD5r+lQ=")</f>
        <v>#REF!</v>
      </c>
      <c r="CH179" t="e">
        <f>AND(#REF!,"AAAAAD5r+lU=")</f>
        <v>#REF!</v>
      </c>
      <c r="CI179" t="e">
        <f>AND(#REF!,"AAAAAD5r+lY=")</f>
        <v>#REF!</v>
      </c>
      <c r="CJ179" t="e">
        <f>AND(#REF!,"AAAAAD5r+lc=")</f>
        <v>#REF!</v>
      </c>
      <c r="CK179" t="e">
        <f>AND(#REF!,"AAAAAD5r+lg=")</f>
        <v>#REF!</v>
      </c>
      <c r="CL179" t="e">
        <f>AND(#REF!,"AAAAAD5r+lk=")</f>
        <v>#REF!</v>
      </c>
      <c r="CM179" t="e">
        <f>AND(#REF!,"AAAAAD5r+lo=")</f>
        <v>#REF!</v>
      </c>
      <c r="CN179" t="e">
        <f>AND(#REF!,"AAAAAD5r+ls=")</f>
        <v>#REF!</v>
      </c>
      <c r="CO179" t="e">
        <f>AND(#REF!,"AAAAAD5r+lw=")</f>
        <v>#REF!</v>
      </c>
      <c r="CP179" t="e">
        <f>AND(#REF!,"AAAAAD5r+l0=")</f>
        <v>#REF!</v>
      </c>
      <c r="CQ179" t="e">
        <f>AND(#REF!,"AAAAAD5r+l4=")</f>
        <v>#REF!</v>
      </c>
      <c r="CR179" t="e">
        <f>AND(#REF!,"AAAAAD5r+l8=")</f>
        <v>#REF!</v>
      </c>
      <c r="CS179" t="e">
        <f>AND(#REF!,"AAAAAD5r+mA=")</f>
        <v>#REF!</v>
      </c>
      <c r="CT179" t="e">
        <f>AND(#REF!,"AAAAAD5r+mE=")</f>
        <v>#REF!</v>
      </c>
      <c r="CU179" t="e">
        <f>AND(#REF!,"AAAAAD5r+mI=")</f>
        <v>#REF!</v>
      </c>
      <c r="CV179" t="e">
        <f>AND(#REF!,"AAAAAD5r+mM=")</f>
        <v>#REF!</v>
      </c>
      <c r="CW179" t="e">
        <f>AND(#REF!,"AAAAAD5r+mQ=")</f>
        <v>#REF!</v>
      </c>
      <c r="CX179" t="e">
        <f>AND(#REF!,"AAAAAD5r+mU=")</f>
        <v>#REF!</v>
      </c>
      <c r="CY179" t="e">
        <f>AND(#REF!,"AAAAAD5r+mY=")</f>
        <v>#REF!</v>
      </c>
      <c r="CZ179" t="e">
        <f>AND(#REF!,"AAAAAD5r+mc=")</f>
        <v>#REF!</v>
      </c>
      <c r="DA179" t="e">
        <f>AND(#REF!,"AAAAAD5r+mg=")</f>
        <v>#REF!</v>
      </c>
      <c r="DB179" t="e">
        <f>AND(#REF!,"AAAAAD5r+mk=")</f>
        <v>#REF!</v>
      </c>
      <c r="DC179" t="e">
        <f>AND(#REF!,"AAAAAD5r+mo=")</f>
        <v>#REF!</v>
      </c>
      <c r="DD179" t="e">
        <f>AND(#REF!,"AAAAAD5r+ms=")</f>
        <v>#REF!</v>
      </c>
      <c r="DE179" t="e">
        <f>AND(#REF!,"AAAAAD5r+mw=")</f>
        <v>#REF!</v>
      </c>
      <c r="DF179" t="e">
        <f>AND(#REF!,"AAAAAD5r+m0=")</f>
        <v>#REF!</v>
      </c>
      <c r="DG179" t="e">
        <f>AND(#REF!,"AAAAAD5r+m4=")</f>
        <v>#REF!</v>
      </c>
      <c r="DH179" t="e">
        <f>AND(#REF!,"AAAAAD5r+m8=")</f>
        <v>#REF!</v>
      </c>
      <c r="DI179" t="e">
        <f>AND(#REF!,"AAAAAD5r+nA=")</f>
        <v>#REF!</v>
      </c>
      <c r="DJ179" t="e">
        <f>AND(#REF!,"AAAAAD5r+nE=")</f>
        <v>#REF!</v>
      </c>
      <c r="DK179" t="e">
        <f>AND(#REF!,"AAAAAD5r+nI=")</f>
        <v>#REF!</v>
      </c>
      <c r="DL179" t="e">
        <f>AND(#REF!,"AAAAAD5r+nM=")</f>
        <v>#REF!</v>
      </c>
      <c r="DM179" t="e">
        <f>AND(#REF!,"AAAAAD5r+nQ=")</f>
        <v>#REF!</v>
      </c>
      <c r="DN179" t="e">
        <f>AND(#REF!,"AAAAAD5r+nU=")</f>
        <v>#REF!</v>
      </c>
      <c r="DO179" t="e">
        <f>AND(#REF!,"AAAAAD5r+nY=")</f>
        <v>#REF!</v>
      </c>
      <c r="DP179" t="e">
        <f>AND(#REF!,"AAAAAD5r+nc=")</f>
        <v>#REF!</v>
      </c>
      <c r="DQ179" t="e">
        <f>AND(#REF!,"AAAAAD5r+ng=")</f>
        <v>#REF!</v>
      </c>
      <c r="DR179" t="e">
        <f>AND(#REF!,"AAAAAD5r+nk=")</f>
        <v>#REF!</v>
      </c>
      <c r="DS179" t="e">
        <f>AND(#REF!,"AAAAAD5r+no=")</f>
        <v>#REF!</v>
      </c>
      <c r="DT179" t="e">
        <f>AND(#REF!,"AAAAAD5r+ns=")</f>
        <v>#REF!</v>
      </c>
      <c r="DU179" t="e">
        <f>AND(#REF!,"AAAAAD5r+nw=")</f>
        <v>#REF!</v>
      </c>
      <c r="DV179" t="e">
        <f>AND(#REF!,"AAAAAD5r+n0=")</f>
        <v>#REF!</v>
      </c>
      <c r="DW179" t="e">
        <f>IF(#REF!,"AAAAAD5r+n4=",0)</f>
        <v>#REF!</v>
      </c>
      <c r="DX179" t="e">
        <f>AND(#REF!,"AAAAAD5r+n8=")</f>
        <v>#REF!</v>
      </c>
      <c r="DY179" t="e">
        <f>AND(#REF!,"AAAAAD5r+oA=")</f>
        <v>#REF!</v>
      </c>
      <c r="DZ179" t="e">
        <f>AND(#REF!,"AAAAAD5r+oE=")</f>
        <v>#REF!</v>
      </c>
      <c r="EA179" t="e">
        <f>AND(#REF!,"AAAAAD5r+oI=")</f>
        <v>#REF!</v>
      </c>
      <c r="EB179" t="e">
        <f>AND(#REF!,"AAAAAD5r+oM=")</f>
        <v>#REF!</v>
      </c>
      <c r="EC179" t="e">
        <f>AND(#REF!,"AAAAAD5r+oQ=")</f>
        <v>#REF!</v>
      </c>
      <c r="ED179" t="e">
        <f>AND(#REF!,"AAAAAD5r+oU=")</f>
        <v>#REF!</v>
      </c>
      <c r="EE179" t="e">
        <f>AND(#REF!,"AAAAAD5r+oY=")</f>
        <v>#REF!</v>
      </c>
      <c r="EF179" t="e">
        <f>AND(#REF!,"AAAAAD5r+oc=")</f>
        <v>#REF!</v>
      </c>
      <c r="EG179" t="e">
        <f>AND(#REF!,"AAAAAD5r+og=")</f>
        <v>#REF!</v>
      </c>
      <c r="EH179" t="e">
        <f>AND(#REF!,"AAAAAD5r+ok=")</f>
        <v>#REF!</v>
      </c>
      <c r="EI179" t="e">
        <f>AND(#REF!,"AAAAAD5r+oo=")</f>
        <v>#REF!</v>
      </c>
      <c r="EJ179" t="e">
        <f>AND(#REF!,"AAAAAD5r+os=")</f>
        <v>#REF!</v>
      </c>
      <c r="EK179" t="e">
        <f>AND(#REF!,"AAAAAD5r+ow=")</f>
        <v>#REF!</v>
      </c>
      <c r="EL179" t="e">
        <f>AND(#REF!,"AAAAAD5r+o0=")</f>
        <v>#REF!</v>
      </c>
      <c r="EM179" t="e">
        <f>AND(#REF!,"AAAAAD5r+o4=")</f>
        <v>#REF!</v>
      </c>
      <c r="EN179" t="e">
        <f>AND(#REF!,"AAAAAD5r+o8=")</f>
        <v>#REF!</v>
      </c>
      <c r="EO179" t="e">
        <f>AND(#REF!,"AAAAAD5r+pA=")</f>
        <v>#REF!</v>
      </c>
      <c r="EP179" t="e">
        <f>AND(#REF!,"AAAAAD5r+pE=")</f>
        <v>#REF!</v>
      </c>
      <c r="EQ179" t="e">
        <f>AND(#REF!,"AAAAAD5r+pI=")</f>
        <v>#REF!</v>
      </c>
      <c r="ER179" t="e">
        <f>AND(#REF!,"AAAAAD5r+pM=")</f>
        <v>#REF!</v>
      </c>
      <c r="ES179" t="e">
        <f>AND(#REF!,"AAAAAD5r+pQ=")</f>
        <v>#REF!</v>
      </c>
      <c r="ET179" t="e">
        <f>AND(#REF!,"AAAAAD5r+pU=")</f>
        <v>#REF!</v>
      </c>
      <c r="EU179" t="e">
        <f>AND(#REF!,"AAAAAD5r+pY=")</f>
        <v>#REF!</v>
      </c>
      <c r="EV179" t="e">
        <f>AND(#REF!,"AAAAAD5r+pc=")</f>
        <v>#REF!</v>
      </c>
      <c r="EW179" t="e">
        <f>AND(#REF!,"AAAAAD5r+pg=")</f>
        <v>#REF!</v>
      </c>
      <c r="EX179" t="e">
        <f>AND(#REF!,"AAAAAD5r+pk=")</f>
        <v>#REF!</v>
      </c>
      <c r="EY179" t="e">
        <f>AND(#REF!,"AAAAAD5r+po=")</f>
        <v>#REF!</v>
      </c>
      <c r="EZ179" t="e">
        <f>AND(#REF!,"AAAAAD5r+ps=")</f>
        <v>#REF!</v>
      </c>
      <c r="FA179" t="e">
        <f>AND(#REF!,"AAAAAD5r+pw=")</f>
        <v>#REF!</v>
      </c>
      <c r="FB179" t="e">
        <f>AND(#REF!,"AAAAAD5r+p0=")</f>
        <v>#REF!</v>
      </c>
      <c r="FC179" t="e">
        <f>AND(#REF!,"AAAAAD5r+p4=")</f>
        <v>#REF!</v>
      </c>
      <c r="FD179" t="e">
        <f>AND(#REF!,"AAAAAD5r+p8=")</f>
        <v>#REF!</v>
      </c>
      <c r="FE179" t="e">
        <f>AND(#REF!,"AAAAAD5r+qA=")</f>
        <v>#REF!</v>
      </c>
      <c r="FF179" t="e">
        <f>AND(#REF!,"AAAAAD5r+qE=")</f>
        <v>#REF!</v>
      </c>
      <c r="FG179" t="e">
        <f>AND(#REF!,"AAAAAD5r+qI=")</f>
        <v>#REF!</v>
      </c>
      <c r="FH179" t="e">
        <f>AND(#REF!,"AAAAAD5r+qM=")</f>
        <v>#REF!</v>
      </c>
      <c r="FI179" t="e">
        <f>AND(#REF!,"AAAAAD5r+qQ=")</f>
        <v>#REF!</v>
      </c>
      <c r="FJ179" t="e">
        <f>AND(#REF!,"AAAAAD5r+qU=")</f>
        <v>#REF!</v>
      </c>
      <c r="FK179" t="e">
        <f>AND(#REF!,"AAAAAD5r+qY=")</f>
        <v>#REF!</v>
      </c>
      <c r="FL179" t="e">
        <f>AND(#REF!,"AAAAAD5r+qc=")</f>
        <v>#REF!</v>
      </c>
      <c r="FM179" t="e">
        <f>AND(#REF!,"AAAAAD5r+qg=")</f>
        <v>#REF!</v>
      </c>
      <c r="FN179" t="e">
        <f>AND(#REF!,"AAAAAD5r+qk=")</f>
        <v>#REF!</v>
      </c>
      <c r="FO179" t="e">
        <f>AND(#REF!,"AAAAAD5r+qo=")</f>
        <v>#REF!</v>
      </c>
      <c r="FP179" t="e">
        <f>AND(#REF!,"AAAAAD5r+qs=")</f>
        <v>#REF!</v>
      </c>
      <c r="FQ179" t="e">
        <f>AND(#REF!,"AAAAAD5r+qw=")</f>
        <v>#REF!</v>
      </c>
      <c r="FR179" t="e">
        <f>AND(#REF!,"AAAAAD5r+q0=")</f>
        <v>#REF!</v>
      </c>
      <c r="FS179" t="e">
        <f>AND(#REF!,"AAAAAD5r+q4=")</f>
        <v>#REF!</v>
      </c>
      <c r="FT179" t="e">
        <f>AND(#REF!,"AAAAAD5r+q8=")</f>
        <v>#REF!</v>
      </c>
      <c r="FU179" t="e">
        <f>AND(#REF!,"AAAAAD5r+rA=")</f>
        <v>#REF!</v>
      </c>
      <c r="FV179" t="e">
        <f>AND(#REF!,"AAAAAD5r+rE=")</f>
        <v>#REF!</v>
      </c>
      <c r="FW179" t="e">
        <f>AND(#REF!,"AAAAAD5r+rI=")</f>
        <v>#REF!</v>
      </c>
      <c r="FX179" t="e">
        <f>AND(#REF!,"AAAAAD5r+rM=")</f>
        <v>#REF!</v>
      </c>
      <c r="FY179" t="e">
        <f>AND(#REF!,"AAAAAD5r+rQ=")</f>
        <v>#REF!</v>
      </c>
      <c r="FZ179" t="e">
        <f>AND(#REF!,"AAAAAD5r+rU=")</f>
        <v>#REF!</v>
      </c>
      <c r="GA179" t="e">
        <f>AND(#REF!,"AAAAAD5r+rY=")</f>
        <v>#REF!</v>
      </c>
      <c r="GB179" t="e">
        <f>AND(#REF!,"AAAAAD5r+rc=")</f>
        <v>#REF!</v>
      </c>
      <c r="GC179" t="e">
        <f>AND(#REF!,"AAAAAD5r+rg=")</f>
        <v>#REF!</v>
      </c>
      <c r="GD179" t="e">
        <f>AND(#REF!,"AAAAAD5r+rk=")</f>
        <v>#REF!</v>
      </c>
      <c r="GE179" t="e">
        <f>AND(#REF!,"AAAAAD5r+ro=")</f>
        <v>#REF!</v>
      </c>
      <c r="GF179" t="e">
        <f>AND(#REF!,"AAAAAD5r+rs=")</f>
        <v>#REF!</v>
      </c>
      <c r="GG179" t="e">
        <f>AND(#REF!,"AAAAAD5r+rw=")</f>
        <v>#REF!</v>
      </c>
      <c r="GH179" t="e">
        <f>AND(#REF!,"AAAAAD5r+r0=")</f>
        <v>#REF!</v>
      </c>
      <c r="GI179" t="e">
        <f>AND(#REF!,"AAAAAD5r+r4=")</f>
        <v>#REF!</v>
      </c>
      <c r="GJ179" t="e">
        <f>AND(#REF!,"AAAAAD5r+r8=")</f>
        <v>#REF!</v>
      </c>
      <c r="GK179" t="e">
        <f>AND(#REF!,"AAAAAD5r+sA=")</f>
        <v>#REF!</v>
      </c>
      <c r="GL179" t="e">
        <f>AND(#REF!,"AAAAAD5r+sE=")</f>
        <v>#REF!</v>
      </c>
      <c r="GM179" t="e">
        <f>AND(#REF!,"AAAAAD5r+sI=")</f>
        <v>#REF!</v>
      </c>
      <c r="GN179" t="e">
        <f>AND(#REF!,"AAAAAD5r+sM=")</f>
        <v>#REF!</v>
      </c>
      <c r="GO179" t="e">
        <f>AND(#REF!,"AAAAAD5r+sQ=")</f>
        <v>#REF!</v>
      </c>
      <c r="GP179" t="e">
        <f>AND(#REF!,"AAAAAD5r+sU=")</f>
        <v>#REF!</v>
      </c>
      <c r="GQ179" t="e">
        <f>AND(#REF!,"AAAAAD5r+sY=")</f>
        <v>#REF!</v>
      </c>
      <c r="GR179" t="e">
        <f>AND(#REF!,"AAAAAD5r+sc=")</f>
        <v>#REF!</v>
      </c>
      <c r="GS179" t="e">
        <f>AND(#REF!,"AAAAAD5r+sg=")</f>
        <v>#REF!</v>
      </c>
      <c r="GT179" t="e">
        <f>AND(#REF!,"AAAAAD5r+sk=")</f>
        <v>#REF!</v>
      </c>
      <c r="GU179" t="e">
        <f>AND(#REF!,"AAAAAD5r+so=")</f>
        <v>#REF!</v>
      </c>
      <c r="GV179" t="e">
        <f>AND(#REF!,"AAAAAD5r+ss=")</f>
        <v>#REF!</v>
      </c>
      <c r="GW179" t="e">
        <f>AND(#REF!,"AAAAAD5r+sw=")</f>
        <v>#REF!</v>
      </c>
      <c r="GX179" t="e">
        <f>AND(#REF!,"AAAAAD5r+s0=")</f>
        <v>#REF!</v>
      </c>
      <c r="GY179" t="e">
        <f>AND(#REF!,"AAAAAD5r+s4=")</f>
        <v>#REF!</v>
      </c>
      <c r="GZ179" t="e">
        <f>AND(#REF!,"AAAAAD5r+s8=")</f>
        <v>#REF!</v>
      </c>
      <c r="HA179" t="e">
        <f>AND(#REF!,"AAAAAD5r+tA=")</f>
        <v>#REF!</v>
      </c>
      <c r="HB179" t="e">
        <f>AND(#REF!,"AAAAAD5r+tE=")</f>
        <v>#REF!</v>
      </c>
      <c r="HC179" t="e">
        <f>AND(#REF!,"AAAAAD5r+tI=")</f>
        <v>#REF!</v>
      </c>
      <c r="HD179" t="e">
        <f>AND(#REF!,"AAAAAD5r+tM=")</f>
        <v>#REF!</v>
      </c>
      <c r="HE179" t="e">
        <f>AND(#REF!,"AAAAAD5r+tQ=")</f>
        <v>#REF!</v>
      </c>
      <c r="HF179" t="e">
        <f>AND(#REF!,"AAAAAD5r+tU=")</f>
        <v>#REF!</v>
      </c>
      <c r="HG179" t="e">
        <f>AND(#REF!,"AAAAAD5r+tY=")</f>
        <v>#REF!</v>
      </c>
      <c r="HH179" t="e">
        <f>AND(#REF!,"AAAAAD5r+tc=")</f>
        <v>#REF!</v>
      </c>
      <c r="HI179" t="e">
        <f>AND(#REF!,"AAAAAD5r+tg=")</f>
        <v>#REF!</v>
      </c>
      <c r="HJ179" t="e">
        <f>AND(#REF!,"AAAAAD5r+tk=")</f>
        <v>#REF!</v>
      </c>
      <c r="HK179" t="e">
        <f>AND(#REF!,"AAAAAD5r+to=")</f>
        <v>#REF!</v>
      </c>
      <c r="HL179" t="e">
        <f>AND(#REF!,"AAAAAD5r+ts=")</f>
        <v>#REF!</v>
      </c>
      <c r="HM179" t="e">
        <f>AND(#REF!,"AAAAAD5r+tw=")</f>
        <v>#REF!</v>
      </c>
      <c r="HN179" t="e">
        <f>AND(#REF!,"AAAAAD5r+t0=")</f>
        <v>#REF!</v>
      </c>
      <c r="HO179" t="e">
        <f>AND(#REF!,"AAAAAD5r+t4=")</f>
        <v>#REF!</v>
      </c>
      <c r="HP179" t="e">
        <f>AND(#REF!,"AAAAAD5r+t8=")</f>
        <v>#REF!</v>
      </c>
      <c r="HQ179" t="e">
        <f>AND(#REF!,"AAAAAD5r+uA=")</f>
        <v>#REF!</v>
      </c>
      <c r="HR179" t="e">
        <f>AND(#REF!,"AAAAAD5r+uE=")</f>
        <v>#REF!</v>
      </c>
      <c r="HS179" t="e">
        <f>AND(#REF!,"AAAAAD5r+uI=")</f>
        <v>#REF!</v>
      </c>
      <c r="HT179" t="e">
        <f>AND(#REF!,"AAAAAD5r+uM=")</f>
        <v>#REF!</v>
      </c>
      <c r="HU179" t="e">
        <f>AND(#REF!,"AAAAAD5r+uQ=")</f>
        <v>#REF!</v>
      </c>
      <c r="HV179" t="e">
        <f>AND(#REF!,"AAAAAD5r+uU=")</f>
        <v>#REF!</v>
      </c>
      <c r="HW179" t="e">
        <f>AND(#REF!,"AAAAAD5r+uY=")</f>
        <v>#REF!</v>
      </c>
      <c r="HX179" t="e">
        <f>AND(#REF!,"AAAAAD5r+uc=")</f>
        <v>#REF!</v>
      </c>
      <c r="HY179" t="e">
        <f>AND(#REF!,"AAAAAD5r+ug=")</f>
        <v>#REF!</v>
      </c>
      <c r="HZ179" t="e">
        <f>AND(#REF!,"AAAAAD5r+uk=")</f>
        <v>#REF!</v>
      </c>
      <c r="IA179" t="e">
        <f>AND(#REF!,"AAAAAD5r+uo=")</f>
        <v>#REF!</v>
      </c>
      <c r="IB179" t="e">
        <f>AND(#REF!,"AAAAAD5r+us=")</f>
        <v>#REF!</v>
      </c>
      <c r="IC179" t="e">
        <f>AND(#REF!,"AAAAAD5r+uw=")</f>
        <v>#REF!</v>
      </c>
      <c r="ID179" t="e">
        <f>AND(#REF!,"AAAAAD5r+u0=")</f>
        <v>#REF!</v>
      </c>
      <c r="IE179" t="e">
        <f>AND(#REF!,"AAAAAD5r+u4=")</f>
        <v>#REF!</v>
      </c>
      <c r="IF179" t="e">
        <f>AND(#REF!,"AAAAAD5r+u8=")</f>
        <v>#REF!</v>
      </c>
      <c r="IG179" t="e">
        <f>AND(#REF!,"AAAAAD5r+vA=")</f>
        <v>#REF!</v>
      </c>
      <c r="IH179" t="e">
        <f>AND(#REF!,"AAAAAD5r+vE=")</f>
        <v>#REF!</v>
      </c>
      <c r="II179" t="e">
        <f>AND(#REF!,"AAAAAD5r+vI=")</f>
        <v>#REF!</v>
      </c>
      <c r="IJ179" t="e">
        <f>AND(#REF!,"AAAAAD5r+vM=")</f>
        <v>#REF!</v>
      </c>
      <c r="IK179" t="e">
        <f>AND(#REF!,"AAAAAD5r+vQ=")</f>
        <v>#REF!</v>
      </c>
      <c r="IL179" t="e">
        <f>AND(#REF!,"AAAAAD5r+vU=")</f>
        <v>#REF!</v>
      </c>
      <c r="IM179" t="e">
        <f>AND(#REF!,"AAAAAD5r+vY=")</f>
        <v>#REF!</v>
      </c>
      <c r="IN179" t="e">
        <f>AND(#REF!,"AAAAAD5r+vc=")</f>
        <v>#REF!</v>
      </c>
      <c r="IO179" t="e">
        <f>AND(#REF!,"AAAAAD5r+vg=")</f>
        <v>#REF!</v>
      </c>
      <c r="IP179" t="e">
        <f>AND(#REF!,"AAAAAD5r+vk=")</f>
        <v>#REF!</v>
      </c>
      <c r="IQ179" t="e">
        <f>AND(#REF!,"AAAAAD5r+vo=")</f>
        <v>#REF!</v>
      </c>
      <c r="IR179" t="e">
        <f>AND(#REF!,"AAAAAD5r+vs=")</f>
        <v>#REF!</v>
      </c>
      <c r="IS179" t="e">
        <f>AND(#REF!,"AAAAAD5r+vw=")</f>
        <v>#REF!</v>
      </c>
      <c r="IT179" t="e">
        <f>AND(#REF!,"AAAAAD5r+v0=")</f>
        <v>#REF!</v>
      </c>
      <c r="IU179" t="e">
        <f>AND(#REF!,"AAAAAD5r+v4=")</f>
        <v>#REF!</v>
      </c>
      <c r="IV179" t="e">
        <f>AND(#REF!,"AAAAAD5r+v8=")</f>
        <v>#REF!</v>
      </c>
    </row>
    <row r="180" spans="1:256" x14ac:dyDescent="0.25">
      <c r="A180" t="e">
        <f>AND(#REF!,"AAAAADvdewA=")</f>
        <v>#REF!</v>
      </c>
      <c r="B180" t="e">
        <f>AND(#REF!,"AAAAADvdewE=")</f>
        <v>#REF!</v>
      </c>
      <c r="C180" t="e">
        <f>AND(#REF!,"AAAAADvdewI=")</f>
        <v>#REF!</v>
      </c>
      <c r="D180" t="e">
        <f>AND(#REF!,"AAAAADvdewM=")</f>
        <v>#REF!</v>
      </c>
      <c r="E180" t="e">
        <f>AND(#REF!,"AAAAADvdewQ=")</f>
        <v>#REF!</v>
      </c>
      <c r="F180" t="e">
        <f>AND(#REF!,"AAAAADvdewU=")</f>
        <v>#REF!</v>
      </c>
      <c r="G180" t="e">
        <f>AND(#REF!,"AAAAADvdewY=")</f>
        <v>#REF!</v>
      </c>
      <c r="H180" t="e">
        <f>AND(#REF!,"AAAAADvdewc=")</f>
        <v>#REF!</v>
      </c>
      <c r="I180" t="e">
        <f>AND(#REF!,"AAAAADvdewg=")</f>
        <v>#REF!</v>
      </c>
      <c r="J180" t="e">
        <f>AND(#REF!,"AAAAADvdewk=")</f>
        <v>#REF!</v>
      </c>
      <c r="K180" t="e">
        <f>AND(#REF!,"AAAAADvdewo=")</f>
        <v>#REF!</v>
      </c>
      <c r="L180" t="e">
        <f>AND(#REF!,"AAAAADvdews=")</f>
        <v>#REF!</v>
      </c>
      <c r="M180" t="e">
        <f>AND(#REF!,"AAAAADvdeww=")</f>
        <v>#REF!</v>
      </c>
      <c r="N180" t="e">
        <f>AND(#REF!,"AAAAADvdew0=")</f>
        <v>#REF!</v>
      </c>
      <c r="O180" t="e">
        <f>AND(#REF!,"AAAAADvdew4=")</f>
        <v>#REF!</v>
      </c>
      <c r="P180" t="e">
        <f>AND(#REF!,"AAAAADvdew8=")</f>
        <v>#REF!</v>
      </c>
      <c r="Q180" t="e">
        <f>AND(#REF!,"AAAAADvdexA=")</f>
        <v>#REF!</v>
      </c>
      <c r="R180" t="e">
        <f>AND(#REF!,"AAAAADvdexE=")</f>
        <v>#REF!</v>
      </c>
      <c r="S180" t="e">
        <f>AND(#REF!,"AAAAADvdexI=")</f>
        <v>#REF!</v>
      </c>
      <c r="T180" t="e">
        <f>AND(#REF!,"AAAAADvdexM=")</f>
        <v>#REF!</v>
      </c>
      <c r="U180" t="e">
        <f>AND(#REF!,"AAAAADvdexQ=")</f>
        <v>#REF!</v>
      </c>
      <c r="V180" t="e">
        <f>AND(#REF!,"AAAAADvdexU=")</f>
        <v>#REF!</v>
      </c>
      <c r="W180" t="e">
        <f>AND(#REF!,"AAAAADvdexY=")</f>
        <v>#REF!</v>
      </c>
      <c r="X180" t="e">
        <f>AND(#REF!,"AAAAADvdexc=")</f>
        <v>#REF!</v>
      </c>
      <c r="Y180" t="e">
        <f>AND(#REF!,"AAAAADvdexg=")</f>
        <v>#REF!</v>
      </c>
      <c r="Z180" t="e">
        <f>AND(#REF!,"AAAAADvdexk=")</f>
        <v>#REF!</v>
      </c>
      <c r="AA180" t="e">
        <f>AND(#REF!,"AAAAADvdexo=")</f>
        <v>#REF!</v>
      </c>
      <c r="AB180" t="e">
        <f>AND(#REF!,"AAAAADvdexs=")</f>
        <v>#REF!</v>
      </c>
      <c r="AC180" t="e">
        <f>AND(#REF!,"AAAAADvdexw=")</f>
        <v>#REF!</v>
      </c>
      <c r="AD180" t="e">
        <f>AND(#REF!,"AAAAADvdex0=")</f>
        <v>#REF!</v>
      </c>
      <c r="AE180" t="e">
        <f>AND(#REF!,"AAAAADvdex4=")</f>
        <v>#REF!</v>
      </c>
      <c r="AF180" t="e">
        <f>AND(#REF!,"AAAAADvdex8=")</f>
        <v>#REF!</v>
      </c>
      <c r="AG180" t="e">
        <f>AND(#REF!,"AAAAADvdeyA=")</f>
        <v>#REF!</v>
      </c>
      <c r="AH180" t="e">
        <f>AND(#REF!,"AAAAADvdeyE=")</f>
        <v>#REF!</v>
      </c>
      <c r="AI180" t="e">
        <f>AND(#REF!,"AAAAADvdeyI=")</f>
        <v>#REF!</v>
      </c>
      <c r="AJ180" t="e">
        <f>AND(#REF!,"AAAAADvdeyM=")</f>
        <v>#REF!</v>
      </c>
      <c r="AK180" t="e">
        <f>AND(#REF!,"AAAAADvdeyQ=")</f>
        <v>#REF!</v>
      </c>
      <c r="AL180" t="e">
        <f>AND(#REF!,"AAAAADvdeyU=")</f>
        <v>#REF!</v>
      </c>
      <c r="AM180" t="e">
        <f>AND(#REF!,"AAAAADvdeyY=")</f>
        <v>#REF!</v>
      </c>
      <c r="AN180" t="e">
        <f>AND(#REF!,"AAAAADvdeyc=")</f>
        <v>#REF!</v>
      </c>
      <c r="AO180" t="e">
        <f>AND(#REF!,"AAAAADvdeyg=")</f>
        <v>#REF!</v>
      </c>
      <c r="AP180" t="e">
        <f>AND(#REF!,"AAAAADvdeyk=")</f>
        <v>#REF!</v>
      </c>
      <c r="AQ180" t="e">
        <f>AND(#REF!,"AAAAADvdeyo=")</f>
        <v>#REF!</v>
      </c>
      <c r="AR180" t="e">
        <f>AND(#REF!,"AAAAADvdeys=")</f>
        <v>#REF!</v>
      </c>
      <c r="AS180" t="e">
        <f>AND(#REF!,"AAAAADvdeyw=")</f>
        <v>#REF!</v>
      </c>
      <c r="AT180" t="e">
        <f>AND(#REF!,"AAAAADvdey0=")</f>
        <v>#REF!</v>
      </c>
      <c r="AU180" t="e">
        <f>AND(#REF!,"AAAAADvdey4=")</f>
        <v>#REF!</v>
      </c>
      <c r="AV180" t="e">
        <f>AND(#REF!,"AAAAADvdey8=")</f>
        <v>#REF!</v>
      </c>
      <c r="AW180" t="e">
        <f>AND(#REF!,"AAAAADvdezA=")</f>
        <v>#REF!</v>
      </c>
      <c r="AX180" t="e">
        <f>AND(#REF!,"AAAAADvdezE=")</f>
        <v>#REF!</v>
      </c>
      <c r="AY180" t="e">
        <f>AND(#REF!,"AAAAADvdezI=")</f>
        <v>#REF!</v>
      </c>
      <c r="AZ180" t="e">
        <f>AND(#REF!,"AAAAADvdezM=")</f>
        <v>#REF!</v>
      </c>
      <c r="BA180" t="e">
        <f>AND(#REF!,"AAAAADvdezQ=")</f>
        <v>#REF!</v>
      </c>
      <c r="BB180" t="e">
        <f>AND(#REF!,"AAAAADvdezU=")</f>
        <v>#REF!</v>
      </c>
      <c r="BC180" t="e">
        <f>AND(#REF!,"AAAAADvdezY=")</f>
        <v>#REF!</v>
      </c>
      <c r="BD180" t="e">
        <f>AND(#REF!,"AAAAADvdezc=")</f>
        <v>#REF!</v>
      </c>
      <c r="BE180" t="e">
        <f>AND(#REF!,"AAAAADvdezg=")</f>
        <v>#REF!</v>
      </c>
      <c r="BF180" t="e">
        <f>AND(#REF!,"AAAAADvdezk=")</f>
        <v>#REF!</v>
      </c>
      <c r="BG180" t="e">
        <f>AND(#REF!,"AAAAADvdezo=")</f>
        <v>#REF!</v>
      </c>
      <c r="BH180" t="e">
        <f>IF(#REF!,"AAAAADvdezs=",0)</f>
        <v>#REF!</v>
      </c>
      <c r="BI180" t="e">
        <f>AND(#REF!,"AAAAADvdezw=")</f>
        <v>#REF!</v>
      </c>
      <c r="BJ180" t="e">
        <f>AND(#REF!,"AAAAADvdez0=")</f>
        <v>#REF!</v>
      </c>
      <c r="BK180" t="e">
        <f>AND(#REF!,"AAAAADvdez4=")</f>
        <v>#REF!</v>
      </c>
      <c r="BL180" t="e">
        <f>AND(#REF!,"AAAAADvdez8=")</f>
        <v>#REF!</v>
      </c>
      <c r="BM180" t="e">
        <f>AND(#REF!,"AAAAADvde0A=")</f>
        <v>#REF!</v>
      </c>
      <c r="BN180" t="e">
        <f>AND(#REF!,"AAAAADvde0E=")</f>
        <v>#REF!</v>
      </c>
      <c r="BO180" t="e">
        <f>AND(#REF!,"AAAAADvde0I=")</f>
        <v>#REF!</v>
      </c>
      <c r="BP180" t="e">
        <f>AND(#REF!,"AAAAADvde0M=")</f>
        <v>#REF!</v>
      </c>
      <c r="BQ180" t="e">
        <f>AND(#REF!,"AAAAADvde0Q=")</f>
        <v>#REF!</v>
      </c>
      <c r="BR180" t="e">
        <f>AND(#REF!,"AAAAADvde0U=")</f>
        <v>#REF!</v>
      </c>
      <c r="BS180" t="e">
        <f>AND(#REF!,"AAAAADvde0Y=")</f>
        <v>#REF!</v>
      </c>
      <c r="BT180" t="e">
        <f>AND(#REF!,"AAAAADvde0c=")</f>
        <v>#REF!</v>
      </c>
      <c r="BU180" t="e">
        <f>AND(#REF!,"AAAAADvde0g=")</f>
        <v>#REF!</v>
      </c>
      <c r="BV180" t="e">
        <f>AND(#REF!,"AAAAADvde0k=")</f>
        <v>#REF!</v>
      </c>
      <c r="BW180" t="e">
        <f>AND(#REF!,"AAAAADvde0o=")</f>
        <v>#REF!</v>
      </c>
      <c r="BX180" t="e">
        <f>AND(#REF!,"AAAAADvde0s=")</f>
        <v>#REF!</v>
      </c>
      <c r="BY180" t="e">
        <f>AND(#REF!,"AAAAADvde0w=")</f>
        <v>#REF!</v>
      </c>
      <c r="BZ180" t="e">
        <f>AND(#REF!,"AAAAADvde00=")</f>
        <v>#REF!</v>
      </c>
      <c r="CA180" t="e">
        <f>AND(#REF!,"AAAAADvde04=")</f>
        <v>#REF!</v>
      </c>
      <c r="CB180" t="e">
        <f>AND(#REF!,"AAAAADvde08=")</f>
        <v>#REF!</v>
      </c>
      <c r="CC180" t="e">
        <f>AND(#REF!,"AAAAADvde1A=")</f>
        <v>#REF!</v>
      </c>
      <c r="CD180" t="e">
        <f>AND(#REF!,"AAAAADvde1E=")</f>
        <v>#REF!</v>
      </c>
      <c r="CE180" t="e">
        <f>AND(#REF!,"AAAAADvde1I=")</f>
        <v>#REF!</v>
      </c>
      <c r="CF180" t="e">
        <f>AND(#REF!,"AAAAADvde1M=")</f>
        <v>#REF!</v>
      </c>
      <c r="CG180" t="e">
        <f>AND(#REF!,"AAAAADvde1Q=")</f>
        <v>#REF!</v>
      </c>
      <c r="CH180" t="e">
        <f>AND(#REF!,"AAAAADvde1U=")</f>
        <v>#REF!</v>
      </c>
      <c r="CI180" t="e">
        <f>AND(#REF!,"AAAAADvde1Y=")</f>
        <v>#REF!</v>
      </c>
      <c r="CJ180" t="e">
        <f>AND(#REF!,"AAAAADvde1c=")</f>
        <v>#REF!</v>
      </c>
      <c r="CK180" t="e">
        <f>AND(#REF!,"AAAAADvde1g=")</f>
        <v>#REF!</v>
      </c>
      <c r="CL180" t="e">
        <f>AND(#REF!,"AAAAADvde1k=")</f>
        <v>#REF!</v>
      </c>
      <c r="CM180" t="e">
        <f>AND(#REF!,"AAAAADvde1o=")</f>
        <v>#REF!</v>
      </c>
      <c r="CN180" t="e">
        <f>AND(#REF!,"AAAAADvde1s=")</f>
        <v>#REF!</v>
      </c>
      <c r="CO180" t="e">
        <f>AND(#REF!,"AAAAADvde1w=")</f>
        <v>#REF!</v>
      </c>
      <c r="CP180" t="e">
        <f>AND(#REF!,"AAAAADvde10=")</f>
        <v>#REF!</v>
      </c>
      <c r="CQ180" t="e">
        <f>AND(#REF!,"AAAAADvde14=")</f>
        <v>#REF!</v>
      </c>
      <c r="CR180" t="e">
        <f>AND(#REF!,"AAAAADvde18=")</f>
        <v>#REF!</v>
      </c>
      <c r="CS180" t="e">
        <f>AND(#REF!,"AAAAADvde2A=")</f>
        <v>#REF!</v>
      </c>
      <c r="CT180" t="e">
        <f>AND(#REF!,"AAAAADvde2E=")</f>
        <v>#REF!</v>
      </c>
      <c r="CU180" t="e">
        <f>AND(#REF!,"AAAAADvde2I=")</f>
        <v>#REF!</v>
      </c>
      <c r="CV180" t="e">
        <f>AND(#REF!,"AAAAADvde2M=")</f>
        <v>#REF!</v>
      </c>
      <c r="CW180" t="e">
        <f>AND(#REF!,"AAAAADvde2Q=")</f>
        <v>#REF!</v>
      </c>
      <c r="CX180" t="e">
        <f>AND(#REF!,"AAAAADvde2U=")</f>
        <v>#REF!</v>
      </c>
      <c r="CY180" t="e">
        <f>AND(#REF!,"AAAAADvde2Y=")</f>
        <v>#REF!</v>
      </c>
      <c r="CZ180" t="e">
        <f>AND(#REF!,"AAAAADvde2c=")</f>
        <v>#REF!</v>
      </c>
      <c r="DA180" t="e">
        <f>AND(#REF!,"AAAAADvde2g=")</f>
        <v>#REF!</v>
      </c>
      <c r="DB180" t="e">
        <f>AND(#REF!,"AAAAADvde2k=")</f>
        <v>#REF!</v>
      </c>
      <c r="DC180" t="e">
        <f>AND(#REF!,"AAAAADvde2o=")</f>
        <v>#REF!</v>
      </c>
      <c r="DD180" t="e">
        <f>AND(#REF!,"AAAAADvde2s=")</f>
        <v>#REF!</v>
      </c>
      <c r="DE180" t="e">
        <f>AND(#REF!,"AAAAADvde2w=")</f>
        <v>#REF!</v>
      </c>
      <c r="DF180" t="e">
        <f>AND(#REF!,"AAAAADvde20=")</f>
        <v>#REF!</v>
      </c>
      <c r="DG180" t="e">
        <f>AND(#REF!,"AAAAADvde24=")</f>
        <v>#REF!</v>
      </c>
      <c r="DH180" t="e">
        <f>AND(#REF!,"AAAAADvde28=")</f>
        <v>#REF!</v>
      </c>
      <c r="DI180" t="e">
        <f>AND(#REF!,"AAAAADvde3A=")</f>
        <v>#REF!</v>
      </c>
      <c r="DJ180" t="e">
        <f>AND(#REF!,"AAAAADvde3E=")</f>
        <v>#REF!</v>
      </c>
      <c r="DK180" t="e">
        <f>AND(#REF!,"AAAAADvde3I=")</f>
        <v>#REF!</v>
      </c>
      <c r="DL180" t="e">
        <f>AND(#REF!,"AAAAADvde3M=")</f>
        <v>#REF!</v>
      </c>
      <c r="DM180" t="e">
        <f>AND(#REF!,"AAAAADvde3Q=")</f>
        <v>#REF!</v>
      </c>
      <c r="DN180" t="e">
        <f>AND(#REF!,"AAAAADvde3U=")</f>
        <v>#REF!</v>
      </c>
      <c r="DO180" t="e">
        <f>AND(#REF!,"AAAAADvde3Y=")</f>
        <v>#REF!</v>
      </c>
      <c r="DP180" t="e">
        <f>AND(#REF!,"AAAAADvde3c=")</f>
        <v>#REF!</v>
      </c>
      <c r="DQ180" t="e">
        <f>AND(#REF!,"AAAAADvde3g=")</f>
        <v>#REF!</v>
      </c>
      <c r="DR180" t="e">
        <f>AND(#REF!,"AAAAADvde3k=")</f>
        <v>#REF!</v>
      </c>
      <c r="DS180" t="e">
        <f>AND(#REF!,"AAAAADvde3o=")</f>
        <v>#REF!</v>
      </c>
      <c r="DT180" t="e">
        <f>AND(#REF!,"AAAAADvde3s=")</f>
        <v>#REF!</v>
      </c>
      <c r="DU180" t="e">
        <f>AND(#REF!,"AAAAADvde3w=")</f>
        <v>#REF!</v>
      </c>
      <c r="DV180" t="e">
        <f>AND(#REF!,"AAAAADvde30=")</f>
        <v>#REF!</v>
      </c>
      <c r="DW180" t="e">
        <f>AND(#REF!,"AAAAADvde34=")</f>
        <v>#REF!</v>
      </c>
      <c r="DX180" t="e">
        <f>AND(#REF!,"AAAAADvde38=")</f>
        <v>#REF!</v>
      </c>
      <c r="DY180" t="e">
        <f>AND(#REF!,"AAAAADvde4A=")</f>
        <v>#REF!</v>
      </c>
      <c r="DZ180" t="e">
        <f>AND(#REF!,"AAAAADvde4E=")</f>
        <v>#REF!</v>
      </c>
      <c r="EA180" t="e">
        <f>AND(#REF!,"AAAAADvde4I=")</f>
        <v>#REF!</v>
      </c>
      <c r="EB180" t="e">
        <f>AND(#REF!,"AAAAADvde4M=")</f>
        <v>#REF!</v>
      </c>
      <c r="EC180" t="e">
        <f>AND(#REF!,"AAAAADvde4Q=")</f>
        <v>#REF!</v>
      </c>
      <c r="ED180" t="e">
        <f>AND(#REF!,"AAAAADvde4U=")</f>
        <v>#REF!</v>
      </c>
      <c r="EE180" t="e">
        <f>AND(#REF!,"AAAAADvde4Y=")</f>
        <v>#REF!</v>
      </c>
      <c r="EF180" t="e">
        <f>AND(#REF!,"AAAAADvde4c=")</f>
        <v>#REF!</v>
      </c>
      <c r="EG180" t="e">
        <f>AND(#REF!,"AAAAADvde4g=")</f>
        <v>#REF!</v>
      </c>
      <c r="EH180" t="e">
        <f>AND(#REF!,"AAAAADvde4k=")</f>
        <v>#REF!</v>
      </c>
      <c r="EI180" t="e">
        <f>AND(#REF!,"AAAAADvde4o=")</f>
        <v>#REF!</v>
      </c>
      <c r="EJ180" t="e">
        <f>AND(#REF!,"AAAAADvde4s=")</f>
        <v>#REF!</v>
      </c>
      <c r="EK180" t="e">
        <f>AND(#REF!,"AAAAADvde4w=")</f>
        <v>#REF!</v>
      </c>
      <c r="EL180" t="e">
        <f>AND(#REF!,"AAAAADvde40=")</f>
        <v>#REF!</v>
      </c>
      <c r="EM180" t="e">
        <f>AND(#REF!,"AAAAADvde44=")</f>
        <v>#REF!</v>
      </c>
      <c r="EN180" t="e">
        <f>AND(#REF!,"AAAAADvde48=")</f>
        <v>#REF!</v>
      </c>
      <c r="EO180" t="e">
        <f>AND(#REF!,"AAAAADvde5A=")</f>
        <v>#REF!</v>
      </c>
      <c r="EP180" t="e">
        <f>AND(#REF!,"AAAAADvde5E=")</f>
        <v>#REF!</v>
      </c>
      <c r="EQ180" t="e">
        <f>AND(#REF!,"AAAAADvde5I=")</f>
        <v>#REF!</v>
      </c>
      <c r="ER180" t="e">
        <f>AND(#REF!,"AAAAADvde5M=")</f>
        <v>#REF!</v>
      </c>
      <c r="ES180" t="e">
        <f>AND(#REF!,"AAAAADvde5Q=")</f>
        <v>#REF!</v>
      </c>
      <c r="ET180" t="e">
        <f>AND(#REF!,"AAAAADvde5U=")</f>
        <v>#REF!</v>
      </c>
      <c r="EU180" t="e">
        <f>AND(#REF!,"AAAAADvde5Y=")</f>
        <v>#REF!</v>
      </c>
      <c r="EV180" t="e">
        <f>AND(#REF!,"AAAAADvde5c=")</f>
        <v>#REF!</v>
      </c>
      <c r="EW180" t="e">
        <f>AND(#REF!,"AAAAADvde5g=")</f>
        <v>#REF!</v>
      </c>
      <c r="EX180" t="e">
        <f>AND(#REF!,"AAAAADvde5k=")</f>
        <v>#REF!</v>
      </c>
      <c r="EY180" t="e">
        <f>AND(#REF!,"AAAAADvde5o=")</f>
        <v>#REF!</v>
      </c>
      <c r="EZ180" t="e">
        <f>AND(#REF!,"AAAAADvde5s=")</f>
        <v>#REF!</v>
      </c>
      <c r="FA180" t="e">
        <f>AND(#REF!,"AAAAADvde5w=")</f>
        <v>#REF!</v>
      </c>
      <c r="FB180" t="e">
        <f>AND(#REF!,"AAAAADvde50=")</f>
        <v>#REF!</v>
      </c>
      <c r="FC180" t="e">
        <f>AND(#REF!,"AAAAADvde54=")</f>
        <v>#REF!</v>
      </c>
      <c r="FD180" t="e">
        <f>AND(#REF!,"AAAAADvde58=")</f>
        <v>#REF!</v>
      </c>
      <c r="FE180" t="e">
        <f>AND(#REF!,"AAAAADvde6A=")</f>
        <v>#REF!</v>
      </c>
      <c r="FF180" t="e">
        <f>AND(#REF!,"AAAAADvde6E=")</f>
        <v>#REF!</v>
      </c>
      <c r="FG180" t="e">
        <f>AND(#REF!,"AAAAADvde6I=")</f>
        <v>#REF!</v>
      </c>
      <c r="FH180" t="e">
        <f>AND(#REF!,"AAAAADvde6M=")</f>
        <v>#REF!</v>
      </c>
      <c r="FI180" t="e">
        <f>AND(#REF!,"AAAAADvde6Q=")</f>
        <v>#REF!</v>
      </c>
      <c r="FJ180" t="e">
        <f>AND(#REF!,"AAAAADvde6U=")</f>
        <v>#REF!</v>
      </c>
      <c r="FK180" t="e">
        <f>AND(#REF!,"AAAAADvde6Y=")</f>
        <v>#REF!</v>
      </c>
      <c r="FL180" t="e">
        <f>AND(#REF!,"AAAAADvde6c=")</f>
        <v>#REF!</v>
      </c>
      <c r="FM180" t="e">
        <f>AND(#REF!,"AAAAADvde6g=")</f>
        <v>#REF!</v>
      </c>
      <c r="FN180" t="e">
        <f>AND(#REF!,"AAAAADvde6k=")</f>
        <v>#REF!</v>
      </c>
      <c r="FO180" t="e">
        <f>AND(#REF!,"AAAAADvde6o=")</f>
        <v>#REF!</v>
      </c>
      <c r="FP180" t="e">
        <f>AND(#REF!,"AAAAADvde6s=")</f>
        <v>#REF!</v>
      </c>
      <c r="FQ180" t="e">
        <f>AND(#REF!,"AAAAADvde6w=")</f>
        <v>#REF!</v>
      </c>
      <c r="FR180" t="e">
        <f>AND(#REF!,"AAAAADvde60=")</f>
        <v>#REF!</v>
      </c>
      <c r="FS180" t="e">
        <f>AND(#REF!,"AAAAADvde64=")</f>
        <v>#REF!</v>
      </c>
      <c r="FT180" t="e">
        <f>AND(#REF!,"AAAAADvde68=")</f>
        <v>#REF!</v>
      </c>
      <c r="FU180" t="e">
        <f>AND(#REF!,"AAAAADvde7A=")</f>
        <v>#REF!</v>
      </c>
      <c r="FV180" t="e">
        <f>AND(#REF!,"AAAAADvde7E=")</f>
        <v>#REF!</v>
      </c>
      <c r="FW180" t="e">
        <f>AND(#REF!,"AAAAADvde7I=")</f>
        <v>#REF!</v>
      </c>
      <c r="FX180" t="e">
        <f>AND(#REF!,"AAAAADvde7M=")</f>
        <v>#REF!</v>
      </c>
      <c r="FY180" t="e">
        <f>AND(#REF!,"AAAAADvde7Q=")</f>
        <v>#REF!</v>
      </c>
      <c r="FZ180" t="e">
        <f>AND(#REF!,"AAAAADvde7U=")</f>
        <v>#REF!</v>
      </c>
      <c r="GA180" t="e">
        <f>AND(#REF!,"AAAAADvde7Y=")</f>
        <v>#REF!</v>
      </c>
      <c r="GB180" t="e">
        <f>AND(#REF!,"AAAAADvde7c=")</f>
        <v>#REF!</v>
      </c>
      <c r="GC180" t="e">
        <f>AND(#REF!,"AAAAADvde7g=")</f>
        <v>#REF!</v>
      </c>
      <c r="GD180" t="e">
        <f>AND(#REF!,"AAAAADvde7k=")</f>
        <v>#REF!</v>
      </c>
      <c r="GE180" t="e">
        <f>AND(#REF!,"AAAAADvde7o=")</f>
        <v>#REF!</v>
      </c>
      <c r="GF180" t="e">
        <f>AND(#REF!,"AAAAADvde7s=")</f>
        <v>#REF!</v>
      </c>
      <c r="GG180" t="e">
        <f>AND(#REF!,"AAAAADvde7w=")</f>
        <v>#REF!</v>
      </c>
      <c r="GH180" t="e">
        <f>AND(#REF!,"AAAAADvde70=")</f>
        <v>#REF!</v>
      </c>
      <c r="GI180" t="e">
        <f>AND(#REF!,"AAAAADvde74=")</f>
        <v>#REF!</v>
      </c>
      <c r="GJ180" t="e">
        <f>AND(#REF!,"AAAAADvde78=")</f>
        <v>#REF!</v>
      </c>
      <c r="GK180" t="e">
        <f>AND(#REF!,"AAAAADvde8A=")</f>
        <v>#REF!</v>
      </c>
      <c r="GL180" t="e">
        <f>AND(#REF!,"AAAAADvde8E=")</f>
        <v>#REF!</v>
      </c>
      <c r="GM180" t="e">
        <f>AND(#REF!,"AAAAADvde8I=")</f>
        <v>#REF!</v>
      </c>
      <c r="GN180" t="e">
        <f>AND(#REF!,"AAAAADvde8M=")</f>
        <v>#REF!</v>
      </c>
      <c r="GO180" t="e">
        <f>AND(#REF!,"AAAAADvde8Q=")</f>
        <v>#REF!</v>
      </c>
      <c r="GP180" t="e">
        <f>AND(#REF!,"AAAAADvde8U=")</f>
        <v>#REF!</v>
      </c>
      <c r="GQ180" t="e">
        <f>AND(#REF!,"AAAAADvde8Y=")</f>
        <v>#REF!</v>
      </c>
      <c r="GR180" t="e">
        <f>AND(#REF!,"AAAAADvde8c=")</f>
        <v>#REF!</v>
      </c>
      <c r="GS180" t="e">
        <f>AND(#REF!,"AAAAADvde8g=")</f>
        <v>#REF!</v>
      </c>
      <c r="GT180" t="e">
        <f>AND(#REF!,"AAAAADvde8k=")</f>
        <v>#REF!</v>
      </c>
      <c r="GU180" t="e">
        <f>AND(#REF!,"AAAAADvde8o=")</f>
        <v>#REF!</v>
      </c>
      <c r="GV180" t="e">
        <f>AND(#REF!,"AAAAADvde8s=")</f>
        <v>#REF!</v>
      </c>
      <c r="GW180" t="e">
        <f>AND(#REF!,"AAAAADvde8w=")</f>
        <v>#REF!</v>
      </c>
      <c r="GX180" t="e">
        <f>AND(#REF!,"AAAAADvde80=")</f>
        <v>#REF!</v>
      </c>
      <c r="GY180" t="e">
        <f>AND(#REF!,"AAAAADvde84=")</f>
        <v>#REF!</v>
      </c>
      <c r="GZ180" t="e">
        <f>AND(#REF!,"AAAAADvde88=")</f>
        <v>#REF!</v>
      </c>
      <c r="HA180" t="e">
        <f>AND(#REF!,"AAAAADvde9A=")</f>
        <v>#REF!</v>
      </c>
      <c r="HB180" t="e">
        <f>AND(#REF!,"AAAAADvde9E=")</f>
        <v>#REF!</v>
      </c>
      <c r="HC180" t="e">
        <f>AND(#REF!,"AAAAADvde9I=")</f>
        <v>#REF!</v>
      </c>
      <c r="HD180" t="e">
        <f>AND(#REF!,"AAAAADvde9M=")</f>
        <v>#REF!</v>
      </c>
      <c r="HE180" t="e">
        <f>AND(#REF!,"AAAAADvde9Q=")</f>
        <v>#REF!</v>
      </c>
      <c r="HF180" t="e">
        <f>AND(#REF!,"AAAAADvde9U=")</f>
        <v>#REF!</v>
      </c>
      <c r="HG180" t="e">
        <f>AND(#REF!,"AAAAADvde9Y=")</f>
        <v>#REF!</v>
      </c>
      <c r="HH180" t="e">
        <f>AND(#REF!,"AAAAADvde9c=")</f>
        <v>#REF!</v>
      </c>
      <c r="HI180" t="e">
        <f>AND(#REF!,"AAAAADvde9g=")</f>
        <v>#REF!</v>
      </c>
      <c r="HJ180" t="e">
        <f>AND(#REF!,"AAAAADvde9k=")</f>
        <v>#REF!</v>
      </c>
      <c r="HK180" t="e">
        <f>AND(#REF!,"AAAAADvde9o=")</f>
        <v>#REF!</v>
      </c>
      <c r="HL180" t="e">
        <f>AND(#REF!,"AAAAADvde9s=")</f>
        <v>#REF!</v>
      </c>
      <c r="HM180" t="e">
        <f>AND(#REF!,"AAAAADvde9w=")</f>
        <v>#REF!</v>
      </c>
      <c r="HN180" t="e">
        <f>AND(#REF!,"AAAAADvde90=")</f>
        <v>#REF!</v>
      </c>
      <c r="HO180" t="e">
        <f>AND(#REF!,"AAAAADvde94=")</f>
        <v>#REF!</v>
      </c>
      <c r="HP180" t="e">
        <f>AND(#REF!,"AAAAADvde98=")</f>
        <v>#REF!</v>
      </c>
      <c r="HQ180" t="e">
        <f>AND(#REF!,"AAAAADvde+A=")</f>
        <v>#REF!</v>
      </c>
      <c r="HR180" t="e">
        <f>AND(#REF!,"AAAAADvde+E=")</f>
        <v>#REF!</v>
      </c>
      <c r="HS180" t="e">
        <f>AND(#REF!,"AAAAADvde+I=")</f>
        <v>#REF!</v>
      </c>
      <c r="HT180" t="e">
        <f>AND(#REF!,"AAAAADvde+M=")</f>
        <v>#REF!</v>
      </c>
      <c r="HU180" t="e">
        <f>AND(#REF!,"AAAAADvde+Q=")</f>
        <v>#REF!</v>
      </c>
      <c r="HV180" t="e">
        <f>AND(#REF!,"AAAAADvde+U=")</f>
        <v>#REF!</v>
      </c>
      <c r="HW180" t="e">
        <f>AND(#REF!,"AAAAADvde+Y=")</f>
        <v>#REF!</v>
      </c>
      <c r="HX180" t="e">
        <f>AND(#REF!,"AAAAADvde+c=")</f>
        <v>#REF!</v>
      </c>
      <c r="HY180" t="e">
        <f>AND(#REF!,"AAAAADvde+g=")</f>
        <v>#REF!</v>
      </c>
      <c r="HZ180" t="e">
        <f>AND(#REF!,"AAAAADvde+k=")</f>
        <v>#REF!</v>
      </c>
      <c r="IA180" t="e">
        <f>AND(#REF!,"AAAAADvde+o=")</f>
        <v>#REF!</v>
      </c>
      <c r="IB180" t="e">
        <f>AND(#REF!,"AAAAADvde+s=")</f>
        <v>#REF!</v>
      </c>
      <c r="IC180" t="e">
        <f>AND(#REF!,"AAAAADvde+w=")</f>
        <v>#REF!</v>
      </c>
      <c r="ID180" t="e">
        <f>AND(#REF!,"AAAAADvde+0=")</f>
        <v>#REF!</v>
      </c>
      <c r="IE180" t="e">
        <f>AND(#REF!,"AAAAADvde+4=")</f>
        <v>#REF!</v>
      </c>
      <c r="IF180" t="e">
        <f>AND(#REF!,"AAAAADvde+8=")</f>
        <v>#REF!</v>
      </c>
      <c r="IG180" t="e">
        <f>AND(#REF!,"AAAAADvde/A=")</f>
        <v>#REF!</v>
      </c>
      <c r="IH180" t="e">
        <f>AND(#REF!,"AAAAADvde/E=")</f>
        <v>#REF!</v>
      </c>
      <c r="II180" t="e">
        <f>AND(#REF!,"AAAAADvde/I=")</f>
        <v>#REF!</v>
      </c>
      <c r="IJ180" t="e">
        <f>AND(#REF!,"AAAAADvde/M=")</f>
        <v>#REF!</v>
      </c>
      <c r="IK180" t="e">
        <f>AND(#REF!,"AAAAADvde/Q=")</f>
        <v>#REF!</v>
      </c>
      <c r="IL180" t="e">
        <f>AND(#REF!,"AAAAADvde/U=")</f>
        <v>#REF!</v>
      </c>
      <c r="IM180" t="e">
        <f>AND(#REF!,"AAAAADvde/Y=")</f>
        <v>#REF!</v>
      </c>
      <c r="IN180" t="e">
        <f>AND(#REF!,"AAAAADvde/c=")</f>
        <v>#REF!</v>
      </c>
      <c r="IO180" t="e">
        <f>IF(#REF!,"AAAAADvde/g=",0)</f>
        <v>#REF!</v>
      </c>
      <c r="IP180" t="e">
        <f>AND(#REF!,"AAAAADvde/k=")</f>
        <v>#REF!</v>
      </c>
      <c r="IQ180" t="e">
        <f>AND(#REF!,"AAAAADvde/o=")</f>
        <v>#REF!</v>
      </c>
      <c r="IR180" t="e">
        <f>AND(#REF!,"AAAAADvde/s=")</f>
        <v>#REF!</v>
      </c>
      <c r="IS180" t="e">
        <f>AND(#REF!,"AAAAADvde/w=")</f>
        <v>#REF!</v>
      </c>
      <c r="IT180" t="e">
        <f>AND(#REF!,"AAAAADvde/0=")</f>
        <v>#REF!</v>
      </c>
      <c r="IU180" t="e">
        <f>AND(#REF!,"AAAAADvde/4=")</f>
        <v>#REF!</v>
      </c>
      <c r="IV180" t="e">
        <f>AND(#REF!,"AAAAADvde/8=")</f>
        <v>#REF!</v>
      </c>
    </row>
    <row r="181" spans="1:256" x14ac:dyDescent="0.25">
      <c r="A181" t="e">
        <f>AND(#REF!,"AAAAAH7quQA=")</f>
        <v>#REF!</v>
      </c>
      <c r="B181" t="e">
        <f>AND(#REF!,"AAAAAH7quQE=")</f>
        <v>#REF!</v>
      </c>
      <c r="C181" t="e">
        <f>AND(#REF!,"AAAAAH7quQI=")</f>
        <v>#REF!</v>
      </c>
      <c r="D181" t="e">
        <f>AND(#REF!,"AAAAAH7quQM=")</f>
        <v>#REF!</v>
      </c>
      <c r="E181" t="e">
        <f>AND(#REF!,"AAAAAH7quQQ=")</f>
        <v>#REF!</v>
      </c>
      <c r="F181" t="e">
        <f>AND(#REF!,"AAAAAH7quQU=")</f>
        <v>#REF!</v>
      </c>
      <c r="G181" t="e">
        <f>AND(#REF!,"AAAAAH7quQY=")</f>
        <v>#REF!</v>
      </c>
      <c r="H181" t="e">
        <f>AND(#REF!,"AAAAAH7quQc=")</f>
        <v>#REF!</v>
      </c>
      <c r="I181" t="e">
        <f>AND(#REF!,"AAAAAH7quQg=")</f>
        <v>#REF!</v>
      </c>
      <c r="J181" t="e">
        <f>AND(#REF!,"AAAAAH7quQk=")</f>
        <v>#REF!</v>
      </c>
      <c r="K181" t="e">
        <f>AND(#REF!,"AAAAAH7quQo=")</f>
        <v>#REF!</v>
      </c>
      <c r="L181" t="e">
        <f>AND(#REF!,"AAAAAH7quQs=")</f>
        <v>#REF!</v>
      </c>
      <c r="M181" t="e">
        <f>AND(#REF!,"AAAAAH7quQw=")</f>
        <v>#REF!</v>
      </c>
      <c r="N181" t="e">
        <f>AND(#REF!,"AAAAAH7quQ0=")</f>
        <v>#REF!</v>
      </c>
      <c r="O181" t="e">
        <f>AND(#REF!,"AAAAAH7quQ4=")</f>
        <v>#REF!</v>
      </c>
      <c r="P181" t="e">
        <f>AND(#REF!,"AAAAAH7quQ8=")</f>
        <v>#REF!</v>
      </c>
      <c r="Q181" t="e">
        <f>AND(#REF!,"AAAAAH7quRA=")</f>
        <v>#REF!</v>
      </c>
      <c r="R181" t="e">
        <f>AND(#REF!,"AAAAAH7quRE=")</f>
        <v>#REF!</v>
      </c>
      <c r="S181" t="e">
        <f>AND(#REF!,"AAAAAH7quRI=")</f>
        <v>#REF!</v>
      </c>
      <c r="T181" t="e">
        <f>AND(#REF!,"AAAAAH7quRM=")</f>
        <v>#REF!</v>
      </c>
      <c r="U181" t="e">
        <f>AND(#REF!,"AAAAAH7quRQ=")</f>
        <v>#REF!</v>
      </c>
      <c r="V181" t="e">
        <f>AND(#REF!,"AAAAAH7quRU=")</f>
        <v>#REF!</v>
      </c>
      <c r="W181" t="e">
        <f>AND(#REF!,"AAAAAH7quRY=")</f>
        <v>#REF!</v>
      </c>
      <c r="X181" t="e">
        <f>AND(#REF!,"AAAAAH7quRc=")</f>
        <v>#REF!</v>
      </c>
      <c r="Y181" t="e">
        <f>AND(#REF!,"AAAAAH7quRg=")</f>
        <v>#REF!</v>
      </c>
      <c r="Z181" t="e">
        <f>AND(#REF!,"AAAAAH7quRk=")</f>
        <v>#REF!</v>
      </c>
      <c r="AA181" t="e">
        <f>AND(#REF!,"AAAAAH7quRo=")</f>
        <v>#REF!</v>
      </c>
      <c r="AB181" t="e">
        <f>AND(#REF!,"AAAAAH7quRs=")</f>
        <v>#REF!</v>
      </c>
      <c r="AC181" t="e">
        <f>AND(#REF!,"AAAAAH7quRw=")</f>
        <v>#REF!</v>
      </c>
      <c r="AD181" t="e">
        <f>AND(#REF!,"AAAAAH7quR0=")</f>
        <v>#REF!</v>
      </c>
      <c r="AE181" t="e">
        <f>AND(#REF!,"AAAAAH7quR4=")</f>
        <v>#REF!</v>
      </c>
      <c r="AF181" t="e">
        <f>AND(#REF!,"AAAAAH7quR8=")</f>
        <v>#REF!</v>
      </c>
      <c r="AG181" t="e">
        <f>AND(#REF!,"AAAAAH7quSA=")</f>
        <v>#REF!</v>
      </c>
      <c r="AH181" t="e">
        <f>AND(#REF!,"AAAAAH7quSE=")</f>
        <v>#REF!</v>
      </c>
      <c r="AI181" t="e">
        <f>AND(#REF!,"AAAAAH7quSI=")</f>
        <v>#REF!</v>
      </c>
      <c r="AJ181" t="e">
        <f>AND(#REF!,"AAAAAH7quSM=")</f>
        <v>#REF!</v>
      </c>
      <c r="AK181" t="e">
        <f>AND(#REF!,"AAAAAH7quSQ=")</f>
        <v>#REF!</v>
      </c>
      <c r="AL181" t="e">
        <f>AND(#REF!,"AAAAAH7quSU=")</f>
        <v>#REF!</v>
      </c>
      <c r="AM181" t="e">
        <f>AND(#REF!,"AAAAAH7quSY=")</f>
        <v>#REF!</v>
      </c>
      <c r="AN181" t="e">
        <f>AND(#REF!,"AAAAAH7quSc=")</f>
        <v>#REF!</v>
      </c>
      <c r="AO181" t="e">
        <f>AND(#REF!,"AAAAAH7quSg=")</f>
        <v>#REF!</v>
      </c>
      <c r="AP181" t="e">
        <f>AND(#REF!,"AAAAAH7quSk=")</f>
        <v>#REF!</v>
      </c>
      <c r="AQ181" t="e">
        <f>AND(#REF!,"AAAAAH7quSo=")</f>
        <v>#REF!</v>
      </c>
      <c r="AR181" t="e">
        <f>AND(#REF!,"AAAAAH7quSs=")</f>
        <v>#REF!</v>
      </c>
      <c r="AS181" t="e">
        <f>AND(#REF!,"AAAAAH7quSw=")</f>
        <v>#REF!</v>
      </c>
      <c r="AT181" t="e">
        <f>AND(#REF!,"AAAAAH7quS0=")</f>
        <v>#REF!</v>
      </c>
      <c r="AU181" t="e">
        <f>AND(#REF!,"AAAAAH7quS4=")</f>
        <v>#REF!</v>
      </c>
      <c r="AV181" t="e">
        <f>AND(#REF!,"AAAAAH7quS8=")</f>
        <v>#REF!</v>
      </c>
      <c r="AW181" t="e">
        <f>AND(#REF!,"AAAAAH7quTA=")</f>
        <v>#REF!</v>
      </c>
      <c r="AX181" t="e">
        <f>AND(#REF!,"AAAAAH7quTE=")</f>
        <v>#REF!</v>
      </c>
      <c r="AY181" t="e">
        <f>AND(#REF!,"AAAAAH7quTI=")</f>
        <v>#REF!</v>
      </c>
      <c r="AZ181" t="e">
        <f>AND(#REF!,"AAAAAH7quTM=")</f>
        <v>#REF!</v>
      </c>
      <c r="BA181" t="e">
        <f>AND(#REF!,"AAAAAH7quTQ=")</f>
        <v>#REF!</v>
      </c>
      <c r="BB181" t="e">
        <f>AND(#REF!,"AAAAAH7quTU=")</f>
        <v>#REF!</v>
      </c>
      <c r="BC181" t="e">
        <f>AND(#REF!,"AAAAAH7quTY=")</f>
        <v>#REF!</v>
      </c>
      <c r="BD181" t="e">
        <f>AND(#REF!,"AAAAAH7quTc=")</f>
        <v>#REF!</v>
      </c>
      <c r="BE181" t="e">
        <f>AND(#REF!,"AAAAAH7quTg=")</f>
        <v>#REF!</v>
      </c>
      <c r="BF181" t="e">
        <f>AND(#REF!,"AAAAAH7quTk=")</f>
        <v>#REF!</v>
      </c>
      <c r="BG181" t="e">
        <f>AND(#REF!,"AAAAAH7quTo=")</f>
        <v>#REF!</v>
      </c>
      <c r="BH181" t="e">
        <f>AND(#REF!,"AAAAAH7quTs=")</f>
        <v>#REF!</v>
      </c>
      <c r="BI181" t="e">
        <f>AND(#REF!,"AAAAAH7quTw=")</f>
        <v>#REF!</v>
      </c>
      <c r="BJ181" t="e">
        <f>AND(#REF!,"AAAAAH7quT0=")</f>
        <v>#REF!</v>
      </c>
      <c r="BK181" t="e">
        <f>AND(#REF!,"AAAAAH7quT4=")</f>
        <v>#REF!</v>
      </c>
      <c r="BL181" t="e">
        <f>AND(#REF!,"AAAAAH7quT8=")</f>
        <v>#REF!</v>
      </c>
      <c r="BM181" t="e">
        <f>AND(#REF!,"AAAAAH7quUA=")</f>
        <v>#REF!</v>
      </c>
      <c r="BN181" t="e">
        <f>AND(#REF!,"AAAAAH7quUE=")</f>
        <v>#REF!</v>
      </c>
      <c r="BO181" t="e">
        <f>AND(#REF!,"AAAAAH7quUI=")</f>
        <v>#REF!</v>
      </c>
      <c r="BP181" t="e">
        <f>AND(#REF!,"AAAAAH7quUM=")</f>
        <v>#REF!</v>
      </c>
      <c r="BQ181" t="e">
        <f>AND(#REF!,"AAAAAH7quUQ=")</f>
        <v>#REF!</v>
      </c>
      <c r="BR181" t="e">
        <f>AND(#REF!,"AAAAAH7quUU=")</f>
        <v>#REF!</v>
      </c>
      <c r="BS181" t="e">
        <f>AND(#REF!,"AAAAAH7quUY=")</f>
        <v>#REF!</v>
      </c>
      <c r="BT181" t="e">
        <f>AND(#REF!,"AAAAAH7quUc=")</f>
        <v>#REF!</v>
      </c>
      <c r="BU181" t="e">
        <f>AND(#REF!,"AAAAAH7quUg=")</f>
        <v>#REF!</v>
      </c>
      <c r="BV181" t="e">
        <f>AND(#REF!,"AAAAAH7quUk=")</f>
        <v>#REF!</v>
      </c>
      <c r="BW181" t="e">
        <f>AND(#REF!,"AAAAAH7quUo=")</f>
        <v>#REF!</v>
      </c>
      <c r="BX181" t="e">
        <f>AND(#REF!,"AAAAAH7quUs=")</f>
        <v>#REF!</v>
      </c>
      <c r="BY181" t="e">
        <f>AND(#REF!,"AAAAAH7quUw=")</f>
        <v>#REF!</v>
      </c>
      <c r="BZ181" t="e">
        <f>AND(#REF!,"AAAAAH7quU0=")</f>
        <v>#REF!</v>
      </c>
      <c r="CA181" t="e">
        <f>AND(#REF!,"AAAAAH7quU4=")</f>
        <v>#REF!</v>
      </c>
      <c r="CB181" t="e">
        <f>AND(#REF!,"AAAAAH7quU8=")</f>
        <v>#REF!</v>
      </c>
      <c r="CC181" t="e">
        <f>AND(#REF!,"AAAAAH7quVA=")</f>
        <v>#REF!</v>
      </c>
      <c r="CD181" t="e">
        <f>AND(#REF!,"AAAAAH7quVE=")</f>
        <v>#REF!</v>
      </c>
      <c r="CE181" t="e">
        <f>AND(#REF!,"AAAAAH7quVI=")</f>
        <v>#REF!</v>
      </c>
      <c r="CF181" t="e">
        <f>AND(#REF!,"AAAAAH7quVM=")</f>
        <v>#REF!</v>
      </c>
      <c r="CG181" t="e">
        <f>AND(#REF!,"AAAAAH7quVQ=")</f>
        <v>#REF!</v>
      </c>
      <c r="CH181" t="e">
        <f>AND(#REF!,"AAAAAH7quVU=")</f>
        <v>#REF!</v>
      </c>
      <c r="CI181" t="e">
        <f>AND(#REF!,"AAAAAH7quVY=")</f>
        <v>#REF!</v>
      </c>
      <c r="CJ181" t="e">
        <f>AND(#REF!,"AAAAAH7quVc=")</f>
        <v>#REF!</v>
      </c>
      <c r="CK181" t="e">
        <f>AND(#REF!,"AAAAAH7quVg=")</f>
        <v>#REF!</v>
      </c>
      <c r="CL181" t="e">
        <f>AND(#REF!,"AAAAAH7quVk=")</f>
        <v>#REF!</v>
      </c>
      <c r="CM181" t="e">
        <f>AND(#REF!,"AAAAAH7quVo=")</f>
        <v>#REF!</v>
      </c>
      <c r="CN181" t="e">
        <f>AND(#REF!,"AAAAAH7quVs=")</f>
        <v>#REF!</v>
      </c>
      <c r="CO181" t="e">
        <f>AND(#REF!,"AAAAAH7quVw=")</f>
        <v>#REF!</v>
      </c>
      <c r="CP181" t="e">
        <f>AND(#REF!,"AAAAAH7quV0=")</f>
        <v>#REF!</v>
      </c>
      <c r="CQ181" t="e">
        <f>AND(#REF!,"AAAAAH7quV4=")</f>
        <v>#REF!</v>
      </c>
      <c r="CR181" t="e">
        <f>AND(#REF!,"AAAAAH7quV8=")</f>
        <v>#REF!</v>
      </c>
      <c r="CS181" t="e">
        <f>AND(#REF!,"AAAAAH7quWA=")</f>
        <v>#REF!</v>
      </c>
      <c r="CT181" t="e">
        <f>AND(#REF!,"AAAAAH7quWE=")</f>
        <v>#REF!</v>
      </c>
      <c r="CU181" t="e">
        <f>AND(#REF!,"AAAAAH7quWI=")</f>
        <v>#REF!</v>
      </c>
      <c r="CV181" t="e">
        <f>AND(#REF!,"AAAAAH7quWM=")</f>
        <v>#REF!</v>
      </c>
      <c r="CW181" t="e">
        <f>AND(#REF!,"AAAAAH7quWQ=")</f>
        <v>#REF!</v>
      </c>
      <c r="CX181" t="e">
        <f>AND(#REF!,"AAAAAH7quWU=")</f>
        <v>#REF!</v>
      </c>
      <c r="CY181" t="e">
        <f>AND(#REF!,"AAAAAH7quWY=")</f>
        <v>#REF!</v>
      </c>
      <c r="CZ181" t="e">
        <f>AND(#REF!,"AAAAAH7quWc=")</f>
        <v>#REF!</v>
      </c>
      <c r="DA181" t="e">
        <f>AND(#REF!,"AAAAAH7quWg=")</f>
        <v>#REF!</v>
      </c>
      <c r="DB181" t="e">
        <f>AND(#REF!,"AAAAAH7quWk=")</f>
        <v>#REF!</v>
      </c>
      <c r="DC181" t="e">
        <f>AND(#REF!,"AAAAAH7quWo=")</f>
        <v>#REF!</v>
      </c>
      <c r="DD181" t="e">
        <f>AND(#REF!,"AAAAAH7quWs=")</f>
        <v>#REF!</v>
      </c>
      <c r="DE181" t="e">
        <f>AND(#REF!,"AAAAAH7quWw=")</f>
        <v>#REF!</v>
      </c>
      <c r="DF181" t="e">
        <f>AND(#REF!,"AAAAAH7quW0=")</f>
        <v>#REF!</v>
      </c>
      <c r="DG181" t="e">
        <f>AND(#REF!,"AAAAAH7quW4=")</f>
        <v>#REF!</v>
      </c>
      <c r="DH181" t="e">
        <f>AND(#REF!,"AAAAAH7quW8=")</f>
        <v>#REF!</v>
      </c>
      <c r="DI181" t="e">
        <f>AND(#REF!,"AAAAAH7quXA=")</f>
        <v>#REF!</v>
      </c>
      <c r="DJ181" t="e">
        <f>AND(#REF!,"AAAAAH7quXE=")</f>
        <v>#REF!</v>
      </c>
      <c r="DK181" t="e">
        <f>AND(#REF!,"AAAAAH7quXI=")</f>
        <v>#REF!</v>
      </c>
      <c r="DL181" t="e">
        <f>AND(#REF!,"AAAAAH7quXM=")</f>
        <v>#REF!</v>
      </c>
      <c r="DM181" t="e">
        <f>AND(#REF!,"AAAAAH7quXQ=")</f>
        <v>#REF!</v>
      </c>
      <c r="DN181" t="e">
        <f>AND(#REF!,"AAAAAH7quXU=")</f>
        <v>#REF!</v>
      </c>
      <c r="DO181" t="e">
        <f>AND(#REF!,"AAAAAH7quXY=")</f>
        <v>#REF!</v>
      </c>
      <c r="DP181" t="e">
        <f>AND(#REF!,"AAAAAH7quXc=")</f>
        <v>#REF!</v>
      </c>
      <c r="DQ181" t="e">
        <f>AND(#REF!,"AAAAAH7quXg=")</f>
        <v>#REF!</v>
      </c>
      <c r="DR181" t="e">
        <f>AND(#REF!,"AAAAAH7quXk=")</f>
        <v>#REF!</v>
      </c>
      <c r="DS181" t="e">
        <f>AND(#REF!,"AAAAAH7quXo=")</f>
        <v>#REF!</v>
      </c>
      <c r="DT181" t="e">
        <f>AND(#REF!,"AAAAAH7quXs=")</f>
        <v>#REF!</v>
      </c>
      <c r="DU181" t="e">
        <f>AND(#REF!,"AAAAAH7quXw=")</f>
        <v>#REF!</v>
      </c>
      <c r="DV181" t="e">
        <f>AND(#REF!,"AAAAAH7quX0=")</f>
        <v>#REF!</v>
      </c>
      <c r="DW181" t="e">
        <f>AND(#REF!,"AAAAAH7quX4=")</f>
        <v>#REF!</v>
      </c>
      <c r="DX181" t="e">
        <f>AND(#REF!,"AAAAAH7quX8=")</f>
        <v>#REF!</v>
      </c>
      <c r="DY181" t="e">
        <f>AND(#REF!,"AAAAAH7quYA=")</f>
        <v>#REF!</v>
      </c>
      <c r="DZ181" t="e">
        <f>AND(#REF!,"AAAAAH7quYE=")</f>
        <v>#REF!</v>
      </c>
      <c r="EA181" t="e">
        <f>AND(#REF!,"AAAAAH7quYI=")</f>
        <v>#REF!</v>
      </c>
      <c r="EB181" t="e">
        <f>AND(#REF!,"AAAAAH7quYM=")</f>
        <v>#REF!</v>
      </c>
      <c r="EC181" t="e">
        <f>AND(#REF!,"AAAAAH7quYQ=")</f>
        <v>#REF!</v>
      </c>
      <c r="ED181" t="e">
        <f>AND(#REF!,"AAAAAH7quYU=")</f>
        <v>#REF!</v>
      </c>
      <c r="EE181" t="e">
        <f>AND(#REF!,"AAAAAH7quYY=")</f>
        <v>#REF!</v>
      </c>
      <c r="EF181" t="e">
        <f>AND(#REF!,"AAAAAH7quYc=")</f>
        <v>#REF!</v>
      </c>
      <c r="EG181" t="e">
        <f>AND(#REF!,"AAAAAH7quYg=")</f>
        <v>#REF!</v>
      </c>
      <c r="EH181" t="e">
        <f>AND(#REF!,"AAAAAH7quYk=")</f>
        <v>#REF!</v>
      </c>
      <c r="EI181" t="e">
        <f>AND(#REF!,"AAAAAH7quYo=")</f>
        <v>#REF!</v>
      </c>
      <c r="EJ181" t="e">
        <f>AND(#REF!,"AAAAAH7quYs=")</f>
        <v>#REF!</v>
      </c>
      <c r="EK181" t="e">
        <f>AND(#REF!,"AAAAAH7quYw=")</f>
        <v>#REF!</v>
      </c>
      <c r="EL181" t="e">
        <f>AND(#REF!,"AAAAAH7quY0=")</f>
        <v>#REF!</v>
      </c>
      <c r="EM181" t="e">
        <f>AND(#REF!,"AAAAAH7quY4=")</f>
        <v>#REF!</v>
      </c>
      <c r="EN181" t="e">
        <f>AND(#REF!,"AAAAAH7quY8=")</f>
        <v>#REF!</v>
      </c>
      <c r="EO181" t="e">
        <f>AND(#REF!,"AAAAAH7quZA=")</f>
        <v>#REF!</v>
      </c>
      <c r="EP181" t="e">
        <f>AND(#REF!,"AAAAAH7quZE=")</f>
        <v>#REF!</v>
      </c>
      <c r="EQ181" t="e">
        <f>AND(#REF!,"AAAAAH7quZI=")</f>
        <v>#REF!</v>
      </c>
      <c r="ER181" t="e">
        <f>AND(#REF!,"AAAAAH7quZM=")</f>
        <v>#REF!</v>
      </c>
      <c r="ES181" t="e">
        <f>AND(#REF!,"AAAAAH7quZQ=")</f>
        <v>#REF!</v>
      </c>
      <c r="ET181" t="e">
        <f>AND(#REF!,"AAAAAH7quZU=")</f>
        <v>#REF!</v>
      </c>
      <c r="EU181" t="e">
        <f>AND(#REF!,"AAAAAH7quZY=")</f>
        <v>#REF!</v>
      </c>
      <c r="EV181" t="e">
        <f>AND(#REF!,"AAAAAH7quZc=")</f>
        <v>#REF!</v>
      </c>
      <c r="EW181" t="e">
        <f>AND(#REF!,"AAAAAH7quZg=")</f>
        <v>#REF!</v>
      </c>
      <c r="EX181" t="e">
        <f>AND(#REF!,"AAAAAH7quZk=")</f>
        <v>#REF!</v>
      </c>
      <c r="EY181" t="e">
        <f>AND(#REF!,"AAAAAH7quZo=")</f>
        <v>#REF!</v>
      </c>
      <c r="EZ181" t="e">
        <f>AND(#REF!,"AAAAAH7quZs=")</f>
        <v>#REF!</v>
      </c>
      <c r="FA181" t="e">
        <f>AND(#REF!,"AAAAAH7quZw=")</f>
        <v>#REF!</v>
      </c>
      <c r="FB181" t="e">
        <f>AND(#REF!,"AAAAAH7quZ0=")</f>
        <v>#REF!</v>
      </c>
      <c r="FC181" t="e">
        <f>AND(#REF!,"AAAAAH7quZ4=")</f>
        <v>#REF!</v>
      </c>
      <c r="FD181" t="e">
        <f>AND(#REF!,"AAAAAH7quZ8=")</f>
        <v>#REF!</v>
      </c>
      <c r="FE181" t="e">
        <f>AND(#REF!,"AAAAAH7quaA=")</f>
        <v>#REF!</v>
      </c>
      <c r="FF181" t="e">
        <f>AND(#REF!,"AAAAAH7quaE=")</f>
        <v>#REF!</v>
      </c>
      <c r="FG181" t="e">
        <f>AND(#REF!,"AAAAAH7quaI=")</f>
        <v>#REF!</v>
      </c>
      <c r="FH181" t="e">
        <f>AND(#REF!,"AAAAAH7quaM=")</f>
        <v>#REF!</v>
      </c>
      <c r="FI181" t="e">
        <f>AND(#REF!,"AAAAAH7quaQ=")</f>
        <v>#REF!</v>
      </c>
      <c r="FJ181" t="e">
        <f>AND(#REF!,"AAAAAH7quaU=")</f>
        <v>#REF!</v>
      </c>
      <c r="FK181" t="e">
        <f>AND(#REF!,"AAAAAH7quaY=")</f>
        <v>#REF!</v>
      </c>
      <c r="FL181" t="e">
        <f>AND(#REF!,"AAAAAH7quac=")</f>
        <v>#REF!</v>
      </c>
      <c r="FM181" t="e">
        <f>AND(#REF!,"AAAAAH7quag=")</f>
        <v>#REF!</v>
      </c>
      <c r="FN181" t="e">
        <f>AND(#REF!,"AAAAAH7quak=")</f>
        <v>#REF!</v>
      </c>
      <c r="FO181" t="e">
        <f>AND(#REF!,"AAAAAH7quao=")</f>
        <v>#REF!</v>
      </c>
      <c r="FP181" t="e">
        <f>AND(#REF!,"AAAAAH7quas=")</f>
        <v>#REF!</v>
      </c>
      <c r="FQ181" t="e">
        <f>AND(#REF!,"AAAAAH7quaw=")</f>
        <v>#REF!</v>
      </c>
      <c r="FR181" t="e">
        <f>AND(#REF!,"AAAAAH7qua0=")</f>
        <v>#REF!</v>
      </c>
      <c r="FS181" t="e">
        <f>AND(#REF!,"AAAAAH7qua4=")</f>
        <v>#REF!</v>
      </c>
      <c r="FT181" t="e">
        <f>AND(#REF!,"AAAAAH7qua8=")</f>
        <v>#REF!</v>
      </c>
      <c r="FU181" t="e">
        <f>AND(#REF!,"AAAAAH7qubA=")</f>
        <v>#REF!</v>
      </c>
      <c r="FV181" t="e">
        <f>AND(#REF!,"AAAAAH7qubE=")</f>
        <v>#REF!</v>
      </c>
      <c r="FW181" t="e">
        <f>AND(#REF!,"AAAAAH7qubI=")</f>
        <v>#REF!</v>
      </c>
      <c r="FX181" t="e">
        <f>AND(#REF!,"AAAAAH7qubM=")</f>
        <v>#REF!</v>
      </c>
      <c r="FY181" t="e">
        <f>AND(#REF!,"AAAAAH7qubQ=")</f>
        <v>#REF!</v>
      </c>
      <c r="FZ181" t="e">
        <f>IF(#REF!,"AAAAAH7qubU=",0)</f>
        <v>#REF!</v>
      </c>
      <c r="GA181" t="e">
        <f>AND(#REF!,"AAAAAH7qubY=")</f>
        <v>#REF!</v>
      </c>
      <c r="GB181" t="e">
        <f>AND(#REF!,"AAAAAH7qubc=")</f>
        <v>#REF!</v>
      </c>
      <c r="GC181" t="e">
        <f>AND(#REF!,"AAAAAH7qubg=")</f>
        <v>#REF!</v>
      </c>
      <c r="GD181" t="e">
        <f>AND(#REF!,"AAAAAH7qubk=")</f>
        <v>#REF!</v>
      </c>
      <c r="GE181" t="e">
        <f>AND(#REF!,"AAAAAH7qubo=")</f>
        <v>#REF!</v>
      </c>
      <c r="GF181" t="e">
        <f>AND(#REF!,"AAAAAH7qubs=")</f>
        <v>#REF!</v>
      </c>
      <c r="GG181" t="e">
        <f>AND(#REF!,"AAAAAH7qubw=")</f>
        <v>#REF!</v>
      </c>
      <c r="GH181" t="e">
        <f>AND(#REF!,"AAAAAH7qub0=")</f>
        <v>#REF!</v>
      </c>
      <c r="GI181" t="e">
        <f>AND(#REF!,"AAAAAH7qub4=")</f>
        <v>#REF!</v>
      </c>
      <c r="GJ181" t="e">
        <f>AND(#REF!,"AAAAAH7qub8=")</f>
        <v>#REF!</v>
      </c>
      <c r="GK181" t="e">
        <f>AND(#REF!,"AAAAAH7qucA=")</f>
        <v>#REF!</v>
      </c>
      <c r="GL181" t="e">
        <f>AND(#REF!,"AAAAAH7qucE=")</f>
        <v>#REF!</v>
      </c>
      <c r="GM181" t="e">
        <f>AND(#REF!,"AAAAAH7qucI=")</f>
        <v>#REF!</v>
      </c>
      <c r="GN181" t="e">
        <f>AND(#REF!,"AAAAAH7qucM=")</f>
        <v>#REF!</v>
      </c>
      <c r="GO181" t="e">
        <f>AND(#REF!,"AAAAAH7qucQ=")</f>
        <v>#REF!</v>
      </c>
      <c r="GP181" t="e">
        <f>AND(#REF!,"AAAAAH7qucU=")</f>
        <v>#REF!</v>
      </c>
      <c r="GQ181" t="e">
        <f>AND(#REF!,"AAAAAH7qucY=")</f>
        <v>#REF!</v>
      </c>
      <c r="GR181" t="e">
        <f>AND(#REF!,"AAAAAH7qucc=")</f>
        <v>#REF!</v>
      </c>
      <c r="GS181" t="e">
        <f>AND(#REF!,"AAAAAH7qucg=")</f>
        <v>#REF!</v>
      </c>
      <c r="GT181" t="e">
        <f>AND(#REF!,"AAAAAH7quck=")</f>
        <v>#REF!</v>
      </c>
      <c r="GU181" t="e">
        <f>AND(#REF!,"AAAAAH7quco=")</f>
        <v>#REF!</v>
      </c>
      <c r="GV181" t="e">
        <f>AND(#REF!,"AAAAAH7qucs=")</f>
        <v>#REF!</v>
      </c>
      <c r="GW181" t="e">
        <f>AND(#REF!,"AAAAAH7qucw=")</f>
        <v>#REF!</v>
      </c>
      <c r="GX181" t="e">
        <f>AND(#REF!,"AAAAAH7quc0=")</f>
        <v>#REF!</v>
      </c>
      <c r="GY181" t="e">
        <f>AND(#REF!,"AAAAAH7quc4=")</f>
        <v>#REF!</v>
      </c>
      <c r="GZ181" t="e">
        <f>AND(#REF!,"AAAAAH7quc8=")</f>
        <v>#REF!</v>
      </c>
      <c r="HA181" t="e">
        <f>AND(#REF!,"AAAAAH7qudA=")</f>
        <v>#REF!</v>
      </c>
      <c r="HB181" t="e">
        <f>AND(#REF!,"AAAAAH7qudE=")</f>
        <v>#REF!</v>
      </c>
      <c r="HC181" t="e">
        <f>AND(#REF!,"AAAAAH7qudI=")</f>
        <v>#REF!</v>
      </c>
      <c r="HD181" t="e">
        <f>AND(#REF!,"AAAAAH7qudM=")</f>
        <v>#REF!</v>
      </c>
      <c r="HE181" t="e">
        <f>AND(#REF!,"AAAAAH7qudQ=")</f>
        <v>#REF!</v>
      </c>
      <c r="HF181" t="e">
        <f>AND(#REF!,"AAAAAH7qudU=")</f>
        <v>#REF!</v>
      </c>
      <c r="HG181" t="e">
        <f>AND(#REF!,"AAAAAH7qudY=")</f>
        <v>#REF!</v>
      </c>
      <c r="HH181" t="e">
        <f>AND(#REF!,"AAAAAH7qudc=")</f>
        <v>#REF!</v>
      </c>
      <c r="HI181" t="e">
        <f>AND(#REF!,"AAAAAH7qudg=")</f>
        <v>#REF!</v>
      </c>
      <c r="HJ181" t="e">
        <f>AND(#REF!,"AAAAAH7qudk=")</f>
        <v>#REF!</v>
      </c>
      <c r="HK181" t="e">
        <f>AND(#REF!,"AAAAAH7qudo=")</f>
        <v>#REF!</v>
      </c>
      <c r="HL181" t="e">
        <f>AND(#REF!,"AAAAAH7quds=")</f>
        <v>#REF!</v>
      </c>
      <c r="HM181" t="e">
        <f>AND(#REF!,"AAAAAH7qudw=")</f>
        <v>#REF!</v>
      </c>
      <c r="HN181" t="e">
        <f>AND(#REF!,"AAAAAH7qud0=")</f>
        <v>#REF!</v>
      </c>
      <c r="HO181" t="e">
        <f>AND(#REF!,"AAAAAH7qud4=")</f>
        <v>#REF!</v>
      </c>
      <c r="HP181" t="e">
        <f>AND(#REF!,"AAAAAH7qud8=")</f>
        <v>#REF!</v>
      </c>
      <c r="HQ181" t="e">
        <f>AND(#REF!,"AAAAAH7queA=")</f>
        <v>#REF!</v>
      </c>
      <c r="HR181" t="e">
        <f>AND(#REF!,"AAAAAH7queE=")</f>
        <v>#REF!</v>
      </c>
      <c r="HS181" t="e">
        <f>AND(#REF!,"AAAAAH7queI=")</f>
        <v>#REF!</v>
      </c>
      <c r="HT181" t="e">
        <f>AND(#REF!,"AAAAAH7queM=")</f>
        <v>#REF!</v>
      </c>
      <c r="HU181" t="e">
        <f>AND(#REF!,"AAAAAH7queQ=")</f>
        <v>#REF!</v>
      </c>
      <c r="HV181" t="e">
        <f>AND(#REF!,"AAAAAH7queU=")</f>
        <v>#REF!</v>
      </c>
      <c r="HW181" t="e">
        <f>AND(#REF!,"AAAAAH7queY=")</f>
        <v>#REF!</v>
      </c>
      <c r="HX181" t="e">
        <f>AND(#REF!,"AAAAAH7quec=")</f>
        <v>#REF!</v>
      </c>
      <c r="HY181" t="e">
        <f>AND(#REF!,"AAAAAH7queg=")</f>
        <v>#REF!</v>
      </c>
      <c r="HZ181" t="e">
        <f>AND(#REF!,"AAAAAH7quek=")</f>
        <v>#REF!</v>
      </c>
      <c r="IA181" t="e">
        <f>AND(#REF!,"AAAAAH7queo=")</f>
        <v>#REF!</v>
      </c>
      <c r="IB181" t="e">
        <f>AND(#REF!,"AAAAAH7ques=")</f>
        <v>#REF!</v>
      </c>
      <c r="IC181" t="e">
        <f>AND(#REF!,"AAAAAH7quew=")</f>
        <v>#REF!</v>
      </c>
      <c r="ID181" t="e">
        <f>AND(#REF!,"AAAAAH7que0=")</f>
        <v>#REF!</v>
      </c>
      <c r="IE181" t="e">
        <f>AND(#REF!,"AAAAAH7que4=")</f>
        <v>#REF!</v>
      </c>
      <c r="IF181" t="e">
        <f>AND(#REF!,"AAAAAH7que8=")</f>
        <v>#REF!</v>
      </c>
      <c r="IG181" t="e">
        <f>AND(#REF!,"AAAAAH7qufA=")</f>
        <v>#REF!</v>
      </c>
      <c r="IH181" t="e">
        <f>AND(#REF!,"AAAAAH7qufE=")</f>
        <v>#REF!</v>
      </c>
      <c r="II181" t="e">
        <f>AND(#REF!,"AAAAAH7qufI=")</f>
        <v>#REF!</v>
      </c>
      <c r="IJ181" t="e">
        <f>AND(#REF!,"AAAAAH7qufM=")</f>
        <v>#REF!</v>
      </c>
      <c r="IK181" t="e">
        <f>AND(#REF!,"AAAAAH7qufQ=")</f>
        <v>#REF!</v>
      </c>
      <c r="IL181" t="e">
        <f>AND(#REF!,"AAAAAH7qufU=")</f>
        <v>#REF!</v>
      </c>
      <c r="IM181" t="e">
        <f>AND(#REF!,"AAAAAH7qufY=")</f>
        <v>#REF!</v>
      </c>
      <c r="IN181" t="e">
        <f>AND(#REF!,"AAAAAH7qufc=")</f>
        <v>#REF!</v>
      </c>
      <c r="IO181" t="e">
        <f>AND(#REF!,"AAAAAH7qufg=")</f>
        <v>#REF!</v>
      </c>
      <c r="IP181" t="e">
        <f>AND(#REF!,"AAAAAH7qufk=")</f>
        <v>#REF!</v>
      </c>
      <c r="IQ181" t="e">
        <f>AND(#REF!,"AAAAAH7qufo=")</f>
        <v>#REF!</v>
      </c>
      <c r="IR181" t="e">
        <f>AND(#REF!,"AAAAAH7qufs=")</f>
        <v>#REF!</v>
      </c>
      <c r="IS181" t="e">
        <f>AND(#REF!,"AAAAAH7qufw=")</f>
        <v>#REF!</v>
      </c>
      <c r="IT181" t="e">
        <f>AND(#REF!,"AAAAAH7quf0=")</f>
        <v>#REF!</v>
      </c>
      <c r="IU181" t="e">
        <f>AND(#REF!,"AAAAAH7quf4=")</f>
        <v>#REF!</v>
      </c>
      <c r="IV181" t="e">
        <f>AND(#REF!,"AAAAAH7quf8=")</f>
        <v>#REF!</v>
      </c>
    </row>
    <row r="182" spans="1:256" x14ac:dyDescent="0.25">
      <c r="A182" t="e">
        <f>AND(#REF!,"AAAAAG/q/wA=")</f>
        <v>#REF!</v>
      </c>
      <c r="B182" t="e">
        <f>AND(#REF!,"AAAAAG/q/wE=")</f>
        <v>#REF!</v>
      </c>
      <c r="C182" t="e">
        <f>AND(#REF!,"AAAAAG/q/wI=")</f>
        <v>#REF!</v>
      </c>
      <c r="D182" t="e">
        <f>AND(#REF!,"AAAAAG/q/wM=")</f>
        <v>#REF!</v>
      </c>
      <c r="E182" t="e">
        <f>AND(#REF!,"AAAAAG/q/wQ=")</f>
        <v>#REF!</v>
      </c>
      <c r="F182" t="e">
        <f>AND(#REF!,"AAAAAG/q/wU=")</f>
        <v>#REF!</v>
      </c>
      <c r="G182" t="e">
        <f>AND(#REF!,"AAAAAG/q/wY=")</f>
        <v>#REF!</v>
      </c>
      <c r="H182" t="e">
        <f>AND(#REF!,"AAAAAG/q/wc=")</f>
        <v>#REF!</v>
      </c>
      <c r="I182" t="e">
        <f>AND(#REF!,"AAAAAG/q/wg=")</f>
        <v>#REF!</v>
      </c>
      <c r="J182" t="e">
        <f>AND(#REF!,"AAAAAG/q/wk=")</f>
        <v>#REF!</v>
      </c>
      <c r="K182" t="e">
        <f>AND(#REF!,"AAAAAG/q/wo=")</f>
        <v>#REF!</v>
      </c>
      <c r="L182" t="e">
        <f>AND(#REF!,"AAAAAG/q/ws=")</f>
        <v>#REF!</v>
      </c>
      <c r="M182" t="e">
        <f>AND(#REF!,"AAAAAG/q/ww=")</f>
        <v>#REF!</v>
      </c>
      <c r="N182" t="e">
        <f>AND(#REF!,"AAAAAG/q/w0=")</f>
        <v>#REF!</v>
      </c>
      <c r="O182" t="e">
        <f>AND(#REF!,"AAAAAG/q/w4=")</f>
        <v>#REF!</v>
      </c>
      <c r="P182" t="e">
        <f>AND(#REF!,"AAAAAG/q/w8=")</f>
        <v>#REF!</v>
      </c>
      <c r="Q182" t="e">
        <f>AND(#REF!,"AAAAAG/q/xA=")</f>
        <v>#REF!</v>
      </c>
      <c r="R182" t="e">
        <f>AND(#REF!,"AAAAAG/q/xE=")</f>
        <v>#REF!</v>
      </c>
      <c r="S182" t="e">
        <f>AND(#REF!,"AAAAAG/q/xI=")</f>
        <v>#REF!</v>
      </c>
      <c r="T182" t="e">
        <f>AND(#REF!,"AAAAAG/q/xM=")</f>
        <v>#REF!</v>
      </c>
      <c r="U182" t="e">
        <f>AND(#REF!,"AAAAAG/q/xQ=")</f>
        <v>#REF!</v>
      </c>
      <c r="V182" t="e">
        <f>AND(#REF!,"AAAAAG/q/xU=")</f>
        <v>#REF!</v>
      </c>
      <c r="W182" t="e">
        <f>AND(#REF!,"AAAAAG/q/xY=")</f>
        <v>#REF!</v>
      </c>
      <c r="X182" t="e">
        <f>AND(#REF!,"AAAAAG/q/xc=")</f>
        <v>#REF!</v>
      </c>
      <c r="Y182" t="e">
        <f>AND(#REF!,"AAAAAG/q/xg=")</f>
        <v>#REF!</v>
      </c>
      <c r="Z182" t="e">
        <f>AND(#REF!,"AAAAAG/q/xk=")</f>
        <v>#REF!</v>
      </c>
      <c r="AA182" t="e">
        <f>AND(#REF!,"AAAAAG/q/xo=")</f>
        <v>#REF!</v>
      </c>
      <c r="AB182" t="e">
        <f>AND(#REF!,"AAAAAG/q/xs=")</f>
        <v>#REF!</v>
      </c>
      <c r="AC182" t="e">
        <f>AND(#REF!,"AAAAAG/q/xw=")</f>
        <v>#REF!</v>
      </c>
      <c r="AD182" t="e">
        <f>AND(#REF!,"AAAAAG/q/x0=")</f>
        <v>#REF!</v>
      </c>
      <c r="AE182" t="e">
        <f>AND(#REF!,"AAAAAG/q/x4=")</f>
        <v>#REF!</v>
      </c>
      <c r="AF182" t="e">
        <f>AND(#REF!,"AAAAAG/q/x8=")</f>
        <v>#REF!</v>
      </c>
      <c r="AG182" t="e">
        <f>AND(#REF!,"AAAAAG/q/yA=")</f>
        <v>#REF!</v>
      </c>
      <c r="AH182" t="e">
        <f>AND(#REF!,"AAAAAG/q/yE=")</f>
        <v>#REF!</v>
      </c>
      <c r="AI182" t="e">
        <f>AND(#REF!,"AAAAAG/q/yI=")</f>
        <v>#REF!</v>
      </c>
      <c r="AJ182" t="e">
        <f>AND(#REF!,"AAAAAG/q/yM=")</f>
        <v>#REF!</v>
      </c>
      <c r="AK182" t="e">
        <f>AND(#REF!,"AAAAAG/q/yQ=")</f>
        <v>#REF!</v>
      </c>
      <c r="AL182" t="e">
        <f>AND(#REF!,"AAAAAG/q/yU=")</f>
        <v>#REF!</v>
      </c>
      <c r="AM182" t="e">
        <f>AND(#REF!,"AAAAAG/q/yY=")</f>
        <v>#REF!</v>
      </c>
      <c r="AN182" t="e">
        <f>AND(#REF!,"AAAAAG/q/yc=")</f>
        <v>#REF!</v>
      </c>
      <c r="AO182" t="e">
        <f>AND(#REF!,"AAAAAG/q/yg=")</f>
        <v>#REF!</v>
      </c>
      <c r="AP182" t="e">
        <f>AND(#REF!,"AAAAAG/q/yk=")</f>
        <v>#REF!</v>
      </c>
      <c r="AQ182" t="e">
        <f>AND(#REF!,"AAAAAG/q/yo=")</f>
        <v>#REF!</v>
      </c>
      <c r="AR182" t="e">
        <f>AND(#REF!,"AAAAAG/q/ys=")</f>
        <v>#REF!</v>
      </c>
      <c r="AS182" t="e">
        <f>AND(#REF!,"AAAAAG/q/yw=")</f>
        <v>#REF!</v>
      </c>
      <c r="AT182" t="e">
        <f>AND(#REF!,"AAAAAG/q/y0=")</f>
        <v>#REF!</v>
      </c>
      <c r="AU182" t="e">
        <f>AND(#REF!,"AAAAAG/q/y4=")</f>
        <v>#REF!</v>
      </c>
      <c r="AV182" t="e">
        <f>AND(#REF!,"AAAAAG/q/y8=")</f>
        <v>#REF!</v>
      </c>
      <c r="AW182" t="e">
        <f>AND(#REF!,"AAAAAG/q/zA=")</f>
        <v>#REF!</v>
      </c>
      <c r="AX182" t="e">
        <f>AND(#REF!,"AAAAAG/q/zE=")</f>
        <v>#REF!</v>
      </c>
      <c r="AY182" t="e">
        <f>AND(#REF!,"AAAAAG/q/zI=")</f>
        <v>#REF!</v>
      </c>
      <c r="AZ182" t="e">
        <f>AND(#REF!,"AAAAAG/q/zM=")</f>
        <v>#REF!</v>
      </c>
      <c r="BA182" t="e">
        <f>AND(#REF!,"AAAAAG/q/zQ=")</f>
        <v>#REF!</v>
      </c>
      <c r="BB182" t="e">
        <f>AND(#REF!,"AAAAAG/q/zU=")</f>
        <v>#REF!</v>
      </c>
      <c r="BC182" t="e">
        <f>AND(#REF!,"AAAAAG/q/zY=")</f>
        <v>#REF!</v>
      </c>
      <c r="BD182" t="e">
        <f>AND(#REF!,"AAAAAG/q/zc=")</f>
        <v>#REF!</v>
      </c>
      <c r="BE182" t="e">
        <f>AND(#REF!,"AAAAAG/q/zg=")</f>
        <v>#REF!</v>
      </c>
      <c r="BF182" t="e">
        <f>AND(#REF!,"AAAAAG/q/zk=")</f>
        <v>#REF!</v>
      </c>
      <c r="BG182" t="e">
        <f>AND(#REF!,"AAAAAG/q/zo=")</f>
        <v>#REF!</v>
      </c>
      <c r="BH182" t="e">
        <f>AND(#REF!,"AAAAAG/q/zs=")</f>
        <v>#REF!</v>
      </c>
      <c r="BI182" t="e">
        <f>AND(#REF!,"AAAAAG/q/zw=")</f>
        <v>#REF!</v>
      </c>
      <c r="BJ182" t="e">
        <f>AND(#REF!,"AAAAAG/q/z0=")</f>
        <v>#REF!</v>
      </c>
      <c r="BK182" t="e">
        <f>AND(#REF!,"AAAAAG/q/z4=")</f>
        <v>#REF!</v>
      </c>
      <c r="BL182" t="e">
        <f>AND(#REF!,"AAAAAG/q/z8=")</f>
        <v>#REF!</v>
      </c>
      <c r="BM182" t="e">
        <f>AND(#REF!,"AAAAAG/q/0A=")</f>
        <v>#REF!</v>
      </c>
      <c r="BN182" t="e">
        <f>AND(#REF!,"AAAAAG/q/0E=")</f>
        <v>#REF!</v>
      </c>
      <c r="BO182" t="e">
        <f>AND(#REF!,"AAAAAG/q/0I=")</f>
        <v>#REF!</v>
      </c>
      <c r="BP182" t="e">
        <f>AND(#REF!,"AAAAAG/q/0M=")</f>
        <v>#REF!</v>
      </c>
      <c r="BQ182" t="e">
        <f>AND(#REF!,"AAAAAG/q/0Q=")</f>
        <v>#REF!</v>
      </c>
      <c r="BR182" t="e">
        <f>AND(#REF!,"AAAAAG/q/0U=")</f>
        <v>#REF!</v>
      </c>
      <c r="BS182" t="e">
        <f>AND(#REF!,"AAAAAG/q/0Y=")</f>
        <v>#REF!</v>
      </c>
      <c r="BT182" t="e">
        <f>AND(#REF!,"AAAAAG/q/0c=")</f>
        <v>#REF!</v>
      </c>
      <c r="BU182" t="e">
        <f>AND(#REF!,"AAAAAG/q/0g=")</f>
        <v>#REF!</v>
      </c>
      <c r="BV182" t="e">
        <f>AND(#REF!,"AAAAAG/q/0k=")</f>
        <v>#REF!</v>
      </c>
      <c r="BW182" t="e">
        <f>AND(#REF!,"AAAAAG/q/0o=")</f>
        <v>#REF!</v>
      </c>
      <c r="BX182" t="e">
        <f>AND(#REF!,"AAAAAG/q/0s=")</f>
        <v>#REF!</v>
      </c>
      <c r="BY182" t="e">
        <f>AND(#REF!,"AAAAAG/q/0w=")</f>
        <v>#REF!</v>
      </c>
      <c r="BZ182" t="e">
        <f>AND(#REF!,"AAAAAG/q/00=")</f>
        <v>#REF!</v>
      </c>
      <c r="CA182" t="e">
        <f>AND(#REF!,"AAAAAG/q/04=")</f>
        <v>#REF!</v>
      </c>
      <c r="CB182" t="e">
        <f>AND(#REF!,"AAAAAG/q/08=")</f>
        <v>#REF!</v>
      </c>
      <c r="CC182" t="e">
        <f>AND(#REF!,"AAAAAG/q/1A=")</f>
        <v>#REF!</v>
      </c>
      <c r="CD182" t="e">
        <f>AND(#REF!,"AAAAAG/q/1E=")</f>
        <v>#REF!</v>
      </c>
      <c r="CE182" t="e">
        <f>AND(#REF!,"AAAAAG/q/1I=")</f>
        <v>#REF!</v>
      </c>
      <c r="CF182" t="e">
        <f>AND(#REF!,"AAAAAG/q/1M=")</f>
        <v>#REF!</v>
      </c>
      <c r="CG182" t="e">
        <f>AND(#REF!,"AAAAAG/q/1Q=")</f>
        <v>#REF!</v>
      </c>
      <c r="CH182" t="e">
        <f>AND(#REF!,"AAAAAG/q/1U=")</f>
        <v>#REF!</v>
      </c>
      <c r="CI182" t="e">
        <f>AND(#REF!,"AAAAAG/q/1Y=")</f>
        <v>#REF!</v>
      </c>
      <c r="CJ182" t="e">
        <f>AND(#REF!,"AAAAAG/q/1c=")</f>
        <v>#REF!</v>
      </c>
      <c r="CK182" t="e">
        <f>AND(#REF!,"AAAAAG/q/1g=")</f>
        <v>#REF!</v>
      </c>
      <c r="CL182" t="e">
        <f>AND(#REF!,"AAAAAG/q/1k=")</f>
        <v>#REF!</v>
      </c>
      <c r="CM182" t="e">
        <f>AND(#REF!,"AAAAAG/q/1o=")</f>
        <v>#REF!</v>
      </c>
      <c r="CN182" t="e">
        <f>AND(#REF!,"AAAAAG/q/1s=")</f>
        <v>#REF!</v>
      </c>
      <c r="CO182" t="e">
        <f>AND(#REF!,"AAAAAG/q/1w=")</f>
        <v>#REF!</v>
      </c>
      <c r="CP182" t="e">
        <f>AND(#REF!,"AAAAAG/q/10=")</f>
        <v>#REF!</v>
      </c>
      <c r="CQ182" t="e">
        <f>AND(#REF!,"AAAAAG/q/14=")</f>
        <v>#REF!</v>
      </c>
      <c r="CR182" t="e">
        <f>AND(#REF!,"AAAAAG/q/18=")</f>
        <v>#REF!</v>
      </c>
      <c r="CS182" t="e">
        <f>AND(#REF!,"AAAAAG/q/2A=")</f>
        <v>#REF!</v>
      </c>
      <c r="CT182" t="e">
        <f>AND(#REF!,"AAAAAG/q/2E=")</f>
        <v>#REF!</v>
      </c>
      <c r="CU182" t="e">
        <f>AND(#REF!,"AAAAAG/q/2I=")</f>
        <v>#REF!</v>
      </c>
      <c r="CV182" t="e">
        <f>AND(#REF!,"AAAAAG/q/2M=")</f>
        <v>#REF!</v>
      </c>
      <c r="CW182" t="e">
        <f>AND(#REF!,"AAAAAG/q/2Q=")</f>
        <v>#REF!</v>
      </c>
      <c r="CX182" t="e">
        <f>AND(#REF!,"AAAAAG/q/2U=")</f>
        <v>#REF!</v>
      </c>
      <c r="CY182" t="e">
        <f>AND(#REF!,"AAAAAG/q/2Y=")</f>
        <v>#REF!</v>
      </c>
      <c r="CZ182" t="e">
        <f>AND(#REF!,"AAAAAG/q/2c=")</f>
        <v>#REF!</v>
      </c>
      <c r="DA182" t="e">
        <f>AND(#REF!,"AAAAAG/q/2g=")</f>
        <v>#REF!</v>
      </c>
      <c r="DB182" t="e">
        <f>AND(#REF!,"AAAAAG/q/2k=")</f>
        <v>#REF!</v>
      </c>
      <c r="DC182" t="e">
        <f>AND(#REF!,"AAAAAG/q/2o=")</f>
        <v>#REF!</v>
      </c>
      <c r="DD182" t="e">
        <f>AND(#REF!,"AAAAAG/q/2s=")</f>
        <v>#REF!</v>
      </c>
      <c r="DE182" t="e">
        <f>AND(#REF!,"AAAAAG/q/2w=")</f>
        <v>#REF!</v>
      </c>
      <c r="DF182" t="e">
        <f>AND(#REF!,"AAAAAG/q/20=")</f>
        <v>#REF!</v>
      </c>
      <c r="DG182" t="e">
        <f>AND(#REF!,"AAAAAG/q/24=")</f>
        <v>#REF!</v>
      </c>
      <c r="DH182" t="e">
        <f>AND(#REF!,"AAAAAG/q/28=")</f>
        <v>#REF!</v>
      </c>
      <c r="DI182" t="e">
        <f>AND(#REF!,"AAAAAG/q/3A=")</f>
        <v>#REF!</v>
      </c>
      <c r="DJ182" t="e">
        <f>AND(#REF!,"AAAAAG/q/3E=")</f>
        <v>#REF!</v>
      </c>
      <c r="DK182" t="e">
        <f>IF(#REF!,"AAAAAG/q/3I=",0)</f>
        <v>#REF!</v>
      </c>
      <c r="DL182" t="e">
        <f>AND(#REF!,"AAAAAG/q/3M=")</f>
        <v>#REF!</v>
      </c>
      <c r="DM182" t="e">
        <f>AND(#REF!,"AAAAAG/q/3Q=")</f>
        <v>#REF!</v>
      </c>
      <c r="DN182" t="e">
        <f>AND(#REF!,"AAAAAG/q/3U=")</f>
        <v>#REF!</v>
      </c>
      <c r="DO182" t="e">
        <f>AND(#REF!,"AAAAAG/q/3Y=")</f>
        <v>#REF!</v>
      </c>
      <c r="DP182" t="e">
        <f>AND(#REF!,"AAAAAG/q/3c=")</f>
        <v>#REF!</v>
      </c>
      <c r="DQ182" t="e">
        <f>AND(#REF!,"AAAAAG/q/3g=")</f>
        <v>#REF!</v>
      </c>
      <c r="DR182" t="e">
        <f>AND(#REF!,"AAAAAG/q/3k=")</f>
        <v>#REF!</v>
      </c>
      <c r="DS182" t="e">
        <f>AND(#REF!,"AAAAAG/q/3o=")</f>
        <v>#REF!</v>
      </c>
      <c r="DT182" t="e">
        <f>AND(#REF!,"AAAAAG/q/3s=")</f>
        <v>#REF!</v>
      </c>
      <c r="DU182" t="e">
        <f>AND(#REF!,"AAAAAG/q/3w=")</f>
        <v>#REF!</v>
      </c>
      <c r="DV182" t="e">
        <f>AND(#REF!,"AAAAAG/q/30=")</f>
        <v>#REF!</v>
      </c>
      <c r="DW182" t="e">
        <f>AND(#REF!,"AAAAAG/q/34=")</f>
        <v>#REF!</v>
      </c>
      <c r="DX182" t="e">
        <f>AND(#REF!,"AAAAAG/q/38=")</f>
        <v>#REF!</v>
      </c>
      <c r="DY182" t="e">
        <f>AND(#REF!,"AAAAAG/q/4A=")</f>
        <v>#REF!</v>
      </c>
      <c r="DZ182" t="e">
        <f>AND(#REF!,"AAAAAG/q/4E=")</f>
        <v>#REF!</v>
      </c>
      <c r="EA182" t="e">
        <f>AND(#REF!,"AAAAAG/q/4I=")</f>
        <v>#REF!</v>
      </c>
      <c r="EB182" t="e">
        <f>AND(#REF!,"AAAAAG/q/4M=")</f>
        <v>#REF!</v>
      </c>
      <c r="EC182" t="e">
        <f>AND(#REF!,"AAAAAG/q/4Q=")</f>
        <v>#REF!</v>
      </c>
      <c r="ED182" t="e">
        <f>AND(#REF!,"AAAAAG/q/4U=")</f>
        <v>#REF!</v>
      </c>
      <c r="EE182" t="e">
        <f>AND(#REF!,"AAAAAG/q/4Y=")</f>
        <v>#REF!</v>
      </c>
      <c r="EF182" t="e">
        <f>AND(#REF!,"AAAAAG/q/4c=")</f>
        <v>#REF!</v>
      </c>
      <c r="EG182" t="e">
        <f>AND(#REF!,"AAAAAG/q/4g=")</f>
        <v>#REF!</v>
      </c>
      <c r="EH182" t="e">
        <f>AND(#REF!,"AAAAAG/q/4k=")</f>
        <v>#REF!</v>
      </c>
      <c r="EI182" t="e">
        <f>AND(#REF!,"AAAAAG/q/4o=")</f>
        <v>#REF!</v>
      </c>
      <c r="EJ182" t="e">
        <f>AND(#REF!,"AAAAAG/q/4s=")</f>
        <v>#REF!</v>
      </c>
      <c r="EK182" t="e">
        <f>AND(#REF!,"AAAAAG/q/4w=")</f>
        <v>#REF!</v>
      </c>
      <c r="EL182" t="e">
        <f>AND(#REF!,"AAAAAG/q/40=")</f>
        <v>#REF!</v>
      </c>
      <c r="EM182" t="e">
        <f>AND(#REF!,"AAAAAG/q/44=")</f>
        <v>#REF!</v>
      </c>
      <c r="EN182" t="e">
        <f>AND(#REF!,"AAAAAG/q/48=")</f>
        <v>#REF!</v>
      </c>
      <c r="EO182" t="e">
        <f>AND(#REF!,"AAAAAG/q/5A=")</f>
        <v>#REF!</v>
      </c>
      <c r="EP182" t="e">
        <f>AND(#REF!,"AAAAAG/q/5E=")</f>
        <v>#REF!</v>
      </c>
      <c r="EQ182" t="e">
        <f>AND(#REF!,"AAAAAG/q/5I=")</f>
        <v>#REF!</v>
      </c>
      <c r="ER182" t="e">
        <f>AND(#REF!,"AAAAAG/q/5M=")</f>
        <v>#REF!</v>
      </c>
      <c r="ES182" t="e">
        <f>AND(#REF!,"AAAAAG/q/5Q=")</f>
        <v>#REF!</v>
      </c>
      <c r="ET182" t="e">
        <f>AND(#REF!,"AAAAAG/q/5U=")</f>
        <v>#REF!</v>
      </c>
      <c r="EU182" t="e">
        <f>AND(#REF!,"AAAAAG/q/5Y=")</f>
        <v>#REF!</v>
      </c>
      <c r="EV182" t="e">
        <f>AND(#REF!,"AAAAAG/q/5c=")</f>
        <v>#REF!</v>
      </c>
      <c r="EW182" t="e">
        <f>AND(#REF!,"AAAAAG/q/5g=")</f>
        <v>#REF!</v>
      </c>
      <c r="EX182" t="e">
        <f>AND(#REF!,"AAAAAG/q/5k=")</f>
        <v>#REF!</v>
      </c>
      <c r="EY182" t="e">
        <f>AND(#REF!,"AAAAAG/q/5o=")</f>
        <v>#REF!</v>
      </c>
      <c r="EZ182" t="e">
        <f>AND(#REF!,"AAAAAG/q/5s=")</f>
        <v>#REF!</v>
      </c>
      <c r="FA182" t="e">
        <f>AND(#REF!,"AAAAAG/q/5w=")</f>
        <v>#REF!</v>
      </c>
      <c r="FB182" t="e">
        <f>AND(#REF!,"AAAAAG/q/50=")</f>
        <v>#REF!</v>
      </c>
      <c r="FC182" t="e">
        <f>AND(#REF!,"AAAAAG/q/54=")</f>
        <v>#REF!</v>
      </c>
      <c r="FD182" t="e">
        <f>AND(#REF!,"AAAAAG/q/58=")</f>
        <v>#REF!</v>
      </c>
      <c r="FE182" t="e">
        <f>AND(#REF!,"AAAAAG/q/6A=")</f>
        <v>#REF!</v>
      </c>
      <c r="FF182" t="e">
        <f>AND(#REF!,"AAAAAG/q/6E=")</f>
        <v>#REF!</v>
      </c>
      <c r="FG182" t="e">
        <f>AND(#REF!,"AAAAAG/q/6I=")</f>
        <v>#REF!</v>
      </c>
      <c r="FH182" t="e">
        <f>AND(#REF!,"AAAAAG/q/6M=")</f>
        <v>#REF!</v>
      </c>
      <c r="FI182" t="e">
        <f>AND(#REF!,"AAAAAG/q/6Q=")</f>
        <v>#REF!</v>
      </c>
      <c r="FJ182" t="e">
        <f>AND(#REF!,"AAAAAG/q/6U=")</f>
        <v>#REF!</v>
      </c>
      <c r="FK182" t="e">
        <f>AND(#REF!,"AAAAAG/q/6Y=")</f>
        <v>#REF!</v>
      </c>
      <c r="FL182" t="e">
        <f>AND(#REF!,"AAAAAG/q/6c=")</f>
        <v>#REF!</v>
      </c>
      <c r="FM182" t="e">
        <f>AND(#REF!,"AAAAAG/q/6g=")</f>
        <v>#REF!</v>
      </c>
      <c r="FN182" t="e">
        <f>AND(#REF!,"AAAAAG/q/6k=")</f>
        <v>#REF!</v>
      </c>
      <c r="FO182" t="e">
        <f>AND(#REF!,"AAAAAG/q/6o=")</f>
        <v>#REF!</v>
      </c>
      <c r="FP182" t="e">
        <f>AND(#REF!,"AAAAAG/q/6s=")</f>
        <v>#REF!</v>
      </c>
      <c r="FQ182" t="e">
        <f>AND(#REF!,"AAAAAG/q/6w=")</f>
        <v>#REF!</v>
      </c>
      <c r="FR182" t="e">
        <f>AND(#REF!,"AAAAAG/q/60=")</f>
        <v>#REF!</v>
      </c>
      <c r="FS182" t="e">
        <f>AND(#REF!,"AAAAAG/q/64=")</f>
        <v>#REF!</v>
      </c>
      <c r="FT182" t="e">
        <f>AND(#REF!,"AAAAAG/q/68=")</f>
        <v>#REF!</v>
      </c>
      <c r="FU182" t="e">
        <f>AND(#REF!,"AAAAAG/q/7A=")</f>
        <v>#REF!</v>
      </c>
      <c r="FV182" t="e">
        <f>AND(#REF!,"AAAAAG/q/7E=")</f>
        <v>#REF!</v>
      </c>
      <c r="FW182" t="e">
        <f>AND(#REF!,"AAAAAG/q/7I=")</f>
        <v>#REF!</v>
      </c>
      <c r="FX182" t="e">
        <f>AND(#REF!,"AAAAAG/q/7M=")</f>
        <v>#REF!</v>
      </c>
      <c r="FY182" t="e">
        <f>AND(#REF!,"AAAAAG/q/7Q=")</f>
        <v>#REF!</v>
      </c>
      <c r="FZ182" t="e">
        <f>AND(#REF!,"AAAAAG/q/7U=")</f>
        <v>#REF!</v>
      </c>
      <c r="GA182" t="e">
        <f>AND(#REF!,"AAAAAG/q/7Y=")</f>
        <v>#REF!</v>
      </c>
      <c r="GB182" t="e">
        <f>AND(#REF!,"AAAAAG/q/7c=")</f>
        <v>#REF!</v>
      </c>
      <c r="GC182" t="e">
        <f>AND(#REF!,"AAAAAG/q/7g=")</f>
        <v>#REF!</v>
      </c>
      <c r="GD182" t="e">
        <f>AND(#REF!,"AAAAAG/q/7k=")</f>
        <v>#REF!</v>
      </c>
      <c r="GE182" t="e">
        <f>AND(#REF!,"AAAAAG/q/7o=")</f>
        <v>#REF!</v>
      </c>
      <c r="GF182" t="e">
        <f>AND(#REF!,"AAAAAG/q/7s=")</f>
        <v>#REF!</v>
      </c>
      <c r="GG182" t="e">
        <f>AND(#REF!,"AAAAAG/q/7w=")</f>
        <v>#REF!</v>
      </c>
      <c r="GH182" t="e">
        <f>AND(#REF!,"AAAAAG/q/70=")</f>
        <v>#REF!</v>
      </c>
      <c r="GI182" t="e">
        <f>AND(#REF!,"AAAAAG/q/74=")</f>
        <v>#REF!</v>
      </c>
      <c r="GJ182" t="e">
        <f>AND(#REF!,"AAAAAG/q/78=")</f>
        <v>#REF!</v>
      </c>
      <c r="GK182" t="e">
        <f>AND(#REF!,"AAAAAG/q/8A=")</f>
        <v>#REF!</v>
      </c>
      <c r="GL182" t="e">
        <f>AND(#REF!,"AAAAAG/q/8E=")</f>
        <v>#REF!</v>
      </c>
      <c r="GM182" t="e">
        <f>AND(#REF!,"AAAAAG/q/8I=")</f>
        <v>#REF!</v>
      </c>
      <c r="GN182" t="e">
        <f>AND(#REF!,"AAAAAG/q/8M=")</f>
        <v>#REF!</v>
      </c>
      <c r="GO182" t="e">
        <f>AND(#REF!,"AAAAAG/q/8Q=")</f>
        <v>#REF!</v>
      </c>
      <c r="GP182" t="e">
        <f>AND(#REF!,"AAAAAG/q/8U=")</f>
        <v>#REF!</v>
      </c>
      <c r="GQ182" t="e">
        <f>AND(#REF!,"AAAAAG/q/8Y=")</f>
        <v>#REF!</v>
      </c>
      <c r="GR182" t="e">
        <f>AND(#REF!,"AAAAAG/q/8c=")</f>
        <v>#REF!</v>
      </c>
      <c r="GS182" t="e">
        <f>AND(#REF!,"AAAAAG/q/8g=")</f>
        <v>#REF!</v>
      </c>
      <c r="GT182" t="e">
        <f>AND(#REF!,"AAAAAG/q/8k=")</f>
        <v>#REF!</v>
      </c>
      <c r="GU182" t="e">
        <f>AND(#REF!,"AAAAAG/q/8o=")</f>
        <v>#REF!</v>
      </c>
      <c r="GV182" t="e">
        <f>AND(#REF!,"AAAAAG/q/8s=")</f>
        <v>#REF!</v>
      </c>
      <c r="GW182" t="e">
        <f>AND(#REF!,"AAAAAG/q/8w=")</f>
        <v>#REF!</v>
      </c>
      <c r="GX182" t="e">
        <f>AND(#REF!,"AAAAAG/q/80=")</f>
        <v>#REF!</v>
      </c>
      <c r="GY182" t="e">
        <f>AND(#REF!,"AAAAAG/q/84=")</f>
        <v>#REF!</v>
      </c>
      <c r="GZ182" t="e">
        <f>AND(#REF!,"AAAAAG/q/88=")</f>
        <v>#REF!</v>
      </c>
      <c r="HA182" t="e">
        <f>AND(#REF!,"AAAAAG/q/9A=")</f>
        <v>#REF!</v>
      </c>
      <c r="HB182" t="e">
        <f>AND(#REF!,"AAAAAG/q/9E=")</f>
        <v>#REF!</v>
      </c>
      <c r="HC182" t="e">
        <f>AND(#REF!,"AAAAAG/q/9I=")</f>
        <v>#REF!</v>
      </c>
      <c r="HD182" t="e">
        <f>AND(#REF!,"AAAAAG/q/9M=")</f>
        <v>#REF!</v>
      </c>
      <c r="HE182" t="e">
        <f>AND(#REF!,"AAAAAG/q/9Q=")</f>
        <v>#REF!</v>
      </c>
      <c r="HF182" t="e">
        <f>AND(#REF!,"AAAAAG/q/9U=")</f>
        <v>#REF!</v>
      </c>
      <c r="HG182" t="e">
        <f>AND(#REF!,"AAAAAG/q/9Y=")</f>
        <v>#REF!</v>
      </c>
      <c r="HH182" t="e">
        <f>AND(#REF!,"AAAAAG/q/9c=")</f>
        <v>#REF!</v>
      </c>
      <c r="HI182" t="e">
        <f>AND(#REF!,"AAAAAG/q/9g=")</f>
        <v>#REF!</v>
      </c>
      <c r="HJ182" t="e">
        <f>AND(#REF!,"AAAAAG/q/9k=")</f>
        <v>#REF!</v>
      </c>
      <c r="HK182" t="e">
        <f>AND(#REF!,"AAAAAG/q/9o=")</f>
        <v>#REF!</v>
      </c>
      <c r="HL182" t="e">
        <f>AND(#REF!,"AAAAAG/q/9s=")</f>
        <v>#REF!</v>
      </c>
      <c r="HM182" t="e">
        <f>AND(#REF!,"AAAAAG/q/9w=")</f>
        <v>#REF!</v>
      </c>
      <c r="HN182" t="e">
        <f>AND(#REF!,"AAAAAG/q/90=")</f>
        <v>#REF!</v>
      </c>
      <c r="HO182" t="e">
        <f>AND(#REF!,"AAAAAG/q/94=")</f>
        <v>#REF!</v>
      </c>
      <c r="HP182" t="e">
        <f>AND(#REF!,"AAAAAG/q/98=")</f>
        <v>#REF!</v>
      </c>
      <c r="HQ182" t="e">
        <f>AND(#REF!,"AAAAAG/q/+A=")</f>
        <v>#REF!</v>
      </c>
      <c r="HR182" t="e">
        <f>AND(#REF!,"AAAAAG/q/+E=")</f>
        <v>#REF!</v>
      </c>
      <c r="HS182" t="e">
        <f>AND(#REF!,"AAAAAG/q/+I=")</f>
        <v>#REF!</v>
      </c>
      <c r="HT182" t="e">
        <f>AND(#REF!,"AAAAAG/q/+M=")</f>
        <v>#REF!</v>
      </c>
      <c r="HU182" t="e">
        <f>AND(#REF!,"AAAAAG/q/+Q=")</f>
        <v>#REF!</v>
      </c>
      <c r="HV182" t="e">
        <f>AND(#REF!,"AAAAAG/q/+U=")</f>
        <v>#REF!</v>
      </c>
      <c r="HW182" t="e">
        <f>AND(#REF!,"AAAAAG/q/+Y=")</f>
        <v>#REF!</v>
      </c>
      <c r="HX182" t="e">
        <f>AND(#REF!,"AAAAAG/q/+c=")</f>
        <v>#REF!</v>
      </c>
      <c r="HY182" t="e">
        <f>AND(#REF!,"AAAAAG/q/+g=")</f>
        <v>#REF!</v>
      </c>
      <c r="HZ182" t="e">
        <f>AND(#REF!,"AAAAAG/q/+k=")</f>
        <v>#REF!</v>
      </c>
      <c r="IA182" t="e">
        <f>AND(#REF!,"AAAAAG/q/+o=")</f>
        <v>#REF!</v>
      </c>
      <c r="IB182" t="e">
        <f>AND(#REF!,"AAAAAG/q/+s=")</f>
        <v>#REF!</v>
      </c>
      <c r="IC182" t="e">
        <f>AND(#REF!,"AAAAAG/q/+w=")</f>
        <v>#REF!</v>
      </c>
      <c r="ID182" t="e">
        <f>AND(#REF!,"AAAAAG/q/+0=")</f>
        <v>#REF!</v>
      </c>
      <c r="IE182" t="e">
        <f>AND(#REF!,"AAAAAG/q/+4=")</f>
        <v>#REF!</v>
      </c>
      <c r="IF182" t="e">
        <f>AND(#REF!,"AAAAAG/q/+8=")</f>
        <v>#REF!</v>
      </c>
      <c r="IG182" t="e">
        <f>AND(#REF!,"AAAAAG/q//A=")</f>
        <v>#REF!</v>
      </c>
      <c r="IH182" t="e">
        <f>AND(#REF!,"AAAAAG/q//E=")</f>
        <v>#REF!</v>
      </c>
      <c r="II182" t="e">
        <f>AND(#REF!,"AAAAAG/q//I=")</f>
        <v>#REF!</v>
      </c>
      <c r="IJ182" t="e">
        <f>AND(#REF!,"AAAAAG/q//M=")</f>
        <v>#REF!</v>
      </c>
      <c r="IK182" t="e">
        <f>AND(#REF!,"AAAAAG/q//Q=")</f>
        <v>#REF!</v>
      </c>
      <c r="IL182" t="e">
        <f>AND(#REF!,"AAAAAG/q//U=")</f>
        <v>#REF!</v>
      </c>
      <c r="IM182" t="e">
        <f>AND(#REF!,"AAAAAG/q//Y=")</f>
        <v>#REF!</v>
      </c>
      <c r="IN182" t="e">
        <f>AND(#REF!,"AAAAAG/q//c=")</f>
        <v>#REF!</v>
      </c>
      <c r="IO182" t="e">
        <f>AND(#REF!,"AAAAAG/q//g=")</f>
        <v>#REF!</v>
      </c>
      <c r="IP182" t="e">
        <f>AND(#REF!,"AAAAAG/q//k=")</f>
        <v>#REF!</v>
      </c>
      <c r="IQ182" t="e">
        <f>AND(#REF!,"AAAAAG/q//o=")</f>
        <v>#REF!</v>
      </c>
      <c r="IR182" t="e">
        <f>AND(#REF!,"AAAAAG/q//s=")</f>
        <v>#REF!</v>
      </c>
      <c r="IS182" t="e">
        <f>AND(#REF!,"AAAAAG/q//w=")</f>
        <v>#REF!</v>
      </c>
      <c r="IT182" t="e">
        <f>AND(#REF!,"AAAAAG/q//0=")</f>
        <v>#REF!</v>
      </c>
      <c r="IU182" t="e">
        <f>AND(#REF!,"AAAAAG/q//4=")</f>
        <v>#REF!</v>
      </c>
      <c r="IV182" t="e">
        <f>AND(#REF!,"AAAAAG/q//8=")</f>
        <v>#REF!</v>
      </c>
    </row>
    <row r="183" spans="1:256" x14ac:dyDescent="0.25">
      <c r="A183" t="e">
        <f>AND(#REF!,"AAAAAFe/TwA=")</f>
        <v>#REF!</v>
      </c>
      <c r="B183" t="e">
        <f>AND(#REF!,"AAAAAFe/TwE=")</f>
        <v>#REF!</v>
      </c>
      <c r="C183" t="e">
        <f>AND(#REF!,"AAAAAFe/TwI=")</f>
        <v>#REF!</v>
      </c>
      <c r="D183" t="e">
        <f>AND(#REF!,"AAAAAFe/TwM=")</f>
        <v>#REF!</v>
      </c>
      <c r="E183" t="e">
        <f>AND(#REF!,"AAAAAFe/TwQ=")</f>
        <v>#REF!</v>
      </c>
      <c r="F183" t="e">
        <f>AND(#REF!,"AAAAAFe/TwU=")</f>
        <v>#REF!</v>
      </c>
      <c r="G183" t="e">
        <f>AND(#REF!,"AAAAAFe/TwY=")</f>
        <v>#REF!</v>
      </c>
      <c r="H183" t="e">
        <f>AND(#REF!,"AAAAAFe/Twc=")</f>
        <v>#REF!</v>
      </c>
      <c r="I183" t="e">
        <f>AND(#REF!,"AAAAAFe/Twg=")</f>
        <v>#REF!</v>
      </c>
      <c r="J183" t="e">
        <f>AND(#REF!,"AAAAAFe/Twk=")</f>
        <v>#REF!</v>
      </c>
      <c r="K183" t="e">
        <f>AND(#REF!,"AAAAAFe/Two=")</f>
        <v>#REF!</v>
      </c>
      <c r="L183" t="e">
        <f>AND(#REF!,"AAAAAFe/Tws=")</f>
        <v>#REF!</v>
      </c>
      <c r="M183" t="e">
        <f>AND(#REF!,"AAAAAFe/Tww=")</f>
        <v>#REF!</v>
      </c>
      <c r="N183" t="e">
        <f>AND(#REF!,"AAAAAFe/Tw0=")</f>
        <v>#REF!</v>
      </c>
      <c r="O183" t="e">
        <f>AND(#REF!,"AAAAAFe/Tw4=")</f>
        <v>#REF!</v>
      </c>
      <c r="P183" t="e">
        <f>AND(#REF!,"AAAAAFe/Tw8=")</f>
        <v>#REF!</v>
      </c>
      <c r="Q183" t="e">
        <f>AND(#REF!,"AAAAAFe/TxA=")</f>
        <v>#REF!</v>
      </c>
      <c r="R183" t="e">
        <f>AND(#REF!,"AAAAAFe/TxE=")</f>
        <v>#REF!</v>
      </c>
      <c r="S183" t="e">
        <f>AND(#REF!,"AAAAAFe/TxI=")</f>
        <v>#REF!</v>
      </c>
      <c r="T183" t="e">
        <f>AND(#REF!,"AAAAAFe/TxM=")</f>
        <v>#REF!</v>
      </c>
      <c r="U183" t="e">
        <f>AND(#REF!,"AAAAAFe/TxQ=")</f>
        <v>#REF!</v>
      </c>
      <c r="V183" t="e">
        <f>AND(#REF!,"AAAAAFe/TxU=")</f>
        <v>#REF!</v>
      </c>
      <c r="W183" t="e">
        <f>AND(#REF!,"AAAAAFe/TxY=")</f>
        <v>#REF!</v>
      </c>
      <c r="X183" t="e">
        <f>AND(#REF!,"AAAAAFe/Txc=")</f>
        <v>#REF!</v>
      </c>
      <c r="Y183" t="e">
        <f>AND(#REF!,"AAAAAFe/Txg=")</f>
        <v>#REF!</v>
      </c>
      <c r="Z183" t="e">
        <f>AND(#REF!,"AAAAAFe/Txk=")</f>
        <v>#REF!</v>
      </c>
      <c r="AA183" t="e">
        <f>AND(#REF!,"AAAAAFe/Txo=")</f>
        <v>#REF!</v>
      </c>
      <c r="AB183" t="e">
        <f>AND(#REF!,"AAAAAFe/Txs=")</f>
        <v>#REF!</v>
      </c>
      <c r="AC183" t="e">
        <f>AND(#REF!,"AAAAAFe/Txw=")</f>
        <v>#REF!</v>
      </c>
      <c r="AD183" t="e">
        <f>AND(#REF!,"AAAAAFe/Tx0=")</f>
        <v>#REF!</v>
      </c>
      <c r="AE183" t="e">
        <f>AND(#REF!,"AAAAAFe/Tx4=")</f>
        <v>#REF!</v>
      </c>
      <c r="AF183" t="e">
        <f>AND(#REF!,"AAAAAFe/Tx8=")</f>
        <v>#REF!</v>
      </c>
      <c r="AG183" t="e">
        <f>AND(#REF!,"AAAAAFe/TyA=")</f>
        <v>#REF!</v>
      </c>
      <c r="AH183" t="e">
        <f>AND(#REF!,"AAAAAFe/TyE=")</f>
        <v>#REF!</v>
      </c>
      <c r="AI183" t="e">
        <f>AND(#REF!,"AAAAAFe/TyI=")</f>
        <v>#REF!</v>
      </c>
      <c r="AJ183" t="e">
        <f>AND(#REF!,"AAAAAFe/TyM=")</f>
        <v>#REF!</v>
      </c>
      <c r="AK183" t="e">
        <f>AND(#REF!,"AAAAAFe/TyQ=")</f>
        <v>#REF!</v>
      </c>
      <c r="AL183" t="e">
        <f>AND(#REF!,"AAAAAFe/TyU=")</f>
        <v>#REF!</v>
      </c>
      <c r="AM183" t="e">
        <f>AND(#REF!,"AAAAAFe/TyY=")</f>
        <v>#REF!</v>
      </c>
      <c r="AN183" t="e">
        <f>AND(#REF!,"AAAAAFe/Tyc=")</f>
        <v>#REF!</v>
      </c>
      <c r="AO183" t="e">
        <f>AND(#REF!,"AAAAAFe/Tyg=")</f>
        <v>#REF!</v>
      </c>
      <c r="AP183" t="e">
        <f>AND(#REF!,"AAAAAFe/Tyk=")</f>
        <v>#REF!</v>
      </c>
      <c r="AQ183" t="e">
        <f>AND(#REF!,"AAAAAFe/Tyo=")</f>
        <v>#REF!</v>
      </c>
      <c r="AR183" t="e">
        <f>AND(#REF!,"AAAAAFe/Tys=")</f>
        <v>#REF!</v>
      </c>
      <c r="AS183" t="e">
        <f>AND(#REF!,"AAAAAFe/Tyw=")</f>
        <v>#REF!</v>
      </c>
      <c r="AT183" t="e">
        <f>AND(#REF!,"AAAAAFe/Ty0=")</f>
        <v>#REF!</v>
      </c>
      <c r="AU183" t="e">
        <f>AND(#REF!,"AAAAAFe/Ty4=")</f>
        <v>#REF!</v>
      </c>
      <c r="AV183" t="e">
        <f>IF(#REF!,"AAAAAFe/Ty8=",0)</f>
        <v>#REF!</v>
      </c>
      <c r="AW183" t="e">
        <f>AND(#REF!,"AAAAAFe/TzA=")</f>
        <v>#REF!</v>
      </c>
      <c r="AX183" t="e">
        <f>AND(#REF!,"AAAAAFe/TzE=")</f>
        <v>#REF!</v>
      </c>
      <c r="AY183" t="e">
        <f>AND(#REF!,"AAAAAFe/TzI=")</f>
        <v>#REF!</v>
      </c>
      <c r="AZ183" t="e">
        <f>AND(#REF!,"AAAAAFe/TzM=")</f>
        <v>#REF!</v>
      </c>
      <c r="BA183" t="e">
        <f>AND(#REF!,"AAAAAFe/TzQ=")</f>
        <v>#REF!</v>
      </c>
      <c r="BB183" t="e">
        <f>AND(#REF!,"AAAAAFe/TzU=")</f>
        <v>#REF!</v>
      </c>
      <c r="BC183" t="e">
        <f>AND(#REF!,"AAAAAFe/TzY=")</f>
        <v>#REF!</v>
      </c>
      <c r="BD183" t="e">
        <f>AND(#REF!,"AAAAAFe/Tzc=")</f>
        <v>#REF!</v>
      </c>
      <c r="BE183" t="e">
        <f>AND(#REF!,"AAAAAFe/Tzg=")</f>
        <v>#REF!</v>
      </c>
      <c r="BF183" t="e">
        <f>AND(#REF!,"AAAAAFe/Tzk=")</f>
        <v>#REF!</v>
      </c>
      <c r="BG183" t="e">
        <f>AND(#REF!,"AAAAAFe/Tzo=")</f>
        <v>#REF!</v>
      </c>
      <c r="BH183" t="e">
        <f>AND(#REF!,"AAAAAFe/Tzs=")</f>
        <v>#REF!</v>
      </c>
      <c r="BI183" t="e">
        <f>AND(#REF!,"AAAAAFe/Tzw=")</f>
        <v>#REF!</v>
      </c>
      <c r="BJ183" t="e">
        <f>AND(#REF!,"AAAAAFe/Tz0=")</f>
        <v>#REF!</v>
      </c>
      <c r="BK183" t="e">
        <f>AND(#REF!,"AAAAAFe/Tz4=")</f>
        <v>#REF!</v>
      </c>
      <c r="BL183" t="e">
        <f>AND(#REF!,"AAAAAFe/Tz8=")</f>
        <v>#REF!</v>
      </c>
      <c r="BM183" t="e">
        <f>AND(#REF!,"AAAAAFe/T0A=")</f>
        <v>#REF!</v>
      </c>
      <c r="BN183" t="e">
        <f>AND(#REF!,"AAAAAFe/T0E=")</f>
        <v>#REF!</v>
      </c>
      <c r="BO183" t="e">
        <f>AND(#REF!,"AAAAAFe/T0I=")</f>
        <v>#REF!</v>
      </c>
      <c r="BP183" t="e">
        <f>AND(#REF!,"AAAAAFe/T0M=")</f>
        <v>#REF!</v>
      </c>
      <c r="BQ183" t="e">
        <f>AND(#REF!,"AAAAAFe/T0Q=")</f>
        <v>#REF!</v>
      </c>
      <c r="BR183" t="e">
        <f>AND(#REF!,"AAAAAFe/T0U=")</f>
        <v>#REF!</v>
      </c>
      <c r="BS183" t="e">
        <f>AND(#REF!,"AAAAAFe/T0Y=")</f>
        <v>#REF!</v>
      </c>
      <c r="BT183" t="e">
        <f>AND(#REF!,"AAAAAFe/T0c=")</f>
        <v>#REF!</v>
      </c>
      <c r="BU183" t="e">
        <f>AND(#REF!,"AAAAAFe/T0g=")</f>
        <v>#REF!</v>
      </c>
      <c r="BV183" t="e">
        <f>AND(#REF!,"AAAAAFe/T0k=")</f>
        <v>#REF!</v>
      </c>
      <c r="BW183" t="e">
        <f>AND(#REF!,"AAAAAFe/T0o=")</f>
        <v>#REF!</v>
      </c>
      <c r="BX183" t="e">
        <f>AND(#REF!,"AAAAAFe/T0s=")</f>
        <v>#REF!</v>
      </c>
      <c r="BY183" t="e">
        <f>AND(#REF!,"AAAAAFe/T0w=")</f>
        <v>#REF!</v>
      </c>
      <c r="BZ183" t="e">
        <f>AND(#REF!,"AAAAAFe/T00=")</f>
        <v>#REF!</v>
      </c>
      <c r="CA183" t="e">
        <f>AND(#REF!,"AAAAAFe/T04=")</f>
        <v>#REF!</v>
      </c>
      <c r="CB183" t="e">
        <f>AND(#REF!,"AAAAAFe/T08=")</f>
        <v>#REF!</v>
      </c>
      <c r="CC183" t="e">
        <f>AND(#REF!,"AAAAAFe/T1A=")</f>
        <v>#REF!</v>
      </c>
      <c r="CD183" t="e">
        <f>AND(#REF!,"AAAAAFe/T1E=")</f>
        <v>#REF!</v>
      </c>
      <c r="CE183" t="e">
        <f>AND(#REF!,"AAAAAFe/T1I=")</f>
        <v>#REF!</v>
      </c>
      <c r="CF183" t="e">
        <f>AND(#REF!,"AAAAAFe/T1M=")</f>
        <v>#REF!</v>
      </c>
      <c r="CG183" t="e">
        <f>AND(#REF!,"AAAAAFe/T1Q=")</f>
        <v>#REF!</v>
      </c>
      <c r="CH183" t="e">
        <f>AND(#REF!,"AAAAAFe/T1U=")</f>
        <v>#REF!</v>
      </c>
      <c r="CI183" t="e">
        <f>AND(#REF!,"AAAAAFe/T1Y=")</f>
        <v>#REF!</v>
      </c>
      <c r="CJ183" t="e">
        <f>AND(#REF!,"AAAAAFe/T1c=")</f>
        <v>#REF!</v>
      </c>
      <c r="CK183" t="e">
        <f>AND(#REF!,"AAAAAFe/T1g=")</f>
        <v>#REF!</v>
      </c>
      <c r="CL183" t="e">
        <f>AND(#REF!,"AAAAAFe/T1k=")</f>
        <v>#REF!</v>
      </c>
      <c r="CM183" t="e">
        <f>AND(#REF!,"AAAAAFe/T1o=")</f>
        <v>#REF!</v>
      </c>
      <c r="CN183" t="e">
        <f>AND(#REF!,"AAAAAFe/T1s=")</f>
        <v>#REF!</v>
      </c>
      <c r="CO183" t="e">
        <f>AND(#REF!,"AAAAAFe/T1w=")</f>
        <v>#REF!</v>
      </c>
      <c r="CP183" t="e">
        <f>AND(#REF!,"AAAAAFe/T10=")</f>
        <v>#REF!</v>
      </c>
      <c r="CQ183" t="e">
        <f>AND(#REF!,"AAAAAFe/T14=")</f>
        <v>#REF!</v>
      </c>
      <c r="CR183" t="e">
        <f>AND(#REF!,"AAAAAFe/T18=")</f>
        <v>#REF!</v>
      </c>
      <c r="CS183" t="e">
        <f>AND(#REF!,"AAAAAFe/T2A=")</f>
        <v>#REF!</v>
      </c>
      <c r="CT183" t="e">
        <f>AND(#REF!,"AAAAAFe/T2E=")</f>
        <v>#REF!</v>
      </c>
      <c r="CU183" t="e">
        <f>AND(#REF!,"AAAAAFe/T2I=")</f>
        <v>#REF!</v>
      </c>
      <c r="CV183" t="e">
        <f>AND(#REF!,"AAAAAFe/T2M=")</f>
        <v>#REF!</v>
      </c>
      <c r="CW183" t="e">
        <f>AND(#REF!,"AAAAAFe/T2Q=")</f>
        <v>#REF!</v>
      </c>
      <c r="CX183" t="e">
        <f>AND(#REF!,"AAAAAFe/T2U=")</f>
        <v>#REF!</v>
      </c>
      <c r="CY183" t="e">
        <f>AND(#REF!,"AAAAAFe/T2Y=")</f>
        <v>#REF!</v>
      </c>
      <c r="CZ183" t="e">
        <f>AND(#REF!,"AAAAAFe/T2c=")</f>
        <v>#REF!</v>
      </c>
      <c r="DA183" t="e">
        <f>AND(#REF!,"AAAAAFe/T2g=")</f>
        <v>#REF!</v>
      </c>
      <c r="DB183" t="e">
        <f>AND(#REF!,"AAAAAFe/T2k=")</f>
        <v>#REF!</v>
      </c>
      <c r="DC183" t="e">
        <f>AND(#REF!,"AAAAAFe/T2o=")</f>
        <v>#REF!</v>
      </c>
      <c r="DD183" t="e">
        <f>AND(#REF!,"AAAAAFe/T2s=")</f>
        <v>#REF!</v>
      </c>
      <c r="DE183" t="e">
        <f>AND(#REF!,"AAAAAFe/T2w=")</f>
        <v>#REF!</v>
      </c>
      <c r="DF183" t="e">
        <f>AND(#REF!,"AAAAAFe/T20=")</f>
        <v>#REF!</v>
      </c>
      <c r="DG183" t="e">
        <f>AND(#REF!,"AAAAAFe/T24=")</f>
        <v>#REF!</v>
      </c>
      <c r="DH183" t="e">
        <f>AND(#REF!,"AAAAAFe/T28=")</f>
        <v>#REF!</v>
      </c>
      <c r="DI183" t="e">
        <f>AND(#REF!,"AAAAAFe/T3A=")</f>
        <v>#REF!</v>
      </c>
      <c r="DJ183" t="e">
        <f>AND(#REF!,"AAAAAFe/T3E=")</f>
        <v>#REF!</v>
      </c>
      <c r="DK183" t="e">
        <f>AND(#REF!,"AAAAAFe/T3I=")</f>
        <v>#REF!</v>
      </c>
      <c r="DL183" t="e">
        <f>AND(#REF!,"AAAAAFe/T3M=")</f>
        <v>#REF!</v>
      </c>
      <c r="DM183" t="e">
        <f>AND(#REF!,"AAAAAFe/T3Q=")</f>
        <v>#REF!</v>
      </c>
      <c r="DN183" t="e">
        <f>AND(#REF!,"AAAAAFe/T3U=")</f>
        <v>#REF!</v>
      </c>
      <c r="DO183" t="e">
        <f>AND(#REF!,"AAAAAFe/T3Y=")</f>
        <v>#REF!</v>
      </c>
      <c r="DP183" t="e">
        <f>AND(#REF!,"AAAAAFe/T3c=")</f>
        <v>#REF!</v>
      </c>
      <c r="DQ183" t="e">
        <f>AND(#REF!,"AAAAAFe/T3g=")</f>
        <v>#REF!</v>
      </c>
      <c r="DR183" t="e">
        <f>AND(#REF!,"AAAAAFe/T3k=")</f>
        <v>#REF!</v>
      </c>
      <c r="DS183" t="e">
        <f>AND(#REF!,"AAAAAFe/T3o=")</f>
        <v>#REF!</v>
      </c>
      <c r="DT183" t="e">
        <f>AND(#REF!,"AAAAAFe/T3s=")</f>
        <v>#REF!</v>
      </c>
      <c r="DU183" t="e">
        <f>AND(#REF!,"AAAAAFe/T3w=")</f>
        <v>#REF!</v>
      </c>
      <c r="DV183" t="e">
        <f>AND(#REF!,"AAAAAFe/T30=")</f>
        <v>#REF!</v>
      </c>
      <c r="DW183" t="e">
        <f>AND(#REF!,"AAAAAFe/T34=")</f>
        <v>#REF!</v>
      </c>
      <c r="DX183" t="e">
        <f>AND(#REF!,"AAAAAFe/T38=")</f>
        <v>#REF!</v>
      </c>
      <c r="DY183" t="e">
        <f>AND(#REF!,"AAAAAFe/T4A=")</f>
        <v>#REF!</v>
      </c>
      <c r="DZ183" t="e">
        <f>AND(#REF!,"AAAAAFe/T4E=")</f>
        <v>#REF!</v>
      </c>
      <c r="EA183" t="e">
        <f>AND(#REF!,"AAAAAFe/T4I=")</f>
        <v>#REF!</v>
      </c>
      <c r="EB183" t="e">
        <f>AND(#REF!,"AAAAAFe/T4M=")</f>
        <v>#REF!</v>
      </c>
      <c r="EC183" t="e">
        <f>AND(#REF!,"AAAAAFe/T4Q=")</f>
        <v>#REF!</v>
      </c>
      <c r="ED183" t="e">
        <f>AND(#REF!,"AAAAAFe/T4U=")</f>
        <v>#REF!</v>
      </c>
      <c r="EE183" t="e">
        <f>AND(#REF!,"AAAAAFe/T4Y=")</f>
        <v>#REF!</v>
      </c>
      <c r="EF183" t="e">
        <f>AND(#REF!,"AAAAAFe/T4c=")</f>
        <v>#REF!</v>
      </c>
      <c r="EG183" t="e">
        <f>AND(#REF!,"AAAAAFe/T4g=")</f>
        <v>#REF!</v>
      </c>
      <c r="EH183" t="e">
        <f>AND(#REF!,"AAAAAFe/T4k=")</f>
        <v>#REF!</v>
      </c>
      <c r="EI183" t="e">
        <f>AND(#REF!,"AAAAAFe/T4o=")</f>
        <v>#REF!</v>
      </c>
      <c r="EJ183" t="e">
        <f>AND(#REF!,"AAAAAFe/T4s=")</f>
        <v>#REF!</v>
      </c>
      <c r="EK183" t="e">
        <f>AND(#REF!,"AAAAAFe/T4w=")</f>
        <v>#REF!</v>
      </c>
      <c r="EL183" t="e">
        <f>AND(#REF!,"AAAAAFe/T40=")</f>
        <v>#REF!</v>
      </c>
      <c r="EM183" t="e">
        <f>AND(#REF!,"AAAAAFe/T44=")</f>
        <v>#REF!</v>
      </c>
      <c r="EN183" t="e">
        <f>AND(#REF!,"AAAAAFe/T48=")</f>
        <v>#REF!</v>
      </c>
      <c r="EO183" t="e">
        <f>AND(#REF!,"AAAAAFe/T5A=")</f>
        <v>#REF!</v>
      </c>
      <c r="EP183" t="e">
        <f>AND(#REF!,"AAAAAFe/T5E=")</f>
        <v>#REF!</v>
      </c>
      <c r="EQ183" t="e">
        <f>AND(#REF!,"AAAAAFe/T5I=")</f>
        <v>#REF!</v>
      </c>
      <c r="ER183" t="e">
        <f>AND(#REF!,"AAAAAFe/T5M=")</f>
        <v>#REF!</v>
      </c>
      <c r="ES183" t="e">
        <f>AND(#REF!,"AAAAAFe/T5Q=")</f>
        <v>#REF!</v>
      </c>
      <c r="ET183" t="e">
        <f>AND(#REF!,"AAAAAFe/T5U=")</f>
        <v>#REF!</v>
      </c>
      <c r="EU183" t="e">
        <f>AND(#REF!,"AAAAAFe/T5Y=")</f>
        <v>#REF!</v>
      </c>
      <c r="EV183" t="e">
        <f>AND(#REF!,"AAAAAFe/T5c=")</f>
        <v>#REF!</v>
      </c>
      <c r="EW183" t="e">
        <f>AND(#REF!,"AAAAAFe/T5g=")</f>
        <v>#REF!</v>
      </c>
      <c r="EX183" t="e">
        <f>AND(#REF!,"AAAAAFe/T5k=")</f>
        <v>#REF!</v>
      </c>
      <c r="EY183" t="e">
        <f>AND(#REF!,"AAAAAFe/T5o=")</f>
        <v>#REF!</v>
      </c>
      <c r="EZ183" t="e">
        <f>AND(#REF!,"AAAAAFe/T5s=")</f>
        <v>#REF!</v>
      </c>
      <c r="FA183" t="e">
        <f>AND(#REF!,"AAAAAFe/T5w=")</f>
        <v>#REF!</v>
      </c>
      <c r="FB183" t="e">
        <f>AND(#REF!,"AAAAAFe/T50=")</f>
        <v>#REF!</v>
      </c>
      <c r="FC183" t="e">
        <f>AND(#REF!,"AAAAAFe/T54=")</f>
        <v>#REF!</v>
      </c>
      <c r="FD183" t="e">
        <f>AND(#REF!,"AAAAAFe/T58=")</f>
        <v>#REF!</v>
      </c>
      <c r="FE183" t="e">
        <f>AND(#REF!,"AAAAAFe/T6A=")</f>
        <v>#REF!</v>
      </c>
      <c r="FF183" t="e">
        <f>AND(#REF!,"AAAAAFe/T6E=")</f>
        <v>#REF!</v>
      </c>
      <c r="FG183" t="e">
        <f>AND(#REF!,"AAAAAFe/T6I=")</f>
        <v>#REF!</v>
      </c>
      <c r="FH183" t="e">
        <f>AND(#REF!,"AAAAAFe/T6M=")</f>
        <v>#REF!</v>
      </c>
      <c r="FI183" t="e">
        <f>AND(#REF!,"AAAAAFe/T6Q=")</f>
        <v>#REF!</v>
      </c>
      <c r="FJ183" t="e">
        <f>AND(#REF!,"AAAAAFe/T6U=")</f>
        <v>#REF!</v>
      </c>
      <c r="FK183" t="e">
        <f>AND(#REF!,"AAAAAFe/T6Y=")</f>
        <v>#REF!</v>
      </c>
      <c r="FL183" t="e">
        <f>AND(#REF!,"AAAAAFe/T6c=")</f>
        <v>#REF!</v>
      </c>
      <c r="FM183" t="e">
        <f>AND(#REF!,"AAAAAFe/T6g=")</f>
        <v>#REF!</v>
      </c>
      <c r="FN183" t="e">
        <f>AND(#REF!,"AAAAAFe/T6k=")</f>
        <v>#REF!</v>
      </c>
      <c r="FO183" t="e">
        <f>AND(#REF!,"AAAAAFe/T6o=")</f>
        <v>#REF!</v>
      </c>
      <c r="FP183" t="e">
        <f>AND(#REF!,"AAAAAFe/T6s=")</f>
        <v>#REF!</v>
      </c>
      <c r="FQ183" t="e">
        <f>AND(#REF!,"AAAAAFe/T6w=")</f>
        <v>#REF!</v>
      </c>
      <c r="FR183" t="e">
        <f>AND(#REF!,"AAAAAFe/T60=")</f>
        <v>#REF!</v>
      </c>
      <c r="FS183" t="e">
        <f>AND(#REF!,"AAAAAFe/T64=")</f>
        <v>#REF!</v>
      </c>
      <c r="FT183" t="e">
        <f>AND(#REF!,"AAAAAFe/T68=")</f>
        <v>#REF!</v>
      </c>
      <c r="FU183" t="e">
        <f>AND(#REF!,"AAAAAFe/T7A=")</f>
        <v>#REF!</v>
      </c>
      <c r="FV183" t="e">
        <f>AND(#REF!,"AAAAAFe/T7E=")</f>
        <v>#REF!</v>
      </c>
      <c r="FW183" t="e">
        <f>AND(#REF!,"AAAAAFe/T7I=")</f>
        <v>#REF!</v>
      </c>
      <c r="FX183" t="e">
        <f>AND(#REF!,"AAAAAFe/T7M=")</f>
        <v>#REF!</v>
      </c>
      <c r="FY183" t="e">
        <f>AND(#REF!,"AAAAAFe/T7Q=")</f>
        <v>#REF!</v>
      </c>
      <c r="FZ183" t="e">
        <f>AND(#REF!,"AAAAAFe/T7U=")</f>
        <v>#REF!</v>
      </c>
      <c r="GA183" t="e">
        <f>AND(#REF!,"AAAAAFe/T7Y=")</f>
        <v>#REF!</v>
      </c>
      <c r="GB183" t="e">
        <f>AND(#REF!,"AAAAAFe/T7c=")</f>
        <v>#REF!</v>
      </c>
      <c r="GC183" t="e">
        <f>AND(#REF!,"AAAAAFe/T7g=")</f>
        <v>#REF!</v>
      </c>
      <c r="GD183" t="e">
        <f>AND(#REF!,"AAAAAFe/T7k=")</f>
        <v>#REF!</v>
      </c>
      <c r="GE183" t="e">
        <f>AND(#REF!,"AAAAAFe/T7o=")</f>
        <v>#REF!</v>
      </c>
      <c r="GF183" t="e">
        <f>AND(#REF!,"AAAAAFe/T7s=")</f>
        <v>#REF!</v>
      </c>
      <c r="GG183" t="e">
        <f>AND(#REF!,"AAAAAFe/T7w=")</f>
        <v>#REF!</v>
      </c>
      <c r="GH183" t="e">
        <f>AND(#REF!,"AAAAAFe/T70=")</f>
        <v>#REF!</v>
      </c>
      <c r="GI183" t="e">
        <f>AND(#REF!,"AAAAAFe/T74=")</f>
        <v>#REF!</v>
      </c>
      <c r="GJ183" t="e">
        <f>AND(#REF!,"AAAAAFe/T78=")</f>
        <v>#REF!</v>
      </c>
      <c r="GK183" t="e">
        <f>AND(#REF!,"AAAAAFe/T8A=")</f>
        <v>#REF!</v>
      </c>
      <c r="GL183" t="e">
        <f>AND(#REF!,"AAAAAFe/T8E=")</f>
        <v>#REF!</v>
      </c>
      <c r="GM183" t="e">
        <f>AND(#REF!,"AAAAAFe/T8I=")</f>
        <v>#REF!</v>
      </c>
      <c r="GN183" t="e">
        <f>AND(#REF!,"AAAAAFe/T8M=")</f>
        <v>#REF!</v>
      </c>
      <c r="GO183" t="e">
        <f>AND(#REF!,"AAAAAFe/T8Q=")</f>
        <v>#REF!</v>
      </c>
      <c r="GP183" t="e">
        <f>AND(#REF!,"AAAAAFe/T8U=")</f>
        <v>#REF!</v>
      </c>
      <c r="GQ183" t="e">
        <f>AND(#REF!,"AAAAAFe/T8Y=")</f>
        <v>#REF!</v>
      </c>
      <c r="GR183" t="e">
        <f>AND(#REF!,"AAAAAFe/T8c=")</f>
        <v>#REF!</v>
      </c>
      <c r="GS183" t="e">
        <f>AND(#REF!,"AAAAAFe/T8g=")</f>
        <v>#REF!</v>
      </c>
      <c r="GT183" t="e">
        <f>AND(#REF!,"AAAAAFe/T8k=")</f>
        <v>#REF!</v>
      </c>
      <c r="GU183" t="e">
        <f>AND(#REF!,"AAAAAFe/T8o=")</f>
        <v>#REF!</v>
      </c>
      <c r="GV183" t="e">
        <f>AND(#REF!,"AAAAAFe/T8s=")</f>
        <v>#REF!</v>
      </c>
      <c r="GW183" t="e">
        <f>AND(#REF!,"AAAAAFe/T8w=")</f>
        <v>#REF!</v>
      </c>
      <c r="GX183" t="e">
        <f>AND(#REF!,"AAAAAFe/T80=")</f>
        <v>#REF!</v>
      </c>
      <c r="GY183" t="e">
        <f>AND(#REF!,"AAAAAFe/T84=")</f>
        <v>#REF!</v>
      </c>
      <c r="GZ183" t="e">
        <f>AND(#REF!,"AAAAAFe/T88=")</f>
        <v>#REF!</v>
      </c>
      <c r="HA183" t="e">
        <f>AND(#REF!,"AAAAAFe/T9A=")</f>
        <v>#REF!</v>
      </c>
      <c r="HB183" t="e">
        <f>AND(#REF!,"AAAAAFe/T9E=")</f>
        <v>#REF!</v>
      </c>
      <c r="HC183" t="e">
        <f>AND(#REF!,"AAAAAFe/T9I=")</f>
        <v>#REF!</v>
      </c>
      <c r="HD183" t="e">
        <f>AND(#REF!,"AAAAAFe/T9M=")</f>
        <v>#REF!</v>
      </c>
      <c r="HE183" t="e">
        <f>AND(#REF!,"AAAAAFe/T9Q=")</f>
        <v>#REF!</v>
      </c>
      <c r="HF183" t="e">
        <f>AND(#REF!,"AAAAAFe/T9U=")</f>
        <v>#REF!</v>
      </c>
      <c r="HG183" t="e">
        <f>AND(#REF!,"AAAAAFe/T9Y=")</f>
        <v>#REF!</v>
      </c>
      <c r="HH183" t="e">
        <f>AND(#REF!,"AAAAAFe/T9c=")</f>
        <v>#REF!</v>
      </c>
      <c r="HI183" t="e">
        <f>AND(#REF!,"AAAAAFe/T9g=")</f>
        <v>#REF!</v>
      </c>
      <c r="HJ183" t="e">
        <f>AND(#REF!,"AAAAAFe/T9k=")</f>
        <v>#REF!</v>
      </c>
      <c r="HK183" t="e">
        <f>AND(#REF!,"AAAAAFe/T9o=")</f>
        <v>#REF!</v>
      </c>
      <c r="HL183" t="e">
        <f>AND(#REF!,"AAAAAFe/T9s=")</f>
        <v>#REF!</v>
      </c>
      <c r="HM183" t="e">
        <f>AND(#REF!,"AAAAAFe/T9w=")</f>
        <v>#REF!</v>
      </c>
      <c r="HN183" t="e">
        <f>AND(#REF!,"AAAAAFe/T90=")</f>
        <v>#REF!</v>
      </c>
      <c r="HO183" t="e">
        <f>AND(#REF!,"AAAAAFe/T94=")</f>
        <v>#REF!</v>
      </c>
      <c r="HP183" t="e">
        <f>AND(#REF!,"AAAAAFe/T98=")</f>
        <v>#REF!</v>
      </c>
      <c r="HQ183" t="e">
        <f>AND(#REF!,"AAAAAFe/T+A=")</f>
        <v>#REF!</v>
      </c>
      <c r="HR183" t="e">
        <f>AND(#REF!,"AAAAAFe/T+E=")</f>
        <v>#REF!</v>
      </c>
      <c r="HS183" t="e">
        <f>AND(#REF!,"AAAAAFe/T+I=")</f>
        <v>#REF!</v>
      </c>
      <c r="HT183" t="e">
        <f>AND(#REF!,"AAAAAFe/T+M=")</f>
        <v>#REF!</v>
      </c>
      <c r="HU183" t="e">
        <f>AND(#REF!,"AAAAAFe/T+Q=")</f>
        <v>#REF!</v>
      </c>
      <c r="HV183" t="e">
        <f>AND(#REF!,"AAAAAFe/T+U=")</f>
        <v>#REF!</v>
      </c>
      <c r="HW183" t="e">
        <f>AND(#REF!,"AAAAAFe/T+Y=")</f>
        <v>#REF!</v>
      </c>
      <c r="HX183" t="e">
        <f>AND(#REF!,"AAAAAFe/T+c=")</f>
        <v>#REF!</v>
      </c>
      <c r="HY183" t="e">
        <f>AND(#REF!,"AAAAAFe/T+g=")</f>
        <v>#REF!</v>
      </c>
      <c r="HZ183" t="e">
        <f>AND(#REF!,"AAAAAFe/T+k=")</f>
        <v>#REF!</v>
      </c>
      <c r="IA183" t="e">
        <f>AND(#REF!,"AAAAAFe/T+o=")</f>
        <v>#REF!</v>
      </c>
      <c r="IB183" t="e">
        <f>AND(#REF!,"AAAAAFe/T+s=")</f>
        <v>#REF!</v>
      </c>
      <c r="IC183" t="e">
        <f>IF(#REF!,"AAAAAFe/T+w=",0)</f>
        <v>#REF!</v>
      </c>
      <c r="ID183" t="e">
        <f>AND(#REF!,"AAAAAFe/T+0=")</f>
        <v>#REF!</v>
      </c>
      <c r="IE183" t="e">
        <f>AND(#REF!,"AAAAAFe/T+4=")</f>
        <v>#REF!</v>
      </c>
      <c r="IF183" t="e">
        <f>AND(#REF!,"AAAAAFe/T+8=")</f>
        <v>#REF!</v>
      </c>
      <c r="IG183" t="e">
        <f>AND(#REF!,"AAAAAFe/T/A=")</f>
        <v>#REF!</v>
      </c>
      <c r="IH183" t="e">
        <f>AND(#REF!,"AAAAAFe/T/E=")</f>
        <v>#REF!</v>
      </c>
      <c r="II183" t="e">
        <f>AND(#REF!,"AAAAAFe/T/I=")</f>
        <v>#REF!</v>
      </c>
      <c r="IJ183" t="e">
        <f>AND(#REF!,"AAAAAFe/T/M=")</f>
        <v>#REF!</v>
      </c>
      <c r="IK183" t="e">
        <f>AND(#REF!,"AAAAAFe/T/Q=")</f>
        <v>#REF!</v>
      </c>
      <c r="IL183" t="e">
        <f>AND(#REF!,"AAAAAFe/T/U=")</f>
        <v>#REF!</v>
      </c>
      <c r="IM183" t="e">
        <f>AND(#REF!,"AAAAAFe/T/Y=")</f>
        <v>#REF!</v>
      </c>
      <c r="IN183" t="e">
        <f>AND(#REF!,"AAAAAFe/T/c=")</f>
        <v>#REF!</v>
      </c>
      <c r="IO183" t="e">
        <f>AND(#REF!,"AAAAAFe/T/g=")</f>
        <v>#REF!</v>
      </c>
      <c r="IP183" t="e">
        <f>AND(#REF!,"AAAAAFe/T/k=")</f>
        <v>#REF!</v>
      </c>
      <c r="IQ183" t="e">
        <f>AND(#REF!,"AAAAAFe/T/o=")</f>
        <v>#REF!</v>
      </c>
      <c r="IR183" t="e">
        <f>AND(#REF!,"AAAAAFe/T/s=")</f>
        <v>#REF!</v>
      </c>
      <c r="IS183" t="e">
        <f>AND(#REF!,"AAAAAFe/T/w=")</f>
        <v>#REF!</v>
      </c>
      <c r="IT183" t="e">
        <f>AND(#REF!,"AAAAAFe/T/0=")</f>
        <v>#REF!</v>
      </c>
      <c r="IU183" t="e">
        <f>AND(#REF!,"AAAAAFe/T/4=")</f>
        <v>#REF!</v>
      </c>
      <c r="IV183" t="e">
        <f>AND(#REF!,"AAAAAFe/T/8=")</f>
        <v>#REF!</v>
      </c>
    </row>
    <row r="184" spans="1:256" x14ac:dyDescent="0.25">
      <c r="A184" t="e">
        <f>AND(#REF!,"AAAAAFv96wA=")</f>
        <v>#REF!</v>
      </c>
      <c r="B184" t="e">
        <f>AND(#REF!,"AAAAAFv96wE=")</f>
        <v>#REF!</v>
      </c>
      <c r="C184" t="e">
        <f>AND(#REF!,"AAAAAFv96wI=")</f>
        <v>#REF!</v>
      </c>
      <c r="D184" t="e">
        <f>AND(#REF!,"AAAAAFv96wM=")</f>
        <v>#REF!</v>
      </c>
      <c r="E184" t="e">
        <f>AND(#REF!,"AAAAAFv96wQ=")</f>
        <v>#REF!</v>
      </c>
      <c r="F184" t="e">
        <f>AND(#REF!,"AAAAAFv96wU=")</f>
        <v>#REF!</v>
      </c>
      <c r="G184" t="e">
        <f>AND(#REF!,"AAAAAFv96wY=")</f>
        <v>#REF!</v>
      </c>
      <c r="H184" t="e">
        <f>AND(#REF!,"AAAAAFv96wc=")</f>
        <v>#REF!</v>
      </c>
      <c r="I184" t="e">
        <f>AND(#REF!,"AAAAAFv96wg=")</f>
        <v>#REF!</v>
      </c>
      <c r="J184" t="e">
        <f>AND(#REF!,"AAAAAFv96wk=")</f>
        <v>#REF!</v>
      </c>
      <c r="K184" t="e">
        <f>AND(#REF!,"AAAAAFv96wo=")</f>
        <v>#REF!</v>
      </c>
      <c r="L184" t="e">
        <f>AND(#REF!,"AAAAAFv96ws=")</f>
        <v>#REF!</v>
      </c>
      <c r="M184" t="e">
        <f>AND(#REF!,"AAAAAFv96ww=")</f>
        <v>#REF!</v>
      </c>
      <c r="N184" t="e">
        <f>AND(#REF!,"AAAAAFv96w0=")</f>
        <v>#REF!</v>
      </c>
      <c r="O184" t="e">
        <f>AND(#REF!,"AAAAAFv96w4=")</f>
        <v>#REF!</v>
      </c>
      <c r="P184" t="e">
        <f>AND(#REF!,"AAAAAFv96w8=")</f>
        <v>#REF!</v>
      </c>
      <c r="Q184" t="e">
        <f>AND(#REF!,"AAAAAFv96xA=")</f>
        <v>#REF!</v>
      </c>
      <c r="R184" t="e">
        <f>AND(#REF!,"AAAAAFv96xE=")</f>
        <v>#REF!</v>
      </c>
      <c r="S184" t="e">
        <f>AND(#REF!,"AAAAAFv96xI=")</f>
        <v>#REF!</v>
      </c>
      <c r="T184" t="e">
        <f>AND(#REF!,"AAAAAFv96xM=")</f>
        <v>#REF!</v>
      </c>
      <c r="U184" t="e">
        <f>AND(#REF!,"AAAAAFv96xQ=")</f>
        <v>#REF!</v>
      </c>
      <c r="V184" t="e">
        <f>AND(#REF!,"AAAAAFv96xU=")</f>
        <v>#REF!</v>
      </c>
      <c r="W184" t="e">
        <f>AND(#REF!,"AAAAAFv96xY=")</f>
        <v>#REF!</v>
      </c>
      <c r="X184" t="e">
        <f>AND(#REF!,"AAAAAFv96xc=")</f>
        <v>#REF!</v>
      </c>
      <c r="Y184" t="e">
        <f>AND(#REF!,"AAAAAFv96xg=")</f>
        <v>#REF!</v>
      </c>
      <c r="Z184" t="e">
        <f>AND(#REF!,"AAAAAFv96xk=")</f>
        <v>#REF!</v>
      </c>
      <c r="AA184" t="e">
        <f>AND(#REF!,"AAAAAFv96xo=")</f>
        <v>#REF!</v>
      </c>
      <c r="AB184" t="e">
        <f>AND(#REF!,"AAAAAFv96xs=")</f>
        <v>#REF!</v>
      </c>
      <c r="AC184" t="e">
        <f>AND(#REF!,"AAAAAFv96xw=")</f>
        <v>#REF!</v>
      </c>
      <c r="AD184" t="e">
        <f>AND(#REF!,"AAAAAFv96x0=")</f>
        <v>#REF!</v>
      </c>
      <c r="AE184" t="e">
        <f>AND(#REF!,"AAAAAFv96x4=")</f>
        <v>#REF!</v>
      </c>
      <c r="AF184" t="e">
        <f>AND(#REF!,"AAAAAFv96x8=")</f>
        <v>#REF!</v>
      </c>
      <c r="AG184" t="e">
        <f>AND(#REF!,"AAAAAFv96yA=")</f>
        <v>#REF!</v>
      </c>
      <c r="AH184" t="e">
        <f>AND(#REF!,"AAAAAFv96yE=")</f>
        <v>#REF!</v>
      </c>
      <c r="AI184" t="e">
        <f>AND(#REF!,"AAAAAFv96yI=")</f>
        <v>#REF!</v>
      </c>
      <c r="AJ184" t="e">
        <f>AND(#REF!,"AAAAAFv96yM=")</f>
        <v>#REF!</v>
      </c>
      <c r="AK184" t="e">
        <f>AND(#REF!,"AAAAAFv96yQ=")</f>
        <v>#REF!</v>
      </c>
      <c r="AL184" t="e">
        <f>AND(#REF!,"AAAAAFv96yU=")</f>
        <v>#REF!</v>
      </c>
      <c r="AM184" t="e">
        <f>AND(#REF!,"AAAAAFv96yY=")</f>
        <v>#REF!</v>
      </c>
      <c r="AN184" t="e">
        <f>AND(#REF!,"AAAAAFv96yc=")</f>
        <v>#REF!</v>
      </c>
      <c r="AO184" t="e">
        <f>AND(#REF!,"AAAAAFv96yg=")</f>
        <v>#REF!</v>
      </c>
      <c r="AP184" t="e">
        <f>AND(#REF!,"AAAAAFv96yk=")</f>
        <v>#REF!</v>
      </c>
      <c r="AQ184" t="e">
        <f>AND(#REF!,"AAAAAFv96yo=")</f>
        <v>#REF!</v>
      </c>
      <c r="AR184" t="e">
        <f>AND(#REF!,"AAAAAFv96ys=")</f>
        <v>#REF!</v>
      </c>
      <c r="AS184" t="e">
        <f>AND(#REF!,"AAAAAFv96yw=")</f>
        <v>#REF!</v>
      </c>
      <c r="AT184" t="e">
        <f>AND(#REF!,"AAAAAFv96y0=")</f>
        <v>#REF!</v>
      </c>
      <c r="AU184" t="e">
        <f>AND(#REF!,"AAAAAFv96y4=")</f>
        <v>#REF!</v>
      </c>
      <c r="AV184" t="e">
        <f>AND(#REF!,"AAAAAFv96y8=")</f>
        <v>#REF!</v>
      </c>
      <c r="AW184" t="e">
        <f>AND(#REF!,"AAAAAFv96zA=")</f>
        <v>#REF!</v>
      </c>
      <c r="AX184" t="e">
        <f>AND(#REF!,"AAAAAFv96zE=")</f>
        <v>#REF!</v>
      </c>
      <c r="AY184" t="e">
        <f>AND(#REF!,"AAAAAFv96zI=")</f>
        <v>#REF!</v>
      </c>
      <c r="AZ184" t="e">
        <f>AND(#REF!,"AAAAAFv96zM=")</f>
        <v>#REF!</v>
      </c>
      <c r="BA184" t="e">
        <f>AND(#REF!,"AAAAAFv96zQ=")</f>
        <v>#REF!</v>
      </c>
      <c r="BB184" t="e">
        <f>AND(#REF!,"AAAAAFv96zU=")</f>
        <v>#REF!</v>
      </c>
      <c r="BC184" t="e">
        <f>AND(#REF!,"AAAAAFv96zY=")</f>
        <v>#REF!</v>
      </c>
      <c r="BD184" t="e">
        <f>AND(#REF!,"AAAAAFv96zc=")</f>
        <v>#REF!</v>
      </c>
      <c r="BE184" t="e">
        <f>AND(#REF!,"AAAAAFv96zg=")</f>
        <v>#REF!</v>
      </c>
      <c r="BF184" t="e">
        <f>AND(#REF!,"AAAAAFv96zk=")</f>
        <v>#REF!</v>
      </c>
      <c r="BG184" t="e">
        <f>AND(#REF!,"AAAAAFv96zo=")</f>
        <v>#REF!</v>
      </c>
      <c r="BH184" t="e">
        <f>AND(#REF!,"AAAAAFv96zs=")</f>
        <v>#REF!</v>
      </c>
      <c r="BI184" t="e">
        <f>AND(#REF!,"AAAAAFv96zw=")</f>
        <v>#REF!</v>
      </c>
      <c r="BJ184" t="e">
        <f>AND(#REF!,"AAAAAFv96z0=")</f>
        <v>#REF!</v>
      </c>
      <c r="BK184" t="e">
        <f>AND(#REF!,"AAAAAFv96z4=")</f>
        <v>#REF!</v>
      </c>
      <c r="BL184" t="e">
        <f>AND(#REF!,"AAAAAFv96z8=")</f>
        <v>#REF!</v>
      </c>
      <c r="BM184" t="e">
        <f>AND(#REF!,"AAAAAFv960A=")</f>
        <v>#REF!</v>
      </c>
      <c r="BN184" t="e">
        <f>AND(#REF!,"AAAAAFv960E=")</f>
        <v>#REF!</v>
      </c>
      <c r="BO184" t="e">
        <f>AND(#REF!,"AAAAAFv960I=")</f>
        <v>#REF!</v>
      </c>
      <c r="BP184" t="e">
        <f>AND(#REF!,"AAAAAFv960M=")</f>
        <v>#REF!</v>
      </c>
      <c r="BQ184" t="e">
        <f>AND(#REF!,"AAAAAFv960Q=")</f>
        <v>#REF!</v>
      </c>
      <c r="BR184" t="e">
        <f>AND(#REF!,"AAAAAFv960U=")</f>
        <v>#REF!</v>
      </c>
      <c r="BS184" t="e">
        <f>AND(#REF!,"AAAAAFv960Y=")</f>
        <v>#REF!</v>
      </c>
      <c r="BT184" t="e">
        <f>AND(#REF!,"AAAAAFv960c=")</f>
        <v>#REF!</v>
      </c>
      <c r="BU184" t="e">
        <f>AND(#REF!,"AAAAAFv960g=")</f>
        <v>#REF!</v>
      </c>
      <c r="BV184" t="e">
        <f>AND(#REF!,"AAAAAFv960k=")</f>
        <v>#REF!</v>
      </c>
      <c r="BW184" t="e">
        <f>AND(#REF!,"AAAAAFv960o=")</f>
        <v>#REF!</v>
      </c>
      <c r="BX184" t="e">
        <f>AND(#REF!,"AAAAAFv960s=")</f>
        <v>#REF!</v>
      </c>
      <c r="BY184" t="e">
        <f>AND(#REF!,"AAAAAFv960w=")</f>
        <v>#REF!</v>
      </c>
      <c r="BZ184" t="e">
        <f>AND(#REF!,"AAAAAFv9600=")</f>
        <v>#REF!</v>
      </c>
      <c r="CA184" t="e">
        <f>AND(#REF!,"AAAAAFv9604=")</f>
        <v>#REF!</v>
      </c>
      <c r="CB184" t="e">
        <f>AND(#REF!,"AAAAAFv9608=")</f>
        <v>#REF!</v>
      </c>
      <c r="CC184" t="e">
        <f>AND(#REF!,"AAAAAFv961A=")</f>
        <v>#REF!</v>
      </c>
      <c r="CD184" t="e">
        <f>AND(#REF!,"AAAAAFv961E=")</f>
        <v>#REF!</v>
      </c>
      <c r="CE184" t="e">
        <f>AND(#REF!,"AAAAAFv961I=")</f>
        <v>#REF!</v>
      </c>
      <c r="CF184" t="e">
        <f>AND(#REF!,"AAAAAFv961M=")</f>
        <v>#REF!</v>
      </c>
      <c r="CG184" t="e">
        <f>AND(#REF!,"AAAAAFv961Q=")</f>
        <v>#REF!</v>
      </c>
      <c r="CH184" t="e">
        <f>AND(#REF!,"AAAAAFv961U=")</f>
        <v>#REF!</v>
      </c>
      <c r="CI184" t="e">
        <f>AND(#REF!,"AAAAAFv961Y=")</f>
        <v>#REF!</v>
      </c>
      <c r="CJ184" t="e">
        <f>AND(#REF!,"AAAAAFv961c=")</f>
        <v>#REF!</v>
      </c>
      <c r="CK184" t="e">
        <f>AND(#REF!,"AAAAAFv961g=")</f>
        <v>#REF!</v>
      </c>
      <c r="CL184" t="e">
        <f>AND(#REF!,"AAAAAFv961k=")</f>
        <v>#REF!</v>
      </c>
      <c r="CM184" t="e">
        <f>AND(#REF!,"AAAAAFv961o=")</f>
        <v>#REF!</v>
      </c>
      <c r="CN184" t="e">
        <f>AND(#REF!,"AAAAAFv961s=")</f>
        <v>#REF!</v>
      </c>
      <c r="CO184" t="e">
        <f>AND(#REF!,"AAAAAFv961w=")</f>
        <v>#REF!</v>
      </c>
      <c r="CP184" t="e">
        <f>AND(#REF!,"AAAAAFv9610=")</f>
        <v>#REF!</v>
      </c>
      <c r="CQ184" t="e">
        <f>AND(#REF!,"AAAAAFv9614=")</f>
        <v>#REF!</v>
      </c>
      <c r="CR184" t="e">
        <f>AND(#REF!,"AAAAAFv9618=")</f>
        <v>#REF!</v>
      </c>
      <c r="CS184" t="e">
        <f>AND(#REF!,"AAAAAFv962A=")</f>
        <v>#REF!</v>
      </c>
      <c r="CT184" t="e">
        <f>AND(#REF!,"AAAAAFv962E=")</f>
        <v>#REF!</v>
      </c>
      <c r="CU184" t="e">
        <f>AND(#REF!,"AAAAAFv962I=")</f>
        <v>#REF!</v>
      </c>
      <c r="CV184" t="e">
        <f>AND(#REF!,"AAAAAFv962M=")</f>
        <v>#REF!</v>
      </c>
      <c r="CW184" t="e">
        <f>AND(#REF!,"AAAAAFv962Q=")</f>
        <v>#REF!</v>
      </c>
      <c r="CX184" t="e">
        <f>AND(#REF!,"AAAAAFv962U=")</f>
        <v>#REF!</v>
      </c>
      <c r="CY184" t="e">
        <f>AND(#REF!,"AAAAAFv962Y=")</f>
        <v>#REF!</v>
      </c>
      <c r="CZ184" t="e">
        <f>AND(#REF!,"AAAAAFv962c=")</f>
        <v>#REF!</v>
      </c>
      <c r="DA184" t="e">
        <f>AND(#REF!,"AAAAAFv962g=")</f>
        <v>#REF!</v>
      </c>
      <c r="DB184" t="e">
        <f>AND(#REF!,"AAAAAFv962k=")</f>
        <v>#REF!</v>
      </c>
      <c r="DC184" t="e">
        <f>AND(#REF!,"AAAAAFv962o=")</f>
        <v>#REF!</v>
      </c>
      <c r="DD184" t="e">
        <f>AND(#REF!,"AAAAAFv962s=")</f>
        <v>#REF!</v>
      </c>
      <c r="DE184" t="e">
        <f>AND(#REF!,"AAAAAFv962w=")</f>
        <v>#REF!</v>
      </c>
      <c r="DF184" t="e">
        <f>AND(#REF!,"AAAAAFv9620=")</f>
        <v>#REF!</v>
      </c>
      <c r="DG184" t="e">
        <f>AND(#REF!,"AAAAAFv9624=")</f>
        <v>#REF!</v>
      </c>
      <c r="DH184" t="e">
        <f>AND(#REF!,"AAAAAFv9628=")</f>
        <v>#REF!</v>
      </c>
      <c r="DI184" t="e">
        <f>AND(#REF!,"AAAAAFv963A=")</f>
        <v>#REF!</v>
      </c>
      <c r="DJ184" t="e">
        <f>AND(#REF!,"AAAAAFv963E=")</f>
        <v>#REF!</v>
      </c>
      <c r="DK184" t="e">
        <f>AND(#REF!,"AAAAAFv963I=")</f>
        <v>#REF!</v>
      </c>
      <c r="DL184" t="e">
        <f>AND(#REF!,"AAAAAFv963M=")</f>
        <v>#REF!</v>
      </c>
      <c r="DM184" t="e">
        <f>AND(#REF!,"AAAAAFv963Q=")</f>
        <v>#REF!</v>
      </c>
      <c r="DN184" t="e">
        <f>AND(#REF!,"AAAAAFv963U=")</f>
        <v>#REF!</v>
      </c>
      <c r="DO184" t="e">
        <f>AND(#REF!,"AAAAAFv963Y=")</f>
        <v>#REF!</v>
      </c>
      <c r="DP184" t="e">
        <f>AND(#REF!,"AAAAAFv963c=")</f>
        <v>#REF!</v>
      </c>
      <c r="DQ184" t="e">
        <f>AND(#REF!,"AAAAAFv963g=")</f>
        <v>#REF!</v>
      </c>
      <c r="DR184" t="e">
        <f>AND(#REF!,"AAAAAFv963k=")</f>
        <v>#REF!</v>
      </c>
      <c r="DS184" t="e">
        <f>AND(#REF!,"AAAAAFv963o=")</f>
        <v>#REF!</v>
      </c>
      <c r="DT184" t="e">
        <f>AND(#REF!,"AAAAAFv963s=")</f>
        <v>#REF!</v>
      </c>
      <c r="DU184" t="e">
        <f>AND(#REF!,"AAAAAFv963w=")</f>
        <v>#REF!</v>
      </c>
      <c r="DV184" t="e">
        <f>AND(#REF!,"AAAAAFv9630=")</f>
        <v>#REF!</v>
      </c>
      <c r="DW184" t="e">
        <f>AND(#REF!,"AAAAAFv9634=")</f>
        <v>#REF!</v>
      </c>
      <c r="DX184" t="e">
        <f>AND(#REF!,"AAAAAFv9638=")</f>
        <v>#REF!</v>
      </c>
      <c r="DY184" t="e">
        <f>AND(#REF!,"AAAAAFv964A=")</f>
        <v>#REF!</v>
      </c>
      <c r="DZ184" t="e">
        <f>AND(#REF!,"AAAAAFv964E=")</f>
        <v>#REF!</v>
      </c>
      <c r="EA184" t="e">
        <f>AND(#REF!,"AAAAAFv964I=")</f>
        <v>#REF!</v>
      </c>
      <c r="EB184" t="e">
        <f>AND(#REF!,"AAAAAFv964M=")</f>
        <v>#REF!</v>
      </c>
      <c r="EC184" t="e">
        <f>AND(#REF!,"AAAAAFv964Q=")</f>
        <v>#REF!</v>
      </c>
      <c r="ED184" t="e">
        <f>AND(#REF!,"AAAAAFv964U=")</f>
        <v>#REF!</v>
      </c>
      <c r="EE184" t="e">
        <f>AND(#REF!,"AAAAAFv964Y=")</f>
        <v>#REF!</v>
      </c>
      <c r="EF184" t="e">
        <f>AND(#REF!,"AAAAAFv964c=")</f>
        <v>#REF!</v>
      </c>
      <c r="EG184" t="e">
        <f>AND(#REF!,"AAAAAFv964g=")</f>
        <v>#REF!</v>
      </c>
      <c r="EH184" t="e">
        <f>AND(#REF!,"AAAAAFv964k=")</f>
        <v>#REF!</v>
      </c>
      <c r="EI184" t="e">
        <f>AND(#REF!,"AAAAAFv964o=")</f>
        <v>#REF!</v>
      </c>
      <c r="EJ184" t="e">
        <f>AND(#REF!,"AAAAAFv964s=")</f>
        <v>#REF!</v>
      </c>
      <c r="EK184" t="e">
        <f>AND(#REF!,"AAAAAFv964w=")</f>
        <v>#REF!</v>
      </c>
      <c r="EL184" t="e">
        <f>AND(#REF!,"AAAAAFv9640=")</f>
        <v>#REF!</v>
      </c>
      <c r="EM184" t="e">
        <f>AND(#REF!,"AAAAAFv9644=")</f>
        <v>#REF!</v>
      </c>
      <c r="EN184" t="e">
        <f>AND(#REF!,"AAAAAFv9648=")</f>
        <v>#REF!</v>
      </c>
      <c r="EO184" t="e">
        <f>AND(#REF!,"AAAAAFv965A=")</f>
        <v>#REF!</v>
      </c>
      <c r="EP184" t="e">
        <f>AND(#REF!,"AAAAAFv965E=")</f>
        <v>#REF!</v>
      </c>
      <c r="EQ184" t="e">
        <f>AND(#REF!,"AAAAAFv965I=")</f>
        <v>#REF!</v>
      </c>
      <c r="ER184" t="e">
        <f>AND(#REF!,"AAAAAFv965M=")</f>
        <v>#REF!</v>
      </c>
      <c r="ES184" t="e">
        <f>AND(#REF!,"AAAAAFv965Q=")</f>
        <v>#REF!</v>
      </c>
      <c r="ET184" t="e">
        <f>AND(#REF!,"AAAAAFv965U=")</f>
        <v>#REF!</v>
      </c>
      <c r="EU184" t="e">
        <f>AND(#REF!,"AAAAAFv965Y=")</f>
        <v>#REF!</v>
      </c>
      <c r="EV184" t="e">
        <f>AND(#REF!,"AAAAAFv965c=")</f>
        <v>#REF!</v>
      </c>
      <c r="EW184" t="e">
        <f>AND(#REF!,"AAAAAFv965g=")</f>
        <v>#REF!</v>
      </c>
      <c r="EX184" t="e">
        <f>AND(#REF!,"AAAAAFv965k=")</f>
        <v>#REF!</v>
      </c>
      <c r="EY184" t="e">
        <f>AND(#REF!,"AAAAAFv965o=")</f>
        <v>#REF!</v>
      </c>
      <c r="EZ184" t="e">
        <f>AND(#REF!,"AAAAAFv965s=")</f>
        <v>#REF!</v>
      </c>
      <c r="FA184" t="e">
        <f>AND(#REF!,"AAAAAFv965w=")</f>
        <v>#REF!</v>
      </c>
      <c r="FB184" t="e">
        <f>AND(#REF!,"AAAAAFv9650=")</f>
        <v>#REF!</v>
      </c>
      <c r="FC184" t="e">
        <f>AND(#REF!,"AAAAAFv9654=")</f>
        <v>#REF!</v>
      </c>
      <c r="FD184" t="e">
        <f>AND(#REF!,"AAAAAFv9658=")</f>
        <v>#REF!</v>
      </c>
      <c r="FE184" t="e">
        <f>AND(#REF!,"AAAAAFv966A=")</f>
        <v>#REF!</v>
      </c>
      <c r="FF184" t="e">
        <f>AND(#REF!,"AAAAAFv966E=")</f>
        <v>#REF!</v>
      </c>
      <c r="FG184" t="e">
        <f>AND(#REF!,"AAAAAFv966I=")</f>
        <v>#REF!</v>
      </c>
      <c r="FH184" t="e">
        <f>AND(#REF!,"AAAAAFv966M=")</f>
        <v>#REF!</v>
      </c>
      <c r="FI184" t="e">
        <f>AND(#REF!,"AAAAAFv966Q=")</f>
        <v>#REF!</v>
      </c>
      <c r="FJ184" t="e">
        <f>AND(#REF!,"AAAAAFv966U=")</f>
        <v>#REF!</v>
      </c>
      <c r="FK184" t="e">
        <f>AND(#REF!,"AAAAAFv966Y=")</f>
        <v>#REF!</v>
      </c>
      <c r="FL184" t="e">
        <f>AND(#REF!,"AAAAAFv966c=")</f>
        <v>#REF!</v>
      </c>
      <c r="FM184" t="e">
        <f>AND(#REF!,"AAAAAFv966g=")</f>
        <v>#REF!</v>
      </c>
      <c r="FN184" t="e">
        <f>IF(#REF!,"AAAAAFv966k=",0)</f>
        <v>#REF!</v>
      </c>
      <c r="FO184" t="e">
        <f>AND(#REF!,"AAAAAFv966o=")</f>
        <v>#REF!</v>
      </c>
      <c r="FP184" t="e">
        <f>AND(#REF!,"AAAAAFv966s=")</f>
        <v>#REF!</v>
      </c>
      <c r="FQ184" t="e">
        <f>AND(#REF!,"AAAAAFv966w=")</f>
        <v>#REF!</v>
      </c>
      <c r="FR184" t="e">
        <f>AND(#REF!,"AAAAAFv9660=")</f>
        <v>#REF!</v>
      </c>
      <c r="FS184" t="e">
        <f>AND(#REF!,"AAAAAFv9664=")</f>
        <v>#REF!</v>
      </c>
      <c r="FT184" t="e">
        <f>AND(#REF!,"AAAAAFv9668=")</f>
        <v>#REF!</v>
      </c>
      <c r="FU184" t="e">
        <f>AND(#REF!,"AAAAAFv967A=")</f>
        <v>#REF!</v>
      </c>
      <c r="FV184" t="e">
        <f>AND(#REF!,"AAAAAFv967E=")</f>
        <v>#REF!</v>
      </c>
      <c r="FW184" t="e">
        <f>AND(#REF!,"AAAAAFv967I=")</f>
        <v>#REF!</v>
      </c>
      <c r="FX184" t="e">
        <f>AND(#REF!,"AAAAAFv967M=")</f>
        <v>#REF!</v>
      </c>
      <c r="FY184" t="e">
        <f>AND(#REF!,"AAAAAFv967Q=")</f>
        <v>#REF!</v>
      </c>
      <c r="FZ184" t="e">
        <f>AND(#REF!,"AAAAAFv967U=")</f>
        <v>#REF!</v>
      </c>
      <c r="GA184" t="e">
        <f>AND(#REF!,"AAAAAFv967Y=")</f>
        <v>#REF!</v>
      </c>
      <c r="GB184" t="e">
        <f>AND(#REF!,"AAAAAFv967c=")</f>
        <v>#REF!</v>
      </c>
      <c r="GC184" t="e">
        <f>AND(#REF!,"AAAAAFv967g=")</f>
        <v>#REF!</v>
      </c>
      <c r="GD184" t="e">
        <f>AND(#REF!,"AAAAAFv967k=")</f>
        <v>#REF!</v>
      </c>
      <c r="GE184" t="e">
        <f>AND(#REF!,"AAAAAFv967o=")</f>
        <v>#REF!</v>
      </c>
      <c r="GF184" t="e">
        <f>AND(#REF!,"AAAAAFv967s=")</f>
        <v>#REF!</v>
      </c>
      <c r="GG184" t="e">
        <f>AND(#REF!,"AAAAAFv967w=")</f>
        <v>#REF!</v>
      </c>
      <c r="GH184" t="e">
        <f>AND(#REF!,"AAAAAFv9670=")</f>
        <v>#REF!</v>
      </c>
      <c r="GI184" t="e">
        <f>AND(#REF!,"AAAAAFv9674=")</f>
        <v>#REF!</v>
      </c>
      <c r="GJ184" t="e">
        <f>AND(#REF!,"AAAAAFv9678=")</f>
        <v>#REF!</v>
      </c>
      <c r="GK184" t="e">
        <f>AND(#REF!,"AAAAAFv968A=")</f>
        <v>#REF!</v>
      </c>
      <c r="GL184" t="e">
        <f>AND(#REF!,"AAAAAFv968E=")</f>
        <v>#REF!</v>
      </c>
      <c r="GM184" t="e">
        <f>AND(#REF!,"AAAAAFv968I=")</f>
        <v>#REF!</v>
      </c>
      <c r="GN184" t="e">
        <f>AND(#REF!,"AAAAAFv968M=")</f>
        <v>#REF!</v>
      </c>
      <c r="GO184" t="e">
        <f>AND(#REF!,"AAAAAFv968Q=")</f>
        <v>#REF!</v>
      </c>
      <c r="GP184" t="e">
        <f>AND(#REF!,"AAAAAFv968U=")</f>
        <v>#REF!</v>
      </c>
      <c r="GQ184" t="e">
        <f>AND(#REF!,"AAAAAFv968Y=")</f>
        <v>#REF!</v>
      </c>
      <c r="GR184" t="e">
        <f>AND(#REF!,"AAAAAFv968c=")</f>
        <v>#REF!</v>
      </c>
      <c r="GS184" t="e">
        <f>AND(#REF!,"AAAAAFv968g=")</f>
        <v>#REF!</v>
      </c>
      <c r="GT184" t="e">
        <f>AND(#REF!,"AAAAAFv968k=")</f>
        <v>#REF!</v>
      </c>
      <c r="GU184" t="e">
        <f>AND(#REF!,"AAAAAFv968o=")</f>
        <v>#REF!</v>
      </c>
      <c r="GV184" t="e">
        <f>AND(#REF!,"AAAAAFv968s=")</f>
        <v>#REF!</v>
      </c>
      <c r="GW184" t="e">
        <f>AND(#REF!,"AAAAAFv968w=")</f>
        <v>#REF!</v>
      </c>
      <c r="GX184" t="e">
        <f>AND(#REF!,"AAAAAFv9680=")</f>
        <v>#REF!</v>
      </c>
      <c r="GY184" t="e">
        <f>AND(#REF!,"AAAAAFv9684=")</f>
        <v>#REF!</v>
      </c>
      <c r="GZ184" t="e">
        <f>AND(#REF!,"AAAAAFv9688=")</f>
        <v>#REF!</v>
      </c>
      <c r="HA184" t="e">
        <f>AND(#REF!,"AAAAAFv969A=")</f>
        <v>#REF!</v>
      </c>
      <c r="HB184" t="e">
        <f>AND(#REF!,"AAAAAFv969E=")</f>
        <v>#REF!</v>
      </c>
      <c r="HC184" t="e">
        <f>AND(#REF!,"AAAAAFv969I=")</f>
        <v>#REF!</v>
      </c>
      <c r="HD184" t="e">
        <f>AND(#REF!,"AAAAAFv969M=")</f>
        <v>#REF!</v>
      </c>
      <c r="HE184" t="e">
        <f>AND(#REF!,"AAAAAFv969Q=")</f>
        <v>#REF!</v>
      </c>
      <c r="HF184" t="e">
        <f>AND(#REF!,"AAAAAFv969U=")</f>
        <v>#REF!</v>
      </c>
      <c r="HG184" t="e">
        <f>AND(#REF!,"AAAAAFv969Y=")</f>
        <v>#REF!</v>
      </c>
      <c r="HH184" t="e">
        <f>AND(#REF!,"AAAAAFv969c=")</f>
        <v>#REF!</v>
      </c>
      <c r="HI184" t="e">
        <f>AND(#REF!,"AAAAAFv969g=")</f>
        <v>#REF!</v>
      </c>
      <c r="HJ184" t="e">
        <f>AND(#REF!,"AAAAAFv969k=")</f>
        <v>#REF!</v>
      </c>
      <c r="HK184" t="e">
        <f>AND(#REF!,"AAAAAFv969o=")</f>
        <v>#REF!</v>
      </c>
      <c r="HL184" t="e">
        <f>AND(#REF!,"AAAAAFv969s=")</f>
        <v>#REF!</v>
      </c>
      <c r="HM184" t="e">
        <f>AND(#REF!,"AAAAAFv969w=")</f>
        <v>#REF!</v>
      </c>
      <c r="HN184" t="e">
        <f>AND(#REF!,"AAAAAFv9690=")</f>
        <v>#REF!</v>
      </c>
      <c r="HO184" t="e">
        <f>AND(#REF!,"AAAAAFv9694=")</f>
        <v>#REF!</v>
      </c>
      <c r="HP184" t="e">
        <f>AND(#REF!,"AAAAAFv9698=")</f>
        <v>#REF!</v>
      </c>
      <c r="HQ184" t="e">
        <f>AND(#REF!,"AAAAAFv96+A=")</f>
        <v>#REF!</v>
      </c>
      <c r="HR184" t="e">
        <f>AND(#REF!,"AAAAAFv96+E=")</f>
        <v>#REF!</v>
      </c>
      <c r="HS184" t="e">
        <f>AND(#REF!,"AAAAAFv96+I=")</f>
        <v>#REF!</v>
      </c>
      <c r="HT184" t="e">
        <f>AND(#REF!,"AAAAAFv96+M=")</f>
        <v>#REF!</v>
      </c>
      <c r="HU184" t="e">
        <f>AND(#REF!,"AAAAAFv96+Q=")</f>
        <v>#REF!</v>
      </c>
      <c r="HV184" t="e">
        <f>AND(#REF!,"AAAAAFv96+U=")</f>
        <v>#REF!</v>
      </c>
      <c r="HW184" t="e">
        <f>AND(#REF!,"AAAAAFv96+Y=")</f>
        <v>#REF!</v>
      </c>
      <c r="HX184" t="e">
        <f>AND(#REF!,"AAAAAFv96+c=")</f>
        <v>#REF!</v>
      </c>
      <c r="HY184" t="e">
        <f>AND(#REF!,"AAAAAFv96+g=")</f>
        <v>#REF!</v>
      </c>
      <c r="HZ184" t="e">
        <f>AND(#REF!,"AAAAAFv96+k=")</f>
        <v>#REF!</v>
      </c>
      <c r="IA184" t="e">
        <f>AND(#REF!,"AAAAAFv96+o=")</f>
        <v>#REF!</v>
      </c>
      <c r="IB184" t="e">
        <f>AND(#REF!,"AAAAAFv96+s=")</f>
        <v>#REF!</v>
      </c>
      <c r="IC184" t="e">
        <f>AND(#REF!,"AAAAAFv96+w=")</f>
        <v>#REF!</v>
      </c>
      <c r="ID184" t="e">
        <f>AND(#REF!,"AAAAAFv96+0=")</f>
        <v>#REF!</v>
      </c>
      <c r="IE184" t="e">
        <f>AND(#REF!,"AAAAAFv96+4=")</f>
        <v>#REF!</v>
      </c>
      <c r="IF184" t="e">
        <f>AND(#REF!,"AAAAAFv96+8=")</f>
        <v>#REF!</v>
      </c>
      <c r="IG184" t="e">
        <f>AND(#REF!,"AAAAAFv96/A=")</f>
        <v>#REF!</v>
      </c>
      <c r="IH184" t="e">
        <f>AND(#REF!,"AAAAAFv96/E=")</f>
        <v>#REF!</v>
      </c>
      <c r="II184" t="e">
        <f>AND(#REF!,"AAAAAFv96/I=")</f>
        <v>#REF!</v>
      </c>
      <c r="IJ184" t="e">
        <f>AND(#REF!,"AAAAAFv96/M=")</f>
        <v>#REF!</v>
      </c>
      <c r="IK184" t="e">
        <f>AND(#REF!,"AAAAAFv96/Q=")</f>
        <v>#REF!</v>
      </c>
      <c r="IL184" t="e">
        <f>AND(#REF!,"AAAAAFv96/U=")</f>
        <v>#REF!</v>
      </c>
      <c r="IM184" t="e">
        <f>AND(#REF!,"AAAAAFv96/Y=")</f>
        <v>#REF!</v>
      </c>
      <c r="IN184" t="e">
        <f>AND(#REF!,"AAAAAFv96/c=")</f>
        <v>#REF!</v>
      </c>
      <c r="IO184" t="e">
        <f>AND(#REF!,"AAAAAFv96/g=")</f>
        <v>#REF!</v>
      </c>
      <c r="IP184" t="e">
        <f>AND(#REF!,"AAAAAFv96/k=")</f>
        <v>#REF!</v>
      </c>
      <c r="IQ184" t="e">
        <f>AND(#REF!,"AAAAAFv96/o=")</f>
        <v>#REF!</v>
      </c>
      <c r="IR184" t="e">
        <f>AND(#REF!,"AAAAAFv96/s=")</f>
        <v>#REF!</v>
      </c>
      <c r="IS184" t="e">
        <f>AND(#REF!,"AAAAAFv96/w=")</f>
        <v>#REF!</v>
      </c>
      <c r="IT184" t="e">
        <f>AND(#REF!,"AAAAAFv96/0=")</f>
        <v>#REF!</v>
      </c>
      <c r="IU184" t="e">
        <f>AND(#REF!,"AAAAAFv96/4=")</f>
        <v>#REF!</v>
      </c>
      <c r="IV184" t="e">
        <f>AND(#REF!,"AAAAAFv96/8=")</f>
        <v>#REF!</v>
      </c>
    </row>
    <row r="185" spans="1:256" x14ac:dyDescent="0.25">
      <c r="A185" t="e">
        <f>AND(#REF!,"AAAAAHf8+wA=")</f>
        <v>#REF!</v>
      </c>
      <c r="B185" t="e">
        <f>AND(#REF!,"AAAAAHf8+wE=")</f>
        <v>#REF!</v>
      </c>
      <c r="C185" t="e">
        <f>AND(#REF!,"AAAAAHf8+wI=")</f>
        <v>#REF!</v>
      </c>
      <c r="D185" t="e">
        <f>AND(#REF!,"AAAAAHf8+wM=")</f>
        <v>#REF!</v>
      </c>
      <c r="E185" t="e">
        <f>AND(#REF!,"AAAAAHf8+wQ=")</f>
        <v>#REF!</v>
      </c>
      <c r="F185" t="e">
        <f>AND(#REF!,"AAAAAHf8+wU=")</f>
        <v>#REF!</v>
      </c>
      <c r="G185" t="e">
        <f>AND(#REF!,"AAAAAHf8+wY=")</f>
        <v>#REF!</v>
      </c>
      <c r="H185" t="e">
        <f>AND(#REF!,"AAAAAHf8+wc=")</f>
        <v>#REF!</v>
      </c>
      <c r="I185" t="e">
        <f>AND(#REF!,"AAAAAHf8+wg=")</f>
        <v>#REF!</v>
      </c>
      <c r="J185" t="e">
        <f>AND(#REF!,"AAAAAHf8+wk=")</f>
        <v>#REF!</v>
      </c>
      <c r="K185" t="e">
        <f>AND(#REF!,"AAAAAHf8+wo=")</f>
        <v>#REF!</v>
      </c>
      <c r="L185" t="e">
        <f>AND(#REF!,"AAAAAHf8+ws=")</f>
        <v>#REF!</v>
      </c>
      <c r="M185" t="e">
        <f>AND(#REF!,"AAAAAHf8+ww=")</f>
        <v>#REF!</v>
      </c>
      <c r="N185" t="e">
        <f>AND(#REF!,"AAAAAHf8+w0=")</f>
        <v>#REF!</v>
      </c>
      <c r="O185" t="e">
        <f>AND(#REF!,"AAAAAHf8+w4=")</f>
        <v>#REF!</v>
      </c>
      <c r="P185" t="e">
        <f>AND(#REF!,"AAAAAHf8+w8=")</f>
        <v>#REF!</v>
      </c>
      <c r="Q185" t="e">
        <f>AND(#REF!,"AAAAAHf8+xA=")</f>
        <v>#REF!</v>
      </c>
      <c r="R185" t="e">
        <f>AND(#REF!,"AAAAAHf8+xE=")</f>
        <v>#REF!</v>
      </c>
      <c r="S185" t="e">
        <f>AND(#REF!,"AAAAAHf8+xI=")</f>
        <v>#REF!</v>
      </c>
      <c r="T185" t="e">
        <f>AND(#REF!,"AAAAAHf8+xM=")</f>
        <v>#REF!</v>
      </c>
      <c r="U185" t="e">
        <f>AND(#REF!,"AAAAAHf8+xQ=")</f>
        <v>#REF!</v>
      </c>
      <c r="V185" t="e">
        <f>AND(#REF!,"AAAAAHf8+xU=")</f>
        <v>#REF!</v>
      </c>
      <c r="W185" t="e">
        <f>AND(#REF!,"AAAAAHf8+xY=")</f>
        <v>#REF!</v>
      </c>
      <c r="X185" t="e">
        <f>AND(#REF!,"AAAAAHf8+xc=")</f>
        <v>#REF!</v>
      </c>
      <c r="Y185" t="e">
        <f>AND(#REF!,"AAAAAHf8+xg=")</f>
        <v>#REF!</v>
      </c>
      <c r="Z185" t="e">
        <f>AND(#REF!,"AAAAAHf8+xk=")</f>
        <v>#REF!</v>
      </c>
      <c r="AA185" t="e">
        <f>AND(#REF!,"AAAAAHf8+xo=")</f>
        <v>#REF!</v>
      </c>
      <c r="AB185" t="e">
        <f>AND(#REF!,"AAAAAHf8+xs=")</f>
        <v>#REF!</v>
      </c>
      <c r="AC185" t="e">
        <f>AND(#REF!,"AAAAAHf8+xw=")</f>
        <v>#REF!</v>
      </c>
      <c r="AD185" t="e">
        <f>AND(#REF!,"AAAAAHf8+x0=")</f>
        <v>#REF!</v>
      </c>
      <c r="AE185" t="e">
        <f>AND(#REF!,"AAAAAHf8+x4=")</f>
        <v>#REF!</v>
      </c>
      <c r="AF185" t="e">
        <f>AND(#REF!,"AAAAAHf8+x8=")</f>
        <v>#REF!</v>
      </c>
      <c r="AG185" t="e">
        <f>AND(#REF!,"AAAAAHf8+yA=")</f>
        <v>#REF!</v>
      </c>
      <c r="AH185" t="e">
        <f>AND(#REF!,"AAAAAHf8+yE=")</f>
        <v>#REF!</v>
      </c>
      <c r="AI185" t="e">
        <f>AND(#REF!,"AAAAAHf8+yI=")</f>
        <v>#REF!</v>
      </c>
      <c r="AJ185" t="e">
        <f>AND(#REF!,"AAAAAHf8+yM=")</f>
        <v>#REF!</v>
      </c>
      <c r="AK185" t="e">
        <f>AND(#REF!,"AAAAAHf8+yQ=")</f>
        <v>#REF!</v>
      </c>
      <c r="AL185" t="e">
        <f>AND(#REF!,"AAAAAHf8+yU=")</f>
        <v>#REF!</v>
      </c>
      <c r="AM185" t="e">
        <f>AND(#REF!,"AAAAAHf8+yY=")</f>
        <v>#REF!</v>
      </c>
      <c r="AN185" t="e">
        <f>AND(#REF!,"AAAAAHf8+yc=")</f>
        <v>#REF!</v>
      </c>
      <c r="AO185" t="e">
        <f>AND(#REF!,"AAAAAHf8+yg=")</f>
        <v>#REF!</v>
      </c>
      <c r="AP185" t="e">
        <f>AND(#REF!,"AAAAAHf8+yk=")</f>
        <v>#REF!</v>
      </c>
      <c r="AQ185" t="e">
        <f>AND(#REF!,"AAAAAHf8+yo=")</f>
        <v>#REF!</v>
      </c>
      <c r="AR185" t="e">
        <f>AND(#REF!,"AAAAAHf8+ys=")</f>
        <v>#REF!</v>
      </c>
      <c r="AS185" t="e">
        <f>AND(#REF!,"AAAAAHf8+yw=")</f>
        <v>#REF!</v>
      </c>
      <c r="AT185" t="e">
        <f>AND(#REF!,"AAAAAHf8+y0=")</f>
        <v>#REF!</v>
      </c>
      <c r="AU185" t="e">
        <f>AND(#REF!,"AAAAAHf8+y4=")</f>
        <v>#REF!</v>
      </c>
      <c r="AV185" t="e">
        <f>AND(#REF!,"AAAAAHf8+y8=")</f>
        <v>#REF!</v>
      </c>
      <c r="AW185" t="e">
        <f>AND(#REF!,"AAAAAHf8+zA=")</f>
        <v>#REF!</v>
      </c>
      <c r="AX185" t="e">
        <f>AND(#REF!,"AAAAAHf8+zE=")</f>
        <v>#REF!</v>
      </c>
      <c r="AY185" t="e">
        <f>AND(#REF!,"AAAAAHf8+zI=")</f>
        <v>#REF!</v>
      </c>
      <c r="AZ185" t="e">
        <f>AND(#REF!,"AAAAAHf8+zM=")</f>
        <v>#REF!</v>
      </c>
      <c r="BA185" t="e">
        <f>AND(#REF!,"AAAAAHf8+zQ=")</f>
        <v>#REF!</v>
      </c>
      <c r="BB185" t="e">
        <f>AND(#REF!,"AAAAAHf8+zU=")</f>
        <v>#REF!</v>
      </c>
      <c r="BC185" t="e">
        <f>AND(#REF!,"AAAAAHf8+zY=")</f>
        <v>#REF!</v>
      </c>
      <c r="BD185" t="e">
        <f>AND(#REF!,"AAAAAHf8+zc=")</f>
        <v>#REF!</v>
      </c>
      <c r="BE185" t="e">
        <f>AND(#REF!,"AAAAAHf8+zg=")</f>
        <v>#REF!</v>
      </c>
      <c r="BF185" t="e">
        <f>AND(#REF!,"AAAAAHf8+zk=")</f>
        <v>#REF!</v>
      </c>
      <c r="BG185" t="e">
        <f>AND(#REF!,"AAAAAHf8+zo=")</f>
        <v>#REF!</v>
      </c>
      <c r="BH185" t="e">
        <f>AND(#REF!,"AAAAAHf8+zs=")</f>
        <v>#REF!</v>
      </c>
      <c r="BI185" t="e">
        <f>AND(#REF!,"AAAAAHf8+zw=")</f>
        <v>#REF!</v>
      </c>
      <c r="BJ185" t="e">
        <f>AND(#REF!,"AAAAAHf8+z0=")</f>
        <v>#REF!</v>
      </c>
      <c r="BK185" t="e">
        <f>AND(#REF!,"AAAAAHf8+z4=")</f>
        <v>#REF!</v>
      </c>
      <c r="BL185" t="e">
        <f>AND(#REF!,"AAAAAHf8+z8=")</f>
        <v>#REF!</v>
      </c>
      <c r="BM185" t="e">
        <f>AND(#REF!,"AAAAAHf8+0A=")</f>
        <v>#REF!</v>
      </c>
      <c r="BN185" t="e">
        <f>AND(#REF!,"AAAAAHf8+0E=")</f>
        <v>#REF!</v>
      </c>
      <c r="BO185" t="e">
        <f>AND(#REF!,"AAAAAHf8+0I=")</f>
        <v>#REF!</v>
      </c>
      <c r="BP185" t="e">
        <f>AND(#REF!,"AAAAAHf8+0M=")</f>
        <v>#REF!</v>
      </c>
      <c r="BQ185" t="e">
        <f>AND(#REF!,"AAAAAHf8+0Q=")</f>
        <v>#REF!</v>
      </c>
      <c r="BR185" t="e">
        <f>AND(#REF!,"AAAAAHf8+0U=")</f>
        <v>#REF!</v>
      </c>
      <c r="BS185" t="e">
        <f>AND(#REF!,"AAAAAHf8+0Y=")</f>
        <v>#REF!</v>
      </c>
      <c r="BT185" t="e">
        <f>AND(#REF!,"AAAAAHf8+0c=")</f>
        <v>#REF!</v>
      </c>
      <c r="BU185" t="e">
        <f>AND(#REF!,"AAAAAHf8+0g=")</f>
        <v>#REF!</v>
      </c>
      <c r="BV185" t="e">
        <f>AND(#REF!,"AAAAAHf8+0k=")</f>
        <v>#REF!</v>
      </c>
      <c r="BW185" t="e">
        <f>AND(#REF!,"AAAAAHf8+0o=")</f>
        <v>#REF!</v>
      </c>
      <c r="BX185" t="e">
        <f>AND(#REF!,"AAAAAHf8+0s=")</f>
        <v>#REF!</v>
      </c>
      <c r="BY185" t="e">
        <f>AND(#REF!,"AAAAAHf8+0w=")</f>
        <v>#REF!</v>
      </c>
      <c r="BZ185" t="e">
        <f>AND(#REF!,"AAAAAHf8+00=")</f>
        <v>#REF!</v>
      </c>
      <c r="CA185" t="e">
        <f>AND(#REF!,"AAAAAHf8+04=")</f>
        <v>#REF!</v>
      </c>
      <c r="CB185" t="e">
        <f>AND(#REF!,"AAAAAHf8+08=")</f>
        <v>#REF!</v>
      </c>
      <c r="CC185" t="e">
        <f>AND(#REF!,"AAAAAHf8+1A=")</f>
        <v>#REF!</v>
      </c>
      <c r="CD185" t="e">
        <f>AND(#REF!,"AAAAAHf8+1E=")</f>
        <v>#REF!</v>
      </c>
      <c r="CE185" t="e">
        <f>AND(#REF!,"AAAAAHf8+1I=")</f>
        <v>#REF!</v>
      </c>
      <c r="CF185" t="e">
        <f>AND(#REF!,"AAAAAHf8+1M=")</f>
        <v>#REF!</v>
      </c>
      <c r="CG185" t="e">
        <f>AND(#REF!,"AAAAAHf8+1Q=")</f>
        <v>#REF!</v>
      </c>
      <c r="CH185" t="e">
        <f>AND(#REF!,"AAAAAHf8+1U=")</f>
        <v>#REF!</v>
      </c>
      <c r="CI185" t="e">
        <f>AND(#REF!,"AAAAAHf8+1Y=")</f>
        <v>#REF!</v>
      </c>
      <c r="CJ185" t="e">
        <f>AND(#REF!,"AAAAAHf8+1c=")</f>
        <v>#REF!</v>
      </c>
      <c r="CK185" t="e">
        <f>AND(#REF!,"AAAAAHf8+1g=")</f>
        <v>#REF!</v>
      </c>
      <c r="CL185" t="e">
        <f>AND(#REF!,"AAAAAHf8+1k=")</f>
        <v>#REF!</v>
      </c>
      <c r="CM185" t="e">
        <f>AND(#REF!,"AAAAAHf8+1o=")</f>
        <v>#REF!</v>
      </c>
      <c r="CN185" t="e">
        <f>AND(#REF!,"AAAAAHf8+1s=")</f>
        <v>#REF!</v>
      </c>
      <c r="CO185" t="e">
        <f>AND(#REF!,"AAAAAHf8+1w=")</f>
        <v>#REF!</v>
      </c>
      <c r="CP185" t="e">
        <f>AND(#REF!,"AAAAAHf8+10=")</f>
        <v>#REF!</v>
      </c>
      <c r="CQ185" t="e">
        <f>AND(#REF!,"AAAAAHf8+14=")</f>
        <v>#REF!</v>
      </c>
      <c r="CR185" t="e">
        <f>AND(#REF!,"AAAAAHf8+18=")</f>
        <v>#REF!</v>
      </c>
      <c r="CS185" t="e">
        <f>AND(#REF!,"AAAAAHf8+2A=")</f>
        <v>#REF!</v>
      </c>
      <c r="CT185" t="e">
        <f>AND(#REF!,"AAAAAHf8+2E=")</f>
        <v>#REF!</v>
      </c>
      <c r="CU185" t="e">
        <f>AND(#REF!,"AAAAAHf8+2I=")</f>
        <v>#REF!</v>
      </c>
      <c r="CV185" t="e">
        <f>AND(#REF!,"AAAAAHf8+2M=")</f>
        <v>#REF!</v>
      </c>
      <c r="CW185" t="e">
        <f>AND(#REF!,"AAAAAHf8+2Q=")</f>
        <v>#REF!</v>
      </c>
      <c r="CX185" t="e">
        <f>AND(#REF!,"AAAAAHf8+2U=")</f>
        <v>#REF!</v>
      </c>
      <c r="CY185" t="e">
        <f>IF(#REF!,"AAAAAHf8+2Y=",0)</f>
        <v>#REF!</v>
      </c>
      <c r="CZ185" t="e">
        <f>AND(#REF!,"AAAAAHf8+2c=")</f>
        <v>#REF!</v>
      </c>
      <c r="DA185" t="e">
        <f>AND(#REF!,"AAAAAHf8+2g=")</f>
        <v>#REF!</v>
      </c>
      <c r="DB185" t="e">
        <f>AND(#REF!,"AAAAAHf8+2k=")</f>
        <v>#REF!</v>
      </c>
      <c r="DC185" t="e">
        <f>AND(#REF!,"AAAAAHf8+2o=")</f>
        <v>#REF!</v>
      </c>
      <c r="DD185" t="e">
        <f>AND(#REF!,"AAAAAHf8+2s=")</f>
        <v>#REF!</v>
      </c>
      <c r="DE185" t="e">
        <f>AND(#REF!,"AAAAAHf8+2w=")</f>
        <v>#REF!</v>
      </c>
      <c r="DF185" t="e">
        <f>AND(#REF!,"AAAAAHf8+20=")</f>
        <v>#REF!</v>
      </c>
      <c r="DG185" t="e">
        <f>AND(#REF!,"AAAAAHf8+24=")</f>
        <v>#REF!</v>
      </c>
      <c r="DH185" t="e">
        <f>AND(#REF!,"AAAAAHf8+28=")</f>
        <v>#REF!</v>
      </c>
      <c r="DI185" t="e">
        <f>AND(#REF!,"AAAAAHf8+3A=")</f>
        <v>#REF!</v>
      </c>
      <c r="DJ185" t="e">
        <f>AND(#REF!,"AAAAAHf8+3E=")</f>
        <v>#REF!</v>
      </c>
      <c r="DK185" t="e">
        <f>AND(#REF!,"AAAAAHf8+3I=")</f>
        <v>#REF!</v>
      </c>
      <c r="DL185" t="e">
        <f>AND(#REF!,"AAAAAHf8+3M=")</f>
        <v>#REF!</v>
      </c>
      <c r="DM185" t="e">
        <f>AND(#REF!,"AAAAAHf8+3Q=")</f>
        <v>#REF!</v>
      </c>
      <c r="DN185" t="e">
        <f>AND(#REF!,"AAAAAHf8+3U=")</f>
        <v>#REF!</v>
      </c>
      <c r="DO185" t="e">
        <f>AND(#REF!,"AAAAAHf8+3Y=")</f>
        <v>#REF!</v>
      </c>
      <c r="DP185" t="e">
        <f>AND(#REF!,"AAAAAHf8+3c=")</f>
        <v>#REF!</v>
      </c>
      <c r="DQ185" t="e">
        <f>AND(#REF!,"AAAAAHf8+3g=")</f>
        <v>#REF!</v>
      </c>
      <c r="DR185" t="e">
        <f>AND(#REF!,"AAAAAHf8+3k=")</f>
        <v>#REF!</v>
      </c>
      <c r="DS185" t="e">
        <f>AND(#REF!,"AAAAAHf8+3o=")</f>
        <v>#REF!</v>
      </c>
      <c r="DT185" t="e">
        <f>AND(#REF!,"AAAAAHf8+3s=")</f>
        <v>#REF!</v>
      </c>
      <c r="DU185" t="e">
        <f>AND(#REF!,"AAAAAHf8+3w=")</f>
        <v>#REF!</v>
      </c>
      <c r="DV185" t="e">
        <f>AND(#REF!,"AAAAAHf8+30=")</f>
        <v>#REF!</v>
      </c>
      <c r="DW185" t="e">
        <f>AND(#REF!,"AAAAAHf8+34=")</f>
        <v>#REF!</v>
      </c>
      <c r="DX185" t="e">
        <f>AND(#REF!,"AAAAAHf8+38=")</f>
        <v>#REF!</v>
      </c>
      <c r="DY185" t="e">
        <f>AND(#REF!,"AAAAAHf8+4A=")</f>
        <v>#REF!</v>
      </c>
      <c r="DZ185" t="e">
        <f>AND(#REF!,"AAAAAHf8+4E=")</f>
        <v>#REF!</v>
      </c>
      <c r="EA185" t="e">
        <f>AND(#REF!,"AAAAAHf8+4I=")</f>
        <v>#REF!</v>
      </c>
      <c r="EB185" t="e">
        <f>AND(#REF!,"AAAAAHf8+4M=")</f>
        <v>#REF!</v>
      </c>
      <c r="EC185" t="e">
        <f>AND(#REF!,"AAAAAHf8+4Q=")</f>
        <v>#REF!</v>
      </c>
      <c r="ED185" t="e">
        <f>AND(#REF!,"AAAAAHf8+4U=")</f>
        <v>#REF!</v>
      </c>
      <c r="EE185" t="e">
        <f>AND(#REF!,"AAAAAHf8+4Y=")</f>
        <v>#REF!</v>
      </c>
      <c r="EF185" t="e">
        <f>AND(#REF!,"AAAAAHf8+4c=")</f>
        <v>#REF!</v>
      </c>
      <c r="EG185" t="e">
        <f>AND(#REF!,"AAAAAHf8+4g=")</f>
        <v>#REF!</v>
      </c>
      <c r="EH185" t="e">
        <f>AND(#REF!,"AAAAAHf8+4k=")</f>
        <v>#REF!</v>
      </c>
      <c r="EI185" t="e">
        <f>AND(#REF!,"AAAAAHf8+4o=")</f>
        <v>#REF!</v>
      </c>
      <c r="EJ185" t="e">
        <f>AND(#REF!,"AAAAAHf8+4s=")</f>
        <v>#REF!</v>
      </c>
      <c r="EK185" t="e">
        <f>AND(#REF!,"AAAAAHf8+4w=")</f>
        <v>#REF!</v>
      </c>
      <c r="EL185" t="e">
        <f>AND(#REF!,"AAAAAHf8+40=")</f>
        <v>#REF!</v>
      </c>
      <c r="EM185" t="e">
        <f>AND(#REF!,"AAAAAHf8+44=")</f>
        <v>#REF!</v>
      </c>
      <c r="EN185" t="e">
        <f>AND(#REF!,"AAAAAHf8+48=")</f>
        <v>#REF!</v>
      </c>
      <c r="EO185" t="e">
        <f>AND(#REF!,"AAAAAHf8+5A=")</f>
        <v>#REF!</v>
      </c>
      <c r="EP185" t="e">
        <f>AND(#REF!,"AAAAAHf8+5E=")</f>
        <v>#REF!</v>
      </c>
      <c r="EQ185" t="e">
        <f>AND(#REF!,"AAAAAHf8+5I=")</f>
        <v>#REF!</v>
      </c>
      <c r="ER185" t="e">
        <f>AND(#REF!,"AAAAAHf8+5M=")</f>
        <v>#REF!</v>
      </c>
      <c r="ES185" t="e">
        <f>AND(#REF!,"AAAAAHf8+5Q=")</f>
        <v>#REF!</v>
      </c>
      <c r="ET185" t="e">
        <f>AND(#REF!,"AAAAAHf8+5U=")</f>
        <v>#REF!</v>
      </c>
      <c r="EU185" t="e">
        <f>AND(#REF!,"AAAAAHf8+5Y=")</f>
        <v>#REF!</v>
      </c>
      <c r="EV185" t="e">
        <f>AND(#REF!,"AAAAAHf8+5c=")</f>
        <v>#REF!</v>
      </c>
      <c r="EW185" t="e">
        <f>AND(#REF!,"AAAAAHf8+5g=")</f>
        <v>#REF!</v>
      </c>
      <c r="EX185" t="e">
        <f>AND(#REF!,"AAAAAHf8+5k=")</f>
        <v>#REF!</v>
      </c>
      <c r="EY185" t="e">
        <f>AND(#REF!,"AAAAAHf8+5o=")</f>
        <v>#REF!</v>
      </c>
      <c r="EZ185" t="e">
        <f>AND(#REF!,"AAAAAHf8+5s=")</f>
        <v>#REF!</v>
      </c>
      <c r="FA185" t="e">
        <f>AND(#REF!,"AAAAAHf8+5w=")</f>
        <v>#REF!</v>
      </c>
      <c r="FB185" t="e">
        <f>AND(#REF!,"AAAAAHf8+50=")</f>
        <v>#REF!</v>
      </c>
      <c r="FC185" t="e">
        <f>AND(#REF!,"AAAAAHf8+54=")</f>
        <v>#REF!</v>
      </c>
      <c r="FD185" t="e">
        <f>AND(#REF!,"AAAAAHf8+58=")</f>
        <v>#REF!</v>
      </c>
      <c r="FE185" t="e">
        <f>AND(#REF!,"AAAAAHf8+6A=")</f>
        <v>#REF!</v>
      </c>
      <c r="FF185" t="e">
        <f>AND(#REF!,"AAAAAHf8+6E=")</f>
        <v>#REF!</v>
      </c>
      <c r="FG185" t="e">
        <f>AND(#REF!,"AAAAAHf8+6I=")</f>
        <v>#REF!</v>
      </c>
      <c r="FH185" t="e">
        <f>AND(#REF!,"AAAAAHf8+6M=")</f>
        <v>#REF!</v>
      </c>
      <c r="FI185" t="e">
        <f>AND(#REF!,"AAAAAHf8+6Q=")</f>
        <v>#REF!</v>
      </c>
      <c r="FJ185" t="e">
        <f>AND(#REF!,"AAAAAHf8+6U=")</f>
        <v>#REF!</v>
      </c>
      <c r="FK185" t="e">
        <f>AND(#REF!,"AAAAAHf8+6Y=")</f>
        <v>#REF!</v>
      </c>
      <c r="FL185" t="e">
        <f>AND(#REF!,"AAAAAHf8+6c=")</f>
        <v>#REF!</v>
      </c>
      <c r="FM185" t="e">
        <f>AND(#REF!,"AAAAAHf8+6g=")</f>
        <v>#REF!</v>
      </c>
      <c r="FN185" t="e">
        <f>AND(#REF!,"AAAAAHf8+6k=")</f>
        <v>#REF!</v>
      </c>
      <c r="FO185" t="e">
        <f>AND(#REF!,"AAAAAHf8+6o=")</f>
        <v>#REF!</v>
      </c>
      <c r="FP185" t="e">
        <f>AND(#REF!,"AAAAAHf8+6s=")</f>
        <v>#REF!</v>
      </c>
      <c r="FQ185" t="e">
        <f>AND(#REF!,"AAAAAHf8+6w=")</f>
        <v>#REF!</v>
      </c>
      <c r="FR185" t="e">
        <f>AND(#REF!,"AAAAAHf8+60=")</f>
        <v>#REF!</v>
      </c>
      <c r="FS185" t="e">
        <f>AND(#REF!,"AAAAAHf8+64=")</f>
        <v>#REF!</v>
      </c>
      <c r="FT185" t="e">
        <f>AND(#REF!,"AAAAAHf8+68=")</f>
        <v>#REF!</v>
      </c>
      <c r="FU185" t="e">
        <f>AND(#REF!,"AAAAAHf8+7A=")</f>
        <v>#REF!</v>
      </c>
      <c r="FV185" t="e">
        <f>AND(#REF!,"AAAAAHf8+7E=")</f>
        <v>#REF!</v>
      </c>
      <c r="FW185" t="e">
        <f>AND(#REF!,"AAAAAHf8+7I=")</f>
        <v>#REF!</v>
      </c>
      <c r="FX185" t="e">
        <f>AND(#REF!,"AAAAAHf8+7M=")</f>
        <v>#REF!</v>
      </c>
      <c r="FY185" t="e">
        <f>AND(#REF!,"AAAAAHf8+7Q=")</f>
        <v>#REF!</v>
      </c>
      <c r="FZ185" t="e">
        <f>AND(#REF!,"AAAAAHf8+7U=")</f>
        <v>#REF!</v>
      </c>
      <c r="GA185" t="e">
        <f>AND(#REF!,"AAAAAHf8+7Y=")</f>
        <v>#REF!</v>
      </c>
      <c r="GB185" t="e">
        <f>AND(#REF!,"AAAAAHf8+7c=")</f>
        <v>#REF!</v>
      </c>
      <c r="GC185" t="e">
        <f>AND(#REF!,"AAAAAHf8+7g=")</f>
        <v>#REF!</v>
      </c>
      <c r="GD185" t="e">
        <f>AND(#REF!,"AAAAAHf8+7k=")</f>
        <v>#REF!</v>
      </c>
      <c r="GE185" t="e">
        <f>AND(#REF!,"AAAAAHf8+7o=")</f>
        <v>#REF!</v>
      </c>
      <c r="GF185" t="e">
        <f>AND(#REF!,"AAAAAHf8+7s=")</f>
        <v>#REF!</v>
      </c>
      <c r="GG185" t="e">
        <f>AND(#REF!,"AAAAAHf8+7w=")</f>
        <v>#REF!</v>
      </c>
      <c r="GH185" t="e">
        <f>AND(#REF!,"AAAAAHf8+70=")</f>
        <v>#REF!</v>
      </c>
      <c r="GI185" t="e">
        <f>AND(#REF!,"AAAAAHf8+74=")</f>
        <v>#REF!</v>
      </c>
      <c r="GJ185" t="e">
        <f>AND(#REF!,"AAAAAHf8+78=")</f>
        <v>#REF!</v>
      </c>
      <c r="GK185" t="e">
        <f>AND(#REF!,"AAAAAHf8+8A=")</f>
        <v>#REF!</v>
      </c>
      <c r="GL185" t="e">
        <f>AND(#REF!,"AAAAAHf8+8E=")</f>
        <v>#REF!</v>
      </c>
      <c r="GM185" t="e">
        <f>AND(#REF!,"AAAAAHf8+8I=")</f>
        <v>#REF!</v>
      </c>
      <c r="GN185" t="e">
        <f>AND(#REF!,"AAAAAHf8+8M=")</f>
        <v>#REF!</v>
      </c>
      <c r="GO185" t="e">
        <f>AND(#REF!,"AAAAAHf8+8Q=")</f>
        <v>#REF!</v>
      </c>
      <c r="GP185" t="e">
        <f>AND(#REF!,"AAAAAHf8+8U=")</f>
        <v>#REF!</v>
      </c>
      <c r="GQ185" t="e">
        <f>AND(#REF!,"AAAAAHf8+8Y=")</f>
        <v>#REF!</v>
      </c>
      <c r="GR185" t="e">
        <f>AND(#REF!,"AAAAAHf8+8c=")</f>
        <v>#REF!</v>
      </c>
      <c r="GS185" t="e">
        <f>AND(#REF!,"AAAAAHf8+8g=")</f>
        <v>#REF!</v>
      </c>
      <c r="GT185" t="e">
        <f>AND(#REF!,"AAAAAHf8+8k=")</f>
        <v>#REF!</v>
      </c>
      <c r="GU185" t="e">
        <f>AND(#REF!,"AAAAAHf8+8o=")</f>
        <v>#REF!</v>
      </c>
      <c r="GV185" t="e">
        <f>AND(#REF!,"AAAAAHf8+8s=")</f>
        <v>#REF!</v>
      </c>
      <c r="GW185" t="e">
        <f>AND(#REF!,"AAAAAHf8+8w=")</f>
        <v>#REF!</v>
      </c>
      <c r="GX185" t="e">
        <f>AND(#REF!,"AAAAAHf8+80=")</f>
        <v>#REF!</v>
      </c>
      <c r="GY185" t="e">
        <f>AND(#REF!,"AAAAAHf8+84=")</f>
        <v>#REF!</v>
      </c>
      <c r="GZ185" t="e">
        <f>AND(#REF!,"AAAAAHf8+88=")</f>
        <v>#REF!</v>
      </c>
      <c r="HA185" t="e">
        <f>AND(#REF!,"AAAAAHf8+9A=")</f>
        <v>#REF!</v>
      </c>
      <c r="HB185" t="e">
        <f>AND(#REF!,"AAAAAHf8+9E=")</f>
        <v>#REF!</v>
      </c>
      <c r="HC185" t="e">
        <f>AND(#REF!,"AAAAAHf8+9I=")</f>
        <v>#REF!</v>
      </c>
      <c r="HD185" t="e">
        <f>AND(#REF!,"AAAAAHf8+9M=")</f>
        <v>#REF!</v>
      </c>
      <c r="HE185" t="e">
        <f>AND(#REF!,"AAAAAHf8+9Q=")</f>
        <v>#REF!</v>
      </c>
      <c r="HF185" t="e">
        <f>AND(#REF!,"AAAAAHf8+9U=")</f>
        <v>#REF!</v>
      </c>
      <c r="HG185" t="e">
        <f>AND(#REF!,"AAAAAHf8+9Y=")</f>
        <v>#REF!</v>
      </c>
      <c r="HH185" t="e">
        <f>AND(#REF!,"AAAAAHf8+9c=")</f>
        <v>#REF!</v>
      </c>
      <c r="HI185" t="e">
        <f>AND(#REF!,"AAAAAHf8+9g=")</f>
        <v>#REF!</v>
      </c>
      <c r="HJ185" t="e">
        <f>AND(#REF!,"AAAAAHf8+9k=")</f>
        <v>#REF!</v>
      </c>
      <c r="HK185" t="e">
        <f>AND(#REF!,"AAAAAHf8+9o=")</f>
        <v>#REF!</v>
      </c>
      <c r="HL185" t="e">
        <f>AND(#REF!,"AAAAAHf8+9s=")</f>
        <v>#REF!</v>
      </c>
      <c r="HM185" t="e">
        <f>AND(#REF!,"AAAAAHf8+9w=")</f>
        <v>#REF!</v>
      </c>
      <c r="HN185" t="e">
        <f>AND(#REF!,"AAAAAHf8+90=")</f>
        <v>#REF!</v>
      </c>
      <c r="HO185" t="e">
        <f>AND(#REF!,"AAAAAHf8+94=")</f>
        <v>#REF!</v>
      </c>
      <c r="HP185" t="e">
        <f>AND(#REF!,"AAAAAHf8+98=")</f>
        <v>#REF!</v>
      </c>
      <c r="HQ185" t="e">
        <f>AND(#REF!,"AAAAAHf8++A=")</f>
        <v>#REF!</v>
      </c>
      <c r="HR185" t="e">
        <f>AND(#REF!,"AAAAAHf8++E=")</f>
        <v>#REF!</v>
      </c>
      <c r="HS185" t="e">
        <f>AND(#REF!,"AAAAAHf8++I=")</f>
        <v>#REF!</v>
      </c>
      <c r="HT185" t="e">
        <f>AND(#REF!,"AAAAAHf8++M=")</f>
        <v>#REF!</v>
      </c>
      <c r="HU185" t="e">
        <f>AND(#REF!,"AAAAAHf8++Q=")</f>
        <v>#REF!</v>
      </c>
      <c r="HV185" t="e">
        <f>AND(#REF!,"AAAAAHf8++U=")</f>
        <v>#REF!</v>
      </c>
      <c r="HW185" t="e">
        <f>AND(#REF!,"AAAAAHf8++Y=")</f>
        <v>#REF!</v>
      </c>
      <c r="HX185" t="e">
        <f>AND(#REF!,"AAAAAHf8++c=")</f>
        <v>#REF!</v>
      </c>
      <c r="HY185" t="e">
        <f>AND(#REF!,"AAAAAHf8++g=")</f>
        <v>#REF!</v>
      </c>
      <c r="HZ185" t="e">
        <f>AND(#REF!,"AAAAAHf8++k=")</f>
        <v>#REF!</v>
      </c>
      <c r="IA185" t="e">
        <f>AND(#REF!,"AAAAAHf8++o=")</f>
        <v>#REF!</v>
      </c>
      <c r="IB185" t="e">
        <f>AND(#REF!,"AAAAAHf8++s=")</f>
        <v>#REF!</v>
      </c>
      <c r="IC185" t="e">
        <f>AND(#REF!,"AAAAAHf8++w=")</f>
        <v>#REF!</v>
      </c>
      <c r="ID185" t="e">
        <f>AND(#REF!,"AAAAAHf8++0=")</f>
        <v>#REF!</v>
      </c>
      <c r="IE185" t="e">
        <f>AND(#REF!,"AAAAAHf8++4=")</f>
        <v>#REF!</v>
      </c>
      <c r="IF185" t="e">
        <f>AND(#REF!,"AAAAAHf8++8=")</f>
        <v>#REF!</v>
      </c>
      <c r="IG185" t="e">
        <f>AND(#REF!,"AAAAAHf8+/A=")</f>
        <v>#REF!</v>
      </c>
      <c r="IH185" t="e">
        <f>AND(#REF!,"AAAAAHf8+/E=")</f>
        <v>#REF!</v>
      </c>
      <c r="II185" t="e">
        <f>AND(#REF!,"AAAAAHf8+/I=")</f>
        <v>#REF!</v>
      </c>
      <c r="IJ185" t="e">
        <f>AND(#REF!,"AAAAAHf8+/M=")</f>
        <v>#REF!</v>
      </c>
      <c r="IK185" t="e">
        <f>AND(#REF!,"AAAAAHf8+/Q=")</f>
        <v>#REF!</v>
      </c>
      <c r="IL185" t="e">
        <f>AND(#REF!,"AAAAAHf8+/U=")</f>
        <v>#REF!</v>
      </c>
      <c r="IM185" t="e">
        <f>AND(#REF!,"AAAAAHf8+/Y=")</f>
        <v>#REF!</v>
      </c>
      <c r="IN185" t="e">
        <f>AND(#REF!,"AAAAAHf8+/c=")</f>
        <v>#REF!</v>
      </c>
      <c r="IO185" t="e">
        <f>AND(#REF!,"AAAAAHf8+/g=")</f>
        <v>#REF!</v>
      </c>
      <c r="IP185" t="e">
        <f>AND(#REF!,"AAAAAHf8+/k=")</f>
        <v>#REF!</v>
      </c>
      <c r="IQ185" t="e">
        <f>AND(#REF!,"AAAAAHf8+/o=")</f>
        <v>#REF!</v>
      </c>
      <c r="IR185" t="e">
        <f>AND(#REF!,"AAAAAHf8+/s=")</f>
        <v>#REF!</v>
      </c>
      <c r="IS185" t="e">
        <f>AND(#REF!,"AAAAAHf8+/w=")</f>
        <v>#REF!</v>
      </c>
      <c r="IT185" t="e">
        <f>AND(#REF!,"AAAAAHf8+/0=")</f>
        <v>#REF!</v>
      </c>
      <c r="IU185" t="e">
        <f>AND(#REF!,"AAAAAHf8+/4=")</f>
        <v>#REF!</v>
      </c>
      <c r="IV185" t="e">
        <f>AND(#REF!,"AAAAAHf8+/8=")</f>
        <v>#REF!</v>
      </c>
    </row>
    <row r="186" spans="1:256" x14ac:dyDescent="0.25">
      <c r="A186" t="e">
        <f>AND(#REF!,"AAAAAFzWZwA=")</f>
        <v>#REF!</v>
      </c>
      <c r="B186" t="e">
        <f>AND(#REF!,"AAAAAFzWZwE=")</f>
        <v>#REF!</v>
      </c>
      <c r="C186" t="e">
        <f>AND(#REF!,"AAAAAFzWZwI=")</f>
        <v>#REF!</v>
      </c>
      <c r="D186" t="e">
        <f>AND(#REF!,"AAAAAFzWZwM=")</f>
        <v>#REF!</v>
      </c>
      <c r="E186" t="e">
        <f>AND(#REF!,"AAAAAFzWZwQ=")</f>
        <v>#REF!</v>
      </c>
      <c r="F186" t="e">
        <f>AND(#REF!,"AAAAAFzWZwU=")</f>
        <v>#REF!</v>
      </c>
      <c r="G186" t="e">
        <f>AND(#REF!,"AAAAAFzWZwY=")</f>
        <v>#REF!</v>
      </c>
      <c r="H186" t="e">
        <f>AND(#REF!,"AAAAAFzWZwc=")</f>
        <v>#REF!</v>
      </c>
      <c r="I186" t="e">
        <f>AND(#REF!,"AAAAAFzWZwg=")</f>
        <v>#REF!</v>
      </c>
      <c r="J186" t="e">
        <f>AND(#REF!,"AAAAAFzWZwk=")</f>
        <v>#REF!</v>
      </c>
      <c r="K186" t="e">
        <f>AND(#REF!,"AAAAAFzWZwo=")</f>
        <v>#REF!</v>
      </c>
      <c r="L186" t="e">
        <f>AND(#REF!,"AAAAAFzWZws=")</f>
        <v>#REF!</v>
      </c>
      <c r="M186" t="e">
        <f>AND(#REF!,"AAAAAFzWZww=")</f>
        <v>#REF!</v>
      </c>
      <c r="N186" t="e">
        <f>AND(#REF!,"AAAAAFzWZw0=")</f>
        <v>#REF!</v>
      </c>
      <c r="O186" t="e">
        <f>AND(#REF!,"AAAAAFzWZw4=")</f>
        <v>#REF!</v>
      </c>
      <c r="P186" t="e">
        <f>AND(#REF!,"AAAAAFzWZw8=")</f>
        <v>#REF!</v>
      </c>
      <c r="Q186" t="e">
        <f>AND(#REF!,"AAAAAFzWZxA=")</f>
        <v>#REF!</v>
      </c>
      <c r="R186" t="e">
        <f>AND(#REF!,"AAAAAFzWZxE=")</f>
        <v>#REF!</v>
      </c>
      <c r="S186" t="e">
        <f>AND(#REF!,"AAAAAFzWZxI=")</f>
        <v>#REF!</v>
      </c>
      <c r="T186" t="e">
        <f>AND(#REF!,"AAAAAFzWZxM=")</f>
        <v>#REF!</v>
      </c>
      <c r="U186" t="e">
        <f>AND(#REF!,"AAAAAFzWZxQ=")</f>
        <v>#REF!</v>
      </c>
      <c r="V186" t="e">
        <f>AND(#REF!,"AAAAAFzWZxU=")</f>
        <v>#REF!</v>
      </c>
      <c r="W186" t="e">
        <f>AND(#REF!,"AAAAAFzWZxY=")</f>
        <v>#REF!</v>
      </c>
      <c r="X186" t="e">
        <f>AND(#REF!,"AAAAAFzWZxc=")</f>
        <v>#REF!</v>
      </c>
      <c r="Y186" t="e">
        <f>AND(#REF!,"AAAAAFzWZxg=")</f>
        <v>#REF!</v>
      </c>
      <c r="Z186" t="e">
        <f>AND(#REF!,"AAAAAFzWZxk=")</f>
        <v>#REF!</v>
      </c>
      <c r="AA186" t="e">
        <f>AND(#REF!,"AAAAAFzWZxo=")</f>
        <v>#REF!</v>
      </c>
      <c r="AB186" t="e">
        <f>AND(#REF!,"AAAAAFzWZxs=")</f>
        <v>#REF!</v>
      </c>
      <c r="AC186" t="e">
        <f>AND(#REF!,"AAAAAFzWZxw=")</f>
        <v>#REF!</v>
      </c>
      <c r="AD186" t="e">
        <f>AND(#REF!,"AAAAAFzWZx0=")</f>
        <v>#REF!</v>
      </c>
      <c r="AE186" t="e">
        <f>AND(#REF!,"AAAAAFzWZx4=")</f>
        <v>#REF!</v>
      </c>
      <c r="AF186" t="e">
        <f>AND(#REF!,"AAAAAFzWZx8=")</f>
        <v>#REF!</v>
      </c>
      <c r="AG186" t="e">
        <f>AND(#REF!,"AAAAAFzWZyA=")</f>
        <v>#REF!</v>
      </c>
      <c r="AH186" t="e">
        <f>AND(#REF!,"AAAAAFzWZyE=")</f>
        <v>#REF!</v>
      </c>
      <c r="AI186" t="e">
        <f>AND(#REF!,"AAAAAFzWZyI=")</f>
        <v>#REF!</v>
      </c>
      <c r="AJ186" t="e">
        <f>IF(#REF!,"AAAAAFzWZyM=",0)</f>
        <v>#REF!</v>
      </c>
      <c r="AK186" t="e">
        <f>AND(#REF!,"AAAAAFzWZyQ=")</f>
        <v>#REF!</v>
      </c>
      <c r="AL186" t="e">
        <f>AND(#REF!,"AAAAAFzWZyU=")</f>
        <v>#REF!</v>
      </c>
      <c r="AM186" t="e">
        <f>AND(#REF!,"AAAAAFzWZyY=")</f>
        <v>#REF!</v>
      </c>
      <c r="AN186" t="e">
        <f>AND(#REF!,"AAAAAFzWZyc=")</f>
        <v>#REF!</v>
      </c>
      <c r="AO186" t="e">
        <f>AND(#REF!,"AAAAAFzWZyg=")</f>
        <v>#REF!</v>
      </c>
      <c r="AP186" t="e">
        <f>AND(#REF!,"AAAAAFzWZyk=")</f>
        <v>#REF!</v>
      </c>
      <c r="AQ186" t="e">
        <f>AND(#REF!,"AAAAAFzWZyo=")</f>
        <v>#REF!</v>
      </c>
      <c r="AR186" t="e">
        <f>AND(#REF!,"AAAAAFzWZys=")</f>
        <v>#REF!</v>
      </c>
      <c r="AS186" t="e">
        <f>AND(#REF!,"AAAAAFzWZyw=")</f>
        <v>#REF!</v>
      </c>
      <c r="AT186" t="e">
        <f>AND(#REF!,"AAAAAFzWZy0=")</f>
        <v>#REF!</v>
      </c>
      <c r="AU186" t="e">
        <f>AND(#REF!,"AAAAAFzWZy4=")</f>
        <v>#REF!</v>
      </c>
      <c r="AV186" t="e">
        <f>AND(#REF!,"AAAAAFzWZy8=")</f>
        <v>#REF!</v>
      </c>
      <c r="AW186" t="e">
        <f>AND(#REF!,"AAAAAFzWZzA=")</f>
        <v>#REF!</v>
      </c>
      <c r="AX186" t="e">
        <f>AND(#REF!,"AAAAAFzWZzE=")</f>
        <v>#REF!</v>
      </c>
      <c r="AY186" t="e">
        <f>AND(#REF!,"AAAAAFzWZzI=")</f>
        <v>#REF!</v>
      </c>
      <c r="AZ186" t="e">
        <f>AND(#REF!,"AAAAAFzWZzM=")</f>
        <v>#REF!</v>
      </c>
      <c r="BA186" t="e">
        <f>AND(#REF!,"AAAAAFzWZzQ=")</f>
        <v>#REF!</v>
      </c>
      <c r="BB186" t="e">
        <f>AND(#REF!,"AAAAAFzWZzU=")</f>
        <v>#REF!</v>
      </c>
      <c r="BC186" t="e">
        <f>AND(#REF!,"AAAAAFzWZzY=")</f>
        <v>#REF!</v>
      </c>
      <c r="BD186" t="e">
        <f>AND(#REF!,"AAAAAFzWZzc=")</f>
        <v>#REF!</v>
      </c>
      <c r="BE186" t="e">
        <f>AND(#REF!,"AAAAAFzWZzg=")</f>
        <v>#REF!</v>
      </c>
      <c r="BF186" t="e">
        <f>AND(#REF!,"AAAAAFzWZzk=")</f>
        <v>#REF!</v>
      </c>
      <c r="BG186" t="e">
        <f>AND(#REF!,"AAAAAFzWZzo=")</f>
        <v>#REF!</v>
      </c>
      <c r="BH186" t="e">
        <f>AND(#REF!,"AAAAAFzWZzs=")</f>
        <v>#REF!</v>
      </c>
      <c r="BI186" t="e">
        <f>AND(#REF!,"AAAAAFzWZzw=")</f>
        <v>#REF!</v>
      </c>
      <c r="BJ186" t="e">
        <f>AND(#REF!,"AAAAAFzWZz0=")</f>
        <v>#REF!</v>
      </c>
      <c r="BK186" t="e">
        <f>AND(#REF!,"AAAAAFzWZz4=")</f>
        <v>#REF!</v>
      </c>
      <c r="BL186" t="e">
        <f>AND(#REF!,"AAAAAFzWZz8=")</f>
        <v>#REF!</v>
      </c>
      <c r="BM186" t="e">
        <f>AND(#REF!,"AAAAAFzWZ0A=")</f>
        <v>#REF!</v>
      </c>
      <c r="BN186" t="e">
        <f>AND(#REF!,"AAAAAFzWZ0E=")</f>
        <v>#REF!</v>
      </c>
      <c r="BO186" t="e">
        <f>AND(#REF!,"AAAAAFzWZ0I=")</f>
        <v>#REF!</v>
      </c>
      <c r="BP186" t="e">
        <f>AND(#REF!,"AAAAAFzWZ0M=")</f>
        <v>#REF!</v>
      </c>
      <c r="BQ186" t="e">
        <f>AND(#REF!,"AAAAAFzWZ0Q=")</f>
        <v>#REF!</v>
      </c>
      <c r="BR186" t="e">
        <f>AND(#REF!,"AAAAAFzWZ0U=")</f>
        <v>#REF!</v>
      </c>
      <c r="BS186" t="e">
        <f>AND(#REF!,"AAAAAFzWZ0Y=")</f>
        <v>#REF!</v>
      </c>
      <c r="BT186" t="e">
        <f>AND(#REF!,"AAAAAFzWZ0c=")</f>
        <v>#REF!</v>
      </c>
      <c r="BU186" t="e">
        <f>AND(#REF!,"AAAAAFzWZ0g=")</f>
        <v>#REF!</v>
      </c>
      <c r="BV186" t="e">
        <f>AND(#REF!,"AAAAAFzWZ0k=")</f>
        <v>#REF!</v>
      </c>
      <c r="BW186" t="e">
        <f>AND(#REF!,"AAAAAFzWZ0o=")</f>
        <v>#REF!</v>
      </c>
      <c r="BX186" t="e">
        <f>AND(#REF!,"AAAAAFzWZ0s=")</f>
        <v>#REF!</v>
      </c>
      <c r="BY186" t="e">
        <f>AND(#REF!,"AAAAAFzWZ0w=")</f>
        <v>#REF!</v>
      </c>
      <c r="BZ186" t="e">
        <f>AND(#REF!,"AAAAAFzWZ00=")</f>
        <v>#REF!</v>
      </c>
      <c r="CA186" t="e">
        <f>AND(#REF!,"AAAAAFzWZ04=")</f>
        <v>#REF!</v>
      </c>
      <c r="CB186" t="e">
        <f>AND(#REF!,"AAAAAFzWZ08=")</f>
        <v>#REF!</v>
      </c>
      <c r="CC186" t="e">
        <f>AND(#REF!,"AAAAAFzWZ1A=")</f>
        <v>#REF!</v>
      </c>
      <c r="CD186" t="e">
        <f>AND(#REF!,"AAAAAFzWZ1E=")</f>
        <v>#REF!</v>
      </c>
      <c r="CE186" t="e">
        <f>AND(#REF!,"AAAAAFzWZ1I=")</f>
        <v>#REF!</v>
      </c>
      <c r="CF186" t="e">
        <f>AND(#REF!,"AAAAAFzWZ1M=")</f>
        <v>#REF!</v>
      </c>
      <c r="CG186" t="e">
        <f>AND(#REF!,"AAAAAFzWZ1Q=")</f>
        <v>#REF!</v>
      </c>
      <c r="CH186" t="e">
        <f>AND(#REF!,"AAAAAFzWZ1U=")</f>
        <v>#REF!</v>
      </c>
      <c r="CI186" t="e">
        <f>AND(#REF!,"AAAAAFzWZ1Y=")</f>
        <v>#REF!</v>
      </c>
      <c r="CJ186" t="e">
        <f>AND(#REF!,"AAAAAFzWZ1c=")</f>
        <v>#REF!</v>
      </c>
      <c r="CK186" t="e">
        <f>AND(#REF!,"AAAAAFzWZ1g=")</f>
        <v>#REF!</v>
      </c>
      <c r="CL186" t="e">
        <f>AND(#REF!,"AAAAAFzWZ1k=")</f>
        <v>#REF!</v>
      </c>
      <c r="CM186" t="e">
        <f>AND(#REF!,"AAAAAFzWZ1o=")</f>
        <v>#REF!</v>
      </c>
      <c r="CN186" t="e">
        <f>AND(#REF!,"AAAAAFzWZ1s=")</f>
        <v>#REF!</v>
      </c>
      <c r="CO186" t="e">
        <f>AND(#REF!,"AAAAAFzWZ1w=")</f>
        <v>#REF!</v>
      </c>
      <c r="CP186" t="e">
        <f>AND(#REF!,"AAAAAFzWZ10=")</f>
        <v>#REF!</v>
      </c>
      <c r="CQ186" t="e">
        <f>AND(#REF!,"AAAAAFzWZ14=")</f>
        <v>#REF!</v>
      </c>
      <c r="CR186" t="e">
        <f>AND(#REF!,"AAAAAFzWZ18=")</f>
        <v>#REF!</v>
      </c>
      <c r="CS186" t="e">
        <f>AND(#REF!,"AAAAAFzWZ2A=")</f>
        <v>#REF!</v>
      </c>
      <c r="CT186" t="e">
        <f>AND(#REF!,"AAAAAFzWZ2E=")</f>
        <v>#REF!</v>
      </c>
      <c r="CU186" t="e">
        <f>AND(#REF!,"AAAAAFzWZ2I=")</f>
        <v>#REF!</v>
      </c>
      <c r="CV186" t="e">
        <f>AND(#REF!,"AAAAAFzWZ2M=")</f>
        <v>#REF!</v>
      </c>
      <c r="CW186" t="e">
        <f>AND(#REF!,"AAAAAFzWZ2Q=")</f>
        <v>#REF!</v>
      </c>
      <c r="CX186" t="e">
        <f>AND(#REF!,"AAAAAFzWZ2U=")</f>
        <v>#REF!</v>
      </c>
      <c r="CY186" t="e">
        <f>AND(#REF!,"AAAAAFzWZ2Y=")</f>
        <v>#REF!</v>
      </c>
      <c r="CZ186" t="e">
        <f>AND(#REF!,"AAAAAFzWZ2c=")</f>
        <v>#REF!</v>
      </c>
      <c r="DA186" t="e">
        <f>AND(#REF!,"AAAAAFzWZ2g=")</f>
        <v>#REF!</v>
      </c>
      <c r="DB186" t="e">
        <f>AND(#REF!,"AAAAAFzWZ2k=")</f>
        <v>#REF!</v>
      </c>
      <c r="DC186" t="e">
        <f>AND(#REF!,"AAAAAFzWZ2o=")</f>
        <v>#REF!</v>
      </c>
      <c r="DD186" t="e">
        <f>AND(#REF!,"AAAAAFzWZ2s=")</f>
        <v>#REF!</v>
      </c>
      <c r="DE186" t="e">
        <f>AND(#REF!,"AAAAAFzWZ2w=")</f>
        <v>#REF!</v>
      </c>
      <c r="DF186" t="e">
        <f>AND(#REF!,"AAAAAFzWZ20=")</f>
        <v>#REF!</v>
      </c>
      <c r="DG186" t="e">
        <f>AND(#REF!,"AAAAAFzWZ24=")</f>
        <v>#REF!</v>
      </c>
      <c r="DH186" t="e">
        <f>AND(#REF!,"AAAAAFzWZ28=")</f>
        <v>#REF!</v>
      </c>
      <c r="DI186" t="e">
        <f>AND(#REF!,"AAAAAFzWZ3A=")</f>
        <v>#REF!</v>
      </c>
      <c r="DJ186" t="e">
        <f>AND(#REF!,"AAAAAFzWZ3E=")</f>
        <v>#REF!</v>
      </c>
      <c r="DK186" t="e">
        <f>AND(#REF!,"AAAAAFzWZ3I=")</f>
        <v>#REF!</v>
      </c>
      <c r="DL186" t="e">
        <f>AND(#REF!,"AAAAAFzWZ3M=")</f>
        <v>#REF!</v>
      </c>
      <c r="DM186" t="e">
        <f>AND(#REF!,"AAAAAFzWZ3Q=")</f>
        <v>#REF!</v>
      </c>
      <c r="DN186" t="e">
        <f>AND(#REF!,"AAAAAFzWZ3U=")</f>
        <v>#REF!</v>
      </c>
      <c r="DO186" t="e">
        <f>AND(#REF!,"AAAAAFzWZ3Y=")</f>
        <v>#REF!</v>
      </c>
      <c r="DP186" t="e">
        <f>AND(#REF!,"AAAAAFzWZ3c=")</f>
        <v>#REF!</v>
      </c>
      <c r="DQ186" t="e">
        <f>AND(#REF!,"AAAAAFzWZ3g=")</f>
        <v>#REF!</v>
      </c>
      <c r="DR186" t="e">
        <f>AND(#REF!,"AAAAAFzWZ3k=")</f>
        <v>#REF!</v>
      </c>
      <c r="DS186" t="e">
        <f>AND(#REF!,"AAAAAFzWZ3o=")</f>
        <v>#REF!</v>
      </c>
      <c r="DT186" t="e">
        <f>AND(#REF!,"AAAAAFzWZ3s=")</f>
        <v>#REF!</v>
      </c>
      <c r="DU186" t="e">
        <f>AND(#REF!,"AAAAAFzWZ3w=")</f>
        <v>#REF!</v>
      </c>
      <c r="DV186" t="e">
        <f>AND(#REF!,"AAAAAFzWZ30=")</f>
        <v>#REF!</v>
      </c>
      <c r="DW186" t="e">
        <f>AND(#REF!,"AAAAAFzWZ34=")</f>
        <v>#REF!</v>
      </c>
      <c r="DX186" t="e">
        <f>AND(#REF!,"AAAAAFzWZ38=")</f>
        <v>#REF!</v>
      </c>
      <c r="DY186" t="e">
        <f>AND(#REF!,"AAAAAFzWZ4A=")</f>
        <v>#REF!</v>
      </c>
      <c r="DZ186" t="e">
        <f>AND(#REF!,"AAAAAFzWZ4E=")</f>
        <v>#REF!</v>
      </c>
      <c r="EA186" t="e">
        <f>AND(#REF!,"AAAAAFzWZ4I=")</f>
        <v>#REF!</v>
      </c>
      <c r="EB186" t="e">
        <f>AND(#REF!,"AAAAAFzWZ4M=")</f>
        <v>#REF!</v>
      </c>
      <c r="EC186" t="e">
        <f>AND(#REF!,"AAAAAFzWZ4Q=")</f>
        <v>#REF!</v>
      </c>
      <c r="ED186" t="e">
        <f>AND(#REF!,"AAAAAFzWZ4U=")</f>
        <v>#REF!</v>
      </c>
      <c r="EE186" t="e">
        <f>AND(#REF!,"AAAAAFzWZ4Y=")</f>
        <v>#REF!</v>
      </c>
      <c r="EF186" t="e">
        <f>AND(#REF!,"AAAAAFzWZ4c=")</f>
        <v>#REF!</v>
      </c>
      <c r="EG186" t="e">
        <f>AND(#REF!,"AAAAAFzWZ4g=")</f>
        <v>#REF!</v>
      </c>
      <c r="EH186" t="e">
        <f>AND(#REF!,"AAAAAFzWZ4k=")</f>
        <v>#REF!</v>
      </c>
      <c r="EI186" t="e">
        <f>AND(#REF!,"AAAAAFzWZ4o=")</f>
        <v>#REF!</v>
      </c>
      <c r="EJ186" t="e">
        <f>AND(#REF!,"AAAAAFzWZ4s=")</f>
        <v>#REF!</v>
      </c>
      <c r="EK186" t="e">
        <f>AND(#REF!,"AAAAAFzWZ4w=")</f>
        <v>#REF!</v>
      </c>
      <c r="EL186" t="e">
        <f>AND(#REF!,"AAAAAFzWZ40=")</f>
        <v>#REF!</v>
      </c>
      <c r="EM186" t="e">
        <f>AND(#REF!,"AAAAAFzWZ44=")</f>
        <v>#REF!</v>
      </c>
      <c r="EN186" t="e">
        <f>AND(#REF!,"AAAAAFzWZ48=")</f>
        <v>#REF!</v>
      </c>
      <c r="EO186" t="e">
        <f>AND(#REF!,"AAAAAFzWZ5A=")</f>
        <v>#REF!</v>
      </c>
      <c r="EP186" t="e">
        <f>AND(#REF!,"AAAAAFzWZ5E=")</f>
        <v>#REF!</v>
      </c>
      <c r="EQ186" t="e">
        <f>AND(#REF!,"AAAAAFzWZ5I=")</f>
        <v>#REF!</v>
      </c>
      <c r="ER186" t="e">
        <f>AND(#REF!,"AAAAAFzWZ5M=")</f>
        <v>#REF!</v>
      </c>
      <c r="ES186" t="e">
        <f>AND(#REF!,"AAAAAFzWZ5Q=")</f>
        <v>#REF!</v>
      </c>
      <c r="ET186" t="e">
        <f>AND(#REF!,"AAAAAFzWZ5U=")</f>
        <v>#REF!</v>
      </c>
      <c r="EU186" t="e">
        <f>AND(#REF!,"AAAAAFzWZ5Y=")</f>
        <v>#REF!</v>
      </c>
      <c r="EV186" t="e">
        <f>AND(#REF!,"AAAAAFzWZ5c=")</f>
        <v>#REF!</v>
      </c>
      <c r="EW186" t="e">
        <f>AND(#REF!,"AAAAAFzWZ5g=")</f>
        <v>#REF!</v>
      </c>
      <c r="EX186" t="e">
        <f>AND(#REF!,"AAAAAFzWZ5k=")</f>
        <v>#REF!</v>
      </c>
      <c r="EY186" t="e">
        <f>AND(#REF!,"AAAAAFzWZ5o=")</f>
        <v>#REF!</v>
      </c>
      <c r="EZ186" t="e">
        <f>AND(#REF!,"AAAAAFzWZ5s=")</f>
        <v>#REF!</v>
      </c>
      <c r="FA186" t="e">
        <f>AND(#REF!,"AAAAAFzWZ5w=")</f>
        <v>#REF!</v>
      </c>
      <c r="FB186" t="e">
        <f>AND(#REF!,"AAAAAFzWZ50=")</f>
        <v>#REF!</v>
      </c>
      <c r="FC186" t="e">
        <f>AND(#REF!,"AAAAAFzWZ54=")</f>
        <v>#REF!</v>
      </c>
      <c r="FD186" t="e">
        <f>AND(#REF!,"AAAAAFzWZ58=")</f>
        <v>#REF!</v>
      </c>
      <c r="FE186" t="e">
        <f>AND(#REF!,"AAAAAFzWZ6A=")</f>
        <v>#REF!</v>
      </c>
      <c r="FF186" t="e">
        <f>AND(#REF!,"AAAAAFzWZ6E=")</f>
        <v>#REF!</v>
      </c>
      <c r="FG186" t="e">
        <f>AND(#REF!,"AAAAAFzWZ6I=")</f>
        <v>#REF!</v>
      </c>
      <c r="FH186" t="e">
        <f>AND(#REF!,"AAAAAFzWZ6M=")</f>
        <v>#REF!</v>
      </c>
      <c r="FI186" t="e">
        <f>AND(#REF!,"AAAAAFzWZ6Q=")</f>
        <v>#REF!</v>
      </c>
      <c r="FJ186" t="e">
        <f>AND(#REF!,"AAAAAFzWZ6U=")</f>
        <v>#REF!</v>
      </c>
      <c r="FK186" t="e">
        <f>AND(#REF!,"AAAAAFzWZ6Y=")</f>
        <v>#REF!</v>
      </c>
      <c r="FL186" t="e">
        <f>AND(#REF!,"AAAAAFzWZ6c=")</f>
        <v>#REF!</v>
      </c>
      <c r="FM186" t="e">
        <f>AND(#REF!,"AAAAAFzWZ6g=")</f>
        <v>#REF!</v>
      </c>
      <c r="FN186" t="e">
        <f>AND(#REF!,"AAAAAFzWZ6k=")</f>
        <v>#REF!</v>
      </c>
      <c r="FO186" t="e">
        <f>AND(#REF!,"AAAAAFzWZ6o=")</f>
        <v>#REF!</v>
      </c>
      <c r="FP186" t="e">
        <f>AND(#REF!,"AAAAAFzWZ6s=")</f>
        <v>#REF!</v>
      </c>
      <c r="FQ186" t="e">
        <f>AND(#REF!,"AAAAAFzWZ6w=")</f>
        <v>#REF!</v>
      </c>
      <c r="FR186" t="e">
        <f>AND(#REF!,"AAAAAFzWZ60=")</f>
        <v>#REF!</v>
      </c>
      <c r="FS186" t="e">
        <f>AND(#REF!,"AAAAAFzWZ64=")</f>
        <v>#REF!</v>
      </c>
      <c r="FT186" t="e">
        <f>AND(#REF!,"AAAAAFzWZ68=")</f>
        <v>#REF!</v>
      </c>
      <c r="FU186" t="e">
        <f>AND(#REF!,"AAAAAFzWZ7A=")</f>
        <v>#REF!</v>
      </c>
      <c r="FV186" t="e">
        <f>AND(#REF!,"AAAAAFzWZ7E=")</f>
        <v>#REF!</v>
      </c>
      <c r="FW186" t="e">
        <f>AND(#REF!,"AAAAAFzWZ7I=")</f>
        <v>#REF!</v>
      </c>
      <c r="FX186" t="e">
        <f>AND(#REF!,"AAAAAFzWZ7M=")</f>
        <v>#REF!</v>
      </c>
      <c r="FY186" t="e">
        <f>AND(#REF!,"AAAAAFzWZ7Q=")</f>
        <v>#REF!</v>
      </c>
      <c r="FZ186" t="e">
        <f>AND(#REF!,"AAAAAFzWZ7U=")</f>
        <v>#REF!</v>
      </c>
      <c r="GA186" t="e">
        <f>AND(#REF!,"AAAAAFzWZ7Y=")</f>
        <v>#REF!</v>
      </c>
      <c r="GB186" t="e">
        <f>AND(#REF!,"AAAAAFzWZ7c=")</f>
        <v>#REF!</v>
      </c>
      <c r="GC186" t="e">
        <f>AND(#REF!,"AAAAAFzWZ7g=")</f>
        <v>#REF!</v>
      </c>
      <c r="GD186" t="e">
        <f>AND(#REF!,"AAAAAFzWZ7k=")</f>
        <v>#REF!</v>
      </c>
      <c r="GE186" t="e">
        <f>AND(#REF!,"AAAAAFzWZ7o=")</f>
        <v>#REF!</v>
      </c>
      <c r="GF186" t="e">
        <f>AND(#REF!,"AAAAAFzWZ7s=")</f>
        <v>#REF!</v>
      </c>
      <c r="GG186" t="e">
        <f>AND(#REF!,"AAAAAFzWZ7w=")</f>
        <v>#REF!</v>
      </c>
      <c r="GH186" t="e">
        <f>AND(#REF!,"AAAAAFzWZ70=")</f>
        <v>#REF!</v>
      </c>
      <c r="GI186" t="e">
        <f>AND(#REF!,"AAAAAFzWZ74=")</f>
        <v>#REF!</v>
      </c>
      <c r="GJ186" t="e">
        <f>AND(#REF!,"AAAAAFzWZ78=")</f>
        <v>#REF!</v>
      </c>
      <c r="GK186" t="e">
        <f>AND(#REF!,"AAAAAFzWZ8A=")</f>
        <v>#REF!</v>
      </c>
      <c r="GL186" t="e">
        <f>AND(#REF!,"AAAAAFzWZ8E=")</f>
        <v>#REF!</v>
      </c>
      <c r="GM186" t="e">
        <f>AND(#REF!,"AAAAAFzWZ8I=")</f>
        <v>#REF!</v>
      </c>
      <c r="GN186" t="e">
        <f>AND(#REF!,"AAAAAFzWZ8M=")</f>
        <v>#REF!</v>
      </c>
      <c r="GO186" t="e">
        <f>AND(#REF!,"AAAAAFzWZ8Q=")</f>
        <v>#REF!</v>
      </c>
      <c r="GP186" t="e">
        <f>AND(#REF!,"AAAAAFzWZ8U=")</f>
        <v>#REF!</v>
      </c>
      <c r="GQ186" t="e">
        <f>AND(#REF!,"AAAAAFzWZ8Y=")</f>
        <v>#REF!</v>
      </c>
      <c r="GR186" t="e">
        <f>AND(#REF!,"AAAAAFzWZ8c=")</f>
        <v>#REF!</v>
      </c>
      <c r="GS186" t="e">
        <f>AND(#REF!,"AAAAAFzWZ8g=")</f>
        <v>#REF!</v>
      </c>
      <c r="GT186" t="e">
        <f>AND(#REF!,"AAAAAFzWZ8k=")</f>
        <v>#REF!</v>
      </c>
      <c r="GU186" t="e">
        <f>AND(#REF!,"AAAAAFzWZ8o=")</f>
        <v>#REF!</v>
      </c>
      <c r="GV186" t="e">
        <f>AND(#REF!,"AAAAAFzWZ8s=")</f>
        <v>#REF!</v>
      </c>
      <c r="GW186" t="e">
        <f>AND(#REF!,"AAAAAFzWZ8w=")</f>
        <v>#REF!</v>
      </c>
      <c r="GX186" t="e">
        <f>AND(#REF!,"AAAAAFzWZ80=")</f>
        <v>#REF!</v>
      </c>
      <c r="GY186" t="e">
        <f>AND(#REF!,"AAAAAFzWZ84=")</f>
        <v>#REF!</v>
      </c>
      <c r="GZ186" t="e">
        <f>AND(#REF!,"AAAAAFzWZ88=")</f>
        <v>#REF!</v>
      </c>
      <c r="HA186" t="e">
        <f>AND(#REF!,"AAAAAFzWZ9A=")</f>
        <v>#REF!</v>
      </c>
      <c r="HB186" t="e">
        <f>AND(#REF!,"AAAAAFzWZ9E=")</f>
        <v>#REF!</v>
      </c>
      <c r="HC186" t="e">
        <f>AND(#REF!,"AAAAAFzWZ9I=")</f>
        <v>#REF!</v>
      </c>
      <c r="HD186" t="e">
        <f>AND(#REF!,"AAAAAFzWZ9M=")</f>
        <v>#REF!</v>
      </c>
      <c r="HE186" t="e">
        <f>AND(#REF!,"AAAAAFzWZ9Q=")</f>
        <v>#REF!</v>
      </c>
      <c r="HF186" t="e">
        <f>AND(#REF!,"AAAAAFzWZ9U=")</f>
        <v>#REF!</v>
      </c>
      <c r="HG186" t="e">
        <f>AND(#REF!,"AAAAAFzWZ9Y=")</f>
        <v>#REF!</v>
      </c>
      <c r="HH186" t="e">
        <f>AND(#REF!,"AAAAAFzWZ9c=")</f>
        <v>#REF!</v>
      </c>
      <c r="HI186" t="e">
        <f>AND(#REF!,"AAAAAFzWZ9g=")</f>
        <v>#REF!</v>
      </c>
      <c r="HJ186" t="e">
        <f>AND(#REF!,"AAAAAFzWZ9k=")</f>
        <v>#REF!</v>
      </c>
      <c r="HK186" t="e">
        <f>AND(#REF!,"AAAAAFzWZ9o=")</f>
        <v>#REF!</v>
      </c>
      <c r="HL186" t="e">
        <f>AND(#REF!,"AAAAAFzWZ9s=")</f>
        <v>#REF!</v>
      </c>
      <c r="HM186" t="e">
        <f>AND(#REF!,"AAAAAFzWZ9w=")</f>
        <v>#REF!</v>
      </c>
      <c r="HN186" t="e">
        <f>AND(#REF!,"AAAAAFzWZ90=")</f>
        <v>#REF!</v>
      </c>
      <c r="HO186" t="e">
        <f>AND(#REF!,"AAAAAFzWZ94=")</f>
        <v>#REF!</v>
      </c>
      <c r="HP186" t="e">
        <f>AND(#REF!,"AAAAAFzWZ98=")</f>
        <v>#REF!</v>
      </c>
      <c r="HQ186" t="e">
        <f>IF(#REF!,"AAAAAFzWZ+A=",0)</f>
        <v>#REF!</v>
      </c>
      <c r="HR186" t="e">
        <f>AND(#REF!,"AAAAAFzWZ+E=")</f>
        <v>#REF!</v>
      </c>
      <c r="HS186" t="e">
        <f>AND(#REF!,"AAAAAFzWZ+I=")</f>
        <v>#REF!</v>
      </c>
      <c r="HT186" t="e">
        <f>AND(#REF!,"AAAAAFzWZ+M=")</f>
        <v>#REF!</v>
      </c>
      <c r="HU186" t="e">
        <f>AND(#REF!,"AAAAAFzWZ+Q=")</f>
        <v>#REF!</v>
      </c>
      <c r="HV186" t="e">
        <f>AND(#REF!,"AAAAAFzWZ+U=")</f>
        <v>#REF!</v>
      </c>
      <c r="HW186" t="e">
        <f>AND(#REF!,"AAAAAFzWZ+Y=")</f>
        <v>#REF!</v>
      </c>
      <c r="HX186" t="e">
        <f>AND(#REF!,"AAAAAFzWZ+c=")</f>
        <v>#REF!</v>
      </c>
      <c r="HY186" t="e">
        <f>AND(#REF!,"AAAAAFzWZ+g=")</f>
        <v>#REF!</v>
      </c>
      <c r="HZ186" t="e">
        <f>AND(#REF!,"AAAAAFzWZ+k=")</f>
        <v>#REF!</v>
      </c>
      <c r="IA186" t="e">
        <f>AND(#REF!,"AAAAAFzWZ+o=")</f>
        <v>#REF!</v>
      </c>
      <c r="IB186" t="e">
        <f>AND(#REF!,"AAAAAFzWZ+s=")</f>
        <v>#REF!</v>
      </c>
      <c r="IC186" t="e">
        <f>AND(#REF!,"AAAAAFzWZ+w=")</f>
        <v>#REF!</v>
      </c>
      <c r="ID186" t="e">
        <f>AND(#REF!,"AAAAAFzWZ+0=")</f>
        <v>#REF!</v>
      </c>
      <c r="IE186" t="e">
        <f>AND(#REF!,"AAAAAFzWZ+4=")</f>
        <v>#REF!</v>
      </c>
      <c r="IF186" t="e">
        <f>AND(#REF!,"AAAAAFzWZ+8=")</f>
        <v>#REF!</v>
      </c>
      <c r="IG186" t="e">
        <f>AND(#REF!,"AAAAAFzWZ/A=")</f>
        <v>#REF!</v>
      </c>
      <c r="IH186" t="e">
        <f>AND(#REF!,"AAAAAFzWZ/E=")</f>
        <v>#REF!</v>
      </c>
      <c r="II186" t="e">
        <f>AND(#REF!,"AAAAAFzWZ/I=")</f>
        <v>#REF!</v>
      </c>
      <c r="IJ186" t="e">
        <f>AND(#REF!,"AAAAAFzWZ/M=")</f>
        <v>#REF!</v>
      </c>
      <c r="IK186" t="e">
        <f>AND(#REF!,"AAAAAFzWZ/Q=")</f>
        <v>#REF!</v>
      </c>
      <c r="IL186" t="e">
        <f>AND(#REF!,"AAAAAFzWZ/U=")</f>
        <v>#REF!</v>
      </c>
      <c r="IM186" t="e">
        <f>AND(#REF!,"AAAAAFzWZ/Y=")</f>
        <v>#REF!</v>
      </c>
      <c r="IN186" t="e">
        <f>AND(#REF!,"AAAAAFzWZ/c=")</f>
        <v>#REF!</v>
      </c>
      <c r="IO186" t="e">
        <f>AND(#REF!,"AAAAAFzWZ/g=")</f>
        <v>#REF!</v>
      </c>
      <c r="IP186" t="e">
        <f>AND(#REF!,"AAAAAFzWZ/k=")</f>
        <v>#REF!</v>
      </c>
      <c r="IQ186" t="e">
        <f>AND(#REF!,"AAAAAFzWZ/o=")</f>
        <v>#REF!</v>
      </c>
      <c r="IR186" t="e">
        <f>AND(#REF!,"AAAAAFzWZ/s=")</f>
        <v>#REF!</v>
      </c>
      <c r="IS186" t="e">
        <f>AND(#REF!,"AAAAAFzWZ/w=")</f>
        <v>#REF!</v>
      </c>
      <c r="IT186" t="e">
        <f>AND(#REF!,"AAAAAFzWZ/0=")</f>
        <v>#REF!</v>
      </c>
      <c r="IU186" t="e">
        <f>AND(#REF!,"AAAAAFzWZ/4=")</f>
        <v>#REF!</v>
      </c>
      <c r="IV186" t="e">
        <f>AND(#REF!,"AAAAAFzWZ/8=")</f>
        <v>#REF!</v>
      </c>
    </row>
    <row r="187" spans="1:256" x14ac:dyDescent="0.25">
      <c r="A187" t="e">
        <f>AND(#REF!,"AAAAAHz38QA=")</f>
        <v>#REF!</v>
      </c>
      <c r="B187" t="e">
        <f>AND(#REF!,"AAAAAHz38QE=")</f>
        <v>#REF!</v>
      </c>
      <c r="C187" t="e">
        <f>AND(#REF!,"AAAAAHz38QI=")</f>
        <v>#REF!</v>
      </c>
      <c r="D187" t="e">
        <f>AND(#REF!,"AAAAAHz38QM=")</f>
        <v>#REF!</v>
      </c>
      <c r="E187" t="e">
        <f>AND(#REF!,"AAAAAHz38QQ=")</f>
        <v>#REF!</v>
      </c>
      <c r="F187" t="e">
        <f>AND(#REF!,"AAAAAHz38QU=")</f>
        <v>#REF!</v>
      </c>
      <c r="G187" t="e">
        <f>AND(#REF!,"AAAAAHz38QY=")</f>
        <v>#REF!</v>
      </c>
      <c r="H187" t="e">
        <f>AND(#REF!,"AAAAAHz38Qc=")</f>
        <v>#REF!</v>
      </c>
      <c r="I187" t="e">
        <f>AND(#REF!,"AAAAAHz38Qg=")</f>
        <v>#REF!</v>
      </c>
      <c r="J187" t="e">
        <f>AND(#REF!,"AAAAAHz38Qk=")</f>
        <v>#REF!</v>
      </c>
      <c r="K187" t="e">
        <f>AND(#REF!,"AAAAAHz38Qo=")</f>
        <v>#REF!</v>
      </c>
      <c r="L187" t="e">
        <f>AND(#REF!,"AAAAAHz38Qs=")</f>
        <v>#REF!</v>
      </c>
      <c r="M187" t="e">
        <f>AND(#REF!,"AAAAAHz38Qw=")</f>
        <v>#REF!</v>
      </c>
      <c r="N187" t="e">
        <f>AND(#REF!,"AAAAAHz38Q0=")</f>
        <v>#REF!</v>
      </c>
      <c r="O187" t="e">
        <f>AND(#REF!,"AAAAAHz38Q4=")</f>
        <v>#REF!</v>
      </c>
      <c r="P187" t="e">
        <f>AND(#REF!,"AAAAAHz38Q8=")</f>
        <v>#REF!</v>
      </c>
      <c r="Q187" t="e">
        <f>AND(#REF!,"AAAAAHz38RA=")</f>
        <v>#REF!</v>
      </c>
      <c r="R187" t="e">
        <f>AND(#REF!,"AAAAAHz38RE=")</f>
        <v>#REF!</v>
      </c>
      <c r="S187" t="e">
        <f>AND(#REF!,"AAAAAHz38RI=")</f>
        <v>#REF!</v>
      </c>
      <c r="T187" t="e">
        <f>AND(#REF!,"AAAAAHz38RM=")</f>
        <v>#REF!</v>
      </c>
      <c r="U187" t="e">
        <f>AND(#REF!,"AAAAAHz38RQ=")</f>
        <v>#REF!</v>
      </c>
      <c r="V187" t="e">
        <f>AND(#REF!,"AAAAAHz38RU=")</f>
        <v>#REF!</v>
      </c>
      <c r="W187" t="e">
        <f>AND(#REF!,"AAAAAHz38RY=")</f>
        <v>#REF!</v>
      </c>
      <c r="X187" t="e">
        <f>AND(#REF!,"AAAAAHz38Rc=")</f>
        <v>#REF!</v>
      </c>
      <c r="Y187" t="e">
        <f>AND(#REF!,"AAAAAHz38Rg=")</f>
        <v>#REF!</v>
      </c>
      <c r="Z187" t="e">
        <f>AND(#REF!,"AAAAAHz38Rk=")</f>
        <v>#REF!</v>
      </c>
      <c r="AA187" t="e">
        <f>AND(#REF!,"AAAAAHz38Ro=")</f>
        <v>#REF!</v>
      </c>
      <c r="AB187" t="e">
        <f>AND(#REF!,"AAAAAHz38Rs=")</f>
        <v>#REF!</v>
      </c>
      <c r="AC187" t="e">
        <f>AND(#REF!,"AAAAAHz38Rw=")</f>
        <v>#REF!</v>
      </c>
      <c r="AD187" t="e">
        <f>AND(#REF!,"AAAAAHz38R0=")</f>
        <v>#REF!</v>
      </c>
      <c r="AE187" t="e">
        <f>AND(#REF!,"AAAAAHz38R4=")</f>
        <v>#REF!</v>
      </c>
      <c r="AF187" t="e">
        <f>AND(#REF!,"AAAAAHz38R8=")</f>
        <v>#REF!</v>
      </c>
      <c r="AG187" t="e">
        <f>AND(#REF!,"AAAAAHz38SA=")</f>
        <v>#REF!</v>
      </c>
      <c r="AH187" t="e">
        <f>AND(#REF!,"AAAAAHz38SE=")</f>
        <v>#REF!</v>
      </c>
      <c r="AI187" t="e">
        <f>AND(#REF!,"AAAAAHz38SI=")</f>
        <v>#REF!</v>
      </c>
      <c r="AJ187" t="e">
        <f>AND(#REF!,"AAAAAHz38SM=")</f>
        <v>#REF!</v>
      </c>
      <c r="AK187" t="e">
        <f>AND(#REF!,"AAAAAHz38SQ=")</f>
        <v>#REF!</v>
      </c>
      <c r="AL187" t="e">
        <f>AND(#REF!,"AAAAAHz38SU=")</f>
        <v>#REF!</v>
      </c>
      <c r="AM187" t="e">
        <f>AND(#REF!,"AAAAAHz38SY=")</f>
        <v>#REF!</v>
      </c>
      <c r="AN187" t="e">
        <f>AND(#REF!,"AAAAAHz38Sc=")</f>
        <v>#REF!</v>
      </c>
      <c r="AO187" t="e">
        <f>AND(#REF!,"AAAAAHz38Sg=")</f>
        <v>#REF!</v>
      </c>
      <c r="AP187" t="e">
        <f>AND(#REF!,"AAAAAHz38Sk=")</f>
        <v>#REF!</v>
      </c>
      <c r="AQ187" t="e">
        <f>AND(#REF!,"AAAAAHz38So=")</f>
        <v>#REF!</v>
      </c>
      <c r="AR187" t="e">
        <f>AND(#REF!,"AAAAAHz38Ss=")</f>
        <v>#REF!</v>
      </c>
      <c r="AS187" t="e">
        <f>AND(#REF!,"AAAAAHz38Sw=")</f>
        <v>#REF!</v>
      </c>
      <c r="AT187" t="e">
        <f>AND(#REF!,"AAAAAHz38S0=")</f>
        <v>#REF!</v>
      </c>
      <c r="AU187" t="e">
        <f>AND(#REF!,"AAAAAHz38S4=")</f>
        <v>#REF!</v>
      </c>
      <c r="AV187" t="e">
        <f>AND(#REF!,"AAAAAHz38S8=")</f>
        <v>#REF!</v>
      </c>
      <c r="AW187" t="e">
        <f>AND(#REF!,"AAAAAHz38TA=")</f>
        <v>#REF!</v>
      </c>
      <c r="AX187" t="e">
        <f>AND(#REF!,"AAAAAHz38TE=")</f>
        <v>#REF!</v>
      </c>
      <c r="AY187" t="e">
        <f>AND(#REF!,"AAAAAHz38TI=")</f>
        <v>#REF!</v>
      </c>
      <c r="AZ187" t="e">
        <f>AND(#REF!,"AAAAAHz38TM=")</f>
        <v>#REF!</v>
      </c>
      <c r="BA187" t="e">
        <f>AND(#REF!,"AAAAAHz38TQ=")</f>
        <v>#REF!</v>
      </c>
      <c r="BB187" t="e">
        <f>AND(#REF!,"AAAAAHz38TU=")</f>
        <v>#REF!</v>
      </c>
      <c r="BC187" t="e">
        <f>AND(#REF!,"AAAAAHz38TY=")</f>
        <v>#REF!</v>
      </c>
      <c r="BD187" t="e">
        <f>AND(#REF!,"AAAAAHz38Tc=")</f>
        <v>#REF!</v>
      </c>
      <c r="BE187" t="e">
        <f>AND(#REF!,"AAAAAHz38Tg=")</f>
        <v>#REF!</v>
      </c>
      <c r="BF187" t="e">
        <f>AND(#REF!,"AAAAAHz38Tk=")</f>
        <v>#REF!</v>
      </c>
      <c r="BG187" t="e">
        <f>AND(#REF!,"AAAAAHz38To=")</f>
        <v>#REF!</v>
      </c>
      <c r="BH187" t="e">
        <f>AND(#REF!,"AAAAAHz38Ts=")</f>
        <v>#REF!</v>
      </c>
      <c r="BI187" t="e">
        <f>AND(#REF!,"AAAAAHz38Tw=")</f>
        <v>#REF!</v>
      </c>
      <c r="BJ187" t="e">
        <f>AND(#REF!,"AAAAAHz38T0=")</f>
        <v>#REF!</v>
      </c>
      <c r="BK187" t="e">
        <f>AND(#REF!,"AAAAAHz38T4=")</f>
        <v>#REF!</v>
      </c>
      <c r="BL187" t="e">
        <f>AND(#REF!,"AAAAAHz38T8=")</f>
        <v>#REF!</v>
      </c>
      <c r="BM187" t="e">
        <f>AND(#REF!,"AAAAAHz38UA=")</f>
        <v>#REF!</v>
      </c>
      <c r="BN187" t="e">
        <f>AND(#REF!,"AAAAAHz38UE=")</f>
        <v>#REF!</v>
      </c>
      <c r="BO187" t="e">
        <f>AND(#REF!,"AAAAAHz38UI=")</f>
        <v>#REF!</v>
      </c>
      <c r="BP187" t="e">
        <f>AND(#REF!,"AAAAAHz38UM=")</f>
        <v>#REF!</v>
      </c>
      <c r="BQ187" t="e">
        <f>AND(#REF!,"AAAAAHz38UQ=")</f>
        <v>#REF!</v>
      </c>
      <c r="BR187" t="e">
        <f>AND(#REF!,"AAAAAHz38UU=")</f>
        <v>#REF!</v>
      </c>
      <c r="BS187" t="e">
        <f>AND(#REF!,"AAAAAHz38UY=")</f>
        <v>#REF!</v>
      </c>
      <c r="BT187" t="e">
        <f>AND(#REF!,"AAAAAHz38Uc=")</f>
        <v>#REF!</v>
      </c>
      <c r="BU187" t="e">
        <f>AND(#REF!,"AAAAAHz38Ug=")</f>
        <v>#REF!</v>
      </c>
      <c r="BV187" t="e">
        <f>AND(#REF!,"AAAAAHz38Uk=")</f>
        <v>#REF!</v>
      </c>
      <c r="BW187" t="e">
        <f>AND(#REF!,"AAAAAHz38Uo=")</f>
        <v>#REF!</v>
      </c>
      <c r="BX187" t="e">
        <f>AND(#REF!,"AAAAAHz38Us=")</f>
        <v>#REF!</v>
      </c>
      <c r="BY187" t="e">
        <f>AND(#REF!,"AAAAAHz38Uw=")</f>
        <v>#REF!</v>
      </c>
      <c r="BZ187" t="e">
        <f>AND(#REF!,"AAAAAHz38U0=")</f>
        <v>#REF!</v>
      </c>
      <c r="CA187" t="e">
        <f>AND(#REF!,"AAAAAHz38U4=")</f>
        <v>#REF!</v>
      </c>
      <c r="CB187" t="e">
        <f>AND(#REF!,"AAAAAHz38U8=")</f>
        <v>#REF!</v>
      </c>
      <c r="CC187" t="e">
        <f>AND(#REF!,"AAAAAHz38VA=")</f>
        <v>#REF!</v>
      </c>
      <c r="CD187" t="e">
        <f>AND(#REF!,"AAAAAHz38VE=")</f>
        <v>#REF!</v>
      </c>
      <c r="CE187" t="e">
        <f>AND(#REF!,"AAAAAHz38VI=")</f>
        <v>#REF!</v>
      </c>
      <c r="CF187" t="e">
        <f>AND(#REF!,"AAAAAHz38VM=")</f>
        <v>#REF!</v>
      </c>
      <c r="CG187" t="e">
        <f>AND(#REF!,"AAAAAHz38VQ=")</f>
        <v>#REF!</v>
      </c>
      <c r="CH187" t="e">
        <f>AND(#REF!,"AAAAAHz38VU=")</f>
        <v>#REF!</v>
      </c>
      <c r="CI187" t="e">
        <f>AND(#REF!,"AAAAAHz38VY=")</f>
        <v>#REF!</v>
      </c>
      <c r="CJ187" t="e">
        <f>AND(#REF!,"AAAAAHz38Vc=")</f>
        <v>#REF!</v>
      </c>
      <c r="CK187" t="e">
        <f>AND(#REF!,"AAAAAHz38Vg=")</f>
        <v>#REF!</v>
      </c>
      <c r="CL187" t="e">
        <f>AND(#REF!,"AAAAAHz38Vk=")</f>
        <v>#REF!</v>
      </c>
      <c r="CM187" t="e">
        <f>AND(#REF!,"AAAAAHz38Vo=")</f>
        <v>#REF!</v>
      </c>
      <c r="CN187" t="e">
        <f>AND(#REF!,"AAAAAHz38Vs=")</f>
        <v>#REF!</v>
      </c>
      <c r="CO187" t="e">
        <f>AND(#REF!,"AAAAAHz38Vw=")</f>
        <v>#REF!</v>
      </c>
      <c r="CP187" t="e">
        <f>AND(#REF!,"AAAAAHz38V0=")</f>
        <v>#REF!</v>
      </c>
      <c r="CQ187" t="e">
        <f>AND(#REF!,"AAAAAHz38V4=")</f>
        <v>#REF!</v>
      </c>
      <c r="CR187" t="e">
        <f>AND(#REF!,"AAAAAHz38V8=")</f>
        <v>#REF!</v>
      </c>
      <c r="CS187" t="e">
        <f>AND(#REF!,"AAAAAHz38WA=")</f>
        <v>#REF!</v>
      </c>
      <c r="CT187" t="e">
        <f>AND(#REF!,"AAAAAHz38WE=")</f>
        <v>#REF!</v>
      </c>
      <c r="CU187" t="e">
        <f>AND(#REF!,"AAAAAHz38WI=")</f>
        <v>#REF!</v>
      </c>
      <c r="CV187" t="e">
        <f>AND(#REF!,"AAAAAHz38WM=")</f>
        <v>#REF!</v>
      </c>
      <c r="CW187" t="e">
        <f>AND(#REF!,"AAAAAHz38WQ=")</f>
        <v>#REF!</v>
      </c>
      <c r="CX187" t="e">
        <f>AND(#REF!,"AAAAAHz38WU=")</f>
        <v>#REF!</v>
      </c>
      <c r="CY187" t="e">
        <f>AND(#REF!,"AAAAAHz38WY=")</f>
        <v>#REF!</v>
      </c>
      <c r="CZ187" t="e">
        <f>AND(#REF!,"AAAAAHz38Wc=")</f>
        <v>#REF!</v>
      </c>
      <c r="DA187" t="e">
        <f>AND(#REF!,"AAAAAHz38Wg=")</f>
        <v>#REF!</v>
      </c>
      <c r="DB187" t="e">
        <f>AND(#REF!,"AAAAAHz38Wk=")</f>
        <v>#REF!</v>
      </c>
      <c r="DC187" t="e">
        <f>AND(#REF!,"AAAAAHz38Wo=")</f>
        <v>#REF!</v>
      </c>
      <c r="DD187" t="e">
        <f>AND(#REF!,"AAAAAHz38Ws=")</f>
        <v>#REF!</v>
      </c>
      <c r="DE187" t="e">
        <f>AND(#REF!,"AAAAAHz38Ww=")</f>
        <v>#REF!</v>
      </c>
      <c r="DF187" t="e">
        <f>AND(#REF!,"AAAAAHz38W0=")</f>
        <v>#REF!</v>
      </c>
      <c r="DG187" t="e">
        <f>AND(#REF!,"AAAAAHz38W4=")</f>
        <v>#REF!</v>
      </c>
      <c r="DH187" t="e">
        <f>AND(#REF!,"AAAAAHz38W8=")</f>
        <v>#REF!</v>
      </c>
      <c r="DI187" t="e">
        <f>AND(#REF!,"AAAAAHz38XA=")</f>
        <v>#REF!</v>
      </c>
      <c r="DJ187" t="e">
        <f>AND(#REF!,"AAAAAHz38XE=")</f>
        <v>#REF!</v>
      </c>
      <c r="DK187" t="e">
        <f>AND(#REF!,"AAAAAHz38XI=")</f>
        <v>#REF!</v>
      </c>
      <c r="DL187" t="e">
        <f>AND(#REF!,"AAAAAHz38XM=")</f>
        <v>#REF!</v>
      </c>
      <c r="DM187" t="e">
        <f>AND(#REF!,"AAAAAHz38XQ=")</f>
        <v>#REF!</v>
      </c>
      <c r="DN187" t="e">
        <f>AND(#REF!,"AAAAAHz38XU=")</f>
        <v>#REF!</v>
      </c>
      <c r="DO187" t="e">
        <f>AND(#REF!,"AAAAAHz38XY=")</f>
        <v>#REF!</v>
      </c>
      <c r="DP187" t="e">
        <f>AND(#REF!,"AAAAAHz38Xc=")</f>
        <v>#REF!</v>
      </c>
      <c r="DQ187" t="e">
        <f>AND(#REF!,"AAAAAHz38Xg=")</f>
        <v>#REF!</v>
      </c>
      <c r="DR187" t="e">
        <f>AND(#REF!,"AAAAAHz38Xk=")</f>
        <v>#REF!</v>
      </c>
      <c r="DS187" t="e">
        <f>AND(#REF!,"AAAAAHz38Xo=")</f>
        <v>#REF!</v>
      </c>
      <c r="DT187" t="e">
        <f>AND(#REF!,"AAAAAHz38Xs=")</f>
        <v>#REF!</v>
      </c>
      <c r="DU187" t="e">
        <f>AND(#REF!,"AAAAAHz38Xw=")</f>
        <v>#REF!</v>
      </c>
      <c r="DV187" t="e">
        <f>AND(#REF!,"AAAAAHz38X0=")</f>
        <v>#REF!</v>
      </c>
      <c r="DW187" t="e">
        <f>AND(#REF!,"AAAAAHz38X4=")</f>
        <v>#REF!</v>
      </c>
      <c r="DX187" t="e">
        <f>AND(#REF!,"AAAAAHz38X8=")</f>
        <v>#REF!</v>
      </c>
      <c r="DY187" t="e">
        <f>AND(#REF!,"AAAAAHz38YA=")</f>
        <v>#REF!</v>
      </c>
      <c r="DZ187" t="e">
        <f>AND(#REF!,"AAAAAHz38YE=")</f>
        <v>#REF!</v>
      </c>
      <c r="EA187" t="e">
        <f>AND(#REF!,"AAAAAHz38YI=")</f>
        <v>#REF!</v>
      </c>
      <c r="EB187" t="e">
        <f>AND(#REF!,"AAAAAHz38YM=")</f>
        <v>#REF!</v>
      </c>
      <c r="EC187" t="e">
        <f>AND(#REF!,"AAAAAHz38YQ=")</f>
        <v>#REF!</v>
      </c>
      <c r="ED187" t="e">
        <f>AND(#REF!,"AAAAAHz38YU=")</f>
        <v>#REF!</v>
      </c>
      <c r="EE187" t="e">
        <f>AND(#REF!,"AAAAAHz38YY=")</f>
        <v>#REF!</v>
      </c>
      <c r="EF187" t="e">
        <f>AND(#REF!,"AAAAAHz38Yc=")</f>
        <v>#REF!</v>
      </c>
      <c r="EG187" t="e">
        <f>AND(#REF!,"AAAAAHz38Yg=")</f>
        <v>#REF!</v>
      </c>
      <c r="EH187" t="e">
        <f>AND(#REF!,"AAAAAHz38Yk=")</f>
        <v>#REF!</v>
      </c>
      <c r="EI187" t="e">
        <f>AND(#REF!,"AAAAAHz38Yo=")</f>
        <v>#REF!</v>
      </c>
      <c r="EJ187" t="e">
        <f>AND(#REF!,"AAAAAHz38Ys=")</f>
        <v>#REF!</v>
      </c>
      <c r="EK187" t="e">
        <f>AND(#REF!,"AAAAAHz38Yw=")</f>
        <v>#REF!</v>
      </c>
      <c r="EL187" t="e">
        <f>AND(#REF!,"AAAAAHz38Y0=")</f>
        <v>#REF!</v>
      </c>
      <c r="EM187" t="e">
        <f>AND(#REF!,"AAAAAHz38Y4=")</f>
        <v>#REF!</v>
      </c>
      <c r="EN187" t="e">
        <f>AND(#REF!,"AAAAAHz38Y8=")</f>
        <v>#REF!</v>
      </c>
      <c r="EO187" t="e">
        <f>AND(#REF!,"AAAAAHz38ZA=")</f>
        <v>#REF!</v>
      </c>
      <c r="EP187" t="e">
        <f>AND(#REF!,"AAAAAHz38ZE=")</f>
        <v>#REF!</v>
      </c>
      <c r="EQ187" t="e">
        <f>AND(#REF!,"AAAAAHz38ZI=")</f>
        <v>#REF!</v>
      </c>
      <c r="ER187" t="e">
        <f>AND(#REF!,"AAAAAHz38ZM=")</f>
        <v>#REF!</v>
      </c>
      <c r="ES187" t="e">
        <f>AND(#REF!,"AAAAAHz38ZQ=")</f>
        <v>#REF!</v>
      </c>
      <c r="ET187" t="e">
        <f>AND(#REF!,"AAAAAHz38ZU=")</f>
        <v>#REF!</v>
      </c>
      <c r="EU187" t="e">
        <f>AND(#REF!,"AAAAAHz38ZY=")</f>
        <v>#REF!</v>
      </c>
      <c r="EV187" t="e">
        <f>AND(#REF!,"AAAAAHz38Zc=")</f>
        <v>#REF!</v>
      </c>
      <c r="EW187" t="e">
        <f>AND(#REF!,"AAAAAHz38Zg=")</f>
        <v>#REF!</v>
      </c>
      <c r="EX187" t="e">
        <f>AND(#REF!,"AAAAAHz38Zk=")</f>
        <v>#REF!</v>
      </c>
      <c r="EY187" t="e">
        <f>AND(#REF!,"AAAAAHz38Zo=")</f>
        <v>#REF!</v>
      </c>
      <c r="EZ187" t="e">
        <f>AND(#REF!,"AAAAAHz38Zs=")</f>
        <v>#REF!</v>
      </c>
      <c r="FA187" t="e">
        <f>AND(#REF!,"AAAAAHz38Zw=")</f>
        <v>#REF!</v>
      </c>
      <c r="FB187" t="e">
        <f>IF(#REF!,"AAAAAHz38Z0=",0)</f>
        <v>#REF!</v>
      </c>
      <c r="FC187" t="e">
        <f>AND(#REF!,"AAAAAHz38Z4=")</f>
        <v>#REF!</v>
      </c>
      <c r="FD187" t="e">
        <f>AND(#REF!,"AAAAAHz38Z8=")</f>
        <v>#REF!</v>
      </c>
      <c r="FE187" t="e">
        <f>AND(#REF!,"AAAAAHz38aA=")</f>
        <v>#REF!</v>
      </c>
      <c r="FF187" t="e">
        <f>AND(#REF!,"AAAAAHz38aE=")</f>
        <v>#REF!</v>
      </c>
      <c r="FG187" t="e">
        <f>AND(#REF!,"AAAAAHz38aI=")</f>
        <v>#REF!</v>
      </c>
      <c r="FH187" t="e">
        <f>AND(#REF!,"AAAAAHz38aM=")</f>
        <v>#REF!</v>
      </c>
      <c r="FI187" t="e">
        <f>AND(#REF!,"AAAAAHz38aQ=")</f>
        <v>#REF!</v>
      </c>
      <c r="FJ187" t="e">
        <f>AND(#REF!,"AAAAAHz38aU=")</f>
        <v>#REF!</v>
      </c>
      <c r="FK187" t="e">
        <f>AND(#REF!,"AAAAAHz38aY=")</f>
        <v>#REF!</v>
      </c>
      <c r="FL187" t="e">
        <f>AND(#REF!,"AAAAAHz38ac=")</f>
        <v>#REF!</v>
      </c>
      <c r="FM187" t="e">
        <f>AND(#REF!,"AAAAAHz38ag=")</f>
        <v>#REF!</v>
      </c>
      <c r="FN187" t="e">
        <f>AND(#REF!,"AAAAAHz38ak=")</f>
        <v>#REF!</v>
      </c>
      <c r="FO187" t="e">
        <f>AND(#REF!,"AAAAAHz38ao=")</f>
        <v>#REF!</v>
      </c>
      <c r="FP187" t="e">
        <f>AND(#REF!,"AAAAAHz38as=")</f>
        <v>#REF!</v>
      </c>
      <c r="FQ187" t="e">
        <f>AND(#REF!,"AAAAAHz38aw=")</f>
        <v>#REF!</v>
      </c>
      <c r="FR187" t="e">
        <f>AND(#REF!,"AAAAAHz38a0=")</f>
        <v>#REF!</v>
      </c>
      <c r="FS187" t="e">
        <f>AND(#REF!,"AAAAAHz38a4=")</f>
        <v>#REF!</v>
      </c>
      <c r="FT187" t="e">
        <f>AND(#REF!,"AAAAAHz38a8=")</f>
        <v>#REF!</v>
      </c>
      <c r="FU187" t="e">
        <f>AND(#REF!,"AAAAAHz38bA=")</f>
        <v>#REF!</v>
      </c>
      <c r="FV187" t="e">
        <f>AND(#REF!,"AAAAAHz38bE=")</f>
        <v>#REF!</v>
      </c>
      <c r="FW187" t="e">
        <f>AND(#REF!,"AAAAAHz38bI=")</f>
        <v>#REF!</v>
      </c>
      <c r="FX187" t="e">
        <f>AND(#REF!,"AAAAAHz38bM=")</f>
        <v>#REF!</v>
      </c>
      <c r="FY187" t="e">
        <f>AND(#REF!,"AAAAAHz38bQ=")</f>
        <v>#REF!</v>
      </c>
      <c r="FZ187" t="e">
        <f>AND(#REF!,"AAAAAHz38bU=")</f>
        <v>#REF!</v>
      </c>
      <c r="GA187" t="e">
        <f>AND(#REF!,"AAAAAHz38bY=")</f>
        <v>#REF!</v>
      </c>
      <c r="GB187" t="e">
        <f>AND(#REF!,"AAAAAHz38bc=")</f>
        <v>#REF!</v>
      </c>
      <c r="GC187" t="e">
        <f>AND(#REF!,"AAAAAHz38bg=")</f>
        <v>#REF!</v>
      </c>
      <c r="GD187" t="e">
        <f>AND(#REF!,"AAAAAHz38bk=")</f>
        <v>#REF!</v>
      </c>
      <c r="GE187" t="e">
        <f>AND(#REF!,"AAAAAHz38bo=")</f>
        <v>#REF!</v>
      </c>
      <c r="GF187" t="e">
        <f>AND(#REF!,"AAAAAHz38bs=")</f>
        <v>#REF!</v>
      </c>
      <c r="GG187" t="e">
        <f>AND(#REF!,"AAAAAHz38bw=")</f>
        <v>#REF!</v>
      </c>
      <c r="GH187" t="e">
        <f>AND(#REF!,"AAAAAHz38b0=")</f>
        <v>#REF!</v>
      </c>
      <c r="GI187" t="e">
        <f>AND(#REF!,"AAAAAHz38b4=")</f>
        <v>#REF!</v>
      </c>
      <c r="GJ187" t="e">
        <f>AND(#REF!,"AAAAAHz38b8=")</f>
        <v>#REF!</v>
      </c>
      <c r="GK187" t="e">
        <f>AND(#REF!,"AAAAAHz38cA=")</f>
        <v>#REF!</v>
      </c>
      <c r="GL187" t="e">
        <f>AND(#REF!,"AAAAAHz38cE=")</f>
        <v>#REF!</v>
      </c>
      <c r="GM187" t="e">
        <f>AND(#REF!,"AAAAAHz38cI=")</f>
        <v>#REF!</v>
      </c>
      <c r="GN187" t="e">
        <f>AND(#REF!,"AAAAAHz38cM=")</f>
        <v>#REF!</v>
      </c>
      <c r="GO187" t="e">
        <f>AND(#REF!,"AAAAAHz38cQ=")</f>
        <v>#REF!</v>
      </c>
      <c r="GP187" t="e">
        <f>AND(#REF!,"AAAAAHz38cU=")</f>
        <v>#REF!</v>
      </c>
      <c r="GQ187" t="e">
        <f>AND(#REF!,"AAAAAHz38cY=")</f>
        <v>#REF!</v>
      </c>
      <c r="GR187" t="e">
        <f>AND(#REF!,"AAAAAHz38cc=")</f>
        <v>#REF!</v>
      </c>
      <c r="GS187" t="e">
        <f>AND(#REF!,"AAAAAHz38cg=")</f>
        <v>#REF!</v>
      </c>
      <c r="GT187" t="e">
        <f>AND(#REF!,"AAAAAHz38ck=")</f>
        <v>#REF!</v>
      </c>
      <c r="GU187" t="e">
        <f>AND(#REF!,"AAAAAHz38co=")</f>
        <v>#REF!</v>
      </c>
      <c r="GV187" t="e">
        <f>AND(#REF!,"AAAAAHz38cs=")</f>
        <v>#REF!</v>
      </c>
      <c r="GW187" t="e">
        <f>AND(#REF!,"AAAAAHz38cw=")</f>
        <v>#REF!</v>
      </c>
      <c r="GX187" t="e">
        <f>AND(#REF!,"AAAAAHz38c0=")</f>
        <v>#REF!</v>
      </c>
      <c r="GY187" t="e">
        <f>AND(#REF!,"AAAAAHz38c4=")</f>
        <v>#REF!</v>
      </c>
      <c r="GZ187" t="e">
        <f>AND(#REF!,"AAAAAHz38c8=")</f>
        <v>#REF!</v>
      </c>
      <c r="HA187" t="e">
        <f>AND(#REF!,"AAAAAHz38dA=")</f>
        <v>#REF!</v>
      </c>
      <c r="HB187" t="e">
        <f>AND(#REF!,"AAAAAHz38dE=")</f>
        <v>#REF!</v>
      </c>
      <c r="HC187" t="e">
        <f>AND(#REF!,"AAAAAHz38dI=")</f>
        <v>#REF!</v>
      </c>
      <c r="HD187" t="e">
        <f>AND(#REF!,"AAAAAHz38dM=")</f>
        <v>#REF!</v>
      </c>
      <c r="HE187" t="e">
        <f>AND(#REF!,"AAAAAHz38dQ=")</f>
        <v>#REF!</v>
      </c>
      <c r="HF187" t="e">
        <f>AND(#REF!,"AAAAAHz38dU=")</f>
        <v>#REF!</v>
      </c>
      <c r="HG187" t="e">
        <f>AND(#REF!,"AAAAAHz38dY=")</f>
        <v>#REF!</v>
      </c>
      <c r="HH187" t="e">
        <f>AND(#REF!,"AAAAAHz38dc=")</f>
        <v>#REF!</v>
      </c>
      <c r="HI187" t="e">
        <f>AND(#REF!,"AAAAAHz38dg=")</f>
        <v>#REF!</v>
      </c>
      <c r="HJ187" t="e">
        <f>AND(#REF!,"AAAAAHz38dk=")</f>
        <v>#REF!</v>
      </c>
      <c r="HK187" t="e">
        <f>AND(#REF!,"AAAAAHz38do=")</f>
        <v>#REF!</v>
      </c>
      <c r="HL187" t="e">
        <f>AND(#REF!,"AAAAAHz38ds=")</f>
        <v>#REF!</v>
      </c>
      <c r="HM187" t="e">
        <f>AND(#REF!,"AAAAAHz38dw=")</f>
        <v>#REF!</v>
      </c>
      <c r="HN187" t="e">
        <f>AND(#REF!,"AAAAAHz38d0=")</f>
        <v>#REF!</v>
      </c>
      <c r="HO187" t="e">
        <f>AND(#REF!,"AAAAAHz38d4=")</f>
        <v>#REF!</v>
      </c>
      <c r="HP187" t="e">
        <f>AND(#REF!,"AAAAAHz38d8=")</f>
        <v>#REF!</v>
      </c>
      <c r="HQ187" t="e">
        <f>AND(#REF!,"AAAAAHz38eA=")</f>
        <v>#REF!</v>
      </c>
      <c r="HR187" t="e">
        <f>AND(#REF!,"AAAAAHz38eE=")</f>
        <v>#REF!</v>
      </c>
      <c r="HS187" t="e">
        <f>AND(#REF!,"AAAAAHz38eI=")</f>
        <v>#REF!</v>
      </c>
      <c r="HT187" t="e">
        <f>AND(#REF!,"AAAAAHz38eM=")</f>
        <v>#REF!</v>
      </c>
      <c r="HU187" t="e">
        <f>AND(#REF!,"AAAAAHz38eQ=")</f>
        <v>#REF!</v>
      </c>
      <c r="HV187" t="e">
        <f>AND(#REF!,"AAAAAHz38eU=")</f>
        <v>#REF!</v>
      </c>
      <c r="HW187" t="e">
        <f>AND(#REF!,"AAAAAHz38eY=")</f>
        <v>#REF!</v>
      </c>
      <c r="HX187" t="e">
        <f>AND(#REF!,"AAAAAHz38ec=")</f>
        <v>#REF!</v>
      </c>
      <c r="HY187" t="e">
        <f>AND(#REF!,"AAAAAHz38eg=")</f>
        <v>#REF!</v>
      </c>
      <c r="HZ187" t="e">
        <f>AND(#REF!,"AAAAAHz38ek=")</f>
        <v>#REF!</v>
      </c>
      <c r="IA187" t="e">
        <f>AND(#REF!,"AAAAAHz38eo=")</f>
        <v>#REF!</v>
      </c>
      <c r="IB187" t="e">
        <f>AND(#REF!,"AAAAAHz38es=")</f>
        <v>#REF!</v>
      </c>
      <c r="IC187" t="e">
        <f>AND(#REF!,"AAAAAHz38ew=")</f>
        <v>#REF!</v>
      </c>
      <c r="ID187" t="e">
        <f>AND(#REF!,"AAAAAHz38e0=")</f>
        <v>#REF!</v>
      </c>
      <c r="IE187" t="e">
        <f>AND(#REF!,"AAAAAHz38e4=")</f>
        <v>#REF!</v>
      </c>
      <c r="IF187" t="e">
        <f>AND(#REF!,"AAAAAHz38e8=")</f>
        <v>#REF!</v>
      </c>
      <c r="IG187" t="e">
        <f>AND(#REF!,"AAAAAHz38fA=")</f>
        <v>#REF!</v>
      </c>
      <c r="IH187" t="e">
        <f>AND(#REF!,"AAAAAHz38fE=")</f>
        <v>#REF!</v>
      </c>
      <c r="II187" t="e">
        <f>AND(#REF!,"AAAAAHz38fI=")</f>
        <v>#REF!</v>
      </c>
      <c r="IJ187" t="e">
        <f>AND(#REF!,"AAAAAHz38fM=")</f>
        <v>#REF!</v>
      </c>
      <c r="IK187" t="e">
        <f>AND(#REF!,"AAAAAHz38fQ=")</f>
        <v>#REF!</v>
      </c>
      <c r="IL187" t="e">
        <f>AND(#REF!,"AAAAAHz38fU=")</f>
        <v>#REF!</v>
      </c>
      <c r="IM187" t="e">
        <f>AND(#REF!,"AAAAAHz38fY=")</f>
        <v>#REF!</v>
      </c>
      <c r="IN187" t="e">
        <f>AND(#REF!,"AAAAAHz38fc=")</f>
        <v>#REF!</v>
      </c>
      <c r="IO187" t="e">
        <f>AND(#REF!,"AAAAAHz38fg=")</f>
        <v>#REF!</v>
      </c>
      <c r="IP187" t="e">
        <f>AND(#REF!,"AAAAAHz38fk=")</f>
        <v>#REF!</v>
      </c>
      <c r="IQ187" t="e">
        <f>AND(#REF!,"AAAAAHz38fo=")</f>
        <v>#REF!</v>
      </c>
      <c r="IR187" t="e">
        <f>AND(#REF!,"AAAAAHz38fs=")</f>
        <v>#REF!</v>
      </c>
      <c r="IS187" t="e">
        <f>AND(#REF!,"AAAAAHz38fw=")</f>
        <v>#REF!</v>
      </c>
      <c r="IT187" t="e">
        <f>AND(#REF!,"AAAAAHz38f0=")</f>
        <v>#REF!</v>
      </c>
      <c r="IU187" t="e">
        <f>AND(#REF!,"AAAAAHz38f4=")</f>
        <v>#REF!</v>
      </c>
      <c r="IV187" t="e">
        <f>AND(#REF!,"AAAAAHz38f8=")</f>
        <v>#REF!</v>
      </c>
    </row>
    <row r="188" spans="1:256" x14ac:dyDescent="0.25">
      <c r="A188" t="e">
        <f>AND(#REF!,"AAAAAH9tnQA=")</f>
        <v>#REF!</v>
      </c>
      <c r="B188" t="e">
        <f>AND(#REF!,"AAAAAH9tnQE=")</f>
        <v>#REF!</v>
      </c>
      <c r="C188" t="e">
        <f>AND(#REF!,"AAAAAH9tnQI=")</f>
        <v>#REF!</v>
      </c>
      <c r="D188" t="e">
        <f>AND(#REF!,"AAAAAH9tnQM=")</f>
        <v>#REF!</v>
      </c>
      <c r="E188" t="e">
        <f>AND(#REF!,"AAAAAH9tnQQ=")</f>
        <v>#REF!</v>
      </c>
      <c r="F188" t="e">
        <f>AND(#REF!,"AAAAAH9tnQU=")</f>
        <v>#REF!</v>
      </c>
      <c r="G188" t="e">
        <f>AND(#REF!,"AAAAAH9tnQY=")</f>
        <v>#REF!</v>
      </c>
      <c r="H188" t="e">
        <f>AND(#REF!,"AAAAAH9tnQc=")</f>
        <v>#REF!</v>
      </c>
      <c r="I188" t="e">
        <f>AND(#REF!,"AAAAAH9tnQg=")</f>
        <v>#REF!</v>
      </c>
      <c r="J188" t="e">
        <f>AND(#REF!,"AAAAAH9tnQk=")</f>
        <v>#REF!</v>
      </c>
      <c r="K188" t="e">
        <f>AND(#REF!,"AAAAAH9tnQo=")</f>
        <v>#REF!</v>
      </c>
      <c r="L188" t="e">
        <f>AND(#REF!,"AAAAAH9tnQs=")</f>
        <v>#REF!</v>
      </c>
      <c r="M188" t="e">
        <f>AND(#REF!,"AAAAAH9tnQw=")</f>
        <v>#REF!</v>
      </c>
      <c r="N188" t="e">
        <f>AND(#REF!,"AAAAAH9tnQ0=")</f>
        <v>#REF!</v>
      </c>
      <c r="O188" t="e">
        <f>AND(#REF!,"AAAAAH9tnQ4=")</f>
        <v>#REF!</v>
      </c>
      <c r="P188" t="e">
        <f>AND(#REF!,"AAAAAH9tnQ8=")</f>
        <v>#REF!</v>
      </c>
      <c r="Q188" t="e">
        <f>AND(#REF!,"AAAAAH9tnRA=")</f>
        <v>#REF!</v>
      </c>
      <c r="R188" t="e">
        <f>AND(#REF!,"AAAAAH9tnRE=")</f>
        <v>#REF!</v>
      </c>
      <c r="S188" t="e">
        <f>AND(#REF!,"AAAAAH9tnRI=")</f>
        <v>#REF!</v>
      </c>
      <c r="T188" t="e">
        <f>AND(#REF!,"AAAAAH9tnRM=")</f>
        <v>#REF!</v>
      </c>
      <c r="U188" t="e">
        <f>AND(#REF!,"AAAAAH9tnRQ=")</f>
        <v>#REF!</v>
      </c>
      <c r="V188" t="e">
        <f>AND(#REF!,"AAAAAH9tnRU=")</f>
        <v>#REF!</v>
      </c>
      <c r="W188" t="e">
        <f>AND(#REF!,"AAAAAH9tnRY=")</f>
        <v>#REF!</v>
      </c>
      <c r="X188" t="e">
        <f>AND(#REF!,"AAAAAH9tnRc=")</f>
        <v>#REF!</v>
      </c>
      <c r="Y188" t="e">
        <f>AND(#REF!,"AAAAAH9tnRg=")</f>
        <v>#REF!</v>
      </c>
      <c r="Z188" t="e">
        <f>AND(#REF!,"AAAAAH9tnRk=")</f>
        <v>#REF!</v>
      </c>
      <c r="AA188" t="e">
        <f>AND(#REF!,"AAAAAH9tnRo=")</f>
        <v>#REF!</v>
      </c>
      <c r="AB188" t="e">
        <f>AND(#REF!,"AAAAAH9tnRs=")</f>
        <v>#REF!</v>
      </c>
      <c r="AC188" t="e">
        <f>AND(#REF!,"AAAAAH9tnRw=")</f>
        <v>#REF!</v>
      </c>
      <c r="AD188" t="e">
        <f>AND(#REF!,"AAAAAH9tnR0=")</f>
        <v>#REF!</v>
      </c>
      <c r="AE188" t="e">
        <f>AND(#REF!,"AAAAAH9tnR4=")</f>
        <v>#REF!</v>
      </c>
      <c r="AF188" t="e">
        <f>AND(#REF!,"AAAAAH9tnR8=")</f>
        <v>#REF!</v>
      </c>
      <c r="AG188" t="e">
        <f>AND(#REF!,"AAAAAH9tnSA=")</f>
        <v>#REF!</v>
      </c>
      <c r="AH188" t="e">
        <f>AND(#REF!,"AAAAAH9tnSE=")</f>
        <v>#REF!</v>
      </c>
      <c r="AI188" t="e">
        <f>AND(#REF!,"AAAAAH9tnSI=")</f>
        <v>#REF!</v>
      </c>
      <c r="AJ188" t="e">
        <f>AND(#REF!,"AAAAAH9tnSM=")</f>
        <v>#REF!</v>
      </c>
      <c r="AK188" t="e">
        <f>AND(#REF!,"AAAAAH9tnSQ=")</f>
        <v>#REF!</v>
      </c>
      <c r="AL188" t="e">
        <f>AND(#REF!,"AAAAAH9tnSU=")</f>
        <v>#REF!</v>
      </c>
      <c r="AM188" t="e">
        <f>AND(#REF!,"AAAAAH9tnSY=")</f>
        <v>#REF!</v>
      </c>
      <c r="AN188" t="e">
        <f>AND(#REF!,"AAAAAH9tnSc=")</f>
        <v>#REF!</v>
      </c>
      <c r="AO188" t="e">
        <f>AND(#REF!,"AAAAAH9tnSg=")</f>
        <v>#REF!</v>
      </c>
      <c r="AP188" t="e">
        <f>AND(#REF!,"AAAAAH9tnSk=")</f>
        <v>#REF!</v>
      </c>
      <c r="AQ188" t="e">
        <f>AND(#REF!,"AAAAAH9tnSo=")</f>
        <v>#REF!</v>
      </c>
      <c r="AR188" t="e">
        <f>AND(#REF!,"AAAAAH9tnSs=")</f>
        <v>#REF!</v>
      </c>
      <c r="AS188" t="e">
        <f>AND(#REF!,"AAAAAH9tnSw=")</f>
        <v>#REF!</v>
      </c>
      <c r="AT188" t="e">
        <f>AND(#REF!,"AAAAAH9tnS0=")</f>
        <v>#REF!</v>
      </c>
      <c r="AU188" t="e">
        <f>AND(#REF!,"AAAAAH9tnS4=")</f>
        <v>#REF!</v>
      </c>
      <c r="AV188" t="e">
        <f>AND(#REF!,"AAAAAH9tnS8=")</f>
        <v>#REF!</v>
      </c>
      <c r="AW188" t="e">
        <f>AND(#REF!,"AAAAAH9tnTA=")</f>
        <v>#REF!</v>
      </c>
      <c r="AX188" t="e">
        <f>AND(#REF!,"AAAAAH9tnTE=")</f>
        <v>#REF!</v>
      </c>
      <c r="AY188" t="e">
        <f>AND(#REF!,"AAAAAH9tnTI=")</f>
        <v>#REF!</v>
      </c>
      <c r="AZ188" t="e">
        <f>AND(#REF!,"AAAAAH9tnTM=")</f>
        <v>#REF!</v>
      </c>
      <c r="BA188" t="e">
        <f>AND(#REF!,"AAAAAH9tnTQ=")</f>
        <v>#REF!</v>
      </c>
      <c r="BB188" t="e">
        <f>AND(#REF!,"AAAAAH9tnTU=")</f>
        <v>#REF!</v>
      </c>
      <c r="BC188" t="e">
        <f>AND(#REF!,"AAAAAH9tnTY=")</f>
        <v>#REF!</v>
      </c>
      <c r="BD188" t="e">
        <f>AND(#REF!,"AAAAAH9tnTc=")</f>
        <v>#REF!</v>
      </c>
      <c r="BE188" t="e">
        <f>AND(#REF!,"AAAAAH9tnTg=")</f>
        <v>#REF!</v>
      </c>
      <c r="BF188" t="e">
        <f>AND(#REF!,"AAAAAH9tnTk=")</f>
        <v>#REF!</v>
      </c>
      <c r="BG188" t="e">
        <f>AND(#REF!,"AAAAAH9tnTo=")</f>
        <v>#REF!</v>
      </c>
      <c r="BH188" t="e">
        <f>AND(#REF!,"AAAAAH9tnTs=")</f>
        <v>#REF!</v>
      </c>
      <c r="BI188" t="e">
        <f>AND(#REF!,"AAAAAH9tnTw=")</f>
        <v>#REF!</v>
      </c>
      <c r="BJ188" t="e">
        <f>AND(#REF!,"AAAAAH9tnT0=")</f>
        <v>#REF!</v>
      </c>
      <c r="BK188" t="e">
        <f>AND(#REF!,"AAAAAH9tnT4=")</f>
        <v>#REF!</v>
      </c>
      <c r="BL188" t="e">
        <f>AND(#REF!,"AAAAAH9tnT8=")</f>
        <v>#REF!</v>
      </c>
      <c r="BM188" t="e">
        <f>AND(#REF!,"AAAAAH9tnUA=")</f>
        <v>#REF!</v>
      </c>
      <c r="BN188" t="e">
        <f>AND(#REF!,"AAAAAH9tnUE=")</f>
        <v>#REF!</v>
      </c>
      <c r="BO188" t="e">
        <f>AND(#REF!,"AAAAAH9tnUI=")</f>
        <v>#REF!</v>
      </c>
      <c r="BP188" t="e">
        <f>AND(#REF!,"AAAAAH9tnUM=")</f>
        <v>#REF!</v>
      </c>
      <c r="BQ188" t="e">
        <f>AND(#REF!,"AAAAAH9tnUQ=")</f>
        <v>#REF!</v>
      </c>
      <c r="BR188" t="e">
        <f>AND(#REF!,"AAAAAH9tnUU=")</f>
        <v>#REF!</v>
      </c>
      <c r="BS188" t="e">
        <f>AND(#REF!,"AAAAAH9tnUY=")</f>
        <v>#REF!</v>
      </c>
      <c r="BT188" t="e">
        <f>AND(#REF!,"AAAAAH9tnUc=")</f>
        <v>#REF!</v>
      </c>
      <c r="BU188" t="e">
        <f>AND(#REF!,"AAAAAH9tnUg=")</f>
        <v>#REF!</v>
      </c>
      <c r="BV188" t="e">
        <f>AND(#REF!,"AAAAAH9tnUk=")</f>
        <v>#REF!</v>
      </c>
      <c r="BW188" t="e">
        <f>AND(#REF!,"AAAAAH9tnUo=")</f>
        <v>#REF!</v>
      </c>
      <c r="BX188" t="e">
        <f>AND(#REF!,"AAAAAH9tnUs=")</f>
        <v>#REF!</v>
      </c>
      <c r="BY188" t="e">
        <f>AND(#REF!,"AAAAAH9tnUw=")</f>
        <v>#REF!</v>
      </c>
      <c r="BZ188" t="e">
        <f>AND(#REF!,"AAAAAH9tnU0=")</f>
        <v>#REF!</v>
      </c>
      <c r="CA188" t="e">
        <f>AND(#REF!,"AAAAAH9tnU4=")</f>
        <v>#REF!</v>
      </c>
      <c r="CB188" t="e">
        <f>AND(#REF!,"AAAAAH9tnU8=")</f>
        <v>#REF!</v>
      </c>
      <c r="CC188" t="e">
        <f>AND(#REF!,"AAAAAH9tnVA=")</f>
        <v>#REF!</v>
      </c>
      <c r="CD188" t="e">
        <f>AND(#REF!,"AAAAAH9tnVE=")</f>
        <v>#REF!</v>
      </c>
      <c r="CE188" t="e">
        <f>AND(#REF!,"AAAAAH9tnVI=")</f>
        <v>#REF!</v>
      </c>
      <c r="CF188" t="e">
        <f>AND(#REF!,"AAAAAH9tnVM=")</f>
        <v>#REF!</v>
      </c>
      <c r="CG188" t="e">
        <f>AND(#REF!,"AAAAAH9tnVQ=")</f>
        <v>#REF!</v>
      </c>
      <c r="CH188" t="e">
        <f>AND(#REF!,"AAAAAH9tnVU=")</f>
        <v>#REF!</v>
      </c>
      <c r="CI188" t="e">
        <f>AND(#REF!,"AAAAAH9tnVY=")</f>
        <v>#REF!</v>
      </c>
      <c r="CJ188" t="e">
        <f>AND(#REF!,"AAAAAH9tnVc=")</f>
        <v>#REF!</v>
      </c>
      <c r="CK188" t="e">
        <f>AND(#REF!,"AAAAAH9tnVg=")</f>
        <v>#REF!</v>
      </c>
      <c r="CL188" t="e">
        <f>AND(#REF!,"AAAAAH9tnVk=")</f>
        <v>#REF!</v>
      </c>
      <c r="CM188" t="e">
        <f>IF(#REF!,"AAAAAH9tnVo=",0)</f>
        <v>#REF!</v>
      </c>
      <c r="CN188" t="e">
        <f>AND(#REF!,"AAAAAH9tnVs=")</f>
        <v>#REF!</v>
      </c>
      <c r="CO188" t="e">
        <f>AND(#REF!,"AAAAAH9tnVw=")</f>
        <v>#REF!</v>
      </c>
      <c r="CP188" t="e">
        <f>AND(#REF!,"AAAAAH9tnV0=")</f>
        <v>#REF!</v>
      </c>
      <c r="CQ188" t="e">
        <f>AND(#REF!,"AAAAAH9tnV4=")</f>
        <v>#REF!</v>
      </c>
      <c r="CR188" t="e">
        <f>AND(#REF!,"AAAAAH9tnV8=")</f>
        <v>#REF!</v>
      </c>
      <c r="CS188" t="e">
        <f>AND(#REF!,"AAAAAH9tnWA=")</f>
        <v>#REF!</v>
      </c>
      <c r="CT188" t="e">
        <f>AND(#REF!,"AAAAAH9tnWE=")</f>
        <v>#REF!</v>
      </c>
      <c r="CU188" t="e">
        <f>AND(#REF!,"AAAAAH9tnWI=")</f>
        <v>#REF!</v>
      </c>
      <c r="CV188" t="e">
        <f>AND(#REF!,"AAAAAH9tnWM=")</f>
        <v>#REF!</v>
      </c>
      <c r="CW188" t="e">
        <f>AND(#REF!,"AAAAAH9tnWQ=")</f>
        <v>#REF!</v>
      </c>
      <c r="CX188" t="e">
        <f>AND(#REF!,"AAAAAH9tnWU=")</f>
        <v>#REF!</v>
      </c>
      <c r="CY188" t="e">
        <f>AND(#REF!,"AAAAAH9tnWY=")</f>
        <v>#REF!</v>
      </c>
      <c r="CZ188" t="e">
        <f>AND(#REF!,"AAAAAH9tnWc=")</f>
        <v>#REF!</v>
      </c>
      <c r="DA188" t="e">
        <f>AND(#REF!,"AAAAAH9tnWg=")</f>
        <v>#REF!</v>
      </c>
      <c r="DB188" t="e">
        <f>AND(#REF!,"AAAAAH9tnWk=")</f>
        <v>#REF!</v>
      </c>
      <c r="DC188" t="e">
        <f>AND(#REF!,"AAAAAH9tnWo=")</f>
        <v>#REF!</v>
      </c>
      <c r="DD188" t="e">
        <f>AND(#REF!,"AAAAAH9tnWs=")</f>
        <v>#REF!</v>
      </c>
      <c r="DE188" t="e">
        <f>AND(#REF!,"AAAAAH9tnWw=")</f>
        <v>#REF!</v>
      </c>
      <c r="DF188" t="e">
        <f>AND(#REF!,"AAAAAH9tnW0=")</f>
        <v>#REF!</v>
      </c>
      <c r="DG188" t="e">
        <f>AND(#REF!,"AAAAAH9tnW4=")</f>
        <v>#REF!</v>
      </c>
      <c r="DH188" t="e">
        <f>AND(#REF!,"AAAAAH9tnW8=")</f>
        <v>#REF!</v>
      </c>
      <c r="DI188" t="e">
        <f>AND(#REF!,"AAAAAH9tnXA=")</f>
        <v>#REF!</v>
      </c>
      <c r="DJ188" t="e">
        <f>AND(#REF!,"AAAAAH9tnXE=")</f>
        <v>#REF!</v>
      </c>
      <c r="DK188" t="e">
        <f>AND(#REF!,"AAAAAH9tnXI=")</f>
        <v>#REF!</v>
      </c>
      <c r="DL188" t="e">
        <f>AND(#REF!,"AAAAAH9tnXM=")</f>
        <v>#REF!</v>
      </c>
      <c r="DM188" t="e">
        <f>AND(#REF!,"AAAAAH9tnXQ=")</f>
        <v>#REF!</v>
      </c>
      <c r="DN188" t="e">
        <f>AND(#REF!,"AAAAAH9tnXU=")</f>
        <v>#REF!</v>
      </c>
      <c r="DO188" t="e">
        <f>AND(#REF!,"AAAAAH9tnXY=")</f>
        <v>#REF!</v>
      </c>
      <c r="DP188" t="e">
        <f>AND(#REF!,"AAAAAH9tnXc=")</f>
        <v>#REF!</v>
      </c>
      <c r="DQ188" t="e">
        <f>AND(#REF!,"AAAAAH9tnXg=")</f>
        <v>#REF!</v>
      </c>
      <c r="DR188" t="e">
        <f>AND(#REF!,"AAAAAH9tnXk=")</f>
        <v>#REF!</v>
      </c>
      <c r="DS188" t="e">
        <f>AND(#REF!,"AAAAAH9tnXo=")</f>
        <v>#REF!</v>
      </c>
      <c r="DT188" t="e">
        <f>AND(#REF!,"AAAAAH9tnXs=")</f>
        <v>#REF!</v>
      </c>
      <c r="DU188" t="e">
        <f>AND(#REF!,"AAAAAH9tnXw=")</f>
        <v>#REF!</v>
      </c>
      <c r="DV188" t="e">
        <f>AND(#REF!,"AAAAAH9tnX0=")</f>
        <v>#REF!</v>
      </c>
      <c r="DW188" t="e">
        <f>AND(#REF!,"AAAAAH9tnX4=")</f>
        <v>#REF!</v>
      </c>
      <c r="DX188" t="e">
        <f>AND(#REF!,"AAAAAH9tnX8=")</f>
        <v>#REF!</v>
      </c>
      <c r="DY188" t="e">
        <f>AND(#REF!,"AAAAAH9tnYA=")</f>
        <v>#REF!</v>
      </c>
      <c r="DZ188" t="e">
        <f>AND(#REF!,"AAAAAH9tnYE=")</f>
        <v>#REF!</v>
      </c>
      <c r="EA188" t="e">
        <f>AND(#REF!,"AAAAAH9tnYI=")</f>
        <v>#REF!</v>
      </c>
      <c r="EB188" t="e">
        <f>AND(#REF!,"AAAAAH9tnYM=")</f>
        <v>#REF!</v>
      </c>
      <c r="EC188" t="e">
        <f>AND(#REF!,"AAAAAH9tnYQ=")</f>
        <v>#REF!</v>
      </c>
      <c r="ED188" t="e">
        <f>AND(#REF!,"AAAAAH9tnYU=")</f>
        <v>#REF!</v>
      </c>
      <c r="EE188" t="e">
        <f>AND(#REF!,"AAAAAH9tnYY=")</f>
        <v>#REF!</v>
      </c>
      <c r="EF188" t="e">
        <f>AND(#REF!,"AAAAAH9tnYc=")</f>
        <v>#REF!</v>
      </c>
      <c r="EG188" t="e">
        <f>AND(#REF!,"AAAAAH9tnYg=")</f>
        <v>#REF!</v>
      </c>
      <c r="EH188" t="e">
        <f>AND(#REF!,"AAAAAH9tnYk=")</f>
        <v>#REF!</v>
      </c>
      <c r="EI188" t="e">
        <f>AND(#REF!,"AAAAAH9tnYo=")</f>
        <v>#REF!</v>
      </c>
      <c r="EJ188" t="e">
        <f>AND(#REF!,"AAAAAH9tnYs=")</f>
        <v>#REF!</v>
      </c>
      <c r="EK188" t="e">
        <f>AND(#REF!,"AAAAAH9tnYw=")</f>
        <v>#REF!</v>
      </c>
      <c r="EL188" t="e">
        <f>AND(#REF!,"AAAAAH9tnY0=")</f>
        <v>#REF!</v>
      </c>
      <c r="EM188" t="e">
        <f>AND(#REF!,"AAAAAH9tnY4=")</f>
        <v>#REF!</v>
      </c>
      <c r="EN188" t="e">
        <f>AND(#REF!,"AAAAAH9tnY8=")</f>
        <v>#REF!</v>
      </c>
      <c r="EO188" t="e">
        <f>AND(#REF!,"AAAAAH9tnZA=")</f>
        <v>#REF!</v>
      </c>
      <c r="EP188" t="e">
        <f>AND(#REF!,"AAAAAH9tnZE=")</f>
        <v>#REF!</v>
      </c>
      <c r="EQ188" t="e">
        <f>AND(#REF!,"AAAAAH9tnZI=")</f>
        <v>#REF!</v>
      </c>
      <c r="ER188" t="e">
        <f>AND(#REF!,"AAAAAH9tnZM=")</f>
        <v>#REF!</v>
      </c>
      <c r="ES188" t="e">
        <f>AND(#REF!,"AAAAAH9tnZQ=")</f>
        <v>#REF!</v>
      </c>
      <c r="ET188" t="e">
        <f>AND(#REF!,"AAAAAH9tnZU=")</f>
        <v>#REF!</v>
      </c>
      <c r="EU188" t="e">
        <f>AND(#REF!,"AAAAAH9tnZY=")</f>
        <v>#REF!</v>
      </c>
      <c r="EV188" t="e">
        <f>AND(#REF!,"AAAAAH9tnZc=")</f>
        <v>#REF!</v>
      </c>
      <c r="EW188" t="e">
        <f>AND(#REF!,"AAAAAH9tnZg=")</f>
        <v>#REF!</v>
      </c>
      <c r="EX188" t="e">
        <f>AND(#REF!,"AAAAAH9tnZk=")</f>
        <v>#REF!</v>
      </c>
      <c r="EY188" t="e">
        <f>AND(#REF!,"AAAAAH9tnZo=")</f>
        <v>#REF!</v>
      </c>
      <c r="EZ188" t="e">
        <f>AND(#REF!,"AAAAAH9tnZs=")</f>
        <v>#REF!</v>
      </c>
      <c r="FA188" t="e">
        <f>AND(#REF!,"AAAAAH9tnZw=")</f>
        <v>#REF!</v>
      </c>
      <c r="FB188" t="e">
        <f>AND(#REF!,"AAAAAH9tnZ0=")</f>
        <v>#REF!</v>
      </c>
      <c r="FC188" t="e">
        <f>AND(#REF!,"AAAAAH9tnZ4=")</f>
        <v>#REF!</v>
      </c>
      <c r="FD188" t="e">
        <f>AND(#REF!,"AAAAAH9tnZ8=")</f>
        <v>#REF!</v>
      </c>
      <c r="FE188" t="e">
        <f>AND(#REF!,"AAAAAH9tnaA=")</f>
        <v>#REF!</v>
      </c>
      <c r="FF188" t="e">
        <f>AND(#REF!,"AAAAAH9tnaE=")</f>
        <v>#REF!</v>
      </c>
      <c r="FG188" t="e">
        <f>AND(#REF!,"AAAAAH9tnaI=")</f>
        <v>#REF!</v>
      </c>
      <c r="FH188" t="e">
        <f>AND(#REF!,"AAAAAH9tnaM=")</f>
        <v>#REF!</v>
      </c>
      <c r="FI188" t="e">
        <f>AND(#REF!,"AAAAAH9tnaQ=")</f>
        <v>#REF!</v>
      </c>
      <c r="FJ188" t="e">
        <f>AND(#REF!,"AAAAAH9tnaU=")</f>
        <v>#REF!</v>
      </c>
      <c r="FK188" t="e">
        <f>AND(#REF!,"AAAAAH9tnaY=")</f>
        <v>#REF!</v>
      </c>
      <c r="FL188" t="e">
        <f>AND(#REF!,"AAAAAH9tnac=")</f>
        <v>#REF!</v>
      </c>
      <c r="FM188" t="e">
        <f>AND(#REF!,"AAAAAH9tnag=")</f>
        <v>#REF!</v>
      </c>
      <c r="FN188" t="e">
        <f>AND(#REF!,"AAAAAH9tnak=")</f>
        <v>#REF!</v>
      </c>
      <c r="FO188" t="e">
        <f>AND(#REF!,"AAAAAH9tnao=")</f>
        <v>#REF!</v>
      </c>
      <c r="FP188" t="e">
        <f>AND(#REF!,"AAAAAH9tnas=")</f>
        <v>#REF!</v>
      </c>
      <c r="FQ188" t="e">
        <f>AND(#REF!,"AAAAAH9tnaw=")</f>
        <v>#REF!</v>
      </c>
      <c r="FR188" t="e">
        <f>AND(#REF!,"AAAAAH9tna0=")</f>
        <v>#REF!</v>
      </c>
      <c r="FS188" t="e">
        <f>AND(#REF!,"AAAAAH9tna4=")</f>
        <v>#REF!</v>
      </c>
      <c r="FT188" t="e">
        <f>AND(#REF!,"AAAAAH9tna8=")</f>
        <v>#REF!</v>
      </c>
      <c r="FU188" t="e">
        <f>AND(#REF!,"AAAAAH9tnbA=")</f>
        <v>#REF!</v>
      </c>
      <c r="FV188" t="e">
        <f>AND(#REF!,"AAAAAH9tnbE=")</f>
        <v>#REF!</v>
      </c>
      <c r="FW188" t="e">
        <f>AND(#REF!,"AAAAAH9tnbI=")</f>
        <v>#REF!</v>
      </c>
      <c r="FX188" t="e">
        <f>AND(#REF!,"AAAAAH9tnbM=")</f>
        <v>#REF!</v>
      </c>
      <c r="FY188" t="e">
        <f>AND(#REF!,"AAAAAH9tnbQ=")</f>
        <v>#REF!</v>
      </c>
      <c r="FZ188" t="e">
        <f>AND(#REF!,"AAAAAH9tnbU=")</f>
        <v>#REF!</v>
      </c>
      <c r="GA188" t="e">
        <f>AND(#REF!,"AAAAAH9tnbY=")</f>
        <v>#REF!</v>
      </c>
      <c r="GB188" t="e">
        <f>AND(#REF!,"AAAAAH9tnbc=")</f>
        <v>#REF!</v>
      </c>
      <c r="GC188" t="e">
        <f>AND(#REF!,"AAAAAH9tnbg=")</f>
        <v>#REF!</v>
      </c>
      <c r="GD188" t="e">
        <f>AND(#REF!,"AAAAAH9tnbk=")</f>
        <v>#REF!</v>
      </c>
      <c r="GE188" t="e">
        <f>AND(#REF!,"AAAAAH9tnbo=")</f>
        <v>#REF!</v>
      </c>
      <c r="GF188" t="e">
        <f>AND(#REF!,"AAAAAH9tnbs=")</f>
        <v>#REF!</v>
      </c>
      <c r="GG188" t="e">
        <f>AND(#REF!,"AAAAAH9tnbw=")</f>
        <v>#REF!</v>
      </c>
      <c r="GH188" t="e">
        <f>AND(#REF!,"AAAAAH9tnb0=")</f>
        <v>#REF!</v>
      </c>
      <c r="GI188" t="e">
        <f>AND(#REF!,"AAAAAH9tnb4=")</f>
        <v>#REF!</v>
      </c>
      <c r="GJ188" t="e">
        <f>AND(#REF!,"AAAAAH9tnb8=")</f>
        <v>#REF!</v>
      </c>
      <c r="GK188" t="e">
        <f>AND(#REF!,"AAAAAH9tncA=")</f>
        <v>#REF!</v>
      </c>
      <c r="GL188" t="e">
        <f>AND(#REF!,"AAAAAH9tncE=")</f>
        <v>#REF!</v>
      </c>
      <c r="GM188" t="e">
        <f>AND(#REF!,"AAAAAH9tncI=")</f>
        <v>#REF!</v>
      </c>
      <c r="GN188" t="e">
        <f>AND(#REF!,"AAAAAH9tncM=")</f>
        <v>#REF!</v>
      </c>
      <c r="GO188" t="e">
        <f>AND(#REF!,"AAAAAH9tncQ=")</f>
        <v>#REF!</v>
      </c>
      <c r="GP188" t="e">
        <f>AND(#REF!,"AAAAAH9tncU=")</f>
        <v>#REF!</v>
      </c>
      <c r="GQ188" t="e">
        <f>AND(#REF!,"AAAAAH9tncY=")</f>
        <v>#REF!</v>
      </c>
      <c r="GR188" t="e">
        <f>AND(#REF!,"AAAAAH9tncc=")</f>
        <v>#REF!</v>
      </c>
      <c r="GS188" t="e">
        <f>AND(#REF!,"AAAAAH9tncg=")</f>
        <v>#REF!</v>
      </c>
      <c r="GT188" t="e">
        <f>AND(#REF!,"AAAAAH9tnck=")</f>
        <v>#REF!</v>
      </c>
      <c r="GU188" t="e">
        <f>AND(#REF!,"AAAAAH9tnco=")</f>
        <v>#REF!</v>
      </c>
      <c r="GV188" t="e">
        <f>AND(#REF!,"AAAAAH9tncs=")</f>
        <v>#REF!</v>
      </c>
      <c r="GW188" t="e">
        <f>AND(#REF!,"AAAAAH9tncw=")</f>
        <v>#REF!</v>
      </c>
      <c r="GX188" t="e">
        <f>AND(#REF!,"AAAAAH9tnc0=")</f>
        <v>#REF!</v>
      </c>
      <c r="GY188" t="e">
        <f>AND(#REF!,"AAAAAH9tnc4=")</f>
        <v>#REF!</v>
      </c>
      <c r="GZ188" t="e">
        <f>AND(#REF!,"AAAAAH9tnc8=")</f>
        <v>#REF!</v>
      </c>
      <c r="HA188" t="e">
        <f>AND(#REF!,"AAAAAH9tndA=")</f>
        <v>#REF!</v>
      </c>
      <c r="HB188" t="e">
        <f>AND(#REF!,"AAAAAH9tndE=")</f>
        <v>#REF!</v>
      </c>
      <c r="HC188" t="e">
        <f>AND(#REF!,"AAAAAH9tndI=")</f>
        <v>#REF!</v>
      </c>
      <c r="HD188" t="e">
        <f>AND(#REF!,"AAAAAH9tndM=")</f>
        <v>#REF!</v>
      </c>
      <c r="HE188" t="e">
        <f>AND(#REF!,"AAAAAH9tndQ=")</f>
        <v>#REF!</v>
      </c>
      <c r="HF188" t="e">
        <f>AND(#REF!,"AAAAAH9tndU=")</f>
        <v>#REF!</v>
      </c>
      <c r="HG188" t="e">
        <f>AND(#REF!,"AAAAAH9tndY=")</f>
        <v>#REF!</v>
      </c>
      <c r="HH188" t="e">
        <f>AND(#REF!,"AAAAAH9tndc=")</f>
        <v>#REF!</v>
      </c>
      <c r="HI188" t="e">
        <f>AND(#REF!,"AAAAAH9tndg=")</f>
        <v>#REF!</v>
      </c>
      <c r="HJ188" t="e">
        <f>AND(#REF!,"AAAAAH9tndk=")</f>
        <v>#REF!</v>
      </c>
      <c r="HK188" t="e">
        <f>AND(#REF!,"AAAAAH9tndo=")</f>
        <v>#REF!</v>
      </c>
      <c r="HL188" t="e">
        <f>AND(#REF!,"AAAAAH9tnds=")</f>
        <v>#REF!</v>
      </c>
      <c r="HM188" t="e">
        <f>AND(#REF!,"AAAAAH9tndw=")</f>
        <v>#REF!</v>
      </c>
      <c r="HN188" t="e">
        <f>AND(#REF!,"AAAAAH9tnd0=")</f>
        <v>#REF!</v>
      </c>
      <c r="HO188" t="e">
        <f>AND(#REF!,"AAAAAH9tnd4=")</f>
        <v>#REF!</v>
      </c>
      <c r="HP188" t="e">
        <f>AND(#REF!,"AAAAAH9tnd8=")</f>
        <v>#REF!</v>
      </c>
      <c r="HQ188" t="e">
        <f>AND(#REF!,"AAAAAH9tneA=")</f>
        <v>#REF!</v>
      </c>
      <c r="HR188" t="e">
        <f>AND(#REF!,"AAAAAH9tneE=")</f>
        <v>#REF!</v>
      </c>
      <c r="HS188" t="e">
        <f>AND(#REF!,"AAAAAH9tneI=")</f>
        <v>#REF!</v>
      </c>
      <c r="HT188" t="e">
        <f>AND(#REF!,"AAAAAH9tneM=")</f>
        <v>#REF!</v>
      </c>
      <c r="HU188" t="e">
        <f>AND(#REF!,"AAAAAH9tneQ=")</f>
        <v>#REF!</v>
      </c>
      <c r="HV188" t="e">
        <f>AND(#REF!,"AAAAAH9tneU=")</f>
        <v>#REF!</v>
      </c>
      <c r="HW188" t="e">
        <f>AND(#REF!,"AAAAAH9tneY=")</f>
        <v>#REF!</v>
      </c>
      <c r="HX188" t="e">
        <f>AND(#REF!,"AAAAAH9tnec=")</f>
        <v>#REF!</v>
      </c>
      <c r="HY188" t="e">
        <f>AND(#REF!,"AAAAAH9tneg=")</f>
        <v>#REF!</v>
      </c>
      <c r="HZ188" t="e">
        <f>AND(#REF!,"AAAAAH9tnek=")</f>
        <v>#REF!</v>
      </c>
      <c r="IA188" t="e">
        <f>AND(#REF!,"AAAAAH9tneo=")</f>
        <v>#REF!</v>
      </c>
      <c r="IB188" t="e">
        <f>AND(#REF!,"AAAAAH9tnes=")</f>
        <v>#REF!</v>
      </c>
      <c r="IC188" t="e">
        <f>AND(#REF!,"AAAAAH9tnew=")</f>
        <v>#REF!</v>
      </c>
      <c r="ID188" t="e">
        <f>AND(#REF!,"AAAAAH9tne0=")</f>
        <v>#REF!</v>
      </c>
      <c r="IE188" t="e">
        <f>AND(#REF!,"AAAAAH9tne4=")</f>
        <v>#REF!</v>
      </c>
      <c r="IF188" t="e">
        <f>AND(#REF!,"AAAAAH9tne8=")</f>
        <v>#REF!</v>
      </c>
      <c r="IG188" t="e">
        <f>AND(#REF!,"AAAAAH9tnfA=")</f>
        <v>#REF!</v>
      </c>
      <c r="IH188" t="e">
        <f>AND(#REF!,"AAAAAH9tnfE=")</f>
        <v>#REF!</v>
      </c>
      <c r="II188" t="e">
        <f>AND(#REF!,"AAAAAH9tnfI=")</f>
        <v>#REF!</v>
      </c>
      <c r="IJ188" t="e">
        <f>AND(#REF!,"AAAAAH9tnfM=")</f>
        <v>#REF!</v>
      </c>
      <c r="IK188" t="e">
        <f>AND(#REF!,"AAAAAH9tnfQ=")</f>
        <v>#REF!</v>
      </c>
      <c r="IL188" t="e">
        <f>AND(#REF!,"AAAAAH9tnfU=")</f>
        <v>#REF!</v>
      </c>
      <c r="IM188" t="e">
        <f>AND(#REF!,"AAAAAH9tnfY=")</f>
        <v>#REF!</v>
      </c>
      <c r="IN188" t="e">
        <f>AND(#REF!,"AAAAAH9tnfc=")</f>
        <v>#REF!</v>
      </c>
      <c r="IO188" t="e">
        <f>AND(#REF!,"AAAAAH9tnfg=")</f>
        <v>#REF!</v>
      </c>
      <c r="IP188" t="e">
        <f>AND(#REF!,"AAAAAH9tnfk=")</f>
        <v>#REF!</v>
      </c>
      <c r="IQ188" t="e">
        <f>AND(#REF!,"AAAAAH9tnfo=")</f>
        <v>#REF!</v>
      </c>
      <c r="IR188" t="e">
        <f>AND(#REF!,"AAAAAH9tnfs=")</f>
        <v>#REF!</v>
      </c>
      <c r="IS188" t="e">
        <f>AND(#REF!,"AAAAAH9tnfw=")</f>
        <v>#REF!</v>
      </c>
      <c r="IT188" t="e">
        <f>AND(#REF!,"AAAAAH9tnf0=")</f>
        <v>#REF!</v>
      </c>
      <c r="IU188" t="e">
        <f>AND(#REF!,"AAAAAH9tnf4=")</f>
        <v>#REF!</v>
      </c>
      <c r="IV188" t="e">
        <f>AND(#REF!,"AAAAAH9tnf8=")</f>
        <v>#REF!</v>
      </c>
    </row>
    <row r="189" spans="1:256" x14ac:dyDescent="0.25">
      <c r="A189" t="e">
        <f>AND(#REF!,"AAAAAH+r/gA=")</f>
        <v>#REF!</v>
      </c>
      <c r="B189" t="e">
        <f>AND(#REF!,"AAAAAH+r/gE=")</f>
        <v>#REF!</v>
      </c>
      <c r="C189" t="e">
        <f>AND(#REF!,"AAAAAH+r/gI=")</f>
        <v>#REF!</v>
      </c>
      <c r="D189" t="e">
        <f>AND(#REF!,"AAAAAH+r/gM=")</f>
        <v>#REF!</v>
      </c>
      <c r="E189" t="e">
        <f>AND(#REF!,"AAAAAH+r/gQ=")</f>
        <v>#REF!</v>
      </c>
      <c r="F189" t="e">
        <f>AND(#REF!,"AAAAAH+r/gU=")</f>
        <v>#REF!</v>
      </c>
      <c r="G189" t="e">
        <f>AND(#REF!,"AAAAAH+r/gY=")</f>
        <v>#REF!</v>
      </c>
      <c r="H189" t="e">
        <f>AND(#REF!,"AAAAAH+r/gc=")</f>
        <v>#REF!</v>
      </c>
      <c r="I189" t="e">
        <f>AND(#REF!,"AAAAAH+r/gg=")</f>
        <v>#REF!</v>
      </c>
      <c r="J189" t="e">
        <f>AND(#REF!,"AAAAAH+r/gk=")</f>
        <v>#REF!</v>
      </c>
      <c r="K189" t="e">
        <f>AND(#REF!,"AAAAAH+r/go=")</f>
        <v>#REF!</v>
      </c>
      <c r="L189" t="e">
        <f>AND(#REF!,"AAAAAH+r/gs=")</f>
        <v>#REF!</v>
      </c>
      <c r="M189" t="e">
        <f>AND(#REF!,"AAAAAH+r/gw=")</f>
        <v>#REF!</v>
      </c>
      <c r="N189" t="e">
        <f>AND(#REF!,"AAAAAH+r/g0=")</f>
        <v>#REF!</v>
      </c>
      <c r="O189" t="e">
        <f>AND(#REF!,"AAAAAH+r/g4=")</f>
        <v>#REF!</v>
      </c>
      <c r="P189" t="e">
        <f>AND(#REF!,"AAAAAH+r/g8=")</f>
        <v>#REF!</v>
      </c>
      <c r="Q189" t="e">
        <f>AND(#REF!,"AAAAAH+r/hA=")</f>
        <v>#REF!</v>
      </c>
      <c r="R189" t="e">
        <f>AND(#REF!,"AAAAAH+r/hE=")</f>
        <v>#REF!</v>
      </c>
      <c r="S189" t="e">
        <f>AND(#REF!,"AAAAAH+r/hI=")</f>
        <v>#REF!</v>
      </c>
      <c r="T189" t="e">
        <f>AND(#REF!,"AAAAAH+r/hM=")</f>
        <v>#REF!</v>
      </c>
      <c r="U189" t="e">
        <f>AND(#REF!,"AAAAAH+r/hQ=")</f>
        <v>#REF!</v>
      </c>
      <c r="V189" t="e">
        <f>AND(#REF!,"AAAAAH+r/hU=")</f>
        <v>#REF!</v>
      </c>
      <c r="W189" t="e">
        <f>AND(#REF!,"AAAAAH+r/hY=")</f>
        <v>#REF!</v>
      </c>
      <c r="X189" t="e">
        <f>IF(#REF!,"AAAAAH+r/hc=",0)</f>
        <v>#REF!</v>
      </c>
      <c r="Y189" t="e">
        <f>AND(#REF!,"AAAAAH+r/hg=")</f>
        <v>#REF!</v>
      </c>
      <c r="Z189" t="e">
        <f>AND(#REF!,"AAAAAH+r/hk=")</f>
        <v>#REF!</v>
      </c>
      <c r="AA189" t="e">
        <f>AND(#REF!,"AAAAAH+r/ho=")</f>
        <v>#REF!</v>
      </c>
      <c r="AB189" t="e">
        <f>AND(#REF!,"AAAAAH+r/hs=")</f>
        <v>#REF!</v>
      </c>
      <c r="AC189" t="e">
        <f>AND(#REF!,"AAAAAH+r/hw=")</f>
        <v>#REF!</v>
      </c>
      <c r="AD189" t="e">
        <f>AND(#REF!,"AAAAAH+r/h0=")</f>
        <v>#REF!</v>
      </c>
      <c r="AE189" t="e">
        <f>AND(#REF!,"AAAAAH+r/h4=")</f>
        <v>#REF!</v>
      </c>
      <c r="AF189" t="e">
        <f>AND(#REF!,"AAAAAH+r/h8=")</f>
        <v>#REF!</v>
      </c>
      <c r="AG189" t="e">
        <f>AND(#REF!,"AAAAAH+r/iA=")</f>
        <v>#REF!</v>
      </c>
      <c r="AH189" t="e">
        <f>AND(#REF!,"AAAAAH+r/iE=")</f>
        <v>#REF!</v>
      </c>
      <c r="AI189" t="e">
        <f>AND(#REF!,"AAAAAH+r/iI=")</f>
        <v>#REF!</v>
      </c>
      <c r="AJ189" t="e">
        <f>AND(#REF!,"AAAAAH+r/iM=")</f>
        <v>#REF!</v>
      </c>
      <c r="AK189" t="e">
        <f>AND(#REF!,"AAAAAH+r/iQ=")</f>
        <v>#REF!</v>
      </c>
      <c r="AL189" t="e">
        <f>AND(#REF!,"AAAAAH+r/iU=")</f>
        <v>#REF!</v>
      </c>
      <c r="AM189" t="e">
        <f>AND(#REF!,"AAAAAH+r/iY=")</f>
        <v>#REF!</v>
      </c>
      <c r="AN189" t="e">
        <f>AND(#REF!,"AAAAAH+r/ic=")</f>
        <v>#REF!</v>
      </c>
      <c r="AO189" t="e">
        <f>AND(#REF!,"AAAAAH+r/ig=")</f>
        <v>#REF!</v>
      </c>
      <c r="AP189" t="e">
        <f>AND(#REF!,"AAAAAH+r/ik=")</f>
        <v>#REF!</v>
      </c>
      <c r="AQ189" t="e">
        <f>AND(#REF!,"AAAAAH+r/io=")</f>
        <v>#REF!</v>
      </c>
      <c r="AR189" t="e">
        <f>AND(#REF!,"AAAAAH+r/is=")</f>
        <v>#REF!</v>
      </c>
      <c r="AS189" t="e">
        <f>AND(#REF!,"AAAAAH+r/iw=")</f>
        <v>#REF!</v>
      </c>
      <c r="AT189" t="e">
        <f>AND(#REF!,"AAAAAH+r/i0=")</f>
        <v>#REF!</v>
      </c>
      <c r="AU189" t="e">
        <f>AND(#REF!,"AAAAAH+r/i4=")</f>
        <v>#REF!</v>
      </c>
      <c r="AV189" t="e">
        <f>AND(#REF!,"AAAAAH+r/i8=")</f>
        <v>#REF!</v>
      </c>
      <c r="AW189" t="e">
        <f>AND(#REF!,"AAAAAH+r/jA=")</f>
        <v>#REF!</v>
      </c>
      <c r="AX189" t="e">
        <f>AND(#REF!,"AAAAAH+r/jE=")</f>
        <v>#REF!</v>
      </c>
      <c r="AY189" t="e">
        <f>AND(#REF!,"AAAAAH+r/jI=")</f>
        <v>#REF!</v>
      </c>
      <c r="AZ189" t="e">
        <f>AND(#REF!,"AAAAAH+r/jM=")</f>
        <v>#REF!</v>
      </c>
      <c r="BA189" t="e">
        <f>AND(#REF!,"AAAAAH+r/jQ=")</f>
        <v>#REF!</v>
      </c>
      <c r="BB189" t="e">
        <f>AND(#REF!,"AAAAAH+r/jU=")</f>
        <v>#REF!</v>
      </c>
      <c r="BC189" t="e">
        <f>AND(#REF!,"AAAAAH+r/jY=")</f>
        <v>#REF!</v>
      </c>
      <c r="BD189" t="e">
        <f>AND(#REF!,"AAAAAH+r/jc=")</f>
        <v>#REF!</v>
      </c>
      <c r="BE189" t="e">
        <f>AND(#REF!,"AAAAAH+r/jg=")</f>
        <v>#REF!</v>
      </c>
      <c r="BF189" t="e">
        <f>AND(#REF!,"AAAAAH+r/jk=")</f>
        <v>#REF!</v>
      </c>
      <c r="BG189" t="e">
        <f>AND(#REF!,"AAAAAH+r/jo=")</f>
        <v>#REF!</v>
      </c>
      <c r="BH189" t="e">
        <f>AND(#REF!,"AAAAAH+r/js=")</f>
        <v>#REF!</v>
      </c>
      <c r="BI189" t="e">
        <f>AND(#REF!,"AAAAAH+r/jw=")</f>
        <v>#REF!</v>
      </c>
      <c r="BJ189" t="e">
        <f>AND(#REF!,"AAAAAH+r/j0=")</f>
        <v>#REF!</v>
      </c>
      <c r="BK189" t="e">
        <f>AND(#REF!,"AAAAAH+r/j4=")</f>
        <v>#REF!</v>
      </c>
      <c r="BL189" t="e">
        <f>AND(#REF!,"AAAAAH+r/j8=")</f>
        <v>#REF!</v>
      </c>
      <c r="BM189" t="e">
        <f>AND(#REF!,"AAAAAH+r/kA=")</f>
        <v>#REF!</v>
      </c>
      <c r="BN189" t="e">
        <f>AND(#REF!,"AAAAAH+r/kE=")</f>
        <v>#REF!</v>
      </c>
      <c r="BO189" t="e">
        <f>AND(#REF!,"AAAAAH+r/kI=")</f>
        <v>#REF!</v>
      </c>
      <c r="BP189" t="e">
        <f>AND(#REF!,"AAAAAH+r/kM=")</f>
        <v>#REF!</v>
      </c>
      <c r="BQ189" t="e">
        <f>AND(#REF!,"AAAAAH+r/kQ=")</f>
        <v>#REF!</v>
      </c>
      <c r="BR189" t="e">
        <f>AND(#REF!,"AAAAAH+r/kU=")</f>
        <v>#REF!</v>
      </c>
      <c r="BS189" t="e">
        <f>AND(#REF!,"AAAAAH+r/kY=")</f>
        <v>#REF!</v>
      </c>
      <c r="BT189" t="e">
        <f>AND(#REF!,"AAAAAH+r/kc=")</f>
        <v>#REF!</v>
      </c>
      <c r="BU189" t="e">
        <f>AND(#REF!,"AAAAAH+r/kg=")</f>
        <v>#REF!</v>
      </c>
      <c r="BV189" t="e">
        <f>AND(#REF!,"AAAAAH+r/kk=")</f>
        <v>#REF!</v>
      </c>
      <c r="BW189" t="e">
        <f>AND(#REF!,"AAAAAH+r/ko=")</f>
        <v>#REF!</v>
      </c>
      <c r="BX189" t="e">
        <f>AND(#REF!,"AAAAAH+r/ks=")</f>
        <v>#REF!</v>
      </c>
      <c r="BY189" t="e">
        <f>AND(#REF!,"AAAAAH+r/kw=")</f>
        <v>#REF!</v>
      </c>
      <c r="BZ189" t="e">
        <f>AND(#REF!,"AAAAAH+r/k0=")</f>
        <v>#REF!</v>
      </c>
      <c r="CA189" t="e">
        <f>AND(#REF!,"AAAAAH+r/k4=")</f>
        <v>#REF!</v>
      </c>
      <c r="CB189" t="e">
        <f>AND(#REF!,"AAAAAH+r/k8=")</f>
        <v>#REF!</v>
      </c>
      <c r="CC189" t="e">
        <f>AND(#REF!,"AAAAAH+r/lA=")</f>
        <v>#REF!</v>
      </c>
      <c r="CD189" t="e">
        <f>AND(#REF!,"AAAAAH+r/lE=")</f>
        <v>#REF!</v>
      </c>
      <c r="CE189" t="e">
        <f>AND(#REF!,"AAAAAH+r/lI=")</f>
        <v>#REF!</v>
      </c>
      <c r="CF189" t="e">
        <f>AND(#REF!,"AAAAAH+r/lM=")</f>
        <v>#REF!</v>
      </c>
      <c r="CG189" t="e">
        <f>AND(#REF!,"AAAAAH+r/lQ=")</f>
        <v>#REF!</v>
      </c>
      <c r="CH189" t="e">
        <f>AND(#REF!,"AAAAAH+r/lU=")</f>
        <v>#REF!</v>
      </c>
      <c r="CI189" t="e">
        <f>AND(#REF!,"AAAAAH+r/lY=")</f>
        <v>#REF!</v>
      </c>
      <c r="CJ189" t="e">
        <f>AND(#REF!,"AAAAAH+r/lc=")</f>
        <v>#REF!</v>
      </c>
      <c r="CK189" t="e">
        <f>AND(#REF!,"AAAAAH+r/lg=")</f>
        <v>#REF!</v>
      </c>
      <c r="CL189" t="e">
        <f>AND(#REF!,"AAAAAH+r/lk=")</f>
        <v>#REF!</v>
      </c>
      <c r="CM189" t="e">
        <f>AND(#REF!,"AAAAAH+r/lo=")</f>
        <v>#REF!</v>
      </c>
      <c r="CN189" t="e">
        <f>AND(#REF!,"AAAAAH+r/ls=")</f>
        <v>#REF!</v>
      </c>
      <c r="CO189" t="e">
        <f>AND(#REF!,"AAAAAH+r/lw=")</f>
        <v>#REF!</v>
      </c>
      <c r="CP189" t="e">
        <f>AND(#REF!,"AAAAAH+r/l0=")</f>
        <v>#REF!</v>
      </c>
      <c r="CQ189" t="e">
        <f>AND(#REF!,"AAAAAH+r/l4=")</f>
        <v>#REF!</v>
      </c>
      <c r="CR189" t="e">
        <f>AND(#REF!,"AAAAAH+r/l8=")</f>
        <v>#REF!</v>
      </c>
      <c r="CS189" t="e">
        <f>AND(#REF!,"AAAAAH+r/mA=")</f>
        <v>#REF!</v>
      </c>
      <c r="CT189" t="e">
        <f>AND(#REF!,"AAAAAH+r/mE=")</f>
        <v>#REF!</v>
      </c>
      <c r="CU189" t="e">
        <f>AND(#REF!,"AAAAAH+r/mI=")</f>
        <v>#REF!</v>
      </c>
      <c r="CV189" t="e">
        <f>AND(#REF!,"AAAAAH+r/mM=")</f>
        <v>#REF!</v>
      </c>
      <c r="CW189" t="e">
        <f>AND(#REF!,"AAAAAH+r/mQ=")</f>
        <v>#REF!</v>
      </c>
      <c r="CX189" t="e">
        <f>AND(#REF!,"AAAAAH+r/mU=")</f>
        <v>#REF!</v>
      </c>
      <c r="CY189" t="e">
        <f>AND(#REF!,"AAAAAH+r/mY=")</f>
        <v>#REF!</v>
      </c>
      <c r="CZ189" t="e">
        <f>AND(#REF!,"AAAAAH+r/mc=")</f>
        <v>#REF!</v>
      </c>
      <c r="DA189" t="e">
        <f>AND(#REF!,"AAAAAH+r/mg=")</f>
        <v>#REF!</v>
      </c>
      <c r="DB189" t="e">
        <f>AND(#REF!,"AAAAAH+r/mk=")</f>
        <v>#REF!</v>
      </c>
      <c r="DC189" t="e">
        <f>AND(#REF!,"AAAAAH+r/mo=")</f>
        <v>#REF!</v>
      </c>
      <c r="DD189" t="e">
        <f>AND(#REF!,"AAAAAH+r/ms=")</f>
        <v>#REF!</v>
      </c>
      <c r="DE189" t="e">
        <f>AND(#REF!,"AAAAAH+r/mw=")</f>
        <v>#REF!</v>
      </c>
      <c r="DF189" t="e">
        <f>AND(#REF!,"AAAAAH+r/m0=")</f>
        <v>#REF!</v>
      </c>
      <c r="DG189" t="e">
        <f>AND(#REF!,"AAAAAH+r/m4=")</f>
        <v>#REF!</v>
      </c>
      <c r="DH189" t="e">
        <f>AND(#REF!,"AAAAAH+r/m8=")</f>
        <v>#REF!</v>
      </c>
      <c r="DI189" t="e">
        <f>AND(#REF!,"AAAAAH+r/nA=")</f>
        <v>#REF!</v>
      </c>
      <c r="DJ189" t="e">
        <f>AND(#REF!,"AAAAAH+r/nE=")</f>
        <v>#REF!</v>
      </c>
      <c r="DK189" t="e">
        <f>AND(#REF!,"AAAAAH+r/nI=")</f>
        <v>#REF!</v>
      </c>
      <c r="DL189" t="e">
        <f>AND(#REF!,"AAAAAH+r/nM=")</f>
        <v>#REF!</v>
      </c>
      <c r="DM189" t="e">
        <f>AND(#REF!,"AAAAAH+r/nQ=")</f>
        <v>#REF!</v>
      </c>
      <c r="DN189" t="e">
        <f>AND(#REF!,"AAAAAH+r/nU=")</f>
        <v>#REF!</v>
      </c>
      <c r="DO189" t="e">
        <f>AND(#REF!,"AAAAAH+r/nY=")</f>
        <v>#REF!</v>
      </c>
      <c r="DP189" t="e">
        <f>AND(#REF!,"AAAAAH+r/nc=")</f>
        <v>#REF!</v>
      </c>
      <c r="DQ189" t="e">
        <f>AND(#REF!,"AAAAAH+r/ng=")</f>
        <v>#REF!</v>
      </c>
      <c r="DR189" t="e">
        <f>AND(#REF!,"AAAAAH+r/nk=")</f>
        <v>#REF!</v>
      </c>
      <c r="DS189" t="e">
        <f>AND(#REF!,"AAAAAH+r/no=")</f>
        <v>#REF!</v>
      </c>
      <c r="DT189" t="e">
        <f>AND(#REF!,"AAAAAH+r/ns=")</f>
        <v>#REF!</v>
      </c>
      <c r="DU189" t="e">
        <f>AND(#REF!,"AAAAAH+r/nw=")</f>
        <v>#REF!</v>
      </c>
      <c r="DV189" t="e">
        <f>AND(#REF!,"AAAAAH+r/n0=")</f>
        <v>#REF!</v>
      </c>
      <c r="DW189" t="e">
        <f>AND(#REF!,"AAAAAH+r/n4=")</f>
        <v>#REF!</v>
      </c>
      <c r="DX189" t="e">
        <f>AND(#REF!,"AAAAAH+r/n8=")</f>
        <v>#REF!</v>
      </c>
      <c r="DY189" t="e">
        <f>AND(#REF!,"AAAAAH+r/oA=")</f>
        <v>#REF!</v>
      </c>
      <c r="DZ189" t="e">
        <f>AND(#REF!,"AAAAAH+r/oE=")</f>
        <v>#REF!</v>
      </c>
      <c r="EA189" t="e">
        <f>AND(#REF!,"AAAAAH+r/oI=")</f>
        <v>#REF!</v>
      </c>
      <c r="EB189" t="e">
        <f>AND(#REF!,"AAAAAH+r/oM=")</f>
        <v>#REF!</v>
      </c>
      <c r="EC189" t="e">
        <f>AND(#REF!,"AAAAAH+r/oQ=")</f>
        <v>#REF!</v>
      </c>
      <c r="ED189" t="e">
        <f>AND(#REF!,"AAAAAH+r/oU=")</f>
        <v>#REF!</v>
      </c>
      <c r="EE189" t="e">
        <f>AND(#REF!,"AAAAAH+r/oY=")</f>
        <v>#REF!</v>
      </c>
      <c r="EF189" t="e">
        <f>AND(#REF!,"AAAAAH+r/oc=")</f>
        <v>#REF!</v>
      </c>
      <c r="EG189" t="e">
        <f>AND(#REF!,"AAAAAH+r/og=")</f>
        <v>#REF!</v>
      </c>
      <c r="EH189" t="e">
        <f>AND(#REF!,"AAAAAH+r/ok=")</f>
        <v>#REF!</v>
      </c>
      <c r="EI189" t="e">
        <f>AND(#REF!,"AAAAAH+r/oo=")</f>
        <v>#REF!</v>
      </c>
      <c r="EJ189" t="e">
        <f>AND(#REF!,"AAAAAH+r/os=")</f>
        <v>#REF!</v>
      </c>
      <c r="EK189" t="e">
        <f>AND(#REF!,"AAAAAH+r/ow=")</f>
        <v>#REF!</v>
      </c>
      <c r="EL189" t="e">
        <f>AND(#REF!,"AAAAAH+r/o0=")</f>
        <v>#REF!</v>
      </c>
      <c r="EM189" t="e">
        <f>AND(#REF!,"AAAAAH+r/o4=")</f>
        <v>#REF!</v>
      </c>
      <c r="EN189" t="e">
        <f>AND(#REF!,"AAAAAH+r/o8=")</f>
        <v>#REF!</v>
      </c>
      <c r="EO189" t="e">
        <f>AND(#REF!,"AAAAAH+r/pA=")</f>
        <v>#REF!</v>
      </c>
      <c r="EP189" t="e">
        <f>AND(#REF!,"AAAAAH+r/pE=")</f>
        <v>#REF!</v>
      </c>
      <c r="EQ189" t="e">
        <f>AND(#REF!,"AAAAAH+r/pI=")</f>
        <v>#REF!</v>
      </c>
      <c r="ER189" t="e">
        <f>AND(#REF!,"AAAAAH+r/pM=")</f>
        <v>#REF!</v>
      </c>
      <c r="ES189" t="e">
        <f>AND(#REF!,"AAAAAH+r/pQ=")</f>
        <v>#REF!</v>
      </c>
      <c r="ET189" t="e">
        <f>AND(#REF!,"AAAAAH+r/pU=")</f>
        <v>#REF!</v>
      </c>
      <c r="EU189" t="e">
        <f>AND(#REF!,"AAAAAH+r/pY=")</f>
        <v>#REF!</v>
      </c>
      <c r="EV189" t="e">
        <f>AND(#REF!,"AAAAAH+r/pc=")</f>
        <v>#REF!</v>
      </c>
      <c r="EW189" t="e">
        <f>AND(#REF!,"AAAAAH+r/pg=")</f>
        <v>#REF!</v>
      </c>
      <c r="EX189" t="e">
        <f>AND(#REF!,"AAAAAH+r/pk=")</f>
        <v>#REF!</v>
      </c>
      <c r="EY189" t="e">
        <f>AND(#REF!,"AAAAAH+r/po=")</f>
        <v>#REF!</v>
      </c>
      <c r="EZ189" t="e">
        <f>AND(#REF!,"AAAAAH+r/ps=")</f>
        <v>#REF!</v>
      </c>
      <c r="FA189" t="e">
        <f>AND(#REF!,"AAAAAH+r/pw=")</f>
        <v>#REF!</v>
      </c>
      <c r="FB189" t="e">
        <f>AND(#REF!,"AAAAAH+r/p0=")</f>
        <v>#REF!</v>
      </c>
      <c r="FC189" t="e">
        <f>AND(#REF!,"AAAAAH+r/p4=")</f>
        <v>#REF!</v>
      </c>
      <c r="FD189" t="e">
        <f>AND(#REF!,"AAAAAH+r/p8=")</f>
        <v>#REF!</v>
      </c>
      <c r="FE189" t="e">
        <f>AND(#REF!,"AAAAAH+r/qA=")</f>
        <v>#REF!</v>
      </c>
      <c r="FF189" t="e">
        <f>AND(#REF!,"AAAAAH+r/qE=")</f>
        <v>#REF!</v>
      </c>
      <c r="FG189" t="e">
        <f>AND(#REF!,"AAAAAH+r/qI=")</f>
        <v>#REF!</v>
      </c>
      <c r="FH189" t="e">
        <f>AND(#REF!,"AAAAAH+r/qM=")</f>
        <v>#REF!</v>
      </c>
      <c r="FI189" t="e">
        <f>AND(#REF!,"AAAAAH+r/qQ=")</f>
        <v>#REF!</v>
      </c>
      <c r="FJ189" t="e">
        <f>AND(#REF!,"AAAAAH+r/qU=")</f>
        <v>#REF!</v>
      </c>
      <c r="FK189" t="e">
        <f>AND(#REF!,"AAAAAH+r/qY=")</f>
        <v>#REF!</v>
      </c>
      <c r="FL189" t="e">
        <f>AND(#REF!,"AAAAAH+r/qc=")</f>
        <v>#REF!</v>
      </c>
      <c r="FM189" t="e">
        <f>AND(#REF!,"AAAAAH+r/qg=")</f>
        <v>#REF!</v>
      </c>
      <c r="FN189" t="e">
        <f>AND(#REF!,"AAAAAH+r/qk=")</f>
        <v>#REF!</v>
      </c>
      <c r="FO189" t="e">
        <f>AND(#REF!,"AAAAAH+r/qo=")</f>
        <v>#REF!</v>
      </c>
      <c r="FP189" t="e">
        <f>AND(#REF!,"AAAAAH+r/qs=")</f>
        <v>#REF!</v>
      </c>
      <c r="FQ189" t="e">
        <f>AND(#REF!,"AAAAAH+r/qw=")</f>
        <v>#REF!</v>
      </c>
      <c r="FR189" t="e">
        <f>AND(#REF!,"AAAAAH+r/q0=")</f>
        <v>#REF!</v>
      </c>
      <c r="FS189" t="e">
        <f>AND(#REF!,"AAAAAH+r/q4=")</f>
        <v>#REF!</v>
      </c>
      <c r="FT189" t="e">
        <f>AND(#REF!,"AAAAAH+r/q8=")</f>
        <v>#REF!</v>
      </c>
      <c r="FU189" t="e">
        <f>AND(#REF!,"AAAAAH+r/rA=")</f>
        <v>#REF!</v>
      </c>
      <c r="FV189" t="e">
        <f>AND(#REF!,"AAAAAH+r/rE=")</f>
        <v>#REF!</v>
      </c>
      <c r="FW189" t="e">
        <f>AND(#REF!,"AAAAAH+r/rI=")</f>
        <v>#REF!</v>
      </c>
      <c r="FX189" t="e">
        <f>AND(#REF!,"AAAAAH+r/rM=")</f>
        <v>#REF!</v>
      </c>
      <c r="FY189" t="e">
        <f>AND(#REF!,"AAAAAH+r/rQ=")</f>
        <v>#REF!</v>
      </c>
      <c r="FZ189" t="e">
        <f>AND(#REF!,"AAAAAH+r/rU=")</f>
        <v>#REF!</v>
      </c>
      <c r="GA189" t="e">
        <f>AND(#REF!,"AAAAAH+r/rY=")</f>
        <v>#REF!</v>
      </c>
      <c r="GB189" t="e">
        <f>AND(#REF!,"AAAAAH+r/rc=")</f>
        <v>#REF!</v>
      </c>
      <c r="GC189" t="e">
        <f>AND(#REF!,"AAAAAH+r/rg=")</f>
        <v>#REF!</v>
      </c>
      <c r="GD189" t="e">
        <f>AND(#REF!,"AAAAAH+r/rk=")</f>
        <v>#REF!</v>
      </c>
      <c r="GE189" t="e">
        <f>AND(#REF!,"AAAAAH+r/ro=")</f>
        <v>#REF!</v>
      </c>
      <c r="GF189" t="e">
        <f>AND(#REF!,"AAAAAH+r/rs=")</f>
        <v>#REF!</v>
      </c>
      <c r="GG189" t="e">
        <f>AND(#REF!,"AAAAAH+r/rw=")</f>
        <v>#REF!</v>
      </c>
      <c r="GH189" t="e">
        <f>AND(#REF!,"AAAAAH+r/r0=")</f>
        <v>#REF!</v>
      </c>
      <c r="GI189" t="e">
        <f>AND(#REF!,"AAAAAH+r/r4=")</f>
        <v>#REF!</v>
      </c>
      <c r="GJ189" t="e">
        <f>AND(#REF!,"AAAAAH+r/r8=")</f>
        <v>#REF!</v>
      </c>
      <c r="GK189" t="e">
        <f>AND(#REF!,"AAAAAH+r/sA=")</f>
        <v>#REF!</v>
      </c>
      <c r="GL189" t="e">
        <f>AND(#REF!,"AAAAAH+r/sE=")</f>
        <v>#REF!</v>
      </c>
      <c r="GM189" t="e">
        <f>AND(#REF!,"AAAAAH+r/sI=")</f>
        <v>#REF!</v>
      </c>
      <c r="GN189" t="e">
        <f>AND(#REF!,"AAAAAH+r/sM=")</f>
        <v>#REF!</v>
      </c>
      <c r="GO189" t="e">
        <f>AND(#REF!,"AAAAAH+r/sQ=")</f>
        <v>#REF!</v>
      </c>
      <c r="GP189" t="e">
        <f>AND(#REF!,"AAAAAH+r/sU=")</f>
        <v>#REF!</v>
      </c>
      <c r="GQ189" t="e">
        <f>AND(#REF!,"AAAAAH+r/sY=")</f>
        <v>#REF!</v>
      </c>
      <c r="GR189" t="e">
        <f>AND(#REF!,"AAAAAH+r/sc=")</f>
        <v>#REF!</v>
      </c>
      <c r="GS189" t="e">
        <f>AND(#REF!,"AAAAAH+r/sg=")</f>
        <v>#REF!</v>
      </c>
      <c r="GT189" t="e">
        <f>AND(#REF!,"AAAAAH+r/sk=")</f>
        <v>#REF!</v>
      </c>
      <c r="GU189" t="e">
        <f>AND(#REF!,"AAAAAH+r/so=")</f>
        <v>#REF!</v>
      </c>
      <c r="GV189" t="e">
        <f>AND(#REF!,"AAAAAH+r/ss=")</f>
        <v>#REF!</v>
      </c>
      <c r="GW189" t="e">
        <f>AND(#REF!,"AAAAAH+r/sw=")</f>
        <v>#REF!</v>
      </c>
      <c r="GX189" t="e">
        <f>AND(#REF!,"AAAAAH+r/s0=")</f>
        <v>#REF!</v>
      </c>
      <c r="GY189" t="e">
        <f>AND(#REF!,"AAAAAH+r/s4=")</f>
        <v>#REF!</v>
      </c>
      <c r="GZ189" t="e">
        <f>AND(#REF!,"AAAAAH+r/s8=")</f>
        <v>#REF!</v>
      </c>
      <c r="HA189" t="e">
        <f>AND(#REF!,"AAAAAH+r/tA=")</f>
        <v>#REF!</v>
      </c>
      <c r="HB189" t="e">
        <f>AND(#REF!,"AAAAAH+r/tE=")</f>
        <v>#REF!</v>
      </c>
      <c r="HC189" t="e">
        <f>AND(#REF!,"AAAAAH+r/tI=")</f>
        <v>#REF!</v>
      </c>
      <c r="HD189" t="e">
        <f>AND(#REF!,"AAAAAH+r/tM=")</f>
        <v>#REF!</v>
      </c>
      <c r="HE189" t="e">
        <f>IF(#REF!,"AAAAAH+r/tQ=",0)</f>
        <v>#REF!</v>
      </c>
      <c r="HF189" t="e">
        <f>AND(#REF!,"AAAAAH+r/tU=")</f>
        <v>#REF!</v>
      </c>
      <c r="HG189" t="e">
        <f>AND(#REF!,"AAAAAH+r/tY=")</f>
        <v>#REF!</v>
      </c>
      <c r="HH189" t="e">
        <f>AND(#REF!,"AAAAAH+r/tc=")</f>
        <v>#REF!</v>
      </c>
      <c r="HI189" t="e">
        <f>AND(#REF!,"AAAAAH+r/tg=")</f>
        <v>#REF!</v>
      </c>
      <c r="HJ189" t="e">
        <f>AND(#REF!,"AAAAAH+r/tk=")</f>
        <v>#REF!</v>
      </c>
      <c r="HK189" t="e">
        <f>AND(#REF!,"AAAAAH+r/to=")</f>
        <v>#REF!</v>
      </c>
      <c r="HL189" t="e">
        <f>AND(#REF!,"AAAAAH+r/ts=")</f>
        <v>#REF!</v>
      </c>
      <c r="HM189" t="e">
        <f>AND(#REF!,"AAAAAH+r/tw=")</f>
        <v>#REF!</v>
      </c>
      <c r="HN189" t="e">
        <f>AND(#REF!,"AAAAAH+r/t0=")</f>
        <v>#REF!</v>
      </c>
      <c r="HO189" t="e">
        <f>AND(#REF!,"AAAAAH+r/t4=")</f>
        <v>#REF!</v>
      </c>
      <c r="HP189" t="e">
        <f>AND(#REF!,"AAAAAH+r/t8=")</f>
        <v>#REF!</v>
      </c>
      <c r="HQ189" t="e">
        <f>AND(#REF!,"AAAAAH+r/uA=")</f>
        <v>#REF!</v>
      </c>
      <c r="HR189" t="e">
        <f>AND(#REF!,"AAAAAH+r/uE=")</f>
        <v>#REF!</v>
      </c>
      <c r="HS189" t="e">
        <f>AND(#REF!,"AAAAAH+r/uI=")</f>
        <v>#REF!</v>
      </c>
      <c r="HT189" t="e">
        <f>AND(#REF!,"AAAAAH+r/uM=")</f>
        <v>#REF!</v>
      </c>
      <c r="HU189" t="e">
        <f>AND(#REF!,"AAAAAH+r/uQ=")</f>
        <v>#REF!</v>
      </c>
      <c r="HV189" t="e">
        <f>AND(#REF!,"AAAAAH+r/uU=")</f>
        <v>#REF!</v>
      </c>
      <c r="HW189" t="e">
        <f>AND(#REF!,"AAAAAH+r/uY=")</f>
        <v>#REF!</v>
      </c>
      <c r="HX189" t="e">
        <f>AND(#REF!,"AAAAAH+r/uc=")</f>
        <v>#REF!</v>
      </c>
      <c r="HY189" t="e">
        <f>AND(#REF!,"AAAAAH+r/ug=")</f>
        <v>#REF!</v>
      </c>
      <c r="HZ189" t="e">
        <f>AND(#REF!,"AAAAAH+r/uk=")</f>
        <v>#REF!</v>
      </c>
      <c r="IA189" t="e">
        <f>AND(#REF!,"AAAAAH+r/uo=")</f>
        <v>#REF!</v>
      </c>
      <c r="IB189" t="e">
        <f>AND(#REF!,"AAAAAH+r/us=")</f>
        <v>#REF!</v>
      </c>
      <c r="IC189" t="e">
        <f>AND(#REF!,"AAAAAH+r/uw=")</f>
        <v>#REF!</v>
      </c>
      <c r="ID189" t="e">
        <f>AND(#REF!,"AAAAAH+r/u0=")</f>
        <v>#REF!</v>
      </c>
      <c r="IE189" t="e">
        <f>AND(#REF!,"AAAAAH+r/u4=")</f>
        <v>#REF!</v>
      </c>
      <c r="IF189" t="e">
        <f>AND(#REF!,"AAAAAH+r/u8=")</f>
        <v>#REF!</v>
      </c>
      <c r="IG189" t="e">
        <f>AND(#REF!,"AAAAAH+r/vA=")</f>
        <v>#REF!</v>
      </c>
      <c r="IH189" t="e">
        <f>AND(#REF!,"AAAAAH+r/vE=")</f>
        <v>#REF!</v>
      </c>
      <c r="II189" t="e">
        <f>AND(#REF!,"AAAAAH+r/vI=")</f>
        <v>#REF!</v>
      </c>
      <c r="IJ189" t="e">
        <f>AND(#REF!,"AAAAAH+r/vM=")</f>
        <v>#REF!</v>
      </c>
      <c r="IK189" t="e">
        <f>AND(#REF!,"AAAAAH+r/vQ=")</f>
        <v>#REF!</v>
      </c>
      <c r="IL189" t="e">
        <f>AND(#REF!,"AAAAAH+r/vU=")</f>
        <v>#REF!</v>
      </c>
      <c r="IM189" t="e">
        <f>AND(#REF!,"AAAAAH+r/vY=")</f>
        <v>#REF!</v>
      </c>
      <c r="IN189" t="e">
        <f>AND(#REF!,"AAAAAH+r/vc=")</f>
        <v>#REF!</v>
      </c>
      <c r="IO189" t="e">
        <f>AND(#REF!,"AAAAAH+r/vg=")</f>
        <v>#REF!</v>
      </c>
      <c r="IP189" t="e">
        <f>AND(#REF!,"AAAAAH+r/vk=")</f>
        <v>#REF!</v>
      </c>
      <c r="IQ189" t="e">
        <f>AND(#REF!,"AAAAAH+r/vo=")</f>
        <v>#REF!</v>
      </c>
      <c r="IR189" t="e">
        <f>AND(#REF!,"AAAAAH+r/vs=")</f>
        <v>#REF!</v>
      </c>
      <c r="IS189" t="e">
        <f>AND(#REF!,"AAAAAH+r/vw=")</f>
        <v>#REF!</v>
      </c>
      <c r="IT189" t="e">
        <f>AND(#REF!,"AAAAAH+r/v0=")</f>
        <v>#REF!</v>
      </c>
      <c r="IU189" t="e">
        <f>AND(#REF!,"AAAAAH+r/v4=")</f>
        <v>#REF!</v>
      </c>
      <c r="IV189" t="e">
        <f>AND(#REF!,"AAAAAH+r/v8=")</f>
        <v>#REF!</v>
      </c>
    </row>
    <row r="190" spans="1:256" x14ac:dyDescent="0.25">
      <c r="A190" t="e">
        <f>AND(#REF!,"AAAAAH2zcwA=")</f>
        <v>#REF!</v>
      </c>
      <c r="B190" t="e">
        <f>AND(#REF!,"AAAAAH2zcwE=")</f>
        <v>#REF!</v>
      </c>
      <c r="C190" t="e">
        <f>AND(#REF!,"AAAAAH2zcwI=")</f>
        <v>#REF!</v>
      </c>
      <c r="D190" t="e">
        <f>AND(#REF!,"AAAAAH2zcwM=")</f>
        <v>#REF!</v>
      </c>
      <c r="E190" t="e">
        <f>AND(#REF!,"AAAAAH2zcwQ=")</f>
        <v>#REF!</v>
      </c>
      <c r="F190" t="e">
        <f>AND(#REF!,"AAAAAH2zcwU=")</f>
        <v>#REF!</v>
      </c>
      <c r="G190" t="e">
        <f>AND(#REF!,"AAAAAH2zcwY=")</f>
        <v>#REF!</v>
      </c>
      <c r="H190" t="e">
        <f>AND(#REF!,"AAAAAH2zcwc=")</f>
        <v>#REF!</v>
      </c>
      <c r="I190" t="e">
        <f>AND(#REF!,"AAAAAH2zcwg=")</f>
        <v>#REF!</v>
      </c>
      <c r="J190" t="e">
        <f>AND(#REF!,"AAAAAH2zcwk=")</f>
        <v>#REF!</v>
      </c>
      <c r="K190" t="e">
        <f>AND(#REF!,"AAAAAH2zcwo=")</f>
        <v>#REF!</v>
      </c>
      <c r="L190" t="e">
        <f>AND(#REF!,"AAAAAH2zcws=")</f>
        <v>#REF!</v>
      </c>
      <c r="M190" t="e">
        <f>AND(#REF!,"AAAAAH2zcww=")</f>
        <v>#REF!</v>
      </c>
      <c r="N190" t="e">
        <f>AND(#REF!,"AAAAAH2zcw0=")</f>
        <v>#REF!</v>
      </c>
      <c r="O190" t="e">
        <f>AND(#REF!,"AAAAAH2zcw4=")</f>
        <v>#REF!</v>
      </c>
      <c r="P190" t="e">
        <f>AND(#REF!,"AAAAAH2zcw8=")</f>
        <v>#REF!</v>
      </c>
      <c r="Q190" t="e">
        <f>AND(#REF!,"AAAAAH2zcxA=")</f>
        <v>#REF!</v>
      </c>
      <c r="R190" t="e">
        <f>AND(#REF!,"AAAAAH2zcxE=")</f>
        <v>#REF!</v>
      </c>
      <c r="S190" t="e">
        <f>AND(#REF!,"AAAAAH2zcxI=")</f>
        <v>#REF!</v>
      </c>
      <c r="T190" t="e">
        <f>AND(#REF!,"AAAAAH2zcxM=")</f>
        <v>#REF!</v>
      </c>
      <c r="U190" t="e">
        <f>AND(#REF!,"AAAAAH2zcxQ=")</f>
        <v>#REF!</v>
      </c>
      <c r="V190" t="e">
        <f>AND(#REF!,"AAAAAH2zcxU=")</f>
        <v>#REF!</v>
      </c>
      <c r="W190" t="e">
        <f>AND(#REF!,"AAAAAH2zcxY=")</f>
        <v>#REF!</v>
      </c>
      <c r="X190" t="e">
        <f>AND(#REF!,"AAAAAH2zcxc=")</f>
        <v>#REF!</v>
      </c>
      <c r="Y190" t="e">
        <f>AND(#REF!,"AAAAAH2zcxg=")</f>
        <v>#REF!</v>
      </c>
      <c r="Z190" t="e">
        <f>AND(#REF!,"AAAAAH2zcxk=")</f>
        <v>#REF!</v>
      </c>
      <c r="AA190" t="e">
        <f>AND(#REF!,"AAAAAH2zcxo=")</f>
        <v>#REF!</v>
      </c>
      <c r="AB190" t="e">
        <f>AND(#REF!,"AAAAAH2zcxs=")</f>
        <v>#REF!</v>
      </c>
      <c r="AC190" t="e">
        <f>AND(#REF!,"AAAAAH2zcxw=")</f>
        <v>#REF!</v>
      </c>
      <c r="AD190" t="e">
        <f>AND(#REF!,"AAAAAH2zcx0=")</f>
        <v>#REF!</v>
      </c>
      <c r="AE190" t="e">
        <f>AND(#REF!,"AAAAAH2zcx4=")</f>
        <v>#REF!</v>
      </c>
      <c r="AF190" t="e">
        <f>AND(#REF!,"AAAAAH2zcx8=")</f>
        <v>#REF!</v>
      </c>
      <c r="AG190" t="e">
        <f>AND(#REF!,"AAAAAH2zcyA=")</f>
        <v>#REF!</v>
      </c>
      <c r="AH190" t="e">
        <f>AND(#REF!,"AAAAAH2zcyE=")</f>
        <v>#REF!</v>
      </c>
      <c r="AI190" t="e">
        <f>AND(#REF!,"AAAAAH2zcyI=")</f>
        <v>#REF!</v>
      </c>
      <c r="AJ190" t="e">
        <f>AND(#REF!,"AAAAAH2zcyM=")</f>
        <v>#REF!</v>
      </c>
      <c r="AK190" t="e">
        <f>AND(#REF!,"AAAAAH2zcyQ=")</f>
        <v>#REF!</v>
      </c>
      <c r="AL190" t="e">
        <f>AND(#REF!,"AAAAAH2zcyU=")</f>
        <v>#REF!</v>
      </c>
      <c r="AM190" t="e">
        <f>AND(#REF!,"AAAAAH2zcyY=")</f>
        <v>#REF!</v>
      </c>
      <c r="AN190" t="e">
        <f>AND(#REF!,"AAAAAH2zcyc=")</f>
        <v>#REF!</v>
      </c>
      <c r="AO190" t="e">
        <f>AND(#REF!,"AAAAAH2zcyg=")</f>
        <v>#REF!</v>
      </c>
      <c r="AP190" t="e">
        <f>AND(#REF!,"AAAAAH2zcyk=")</f>
        <v>#REF!</v>
      </c>
      <c r="AQ190" t="e">
        <f>AND(#REF!,"AAAAAH2zcyo=")</f>
        <v>#REF!</v>
      </c>
      <c r="AR190" t="e">
        <f>AND(#REF!,"AAAAAH2zcys=")</f>
        <v>#REF!</v>
      </c>
      <c r="AS190" t="e">
        <f>AND(#REF!,"AAAAAH2zcyw=")</f>
        <v>#REF!</v>
      </c>
      <c r="AT190" t="e">
        <f>AND(#REF!,"AAAAAH2zcy0=")</f>
        <v>#REF!</v>
      </c>
      <c r="AU190" t="e">
        <f>AND(#REF!,"AAAAAH2zcy4=")</f>
        <v>#REF!</v>
      </c>
      <c r="AV190" t="e">
        <f>AND(#REF!,"AAAAAH2zcy8=")</f>
        <v>#REF!</v>
      </c>
      <c r="AW190" t="e">
        <f>AND(#REF!,"AAAAAH2zczA=")</f>
        <v>#REF!</v>
      </c>
      <c r="AX190" t="e">
        <f>AND(#REF!,"AAAAAH2zczE=")</f>
        <v>#REF!</v>
      </c>
      <c r="AY190" t="e">
        <f>AND(#REF!,"AAAAAH2zczI=")</f>
        <v>#REF!</v>
      </c>
      <c r="AZ190" t="e">
        <f>AND(#REF!,"AAAAAH2zczM=")</f>
        <v>#REF!</v>
      </c>
      <c r="BA190" t="e">
        <f>AND(#REF!,"AAAAAH2zczQ=")</f>
        <v>#REF!</v>
      </c>
      <c r="BB190" t="e">
        <f>AND(#REF!,"AAAAAH2zczU=")</f>
        <v>#REF!</v>
      </c>
      <c r="BC190" t="e">
        <f>AND(#REF!,"AAAAAH2zczY=")</f>
        <v>#REF!</v>
      </c>
      <c r="BD190" t="e">
        <f>AND(#REF!,"AAAAAH2zczc=")</f>
        <v>#REF!</v>
      </c>
      <c r="BE190" t="e">
        <f>AND(#REF!,"AAAAAH2zczg=")</f>
        <v>#REF!</v>
      </c>
      <c r="BF190" t="e">
        <f>AND(#REF!,"AAAAAH2zczk=")</f>
        <v>#REF!</v>
      </c>
      <c r="BG190" t="e">
        <f>AND(#REF!,"AAAAAH2zczo=")</f>
        <v>#REF!</v>
      </c>
      <c r="BH190" t="e">
        <f>AND(#REF!,"AAAAAH2zczs=")</f>
        <v>#REF!</v>
      </c>
      <c r="BI190" t="e">
        <f>AND(#REF!,"AAAAAH2zczw=")</f>
        <v>#REF!</v>
      </c>
      <c r="BJ190" t="e">
        <f>AND(#REF!,"AAAAAH2zcz0=")</f>
        <v>#REF!</v>
      </c>
      <c r="BK190" t="e">
        <f>AND(#REF!,"AAAAAH2zcz4=")</f>
        <v>#REF!</v>
      </c>
      <c r="BL190" t="e">
        <f>AND(#REF!,"AAAAAH2zcz8=")</f>
        <v>#REF!</v>
      </c>
      <c r="BM190" t="e">
        <f>AND(#REF!,"AAAAAH2zc0A=")</f>
        <v>#REF!</v>
      </c>
      <c r="BN190" t="e">
        <f>AND(#REF!,"AAAAAH2zc0E=")</f>
        <v>#REF!</v>
      </c>
      <c r="BO190" t="e">
        <f>AND(#REF!,"AAAAAH2zc0I=")</f>
        <v>#REF!</v>
      </c>
      <c r="BP190" t="e">
        <f>AND(#REF!,"AAAAAH2zc0M=")</f>
        <v>#REF!</v>
      </c>
      <c r="BQ190" t="e">
        <f>AND(#REF!,"AAAAAH2zc0Q=")</f>
        <v>#REF!</v>
      </c>
      <c r="BR190" t="e">
        <f>AND(#REF!,"AAAAAH2zc0U=")</f>
        <v>#REF!</v>
      </c>
      <c r="BS190" t="e">
        <f>AND(#REF!,"AAAAAH2zc0Y=")</f>
        <v>#REF!</v>
      </c>
      <c r="BT190" t="e">
        <f>AND(#REF!,"AAAAAH2zc0c=")</f>
        <v>#REF!</v>
      </c>
      <c r="BU190" t="e">
        <f>AND(#REF!,"AAAAAH2zc0g=")</f>
        <v>#REF!</v>
      </c>
      <c r="BV190" t="e">
        <f>AND(#REF!,"AAAAAH2zc0k=")</f>
        <v>#REF!</v>
      </c>
      <c r="BW190" t="e">
        <f>AND(#REF!,"AAAAAH2zc0o=")</f>
        <v>#REF!</v>
      </c>
      <c r="BX190" t="e">
        <f>AND(#REF!,"AAAAAH2zc0s=")</f>
        <v>#REF!</v>
      </c>
      <c r="BY190" t="e">
        <f>AND(#REF!,"AAAAAH2zc0w=")</f>
        <v>#REF!</v>
      </c>
      <c r="BZ190" t="e">
        <f>AND(#REF!,"AAAAAH2zc00=")</f>
        <v>#REF!</v>
      </c>
      <c r="CA190" t="e">
        <f>AND(#REF!,"AAAAAH2zc04=")</f>
        <v>#REF!</v>
      </c>
      <c r="CB190" t="e">
        <f>AND(#REF!,"AAAAAH2zc08=")</f>
        <v>#REF!</v>
      </c>
      <c r="CC190" t="e">
        <f>AND(#REF!,"AAAAAH2zc1A=")</f>
        <v>#REF!</v>
      </c>
      <c r="CD190" t="e">
        <f>AND(#REF!,"AAAAAH2zc1E=")</f>
        <v>#REF!</v>
      </c>
      <c r="CE190" t="e">
        <f>AND(#REF!,"AAAAAH2zc1I=")</f>
        <v>#REF!</v>
      </c>
      <c r="CF190" t="e">
        <f>AND(#REF!,"AAAAAH2zc1M=")</f>
        <v>#REF!</v>
      </c>
      <c r="CG190" t="e">
        <f>AND(#REF!,"AAAAAH2zc1Q=")</f>
        <v>#REF!</v>
      </c>
      <c r="CH190" t="e">
        <f>AND(#REF!,"AAAAAH2zc1U=")</f>
        <v>#REF!</v>
      </c>
      <c r="CI190" t="e">
        <f>AND(#REF!,"AAAAAH2zc1Y=")</f>
        <v>#REF!</v>
      </c>
      <c r="CJ190" t="e">
        <f>AND(#REF!,"AAAAAH2zc1c=")</f>
        <v>#REF!</v>
      </c>
      <c r="CK190" t="e">
        <f>AND(#REF!,"AAAAAH2zc1g=")</f>
        <v>#REF!</v>
      </c>
      <c r="CL190" t="e">
        <f>AND(#REF!,"AAAAAH2zc1k=")</f>
        <v>#REF!</v>
      </c>
      <c r="CM190" t="e">
        <f>AND(#REF!,"AAAAAH2zc1o=")</f>
        <v>#REF!</v>
      </c>
      <c r="CN190" t="e">
        <f>AND(#REF!,"AAAAAH2zc1s=")</f>
        <v>#REF!</v>
      </c>
      <c r="CO190" t="e">
        <f>AND(#REF!,"AAAAAH2zc1w=")</f>
        <v>#REF!</v>
      </c>
      <c r="CP190" t="e">
        <f>AND(#REF!,"AAAAAH2zc10=")</f>
        <v>#REF!</v>
      </c>
      <c r="CQ190" t="e">
        <f>AND(#REF!,"AAAAAH2zc14=")</f>
        <v>#REF!</v>
      </c>
      <c r="CR190" t="e">
        <f>AND(#REF!,"AAAAAH2zc18=")</f>
        <v>#REF!</v>
      </c>
      <c r="CS190" t="e">
        <f>AND(#REF!,"AAAAAH2zc2A=")</f>
        <v>#REF!</v>
      </c>
      <c r="CT190" t="e">
        <f>AND(#REF!,"AAAAAH2zc2E=")</f>
        <v>#REF!</v>
      </c>
      <c r="CU190" t="e">
        <f>AND(#REF!,"AAAAAH2zc2I=")</f>
        <v>#REF!</v>
      </c>
      <c r="CV190" t="e">
        <f>AND(#REF!,"AAAAAH2zc2M=")</f>
        <v>#REF!</v>
      </c>
      <c r="CW190" t="e">
        <f>AND(#REF!,"AAAAAH2zc2Q=")</f>
        <v>#REF!</v>
      </c>
      <c r="CX190" t="e">
        <f>AND(#REF!,"AAAAAH2zc2U=")</f>
        <v>#REF!</v>
      </c>
      <c r="CY190" t="e">
        <f>AND(#REF!,"AAAAAH2zc2Y=")</f>
        <v>#REF!</v>
      </c>
      <c r="CZ190" t="e">
        <f>AND(#REF!,"AAAAAH2zc2c=")</f>
        <v>#REF!</v>
      </c>
      <c r="DA190" t="e">
        <f>AND(#REF!,"AAAAAH2zc2g=")</f>
        <v>#REF!</v>
      </c>
      <c r="DB190" t="e">
        <f>AND(#REF!,"AAAAAH2zc2k=")</f>
        <v>#REF!</v>
      </c>
      <c r="DC190" t="e">
        <f>AND(#REF!,"AAAAAH2zc2o=")</f>
        <v>#REF!</v>
      </c>
      <c r="DD190" t="e">
        <f>AND(#REF!,"AAAAAH2zc2s=")</f>
        <v>#REF!</v>
      </c>
      <c r="DE190" t="e">
        <f>AND(#REF!,"AAAAAH2zc2w=")</f>
        <v>#REF!</v>
      </c>
      <c r="DF190" t="e">
        <f>AND(#REF!,"AAAAAH2zc20=")</f>
        <v>#REF!</v>
      </c>
      <c r="DG190" t="e">
        <f>AND(#REF!,"AAAAAH2zc24=")</f>
        <v>#REF!</v>
      </c>
      <c r="DH190" t="e">
        <f>AND(#REF!,"AAAAAH2zc28=")</f>
        <v>#REF!</v>
      </c>
      <c r="DI190" t="e">
        <f>AND(#REF!,"AAAAAH2zc3A=")</f>
        <v>#REF!</v>
      </c>
      <c r="DJ190" t="e">
        <f>AND(#REF!,"AAAAAH2zc3E=")</f>
        <v>#REF!</v>
      </c>
      <c r="DK190" t="e">
        <f>AND(#REF!,"AAAAAH2zc3I=")</f>
        <v>#REF!</v>
      </c>
      <c r="DL190" t="e">
        <f>AND(#REF!,"AAAAAH2zc3M=")</f>
        <v>#REF!</v>
      </c>
      <c r="DM190" t="e">
        <f>AND(#REF!,"AAAAAH2zc3Q=")</f>
        <v>#REF!</v>
      </c>
      <c r="DN190" t="e">
        <f>AND(#REF!,"AAAAAH2zc3U=")</f>
        <v>#REF!</v>
      </c>
      <c r="DO190" t="e">
        <f>AND(#REF!,"AAAAAH2zc3Y=")</f>
        <v>#REF!</v>
      </c>
      <c r="DP190" t="e">
        <f>AND(#REF!,"AAAAAH2zc3c=")</f>
        <v>#REF!</v>
      </c>
      <c r="DQ190" t="e">
        <f>AND(#REF!,"AAAAAH2zc3g=")</f>
        <v>#REF!</v>
      </c>
      <c r="DR190" t="e">
        <f>AND(#REF!,"AAAAAH2zc3k=")</f>
        <v>#REF!</v>
      </c>
      <c r="DS190" t="e">
        <f>AND(#REF!,"AAAAAH2zc3o=")</f>
        <v>#REF!</v>
      </c>
      <c r="DT190" t="e">
        <f>AND(#REF!,"AAAAAH2zc3s=")</f>
        <v>#REF!</v>
      </c>
      <c r="DU190" t="e">
        <f>AND(#REF!,"AAAAAH2zc3w=")</f>
        <v>#REF!</v>
      </c>
      <c r="DV190" t="e">
        <f>AND(#REF!,"AAAAAH2zc30=")</f>
        <v>#REF!</v>
      </c>
      <c r="DW190" t="e">
        <f>AND(#REF!,"AAAAAH2zc34=")</f>
        <v>#REF!</v>
      </c>
      <c r="DX190" t="e">
        <f>AND(#REF!,"AAAAAH2zc38=")</f>
        <v>#REF!</v>
      </c>
      <c r="DY190" t="e">
        <f>AND(#REF!,"AAAAAH2zc4A=")</f>
        <v>#REF!</v>
      </c>
      <c r="DZ190" t="e">
        <f>AND(#REF!,"AAAAAH2zc4E=")</f>
        <v>#REF!</v>
      </c>
      <c r="EA190" t="e">
        <f>AND(#REF!,"AAAAAH2zc4I=")</f>
        <v>#REF!</v>
      </c>
      <c r="EB190" t="e">
        <f>AND(#REF!,"AAAAAH2zc4M=")</f>
        <v>#REF!</v>
      </c>
      <c r="EC190" t="e">
        <f>AND(#REF!,"AAAAAH2zc4Q=")</f>
        <v>#REF!</v>
      </c>
      <c r="ED190" t="e">
        <f>AND(#REF!,"AAAAAH2zc4U=")</f>
        <v>#REF!</v>
      </c>
      <c r="EE190" t="e">
        <f>AND(#REF!,"AAAAAH2zc4Y=")</f>
        <v>#REF!</v>
      </c>
      <c r="EF190" t="e">
        <f>AND(#REF!,"AAAAAH2zc4c=")</f>
        <v>#REF!</v>
      </c>
      <c r="EG190" t="e">
        <f>AND(#REF!,"AAAAAH2zc4g=")</f>
        <v>#REF!</v>
      </c>
      <c r="EH190" t="e">
        <f>AND(#REF!,"AAAAAH2zc4k=")</f>
        <v>#REF!</v>
      </c>
      <c r="EI190" t="e">
        <f>AND(#REF!,"AAAAAH2zc4o=")</f>
        <v>#REF!</v>
      </c>
      <c r="EJ190" t="e">
        <f>AND(#REF!,"AAAAAH2zc4s=")</f>
        <v>#REF!</v>
      </c>
      <c r="EK190" t="e">
        <f>AND(#REF!,"AAAAAH2zc4w=")</f>
        <v>#REF!</v>
      </c>
      <c r="EL190" t="e">
        <f>AND(#REF!,"AAAAAH2zc40=")</f>
        <v>#REF!</v>
      </c>
      <c r="EM190" t="e">
        <f>AND(#REF!,"AAAAAH2zc44=")</f>
        <v>#REF!</v>
      </c>
      <c r="EN190" t="e">
        <f>AND(#REF!,"AAAAAH2zc48=")</f>
        <v>#REF!</v>
      </c>
      <c r="EO190" t="e">
        <f>AND(#REF!,"AAAAAH2zc5A=")</f>
        <v>#REF!</v>
      </c>
      <c r="EP190" t="e">
        <f>IF(#REF!,"AAAAAH2zc5E=",0)</f>
        <v>#REF!</v>
      </c>
      <c r="EQ190" t="e">
        <f>AND(#REF!,"AAAAAH2zc5I=")</f>
        <v>#REF!</v>
      </c>
      <c r="ER190" t="e">
        <f>AND(#REF!,"AAAAAH2zc5M=")</f>
        <v>#REF!</v>
      </c>
      <c r="ES190" t="e">
        <f>AND(#REF!,"AAAAAH2zc5Q=")</f>
        <v>#REF!</v>
      </c>
      <c r="ET190" t="e">
        <f>AND(#REF!,"AAAAAH2zc5U=")</f>
        <v>#REF!</v>
      </c>
      <c r="EU190" t="e">
        <f>AND(#REF!,"AAAAAH2zc5Y=")</f>
        <v>#REF!</v>
      </c>
      <c r="EV190" t="e">
        <f>AND(#REF!,"AAAAAH2zc5c=")</f>
        <v>#REF!</v>
      </c>
      <c r="EW190" t="e">
        <f>AND(#REF!,"AAAAAH2zc5g=")</f>
        <v>#REF!</v>
      </c>
      <c r="EX190" t="e">
        <f>AND(#REF!,"AAAAAH2zc5k=")</f>
        <v>#REF!</v>
      </c>
      <c r="EY190" t="e">
        <f>AND(#REF!,"AAAAAH2zc5o=")</f>
        <v>#REF!</v>
      </c>
      <c r="EZ190" t="e">
        <f>AND(#REF!,"AAAAAH2zc5s=")</f>
        <v>#REF!</v>
      </c>
      <c r="FA190" t="e">
        <f>AND(#REF!,"AAAAAH2zc5w=")</f>
        <v>#REF!</v>
      </c>
      <c r="FB190" t="e">
        <f>AND(#REF!,"AAAAAH2zc50=")</f>
        <v>#REF!</v>
      </c>
      <c r="FC190" t="e">
        <f>AND(#REF!,"AAAAAH2zc54=")</f>
        <v>#REF!</v>
      </c>
      <c r="FD190" t="e">
        <f>AND(#REF!,"AAAAAH2zc58=")</f>
        <v>#REF!</v>
      </c>
      <c r="FE190" t="e">
        <f>AND(#REF!,"AAAAAH2zc6A=")</f>
        <v>#REF!</v>
      </c>
      <c r="FF190" t="e">
        <f>AND(#REF!,"AAAAAH2zc6E=")</f>
        <v>#REF!</v>
      </c>
      <c r="FG190" t="e">
        <f>AND(#REF!,"AAAAAH2zc6I=")</f>
        <v>#REF!</v>
      </c>
      <c r="FH190" t="e">
        <f>AND(#REF!,"AAAAAH2zc6M=")</f>
        <v>#REF!</v>
      </c>
      <c r="FI190" t="e">
        <f>AND(#REF!,"AAAAAH2zc6Q=")</f>
        <v>#REF!</v>
      </c>
      <c r="FJ190" t="e">
        <f>AND(#REF!,"AAAAAH2zc6U=")</f>
        <v>#REF!</v>
      </c>
      <c r="FK190" t="e">
        <f>AND(#REF!,"AAAAAH2zc6Y=")</f>
        <v>#REF!</v>
      </c>
      <c r="FL190" t="e">
        <f>AND(#REF!,"AAAAAH2zc6c=")</f>
        <v>#REF!</v>
      </c>
      <c r="FM190" t="e">
        <f>AND(#REF!,"AAAAAH2zc6g=")</f>
        <v>#REF!</v>
      </c>
      <c r="FN190" t="e">
        <f>AND(#REF!,"AAAAAH2zc6k=")</f>
        <v>#REF!</v>
      </c>
      <c r="FO190" t="e">
        <f>AND(#REF!,"AAAAAH2zc6o=")</f>
        <v>#REF!</v>
      </c>
      <c r="FP190" t="e">
        <f>AND(#REF!,"AAAAAH2zc6s=")</f>
        <v>#REF!</v>
      </c>
      <c r="FQ190" t="e">
        <f>AND(#REF!,"AAAAAH2zc6w=")</f>
        <v>#REF!</v>
      </c>
      <c r="FR190" t="e">
        <f>AND(#REF!,"AAAAAH2zc60=")</f>
        <v>#REF!</v>
      </c>
      <c r="FS190" t="e">
        <f>AND(#REF!,"AAAAAH2zc64=")</f>
        <v>#REF!</v>
      </c>
      <c r="FT190" t="e">
        <f>AND(#REF!,"AAAAAH2zc68=")</f>
        <v>#REF!</v>
      </c>
      <c r="FU190" t="e">
        <f>AND(#REF!,"AAAAAH2zc7A=")</f>
        <v>#REF!</v>
      </c>
      <c r="FV190" t="e">
        <f>AND(#REF!,"AAAAAH2zc7E=")</f>
        <v>#REF!</v>
      </c>
      <c r="FW190" t="e">
        <f>AND(#REF!,"AAAAAH2zc7I=")</f>
        <v>#REF!</v>
      </c>
      <c r="FX190" t="e">
        <f>AND(#REF!,"AAAAAH2zc7M=")</f>
        <v>#REF!</v>
      </c>
      <c r="FY190" t="e">
        <f>AND(#REF!,"AAAAAH2zc7Q=")</f>
        <v>#REF!</v>
      </c>
      <c r="FZ190" t="e">
        <f>AND(#REF!,"AAAAAH2zc7U=")</f>
        <v>#REF!</v>
      </c>
      <c r="GA190" t="e">
        <f>AND(#REF!,"AAAAAH2zc7Y=")</f>
        <v>#REF!</v>
      </c>
      <c r="GB190" t="e">
        <f>AND(#REF!,"AAAAAH2zc7c=")</f>
        <v>#REF!</v>
      </c>
      <c r="GC190" t="e">
        <f>AND(#REF!,"AAAAAH2zc7g=")</f>
        <v>#REF!</v>
      </c>
      <c r="GD190" t="e">
        <f>AND(#REF!,"AAAAAH2zc7k=")</f>
        <v>#REF!</v>
      </c>
      <c r="GE190" t="e">
        <f>AND(#REF!,"AAAAAH2zc7o=")</f>
        <v>#REF!</v>
      </c>
      <c r="GF190" t="e">
        <f>AND(#REF!,"AAAAAH2zc7s=")</f>
        <v>#REF!</v>
      </c>
      <c r="GG190" t="e">
        <f>AND(#REF!,"AAAAAH2zc7w=")</f>
        <v>#REF!</v>
      </c>
      <c r="GH190" t="e">
        <f>AND(#REF!,"AAAAAH2zc70=")</f>
        <v>#REF!</v>
      </c>
      <c r="GI190" t="e">
        <f>AND(#REF!,"AAAAAH2zc74=")</f>
        <v>#REF!</v>
      </c>
      <c r="GJ190" t="e">
        <f>AND(#REF!,"AAAAAH2zc78=")</f>
        <v>#REF!</v>
      </c>
      <c r="GK190" t="e">
        <f>AND(#REF!,"AAAAAH2zc8A=")</f>
        <v>#REF!</v>
      </c>
      <c r="GL190" t="e">
        <f>AND(#REF!,"AAAAAH2zc8E=")</f>
        <v>#REF!</v>
      </c>
      <c r="GM190" t="e">
        <f>AND(#REF!,"AAAAAH2zc8I=")</f>
        <v>#REF!</v>
      </c>
      <c r="GN190" t="e">
        <f>AND(#REF!,"AAAAAH2zc8M=")</f>
        <v>#REF!</v>
      </c>
      <c r="GO190" t="e">
        <f>AND(#REF!,"AAAAAH2zc8Q=")</f>
        <v>#REF!</v>
      </c>
      <c r="GP190" t="e">
        <f>AND(#REF!,"AAAAAH2zc8U=")</f>
        <v>#REF!</v>
      </c>
      <c r="GQ190" t="e">
        <f>AND(#REF!,"AAAAAH2zc8Y=")</f>
        <v>#REF!</v>
      </c>
      <c r="GR190" t="e">
        <f>AND(#REF!,"AAAAAH2zc8c=")</f>
        <v>#REF!</v>
      </c>
      <c r="GS190" t="e">
        <f>AND(#REF!,"AAAAAH2zc8g=")</f>
        <v>#REF!</v>
      </c>
      <c r="GT190" t="e">
        <f>AND(#REF!,"AAAAAH2zc8k=")</f>
        <v>#REF!</v>
      </c>
      <c r="GU190" t="e">
        <f>AND(#REF!,"AAAAAH2zc8o=")</f>
        <v>#REF!</v>
      </c>
      <c r="GV190" t="e">
        <f>AND(#REF!,"AAAAAH2zc8s=")</f>
        <v>#REF!</v>
      </c>
      <c r="GW190" t="e">
        <f>AND(#REF!,"AAAAAH2zc8w=")</f>
        <v>#REF!</v>
      </c>
      <c r="GX190" t="e">
        <f>AND(#REF!,"AAAAAH2zc80=")</f>
        <v>#REF!</v>
      </c>
      <c r="GY190" t="e">
        <f>AND(#REF!,"AAAAAH2zc84=")</f>
        <v>#REF!</v>
      </c>
      <c r="GZ190" t="e">
        <f>AND(#REF!,"AAAAAH2zc88=")</f>
        <v>#REF!</v>
      </c>
      <c r="HA190" t="e">
        <f>AND(#REF!,"AAAAAH2zc9A=")</f>
        <v>#REF!</v>
      </c>
      <c r="HB190" t="e">
        <f>AND(#REF!,"AAAAAH2zc9E=")</f>
        <v>#REF!</v>
      </c>
      <c r="HC190" t="e">
        <f>AND(#REF!,"AAAAAH2zc9I=")</f>
        <v>#REF!</v>
      </c>
      <c r="HD190" t="e">
        <f>AND(#REF!,"AAAAAH2zc9M=")</f>
        <v>#REF!</v>
      </c>
      <c r="HE190" t="e">
        <f>AND(#REF!,"AAAAAH2zc9Q=")</f>
        <v>#REF!</v>
      </c>
      <c r="HF190" t="e">
        <f>AND(#REF!,"AAAAAH2zc9U=")</f>
        <v>#REF!</v>
      </c>
      <c r="HG190" t="e">
        <f>AND(#REF!,"AAAAAH2zc9Y=")</f>
        <v>#REF!</v>
      </c>
      <c r="HH190" t="e">
        <f>AND(#REF!,"AAAAAH2zc9c=")</f>
        <v>#REF!</v>
      </c>
      <c r="HI190" t="e">
        <f>AND(#REF!,"AAAAAH2zc9g=")</f>
        <v>#REF!</v>
      </c>
      <c r="HJ190" t="e">
        <f>AND(#REF!,"AAAAAH2zc9k=")</f>
        <v>#REF!</v>
      </c>
      <c r="HK190" t="e">
        <f>AND(#REF!,"AAAAAH2zc9o=")</f>
        <v>#REF!</v>
      </c>
      <c r="HL190" t="e">
        <f>AND(#REF!,"AAAAAH2zc9s=")</f>
        <v>#REF!</v>
      </c>
      <c r="HM190" t="e">
        <f>AND(#REF!,"AAAAAH2zc9w=")</f>
        <v>#REF!</v>
      </c>
      <c r="HN190" t="e">
        <f>AND(#REF!,"AAAAAH2zc90=")</f>
        <v>#REF!</v>
      </c>
      <c r="HO190" t="e">
        <f>AND(#REF!,"AAAAAH2zc94=")</f>
        <v>#REF!</v>
      </c>
      <c r="HP190" t="e">
        <f>AND(#REF!,"AAAAAH2zc98=")</f>
        <v>#REF!</v>
      </c>
      <c r="HQ190" t="e">
        <f>AND(#REF!,"AAAAAH2zc+A=")</f>
        <v>#REF!</v>
      </c>
      <c r="HR190" t="e">
        <f>AND(#REF!,"AAAAAH2zc+E=")</f>
        <v>#REF!</v>
      </c>
      <c r="HS190" t="e">
        <f>AND(#REF!,"AAAAAH2zc+I=")</f>
        <v>#REF!</v>
      </c>
      <c r="HT190" t="e">
        <f>AND(#REF!,"AAAAAH2zc+M=")</f>
        <v>#REF!</v>
      </c>
      <c r="HU190" t="e">
        <f>AND(#REF!,"AAAAAH2zc+Q=")</f>
        <v>#REF!</v>
      </c>
      <c r="HV190" t="e">
        <f>AND(#REF!,"AAAAAH2zc+U=")</f>
        <v>#REF!</v>
      </c>
      <c r="HW190" t="e">
        <f>AND(#REF!,"AAAAAH2zc+Y=")</f>
        <v>#REF!</v>
      </c>
      <c r="HX190" t="e">
        <f>AND(#REF!,"AAAAAH2zc+c=")</f>
        <v>#REF!</v>
      </c>
      <c r="HY190" t="e">
        <f>AND(#REF!,"AAAAAH2zc+g=")</f>
        <v>#REF!</v>
      </c>
      <c r="HZ190" t="e">
        <f>AND(#REF!,"AAAAAH2zc+k=")</f>
        <v>#REF!</v>
      </c>
      <c r="IA190" t="e">
        <f>AND(#REF!,"AAAAAH2zc+o=")</f>
        <v>#REF!</v>
      </c>
      <c r="IB190" t="e">
        <f>AND(#REF!,"AAAAAH2zc+s=")</f>
        <v>#REF!</v>
      </c>
      <c r="IC190" t="e">
        <f>AND(#REF!,"AAAAAH2zc+w=")</f>
        <v>#REF!</v>
      </c>
      <c r="ID190" t="e">
        <f>AND(#REF!,"AAAAAH2zc+0=")</f>
        <v>#REF!</v>
      </c>
      <c r="IE190" t="e">
        <f>AND(#REF!,"AAAAAH2zc+4=")</f>
        <v>#REF!</v>
      </c>
      <c r="IF190" t="e">
        <f>AND(#REF!,"AAAAAH2zc+8=")</f>
        <v>#REF!</v>
      </c>
      <c r="IG190" t="e">
        <f>AND(#REF!,"AAAAAH2zc/A=")</f>
        <v>#REF!</v>
      </c>
      <c r="IH190" t="e">
        <f>AND(#REF!,"AAAAAH2zc/E=")</f>
        <v>#REF!</v>
      </c>
      <c r="II190" t="e">
        <f>AND(#REF!,"AAAAAH2zc/I=")</f>
        <v>#REF!</v>
      </c>
      <c r="IJ190" t="e">
        <f>AND(#REF!,"AAAAAH2zc/M=")</f>
        <v>#REF!</v>
      </c>
      <c r="IK190" t="e">
        <f>AND(#REF!,"AAAAAH2zc/Q=")</f>
        <v>#REF!</v>
      </c>
      <c r="IL190" t="e">
        <f>AND(#REF!,"AAAAAH2zc/U=")</f>
        <v>#REF!</v>
      </c>
      <c r="IM190" t="e">
        <f>AND(#REF!,"AAAAAH2zc/Y=")</f>
        <v>#REF!</v>
      </c>
      <c r="IN190" t="e">
        <f>AND(#REF!,"AAAAAH2zc/c=")</f>
        <v>#REF!</v>
      </c>
      <c r="IO190" t="e">
        <f>AND(#REF!,"AAAAAH2zc/g=")</f>
        <v>#REF!</v>
      </c>
      <c r="IP190" t="e">
        <f>AND(#REF!,"AAAAAH2zc/k=")</f>
        <v>#REF!</v>
      </c>
      <c r="IQ190" t="e">
        <f>AND(#REF!,"AAAAAH2zc/o=")</f>
        <v>#REF!</v>
      </c>
      <c r="IR190" t="e">
        <f>AND(#REF!,"AAAAAH2zc/s=")</f>
        <v>#REF!</v>
      </c>
      <c r="IS190" t="e">
        <f>AND(#REF!,"AAAAAH2zc/w=")</f>
        <v>#REF!</v>
      </c>
      <c r="IT190" t="e">
        <f>AND(#REF!,"AAAAAH2zc/0=")</f>
        <v>#REF!</v>
      </c>
      <c r="IU190" t="e">
        <f>AND(#REF!,"AAAAAH2zc/4=")</f>
        <v>#REF!</v>
      </c>
      <c r="IV190" t="e">
        <f>AND(#REF!,"AAAAAH2zc/8=")</f>
        <v>#REF!</v>
      </c>
    </row>
    <row r="191" spans="1:256" x14ac:dyDescent="0.25">
      <c r="A191" t="e">
        <f>AND(#REF!,"AAAAAH1+vwA=")</f>
        <v>#REF!</v>
      </c>
      <c r="B191" t="e">
        <f>AND(#REF!,"AAAAAH1+vwE=")</f>
        <v>#REF!</v>
      </c>
      <c r="C191" t="e">
        <f>AND(#REF!,"AAAAAH1+vwI=")</f>
        <v>#REF!</v>
      </c>
      <c r="D191" t="e">
        <f>AND(#REF!,"AAAAAH1+vwM=")</f>
        <v>#REF!</v>
      </c>
      <c r="E191" t="e">
        <f>AND(#REF!,"AAAAAH1+vwQ=")</f>
        <v>#REF!</v>
      </c>
      <c r="F191" t="e">
        <f>AND(#REF!,"AAAAAH1+vwU=")</f>
        <v>#REF!</v>
      </c>
      <c r="G191" t="e">
        <f>AND(#REF!,"AAAAAH1+vwY=")</f>
        <v>#REF!</v>
      </c>
      <c r="H191" t="e">
        <f>AND(#REF!,"AAAAAH1+vwc=")</f>
        <v>#REF!</v>
      </c>
      <c r="I191" t="e">
        <f>AND(#REF!,"AAAAAH1+vwg=")</f>
        <v>#REF!</v>
      </c>
      <c r="J191" t="e">
        <f>AND(#REF!,"AAAAAH1+vwk=")</f>
        <v>#REF!</v>
      </c>
      <c r="K191" t="e">
        <f>AND(#REF!,"AAAAAH1+vwo=")</f>
        <v>#REF!</v>
      </c>
      <c r="L191" t="e">
        <f>AND(#REF!,"AAAAAH1+vws=")</f>
        <v>#REF!</v>
      </c>
      <c r="M191" t="e">
        <f>AND(#REF!,"AAAAAH1+vww=")</f>
        <v>#REF!</v>
      </c>
      <c r="N191" t="e">
        <f>AND(#REF!,"AAAAAH1+vw0=")</f>
        <v>#REF!</v>
      </c>
      <c r="O191" t="e">
        <f>AND(#REF!,"AAAAAH1+vw4=")</f>
        <v>#REF!</v>
      </c>
      <c r="P191" t="e">
        <f>AND(#REF!,"AAAAAH1+vw8=")</f>
        <v>#REF!</v>
      </c>
      <c r="Q191" t="e">
        <f>AND(#REF!,"AAAAAH1+vxA=")</f>
        <v>#REF!</v>
      </c>
      <c r="R191" t="e">
        <f>AND(#REF!,"AAAAAH1+vxE=")</f>
        <v>#REF!</v>
      </c>
      <c r="S191" t="e">
        <f>AND(#REF!,"AAAAAH1+vxI=")</f>
        <v>#REF!</v>
      </c>
      <c r="T191" t="e">
        <f>AND(#REF!,"AAAAAH1+vxM=")</f>
        <v>#REF!</v>
      </c>
      <c r="U191" t="e">
        <f>AND(#REF!,"AAAAAH1+vxQ=")</f>
        <v>#REF!</v>
      </c>
      <c r="V191" t="e">
        <f>AND(#REF!,"AAAAAH1+vxU=")</f>
        <v>#REF!</v>
      </c>
      <c r="W191" t="e">
        <f>AND(#REF!,"AAAAAH1+vxY=")</f>
        <v>#REF!</v>
      </c>
      <c r="X191" t="e">
        <f>AND(#REF!,"AAAAAH1+vxc=")</f>
        <v>#REF!</v>
      </c>
      <c r="Y191" t="e">
        <f>AND(#REF!,"AAAAAH1+vxg=")</f>
        <v>#REF!</v>
      </c>
      <c r="Z191" t="e">
        <f>AND(#REF!,"AAAAAH1+vxk=")</f>
        <v>#REF!</v>
      </c>
      <c r="AA191" t="e">
        <f>AND(#REF!,"AAAAAH1+vxo=")</f>
        <v>#REF!</v>
      </c>
      <c r="AB191" t="e">
        <f>AND(#REF!,"AAAAAH1+vxs=")</f>
        <v>#REF!</v>
      </c>
      <c r="AC191" t="e">
        <f>AND(#REF!,"AAAAAH1+vxw=")</f>
        <v>#REF!</v>
      </c>
      <c r="AD191" t="e">
        <f>AND(#REF!,"AAAAAH1+vx0=")</f>
        <v>#REF!</v>
      </c>
      <c r="AE191" t="e">
        <f>AND(#REF!,"AAAAAH1+vx4=")</f>
        <v>#REF!</v>
      </c>
      <c r="AF191" t="e">
        <f>AND(#REF!,"AAAAAH1+vx8=")</f>
        <v>#REF!</v>
      </c>
      <c r="AG191" t="e">
        <f>AND(#REF!,"AAAAAH1+vyA=")</f>
        <v>#REF!</v>
      </c>
      <c r="AH191" t="e">
        <f>AND(#REF!,"AAAAAH1+vyE=")</f>
        <v>#REF!</v>
      </c>
      <c r="AI191" t="e">
        <f>AND(#REF!,"AAAAAH1+vyI=")</f>
        <v>#REF!</v>
      </c>
      <c r="AJ191" t="e">
        <f>AND(#REF!,"AAAAAH1+vyM=")</f>
        <v>#REF!</v>
      </c>
      <c r="AK191" t="e">
        <f>AND(#REF!,"AAAAAH1+vyQ=")</f>
        <v>#REF!</v>
      </c>
      <c r="AL191" t="e">
        <f>AND(#REF!,"AAAAAH1+vyU=")</f>
        <v>#REF!</v>
      </c>
      <c r="AM191" t="e">
        <f>AND(#REF!,"AAAAAH1+vyY=")</f>
        <v>#REF!</v>
      </c>
      <c r="AN191" t="e">
        <f>AND(#REF!,"AAAAAH1+vyc=")</f>
        <v>#REF!</v>
      </c>
      <c r="AO191" t="e">
        <f>AND(#REF!,"AAAAAH1+vyg=")</f>
        <v>#REF!</v>
      </c>
      <c r="AP191" t="e">
        <f>AND(#REF!,"AAAAAH1+vyk=")</f>
        <v>#REF!</v>
      </c>
      <c r="AQ191" t="e">
        <f>AND(#REF!,"AAAAAH1+vyo=")</f>
        <v>#REF!</v>
      </c>
      <c r="AR191" t="e">
        <f>AND(#REF!,"AAAAAH1+vys=")</f>
        <v>#REF!</v>
      </c>
      <c r="AS191" t="e">
        <f>AND(#REF!,"AAAAAH1+vyw=")</f>
        <v>#REF!</v>
      </c>
      <c r="AT191" t="e">
        <f>AND(#REF!,"AAAAAH1+vy0=")</f>
        <v>#REF!</v>
      </c>
      <c r="AU191" t="e">
        <f>AND(#REF!,"AAAAAH1+vy4=")</f>
        <v>#REF!</v>
      </c>
      <c r="AV191" t="e">
        <f>AND(#REF!,"AAAAAH1+vy8=")</f>
        <v>#REF!</v>
      </c>
      <c r="AW191" t="e">
        <f>AND(#REF!,"AAAAAH1+vzA=")</f>
        <v>#REF!</v>
      </c>
      <c r="AX191" t="e">
        <f>AND(#REF!,"AAAAAH1+vzE=")</f>
        <v>#REF!</v>
      </c>
      <c r="AY191" t="e">
        <f>AND(#REF!,"AAAAAH1+vzI=")</f>
        <v>#REF!</v>
      </c>
      <c r="AZ191" t="e">
        <f>AND(#REF!,"AAAAAH1+vzM=")</f>
        <v>#REF!</v>
      </c>
      <c r="BA191" t="e">
        <f>AND(#REF!,"AAAAAH1+vzQ=")</f>
        <v>#REF!</v>
      </c>
      <c r="BB191" t="e">
        <f>AND(#REF!,"AAAAAH1+vzU=")</f>
        <v>#REF!</v>
      </c>
      <c r="BC191" t="e">
        <f>AND(#REF!,"AAAAAH1+vzY=")</f>
        <v>#REF!</v>
      </c>
      <c r="BD191" t="e">
        <f>AND(#REF!,"AAAAAH1+vzc=")</f>
        <v>#REF!</v>
      </c>
      <c r="BE191" t="e">
        <f>AND(#REF!,"AAAAAH1+vzg=")</f>
        <v>#REF!</v>
      </c>
      <c r="BF191" t="e">
        <f>AND(#REF!,"AAAAAH1+vzk=")</f>
        <v>#REF!</v>
      </c>
      <c r="BG191" t="e">
        <f>AND(#REF!,"AAAAAH1+vzo=")</f>
        <v>#REF!</v>
      </c>
      <c r="BH191" t="e">
        <f>AND(#REF!,"AAAAAH1+vzs=")</f>
        <v>#REF!</v>
      </c>
      <c r="BI191" t="e">
        <f>AND(#REF!,"AAAAAH1+vzw=")</f>
        <v>#REF!</v>
      </c>
      <c r="BJ191" t="e">
        <f>AND(#REF!,"AAAAAH1+vz0=")</f>
        <v>#REF!</v>
      </c>
      <c r="BK191" t="e">
        <f>AND(#REF!,"AAAAAH1+vz4=")</f>
        <v>#REF!</v>
      </c>
      <c r="BL191" t="e">
        <f>AND(#REF!,"AAAAAH1+vz8=")</f>
        <v>#REF!</v>
      </c>
      <c r="BM191" t="e">
        <f>AND(#REF!,"AAAAAH1+v0A=")</f>
        <v>#REF!</v>
      </c>
      <c r="BN191" t="e">
        <f>AND(#REF!,"AAAAAH1+v0E=")</f>
        <v>#REF!</v>
      </c>
      <c r="BO191" t="e">
        <f>AND(#REF!,"AAAAAH1+v0I=")</f>
        <v>#REF!</v>
      </c>
      <c r="BP191" t="e">
        <f>AND(#REF!,"AAAAAH1+v0M=")</f>
        <v>#REF!</v>
      </c>
      <c r="BQ191" t="e">
        <f>AND(#REF!,"AAAAAH1+v0Q=")</f>
        <v>#REF!</v>
      </c>
      <c r="BR191" t="e">
        <f>AND(#REF!,"AAAAAH1+v0U=")</f>
        <v>#REF!</v>
      </c>
      <c r="BS191" t="e">
        <f>AND(#REF!,"AAAAAH1+v0Y=")</f>
        <v>#REF!</v>
      </c>
      <c r="BT191" t="e">
        <f>AND(#REF!,"AAAAAH1+v0c=")</f>
        <v>#REF!</v>
      </c>
      <c r="BU191" t="e">
        <f>AND(#REF!,"AAAAAH1+v0g=")</f>
        <v>#REF!</v>
      </c>
      <c r="BV191" t="e">
        <f>AND(#REF!,"AAAAAH1+v0k=")</f>
        <v>#REF!</v>
      </c>
      <c r="BW191" t="e">
        <f>AND(#REF!,"AAAAAH1+v0o=")</f>
        <v>#REF!</v>
      </c>
      <c r="BX191" t="e">
        <f>AND(#REF!,"AAAAAH1+v0s=")</f>
        <v>#REF!</v>
      </c>
      <c r="BY191" t="e">
        <f>AND(#REF!,"AAAAAH1+v0w=")</f>
        <v>#REF!</v>
      </c>
      <c r="BZ191" t="e">
        <f>AND(#REF!,"AAAAAH1+v00=")</f>
        <v>#REF!</v>
      </c>
      <c r="CA191" t="e">
        <f>IF(#REF!,"AAAAAH1+v04=",0)</f>
        <v>#REF!</v>
      </c>
      <c r="CB191" t="e">
        <f>AND(#REF!,"AAAAAH1+v08=")</f>
        <v>#REF!</v>
      </c>
      <c r="CC191" t="e">
        <f>AND(#REF!,"AAAAAH1+v1A=")</f>
        <v>#REF!</v>
      </c>
      <c r="CD191" t="e">
        <f>AND(#REF!,"AAAAAH1+v1E=")</f>
        <v>#REF!</v>
      </c>
      <c r="CE191" t="e">
        <f>AND(#REF!,"AAAAAH1+v1I=")</f>
        <v>#REF!</v>
      </c>
      <c r="CF191" t="e">
        <f>AND(#REF!,"AAAAAH1+v1M=")</f>
        <v>#REF!</v>
      </c>
      <c r="CG191" t="e">
        <f>AND(#REF!,"AAAAAH1+v1Q=")</f>
        <v>#REF!</v>
      </c>
      <c r="CH191" t="e">
        <f>AND(#REF!,"AAAAAH1+v1U=")</f>
        <v>#REF!</v>
      </c>
      <c r="CI191" t="e">
        <f>AND(#REF!,"AAAAAH1+v1Y=")</f>
        <v>#REF!</v>
      </c>
      <c r="CJ191" t="e">
        <f>AND(#REF!,"AAAAAH1+v1c=")</f>
        <v>#REF!</v>
      </c>
      <c r="CK191" t="e">
        <f>AND(#REF!,"AAAAAH1+v1g=")</f>
        <v>#REF!</v>
      </c>
      <c r="CL191" t="e">
        <f>AND(#REF!,"AAAAAH1+v1k=")</f>
        <v>#REF!</v>
      </c>
      <c r="CM191" t="e">
        <f>AND(#REF!,"AAAAAH1+v1o=")</f>
        <v>#REF!</v>
      </c>
      <c r="CN191" t="e">
        <f>AND(#REF!,"AAAAAH1+v1s=")</f>
        <v>#REF!</v>
      </c>
      <c r="CO191" t="e">
        <f>AND(#REF!,"AAAAAH1+v1w=")</f>
        <v>#REF!</v>
      </c>
      <c r="CP191" t="e">
        <f>AND(#REF!,"AAAAAH1+v10=")</f>
        <v>#REF!</v>
      </c>
      <c r="CQ191" t="e">
        <f>AND(#REF!,"AAAAAH1+v14=")</f>
        <v>#REF!</v>
      </c>
      <c r="CR191" t="e">
        <f>AND(#REF!,"AAAAAH1+v18=")</f>
        <v>#REF!</v>
      </c>
      <c r="CS191" t="e">
        <f>AND(#REF!,"AAAAAH1+v2A=")</f>
        <v>#REF!</v>
      </c>
      <c r="CT191" t="e">
        <f>AND(#REF!,"AAAAAH1+v2E=")</f>
        <v>#REF!</v>
      </c>
      <c r="CU191" t="e">
        <f>AND(#REF!,"AAAAAH1+v2I=")</f>
        <v>#REF!</v>
      </c>
      <c r="CV191" t="e">
        <f>AND(#REF!,"AAAAAH1+v2M=")</f>
        <v>#REF!</v>
      </c>
      <c r="CW191" t="e">
        <f>AND(#REF!,"AAAAAH1+v2Q=")</f>
        <v>#REF!</v>
      </c>
      <c r="CX191" t="e">
        <f>AND(#REF!,"AAAAAH1+v2U=")</f>
        <v>#REF!</v>
      </c>
      <c r="CY191" t="e">
        <f>AND(#REF!,"AAAAAH1+v2Y=")</f>
        <v>#REF!</v>
      </c>
      <c r="CZ191" t="e">
        <f>AND(#REF!,"AAAAAH1+v2c=")</f>
        <v>#REF!</v>
      </c>
      <c r="DA191" t="e">
        <f>AND(#REF!,"AAAAAH1+v2g=")</f>
        <v>#REF!</v>
      </c>
      <c r="DB191" t="e">
        <f>AND(#REF!,"AAAAAH1+v2k=")</f>
        <v>#REF!</v>
      </c>
      <c r="DC191" t="e">
        <f>AND(#REF!,"AAAAAH1+v2o=")</f>
        <v>#REF!</v>
      </c>
      <c r="DD191" t="e">
        <f>AND(#REF!,"AAAAAH1+v2s=")</f>
        <v>#REF!</v>
      </c>
      <c r="DE191" t="e">
        <f>AND(#REF!,"AAAAAH1+v2w=")</f>
        <v>#REF!</v>
      </c>
      <c r="DF191" t="e">
        <f>AND(#REF!,"AAAAAH1+v20=")</f>
        <v>#REF!</v>
      </c>
      <c r="DG191" t="e">
        <f>AND(#REF!,"AAAAAH1+v24=")</f>
        <v>#REF!</v>
      </c>
      <c r="DH191" t="e">
        <f>AND(#REF!,"AAAAAH1+v28=")</f>
        <v>#REF!</v>
      </c>
      <c r="DI191" t="e">
        <f>AND(#REF!,"AAAAAH1+v3A=")</f>
        <v>#REF!</v>
      </c>
      <c r="DJ191" t="e">
        <f>AND(#REF!,"AAAAAH1+v3E=")</f>
        <v>#REF!</v>
      </c>
      <c r="DK191" t="e">
        <f>AND(#REF!,"AAAAAH1+v3I=")</f>
        <v>#REF!</v>
      </c>
      <c r="DL191" t="e">
        <f>AND(#REF!,"AAAAAH1+v3M=")</f>
        <v>#REF!</v>
      </c>
      <c r="DM191" t="e">
        <f>AND(#REF!,"AAAAAH1+v3Q=")</f>
        <v>#REF!</v>
      </c>
      <c r="DN191" t="e">
        <f>AND(#REF!,"AAAAAH1+v3U=")</f>
        <v>#REF!</v>
      </c>
      <c r="DO191" t="e">
        <f>AND(#REF!,"AAAAAH1+v3Y=")</f>
        <v>#REF!</v>
      </c>
      <c r="DP191" t="e">
        <f>AND(#REF!,"AAAAAH1+v3c=")</f>
        <v>#REF!</v>
      </c>
      <c r="DQ191" t="e">
        <f>AND(#REF!,"AAAAAH1+v3g=")</f>
        <v>#REF!</v>
      </c>
      <c r="DR191" t="e">
        <f>AND(#REF!,"AAAAAH1+v3k=")</f>
        <v>#REF!</v>
      </c>
      <c r="DS191" t="e">
        <f>AND(#REF!,"AAAAAH1+v3o=")</f>
        <v>#REF!</v>
      </c>
      <c r="DT191" t="e">
        <f>AND(#REF!,"AAAAAH1+v3s=")</f>
        <v>#REF!</v>
      </c>
      <c r="DU191" t="e">
        <f>AND(#REF!,"AAAAAH1+v3w=")</f>
        <v>#REF!</v>
      </c>
      <c r="DV191" t="e">
        <f>AND(#REF!,"AAAAAH1+v30=")</f>
        <v>#REF!</v>
      </c>
      <c r="DW191" t="e">
        <f>AND(#REF!,"AAAAAH1+v34=")</f>
        <v>#REF!</v>
      </c>
      <c r="DX191" t="e">
        <f>AND(#REF!,"AAAAAH1+v38=")</f>
        <v>#REF!</v>
      </c>
      <c r="DY191" t="e">
        <f>AND(#REF!,"AAAAAH1+v4A=")</f>
        <v>#REF!</v>
      </c>
      <c r="DZ191" t="e">
        <f>AND(#REF!,"AAAAAH1+v4E=")</f>
        <v>#REF!</v>
      </c>
      <c r="EA191" t="e">
        <f>AND(#REF!,"AAAAAH1+v4I=")</f>
        <v>#REF!</v>
      </c>
      <c r="EB191" t="e">
        <f>AND(#REF!,"AAAAAH1+v4M=")</f>
        <v>#REF!</v>
      </c>
      <c r="EC191" t="e">
        <f>AND(#REF!,"AAAAAH1+v4Q=")</f>
        <v>#REF!</v>
      </c>
      <c r="ED191" t="e">
        <f>AND(#REF!,"AAAAAH1+v4U=")</f>
        <v>#REF!</v>
      </c>
      <c r="EE191" t="e">
        <f>AND(#REF!,"AAAAAH1+v4Y=")</f>
        <v>#REF!</v>
      </c>
      <c r="EF191" t="e">
        <f>AND(#REF!,"AAAAAH1+v4c=")</f>
        <v>#REF!</v>
      </c>
      <c r="EG191" t="e">
        <f>AND(#REF!,"AAAAAH1+v4g=")</f>
        <v>#REF!</v>
      </c>
      <c r="EH191" t="e">
        <f>AND(#REF!,"AAAAAH1+v4k=")</f>
        <v>#REF!</v>
      </c>
      <c r="EI191" t="e">
        <f>AND(#REF!,"AAAAAH1+v4o=")</f>
        <v>#REF!</v>
      </c>
      <c r="EJ191" t="e">
        <f>AND(#REF!,"AAAAAH1+v4s=")</f>
        <v>#REF!</v>
      </c>
      <c r="EK191" t="e">
        <f>AND(#REF!,"AAAAAH1+v4w=")</f>
        <v>#REF!</v>
      </c>
      <c r="EL191" t="e">
        <f>AND(#REF!,"AAAAAH1+v40=")</f>
        <v>#REF!</v>
      </c>
      <c r="EM191" t="e">
        <f>AND(#REF!,"AAAAAH1+v44=")</f>
        <v>#REF!</v>
      </c>
      <c r="EN191" t="e">
        <f>AND(#REF!,"AAAAAH1+v48=")</f>
        <v>#REF!</v>
      </c>
      <c r="EO191" t="e">
        <f>AND(#REF!,"AAAAAH1+v5A=")</f>
        <v>#REF!</v>
      </c>
      <c r="EP191" t="e">
        <f>AND(#REF!,"AAAAAH1+v5E=")</f>
        <v>#REF!</v>
      </c>
      <c r="EQ191" t="e">
        <f>AND(#REF!,"AAAAAH1+v5I=")</f>
        <v>#REF!</v>
      </c>
      <c r="ER191" t="e">
        <f>AND(#REF!,"AAAAAH1+v5M=")</f>
        <v>#REF!</v>
      </c>
      <c r="ES191" t="e">
        <f>AND(#REF!,"AAAAAH1+v5Q=")</f>
        <v>#REF!</v>
      </c>
      <c r="ET191" t="e">
        <f>AND(#REF!,"AAAAAH1+v5U=")</f>
        <v>#REF!</v>
      </c>
      <c r="EU191" t="e">
        <f>AND(#REF!,"AAAAAH1+v5Y=")</f>
        <v>#REF!</v>
      </c>
      <c r="EV191" t="e">
        <f>AND(#REF!,"AAAAAH1+v5c=")</f>
        <v>#REF!</v>
      </c>
      <c r="EW191" t="e">
        <f>AND(#REF!,"AAAAAH1+v5g=")</f>
        <v>#REF!</v>
      </c>
      <c r="EX191" t="e">
        <f>AND(#REF!,"AAAAAH1+v5k=")</f>
        <v>#REF!</v>
      </c>
      <c r="EY191" t="e">
        <f>AND(#REF!,"AAAAAH1+v5o=")</f>
        <v>#REF!</v>
      </c>
      <c r="EZ191" t="e">
        <f>AND(#REF!,"AAAAAH1+v5s=")</f>
        <v>#REF!</v>
      </c>
      <c r="FA191" t="e">
        <f>AND(#REF!,"AAAAAH1+v5w=")</f>
        <v>#REF!</v>
      </c>
      <c r="FB191" t="e">
        <f>AND(#REF!,"AAAAAH1+v50=")</f>
        <v>#REF!</v>
      </c>
      <c r="FC191" t="e">
        <f>AND(#REF!,"AAAAAH1+v54=")</f>
        <v>#REF!</v>
      </c>
      <c r="FD191" t="e">
        <f>AND(#REF!,"AAAAAH1+v58=")</f>
        <v>#REF!</v>
      </c>
      <c r="FE191" t="e">
        <f>AND(#REF!,"AAAAAH1+v6A=")</f>
        <v>#REF!</v>
      </c>
      <c r="FF191" t="e">
        <f>AND(#REF!,"AAAAAH1+v6E=")</f>
        <v>#REF!</v>
      </c>
      <c r="FG191" t="e">
        <f>AND(#REF!,"AAAAAH1+v6I=")</f>
        <v>#REF!</v>
      </c>
      <c r="FH191" t="e">
        <f>AND(#REF!,"AAAAAH1+v6M=")</f>
        <v>#REF!</v>
      </c>
      <c r="FI191" t="e">
        <f>AND(#REF!,"AAAAAH1+v6Q=")</f>
        <v>#REF!</v>
      </c>
      <c r="FJ191" t="e">
        <f>AND(#REF!,"AAAAAH1+v6U=")</f>
        <v>#REF!</v>
      </c>
      <c r="FK191" t="e">
        <f>AND(#REF!,"AAAAAH1+v6Y=")</f>
        <v>#REF!</v>
      </c>
      <c r="FL191" t="e">
        <f>AND(#REF!,"AAAAAH1+v6c=")</f>
        <v>#REF!</v>
      </c>
      <c r="FM191" t="e">
        <f>AND(#REF!,"AAAAAH1+v6g=")</f>
        <v>#REF!</v>
      </c>
      <c r="FN191" t="e">
        <f>AND(#REF!,"AAAAAH1+v6k=")</f>
        <v>#REF!</v>
      </c>
      <c r="FO191" t="e">
        <f>AND(#REF!,"AAAAAH1+v6o=")</f>
        <v>#REF!</v>
      </c>
      <c r="FP191" t="e">
        <f>AND(#REF!,"AAAAAH1+v6s=")</f>
        <v>#REF!</v>
      </c>
      <c r="FQ191" t="e">
        <f>AND(#REF!,"AAAAAH1+v6w=")</f>
        <v>#REF!</v>
      </c>
      <c r="FR191" t="e">
        <f>AND(#REF!,"AAAAAH1+v60=")</f>
        <v>#REF!</v>
      </c>
      <c r="FS191" t="e">
        <f>AND(#REF!,"AAAAAH1+v64=")</f>
        <v>#REF!</v>
      </c>
      <c r="FT191" t="e">
        <f>AND(#REF!,"AAAAAH1+v68=")</f>
        <v>#REF!</v>
      </c>
      <c r="FU191" t="e">
        <f>AND(#REF!,"AAAAAH1+v7A=")</f>
        <v>#REF!</v>
      </c>
      <c r="FV191" t="e">
        <f>AND(#REF!,"AAAAAH1+v7E=")</f>
        <v>#REF!</v>
      </c>
      <c r="FW191" t="e">
        <f>AND(#REF!,"AAAAAH1+v7I=")</f>
        <v>#REF!</v>
      </c>
      <c r="FX191" t="e">
        <f>AND(#REF!,"AAAAAH1+v7M=")</f>
        <v>#REF!</v>
      </c>
      <c r="FY191" t="e">
        <f>AND(#REF!,"AAAAAH1+v7Q=")</f>
        <v>#REF!</v>
      </c>
      <c r="FZ191" t="e">
        <f>AND(#REF!,"AAAAAH1+v7U=")</f>
        <v>#REF!</v>
      </c>
      <c r="GA191" t="e">
        <f>AND(#REF!,"AAAAAH1+v7Y=")</f>
        <v>#REF!</v>
      </c>
      <c r="GB191" t="e">
        <f>AND(#REF!,"AAAAAH1+v7c=")</f>
        <v>#REF!</v>
      </c>
      <c r="GC191" t="e">
        <f>AND(#REF!,"AAAAAH1+v7g=")</f>
        <v>#REF!</v>
      </c>
      <c r="GD191" t="e">
        <f>AND(#REF!,"AAAAAH1+v7k=")</f>
        <v>#REF!</v>
      </c>
      <c r="GE191" t="e">
        <f>AND(#REF!,"AAAAAH1+v7o=")</f>
        <v>#REF!</v>
      </c>
      <c r="GF191" t="e">
        <f>AND(#REF!,"AAAAAH1+v7s=")</f>
        <v>#REF!</v>
      </c>
      <c r="GG191" t="e">
        <f>AND(#REF!,"AAAAAH1+v7w=")</f>
        <v>#REF!</v>
      </c>
      <c r="GH191" t="e">
        <f>AND(#REF!,"AAAAAH1+v70=")</f>
        <v>#REF!</v>
      </c>
      <c r="GI191" t="e">
        <f>AND(#REF!,"AAAAAH1+v74=")</f>
        <v>#REF!</v>
      </c>
      <c r="GJ191" t="e">
        <f>AND(#REF!,"AAAAAH1+v78=")</f>
        <v>#REF!</v>
      </c>
      <c r="GK191" t="e">
        <f>AND(#REF!,"AAAAAH1+v8A=")</f>
        <v>#REF!</v>
      </c>
      <c r="GL191" t="e">
        <f>AND(#REF!,"AAAAAH1+v8E=")</f>
        <v>#REF!</v>
      </c>
      <c r="GM191" t="e">
        <f>AND(#REF!,"AAAAAH1+v8I=")</f>
        <v>#REF!</v>
      </c>
      <c r="GN191" t="e">
        <f>AND(#REF!,"AAAAAH1+v8M=")</f>
        <v>#REF!</v>
      </c>
      <c r="GO191" t="e">
        <f>AND(#REF!,"AAAAAH1+v8Q=")</f>
        <v>#REF!</v>
      </c>
      <c r="GP191" t="e">
        <f>AND(#REF!,"AAAAAH1+v8U=")</f>
        <v>#REF!</v>
      </c>
      <c r="GQ191" t="e">
        <f>AND(#REF!,"AAAAAH1+v8Y=")</f>
        <v>#REF!</v>
      </c>
      <c r="GR191" t="e">
        <f>AND(#REF!,"AAAAAH1+v8c=")</f>
        <v>#REF!</v>
      </c>
      <c r="GS191" t="e">
        <f>AND(#REF!,"AAAAAH1+v8g=")</f>
        <v>#REF!</v>
      </c>
      <c r="GT191" t="e">
        <f>AND(#REF!,"AAAAAH1+v8k=")</f>
        <v>#REF!</v>
      </c>
      <c r="GU191" t="e">
        <f>AND(#REF!,"AAAAAH1+v8o=")</f>
        <v>#REF!</v>
      </c>
      <c r="GV191" t="e">
        <f>AND(#REF!,"AAAAAH1+v8s=")</f>
        <v>#REF!</v>
      </c>
      <c r="GW191" t="e">
        <f>AND(#REF!,"AAAAAH1+v8w=")</f>
        <v>#REF!</v>
      </c>
      <c r="GX191" t="e">
        <f>AND(#REF!,"AAAAAH1+v80=")</f>
        <v>#REF!</v>
      </c>
      <c r="GY191" t="e">
        <f>AND(#REF!,"AAAAAH1+v84=")</f>
        <v>#REF!</v>
      </c>
      <c r="GZ191" t="e">
        <f>AND(#REF!,"AAAAAH1+v88=")</f>
        <v>#REF!</v>
      </c>
      <c r="HA191" t="e">
        <f>AND(#REF!,"AAAAAH1+v9A=")</f>
        <v>#REF!</v>
      </c>
      <c r="HB191" t="e">
        <f>AND(#REF!,"AAAAAH1+v9E=")</f>
        <v>#REF!</v>
      </c>
      <c r="HC191" t="e">
        <f>AND(#REF!,"AAAAAH1+v9I=")</f>
        <v>#REF!</v>
      </c>
      <c r="HD191" t="e">
        <f>AND(#REF!,"AAAAAH1+v9M=")</f>
        <v>#REF!</v>
      </c>
      <c r="HE191" t="e">
        <f>AND(#REF!,"AAAAAH1+v9Q=")</f>
        <v>#REF!</v>
      </c>
      <c r="HF191" t="e">
        <f>AND(#REF!,"AAAAAH1+v9U=")</f>
        <v>#REF!</v>
      </c>
      <c r="HG191" t="e">
        <f>AND(#REF!,"AAAAAH1+v9Y=")</f>
        <v>#REF!</v>
      </c>
      <c r="HH191" t="e">
        <f>AND(#REF!,"AAAAAH1+v9c=")</f>
        <v>#REF!</v>
      </c>
      <c r="HI191" t="e">
        <f>AND(#REF!,"AAAAAH1+v9g=")</f>
        <v>#REF!</v>
      </c>
      <c r="HJ191" t="e">
        <f>AND(#REF!,"AAAAAH1+v9k=")</f>
        <v>#REF!</v>
      </c>
      <c r="HK191" t="e">
        <f>AND(#REF!,"AAAAAH1+v9o=")</f>
        <v>#REF!</v>
      </c>
      <c r="HL191" t="e">
        <f>AND(#REF!,"AAAAAH1+v9s=")</f>
        <v>#REF!</v>
      </c>
      <c r="HM191" t="e">
        <f>AND(#REF!,"AAAAAH1+v9w=")</f>
        <v>#REF!</v>
      </c>
      <c r="HN191" t="e">
        <f>AND(#REF!,"AAAAAH1+v90=")</f>
        <v>#REF!</v>
      </c>
      <c r="HO191" t="e">
        <f>AND(#REF!,"AAAAAH1+v94=")</f>
        <v>#REF!</v>
      </c>
      <c r="HP191" t="e">
        <f>AND(#REF!,"AAAAAH1+v98=")</f>
        <v>#REF!</v>
      </c>
      <c r="HQ191" t="e">
        <f>AND(#REF!,"AAAAAH1+v+A=")</f>
        <v>#REF!</v>
      </c>
      <c r="HR191" t="e">
        <f>AND(#REF!,"AAAAAH1+v+E=")</f>
        <v>#REF!</v>
      </c>
      <c r="HS191" t="e">
        <f>AND(#REF!,"AAAAAH1+v+I=")</f>
        <v>#REF!</v>
      </c>
      <c r="HT191" t="e">
        <f>AND(#REF!,"AAAAAH1+v+M=")</f>
        <v>#REF!</v>
      </c>
      <c r="HU191" t="e">
        <f>AND(#REF!,"AAAAAH1+v+Q=")</f>
        <v>#REF!</v>
      </c>
      <c r="HV191" t="e">
        <f>AND(#REF!,"AAAAAH1+v+U=")</f>
        <v>#REF!</v>
      </c>
      <c r="HW191" t="e">
        <f>AND(#REF!,"AAAAAH1+v+Y=")</f>
        <v>#REF!</v>
      </c>
      <c r="HX191" t="e">
        <f>AND(#REF!,"AAAAAH1+v+c=")</f>
        <v>#REF!</v>
      </c>
      <c r="HY191" t="e">
        <f>AND(#REF!,"AAAAAH1+v+g=")</f>
        <v>#REF!</v>
      </c>
      <c r="HZ191" t="e">
        <f>AND(#REF!,"AAAAAH1+v+k=")</f>
        <v>#REF!</v>
      </c>
      <c r="IA191" t="e">
        <f>AND(#REF!,"AAAAAH1+v+o=")</f>
        <v>#REF!</v>
      </c>
      <c r="IB191" t="e">
        <f>AND(#REF!,"AAAAAH1+v+s=")</f>
        <v>#REF!</v>
      </c>
      <c r="IC191" t="e">
        <f>AND(#REF!,"AAAAAH1+v+w=")</f>
        <v>#REF!</v>
      </c>
      <c r="ID191" t="e">
        <f>AND(#REF!,"AAAAAH1+v+0=")</f>
        <v>#REF!</v>
      </c>
      <c r="IE191" t="e">
        <f>AND(#REF!,"AAAAAH1+v+4=")</f>
        <v>#REF!</v>
      </c>
      <c r="IF191" t="e">
        <f>AND(#REF!,"AAAAAH1+v+8=")</f>
        <v>#REF!</v>
      </c>
      <c r="IG191" t="e">
        <f>AND(#REF!,"AAAAAH1+v/A=")</f>
        <v>#REF!</v>
      </c>
      <c r="IH191" t="e">
        <f>AND(#REF!,"AAAAAH1+v/E=")</f>
        <v>#REF!</v>
      </c>
      <c r="II191" t="e">
        <f>AND(#REF!,"AAAAAH1+v/I=")</f>
        <v>#REF!</v>
      </c>
      <c r="IJ191" t="e">
        <f>AND(#REF!,"AAAAAH1+v/M=")</f>
        <v>#REF!</v>
      </c>
      <c r="IK191" t="e">
        <f>AND(#REF!,"AAAAAH1+v/Q=")</f>
        <v>#REF!</v>
      </c>
      <c r="IL191" t="e">
        <f>AND(#REF!,"AAAAAH1+v/U=")</f>
        <v>#REF!</v>
      </c>
      <c r="IM191" t="e">
        <f>AND(#REF!,"AAAAAH1+v/Y=")</f>
        <v>#REF!</v>
      </c>
      <c r="IN191" t="e">
        <f>AND(#REF!,"AAAAAH1+v/c=")</f>
        <v>#REF!</v>
      </c>
      <c r="IO191" t="e">
        <f>AND(#REF!,"AAAAAH1+v/g=")</f>
        <v>#REF!</v>
      </c>
      <c r="IP191" t="e">
        <f>AND(#REF!,"AAAAAH1+v/k=")</f>
        <v>#REF!</v>
      </c>
      <c r="IQ191" t="e">
        <f>AND(#REF!,"AAAAAH1+v/o=")</f>
        <v>#REF!</v>
      </c>
      <c r="IR191" t="e">
        <f>AND(#REF!,"AAAAAH1+v/s=")</f>
        <v>#REF!</v>
      </c>
      <c r="IS191" t="e">
        <f>AND(#REF!,"AAAAAH1+v/w=")</f>
        <v>#REF!</v>
      </c>
      <c r="IT191" t="e">
        <f>AND(#REF!,"AAAAAH1+v/0=")</f>
        <v>#REF!</v>
      </c>
      <c r="IU191" t="e">
        <f>AND(#REF!,"AAAAAH1+v/4=")</f>
        <v>#REF!</v>
      </c>
      <c r="IV191" t="e">
        <f>AND(#REF!,"AAAAAH1+v/8=")</f>
        <v>#REF!</v>
      </c>
    </row>
    <row r="192" spans="1:256" x14ac:dyDescent="0.25">
      <c r="A192" t="e">
        <f>AND(#REF!,"AAAAAHfx3QA=")</f>
        <v>#REF!</v>
      </c>
      <c r="B192" t="e">
        <f>AND(#REF!,"AAAAAHfx3QE=")</f>
        <v>#REF!</v>
      </c>
      <c r="C192" t="e">
        <f>AND(#REF!,"AAAAAHfx3QI=")</f>
        <v>#REF!</v>
      </c>
      <c r="D192" t="e">
        <f>AND(#REF!,"AAAAAHfx3QM=")</f>
        <v>#REF!</v>
      </c>
      <c r="E192" t="e">
        <f>AND(#REF!,"AAAAAHfx3QQ=")</f>
        <v>#REF!</v>
      </c>
      <c r="F192" t="e">
        <f>AND(#REF!,"AAAAAHfx3QU=")</f>
        <v>#REF!</v>
      </c>
      <c r="G192" t="e">
        <f>AND(#REF!,"AAAAAHfx3QY=")</f>
        <v>#REF!</v>
      </c>
      <c r="H192" t="e">
        <f>AND(#REF!,"AAAAAHfx3Qc=")</f>
        <v>#REF!</v>
      </c>
      <c r="I192" t="e">
        <f>AND(#REF!,"AAAAAHfx3Qg=")</f>
        <v>#REF!</v>
      </c>
      <c r="J192" t="e">
        <f>AND(#REF!,"AAAAAHfx3Qk=")</f>
        <v>#REF!</v>
      </c>
      <c r="K192" t="e">
        <f>AND(#REF!,"AAAAAHfx3Qo=")</f>
        <v>#REF!</v>
      </c>
      <c r="L192" t="e">
        <f>IF(#REF!,"AAAAAHfx3Qs=",0)</f>
        <v>#REF!</v>
      </c>
      <c r="M192" t="e">
        <f>AND(#REF!,"AAAAAHfx3Qw=")</f>
        <v>#REF!</v>
      </c>
      <c r="N192" t="e">
        <f>AND(#REF!,"AAAAAHfx3Q0=")</f>
        <v>#REF!</v>
      </c>
      <c r="O192" t="e">
        <f>AND(#REF!,"AAAAAHfx3Q4=")</f>
        <v>#REF!</v>
      </c>
      <c r="P192" t="e">
        <f>AND(#REF!,"AAAAAHfx3Q8=")</f>
        <v>#REF!</v>
      </c>
      <c r="Q192" t="e">
        <f>AND(#REF!,"AAAAAHfx3RA=")</f>
        <v>#REF!</v>
      </c>
      <c r="R192" t="e">
        <f>AND(#REF!,"AAAAAHfx3RE=")</f>
        <v>#REF!</v>
      </c>
      <c r="S192" t="e">
        <f>AND(#REF!,"AAAAAHfx3RI=")</f>
        <v>#REF!</v>
      </c>
      <c r="T192" t="e">
        <f>AND(#REF!,"AAAAAHfx3RM=")</f>
        <v>#REF!</v>
      </c>
      <c r="U192" t="e">
        <f>AND(#REF!,"AAAAAHfx3RQ=")</f>
        <v>#REF!</v>
      </c>
      <c r="V192" t="e">
        <f>AND(#REF!,"AAAAAHfx3RU=")</f>
        <v>#REF!</v>
      </c>
      <c r="W192" t="e">
        <f>AND(#REF!,"AAAAAHfx3RY=")</f>
        <v>#REF!</v>
      </c>
      <c r="X192" t="e">
        <f>AND(#REF!,"AAAAAHfx3Rc=")</f>
        <v>#REF!</v>
      </c>
      <c r="Y192" t="e">
        <f>AND(#REF!,"AAAAAHfx3Rg=")</f>
        <v>#REF!</v>
      </c>
      <c r="Z192" t="e">
        <f>AND(#REF!,"AAAAAHfx3Rk=")</f>
        <v>#REF!</v>
      </c>
      <c r="AA192" t="e">
        <f>AND(#REF!,"AAAAAHfx3Ro=")</f>
        <v>#REF!</v>
      </c>
      <c r="AB192" t="e">
        <f>AND(#REF!,"AAAAAHfx3Rs=")</f>
        <v>#REF!</v>
      </c>
      <c r="AC192" t="e">
        <f>AND(#REF!,"AAAAAHfx3Rw=")</f>
        <v>#REF!</v>
      </c>
      <c r="AD192" t="e">
        <f>AND(#REF!,"AAAAAHfx3R0=")</f>
        <v>#REF!</v>
      </c>
      <c r="AE192" t="e">
        <f>AND(#REF!,"AAAAAHfx3R4=")</f>
        <v>#REF!</v>
      </c>
      <c r="AF192" t="e">
        <f>AND(#REF!,"AAAAAHfx3R8=")</f>
        <v>#REF!</v>
      </c>
      <c r="AG192" t="e">
        <f>AND(#REF!,"AAAAAHfx3SA=")</f>
        <v>#REF!</v>
      </c>
      <c r="AH192" t="e">
        <f>AND(#REF!,"AAAAAHfx3SE=")</f>
        <v>#REF!</v>
      </c>
      <c r="AI192" t="e">
        <f>AND(#REF!,"AAAAAHfx3SI=")</f>
        <v>#REF!</v>
      </c>
      <c r="AJ192" t="e">
        <f>AND(#REF!,"AAAAAHfx3SM=")</f>
        <v>#REF!</v>
      </c>
      <c r="AK192" t="e">
        <f>AND(#REF!,"AAAAAHfx3SQ=")</f>
        <v>#REF!</v>
      </c>
      <c r="AL192" t="e">
        <f>AND(#REF!,"AAAAAHfx3SU=")</f>
        <v>#REF!</v>
      </c>
      <c r="AM192" t="e">
        <f>AND(#REF!,"AAAAAHfx3SY=")</f>
        <v>#REF!</v>
      </c>
      <c r="AN192" t="e">
        <f>AND(#REF!,"AAAAAHfx3Sc=")</f>
        <v>#REF!</v>
      </c>
      <c r="AO192" t="e">
        <f>AND(#REF!,"AAAAAHfx3Sg=")</f>
        <v>#REF!</v>
      </c>
      <c r="AP192" t="e">
        <f>AND(#REF!,"AAAAAHfx3Sk=")</f>
        <v>#REF!</v>
      </c>
      <c r="AQ192" t="e">
        <f>AND(#REF!,"AAAAAHfx3So=")</f>
        <v>#REF!</v>
      </c>
      <c r="AR192" t="e">
        <f>AND(#REF!,"AAAAAHfx3Ss=")</f>
        <v>#REF!</v>
      </c>
      <c r="AS192" t="e">
        <f>AND(#REF!,"AAAAAHfx3Sw=")</f>
        <v>#REF!</v>
      </c>
      <c r="AT192" t="e">
        <f>AND(#REF!,"AAAAAHfx3S0=")</f>
        <v>#REF!</v>
      </c>
      <c r="AU192" t="e">
        <f>AND(#REF!,"AAAAAHfx3S4=")</f>
        <v>#REF!</v>
      </c>
      <c r="AV192" t="e">
        <f>AND(#REF!,"AAAAAHfx3S8=")</f>
        <v>#REF!</v>
      </c>
      <c r="AW192" t="e">
        <f>AND(#REF!,"AAAAAHfx3TA=")</f>
        <v>#REF!</v>
      </c>
      <c r="AX192" t="e">
        <f>AND(#REF!,"AAAAAHfx3TE=")</f>
        <v>#REF!</v>
      </c>
      <c r="AY192" t="e">
        <f>AND(#REF!,"AAAAAHfx3TI=")</f>
        <v>#REF!</v>
      </c>
      <c r="AZ192" t="e">
        <f>AND(#REF!,"AAAAAHfx3TM=")</f>
        <v>#REF!</v>
      </c>
      <c r="BA192" t="e">
        <f>AND(#REF!,"AAAAAHfx3TQ=")</f>
        <v>#REF!</v>
      </c>
      <c r="BB192" t="e">
        <f>AND(#REF!,"AAAAAHfx3TU=")</f>
        <v>#REF!</v>
      </c>
      <c r="BC192" t="e">
        <f>AND(#REF!,"AAAAAHfx3TY=")</f>
        <v>#REF!</v>
      </c>
      <c r="BD192" t="e">
        <f>AND(#REF!,"AAAAAHfx3Tc=")</f>
        <v>#REF!</v>
      </c>
      <c r="BE192" t="e">
        <f>AND(#REF!,"AAAAAHfx3Tg=")</f>
        <v>#REF!</v>
      </c>
      <c r="BF192" t="e">
        <f>AND(#REF!,"AAAAAHfx3Tk=")</f>
        <v>#REF!</v>
      </c>
      <c r="BG192" t="e">
        <f>AND(#REF!,"AAAAAHfx3To=")</f>
        <v>#REF!</v>
      </c>
      <c r="BH192" t="e">
        <f>AND(#REF!,"AAAAAHfx3Ts=")</f>
        <v>#REF!</v>
      </c>
      <c r="BI192" t="e">
        <f>AND(#REF!,"AAAAAHfx3Tw=")</f>
        <v>#REF!</v>
      </c>
      <c r="BJ192" t="e">
        <f>AND(#REF!,"AAAAAHfx3T0=")</f>
        <v>#REF!</v>
      </c>
      <c r="BK192" t="e">
        <f>AND(#REF!,"AAAAAHfx3T4=")</f>
        <v>#REF!</v>
      </c>
      <c r="BL192" t="e">
        <f>AND(#REF!,"AAAAAHfx3T8=")</f>
        <v>#REF!</v>
      </c>
      <c r="BM192" t="e">
        <f>AND(#REF!,"AAAAAHfx3UA=")</f>
        <v>#REF!</v>
      </c>
      <c r="BN192" t="e">
        <f>AND(#REF!,"AAAAAHfx3UE=")</f>
        <v>#REF!</v>
      </c>
      <c r="BO192" t="e">
        <f>AND(#REF!,"AAAAAHfx3UI=")</f>
        <v>#REF!</v>
      </c>
      <c r="BP192" t="e">
        <f>AND(#REF!,"AAAAAHfx3UM=")</f>
        <v>#REF!</v>
      </c>
      <c r="BQ192" t="e">
        <f>AND(#REF!,"AAAAAHfx3UQ=")</f>
        <v>#REF!</v>
      </c>
      <c r="BR192" t="e">
        <f>AND(#REF!,"AAAAAHfx3UU=")</f>
        <v>#REF!</v>
      </c>
      <c r="BS192" t="e">
        <f>AND(#REF!,"AAAAAHfx3UY=")</f>
        <v>#REF!</v>
      </c>
      <c r="BT192" t="e">
        <f>AND(#REF!,"AAAAAHfx3Uc=")</f>
        <v>#REF!</v>
      </c>
      <c r="BU192" t="e">
        <f>AND(#REF!,"AAAAAHfx3Ug=")</f>
        <v>#REF!</v>
      </c>
      <c r="BV192" t="e">
        <f>AND(#REF!,"AAAAAHfx3Uk=")</f>
        <v>#REF!</v>
      </c>
      <c r="BW192" t="e">
        <f>AND(#REF!,"AAAAAHfx3Uo=")</f>
        <v>#REF!</v>
      </c>
      <c r="BX192" t="e">
        <f>AND(#REF!,"AAAAAHfx3Us=")</f>
        <v>#REF!</v>
      </c>
      <c r="BY192" t="e">
        <f>AND(#REF!,"AAAAAHfx3Uw=")</f>
        <v>#REF!</v>
      </c>
      <c r="BZ192" t="e">
        <f>AND(#REF!,"AAAAAHfx3U0=")</f>
        <v>#REF!</v>
      </c>
      <c r="CA192" t="e">
        <f>AND(#REF!,"AAAAAHfx3U4=")</f>
        <v>#REF!</v>
      </c>
      <c r="CB192" t="e">
        <f>AND(#REF!,"AAAAAHfx3U8=")</f>
        <v>#REF!</v>
      </c>
      <c r="CC192" t="e">
        <f>AND(#REF!,"AAAAAHfx3VA=")</f>
        <v>#REF!</v>
      </c>
      <c r="CD192" t="e">
        <f>AND(#REF!,"AAAAAHfx3VE=")</f>
        <v>#REF!</v>
      </c>
      <c r="CE192" t="e">
        <f>AND(#REF!,"AAAAAHfx3VI=")</f>
        <v>#REF!</v>
      </c>
      <c r="CF192" t="e">
        <f>AND(#REF!,"AAAAAHfx3VM=")</f>
        <v>#REF!</v>
      </c>
      <c r="CG192" t="e">
        <f>AND(#REF!,"AAAAAHfx3VQ=")</f>
        <v>#REF!</v>
      </c>
      <c r="CH192" t="e">
        <f>AND(#REF!,"AAAAAHfx3VU=")</f>
        <v>#REF!</v>
      </c>
      <c r="CI192" t="e">
        <f>AND(#REF!,"AAAAAHfx3VY=")</f>
        <v>#REF!</v>
      </c>
      <c r="CJ192" t="e">
        <f>AND(#REF!,"AAAAAHfx3Vc=")</f>
        <v>#REF!</v>
      </c>
      <c r="CK192" t="e">
        <f>AND(#REF!,"AAAAAHfx3Vg=")</f>
        <v>#REF!</v>
      </c>
      <c r="CL192" t="e">
        <f>AND(#REF!,"AAAAAHfx3Vk=")</f>
        <v>#REF!</v>
      </c>
      <c r="CM192" t="e">
        <f>AND(#REF!,"AAAAAHfx3Vo=")</f>
        <v>#REF!</v>
      </c>
      <c r="CN192" t="e">
        <f>AND(#REF!,"AAAAAHfx3Vs=")</f>
        <v>#REF!</v>
      </c>
      <c r="CO192" t="e">
        <f>AND(#REF!,"AAAAAHfx3Vw=")</f>
        <v>#REF!</v>
      </c>
      <c r="CP192" t="e">
        <f>AND(#REF!,"AAAAAHfx3V0=")</f>
        <v>#REF!</v>
      </c>
      <c r="CQ192" t="e">
        <f>AND(#REF!,"AAAAAHfx3V4=")</f>
        <v>#REF!</v>
      </c>
      <c r="CR192" t="e">
        <f>AND(#REF!,"AAAAAHfx3V8=")</f>
        <v>#REF!</v>
      </c>
      <c r="CS192" t="e">
        <f>AND(#REF!,"AAAAAHfx3WA=")</f>
        <v>#REF!</v>
      </c>
      <c r="CT192" t="e">
        <f>AND(#REF!,"AAAAAHfx3WE=")</f>
        <v>#REF!</v>
      </c>
      <c r="CU192" t="e">
        <f>AND(#REF!,"AAAAAHfx3WI=")</f>
        <v>#REF!</v>
      </c>
      <c r="CV192" t="e">
        <f>AND(#REF!,"AAAAAHfx3WM=")</f>
        <v>#REF!</v>
      </c>
      <c r="CW192" t="e">
        <f>AND(#REF!,"AAAAAHfx3WQ=")</f>
        <v>#REF!</v>
      </c>
      <c r="CX192" t="e">
        <f>AND(#REF!,"AAAAAHfx3WU=")</f>
        <v>#REF!</v>
      </c>
      <c r="CY192" t="e">
        <f>AND(#REF!,"AAAAAHfx3WY=")</f>
        <v>#REF!</v>
      </c>
      <c r="CZ192" t="e">
        <f>AND(#REF!,"AAAAAHfx3Wc=")</f>
        <v>#REF!</v>
      </c>
      <c r="DA192" t="e">
        <f>AND(#REF!,"AAAAAHfx3Wg=")</f>
        <v>#REF!</v>
      </c>
      <c r="DB192" t="e">
        <f>AND(#REF!,"AAAAAHfx3Wk=")</f>
        <v>#REF!</v>
      </c>
      <c r="DC192" t="e">
        <f>AND(#REF!,"AAAAAHfx3Wo=")</f>
        <v>#REF!</v>
      </c>
      <c r="DD192" t="e">
        <f>AND(#REF!,"AAAAAHfx3Ws=")</f>
        <v>#REF!</v>
      </c>
      <c r="DE192" t="e">
        <f>AND(#REF!,"AAAAAHfx3Ww=")</f>
        <v>#REF!</v>
      </c>
      <c r="DF192" t="e">
        <f>AND(#REF!,"AAAAAHfx3W0=")</f>
        <v>#REF!</v>
      </c>
      <c r="DG192" t="e">
        <f>AND(#REF!,"AAAAAHfx3W4=")</f>
        <v>#REF!</v>
      </c>
      <c r="DH192" t="e">
        <f>AND(#REF!,"AAAAAHfx3W8=")</f>
        <v>#REF!</v>
      </c>
      <c r="DI192" t="e">
        <f>AND(#REF!,"AAAAAHfx3XA=")</f>
        <v>#REF!</v>
      </c>
      <c r="DJ192" t="e">
        <f>AND(#REF!,"AAAAAHfx3XE=")</f>
        <v>#REF!</v>
      </c>
      <c r="DK192" t="e">
        <f>AND(#REF!,"AAAAAHfx3XI=")</f>
        <v>#REF!</v>
      </c>
      <c r="DL192" t="e">
        <f>AND(#REF!,"AAAAAHfx3XM=")</f>
        <v>#REF!</v>
      </c>
      <c r="DM192" t="e">
        <f>AND(#REF!,"AAAAAHfx3XQ=")</f>
        <v>#REF!</v>
      </c>
      <c r="DN192" t="e">
        <f>AND(#REF!,"AAAAAHfx3XU=")</f>
        <v>#REF!</v>
      </c>
      <c r="DO192" t="e">
        <f>AND(#REF!,"AAAAAHfx3XY=")</f>
        <v>#REF!</v>
      </c>
      <c r="DP192" t="e">
        <f>AND(#REF!,"AAAAAHfx3Xc=")</f>
        <v>#REF!</v>
      </c>
      <c r="DQ192" t="e">
        <f>AND(#REF!,"AAAAAHfx3Xg=")</f>
        <v>#REF!</v>
      </c>
      <c r="DR192" t="e">
        <f>AND(#REF!,"AAAAAHfx3Xk=")</f>
        <v>#REF!</v>
      </c>
      <c r="DS192" t="e">
        <f>AND(#REF!,"AAAAAHfx3Xo=")</f>
        <v>#REF!</v>
      </c>
      <c r="DT192" t="e">
        <f>AND(#REF!,"AAAAAHfx3Xs=")</f>
        <v>#REF!</v>
      </c>
      <c r="DU192" t="e">
        <f>AND(#REF!,"AAAAAHfx3Xw=")</f>
        <v>#REF!</v>
      </c>
      <c r="DV192" t="e">
        <f>AND(#REF!,"AAAAAHfx3X0=")</f>
        <v>#REF!</v>
      </c>
      <c r="DW192" t="e">
        <f>AND(#REF!,"AAAAAHfx3X4=")</f>
        <v>#REF!</v>
      </c>
      <c r="DX192" t="e">
        <f>AND(#REF!,"AAAAAHfx3X8=")</f>
        <v>#REF!</v>
      </c>
      <c r="DY192" t="e">
        <f>AND(#REF!,"AAAAAHfx3YA=")</f>
        <v>#REF!</v>
      </c>
      <c r="DZ192" t="e">
        <f>AND(#REF!,"AAAAAHfx3YE=")</f>
        <v>#REF!</v>
      </c>
      <c r="EA192" t="e">
        <f>AND(#REF!,"AAAAAHfx3YI=")</f>
        <v>#REF!</v>
      </c>
      <c r="EB192" t="e">
        <f>AND(#REF!,"AAAAAHfx3YM=")</f>
        <v>#REF!</v>
      </c>
      <c r="EC192" t="e">
        <f>AND(#REF!,"AAAAAHfx3YQ=")</f>
        <v>#REF!</v>
      </c>
      <c r="ED192" t="e">
        <f>AND(#REF!,"AAAAAHfx3YU=")</f>
        <v>#REF!</v>
      </c>
      <c r="EE192" t="e">
        <f>AND(#REF!,"AAAAAHfx3YY=")</f>
        <v>#REF!</v>
      </c>
      <c r="EF192" t="e">
        <f>AND(#REF!,"AAAAAHfx3Yc=")</f>
        <v>#REF!</v>
      </c>
      <c r="EG192" t="e">
        <f>AND(#REF!,"AAAAAHfx3Yg=")</f>
        <v>#REF!</v>
      </c>
      <c r="EH192" t="e">
        <f>AND(#REF!,"AAAAAHfx3Yk=")</f>
        <v>#REF!</v>
      </c>
      <c r="EI192" t="e">
        <f>AND(#REF!,"AAAAAHfx3Yo=")</f>
        <v>#REF!</v>
      </c>
      <c r="EJ192" t="e">
        <f>AND(#REF!,"AAAAAHfx3Ys=")</f>
        <v>#REF!</v>
      </c>
      <c r="EK192" t="e">
        <f>AND(#REF!,"AAAAAHfx3Yw=")</f>
        <v>#REF!</v>
      </c>
      <c r="EL192" t="e">
        <f>AND(#REF!,"AAAAAHfx3Y0=")</f>
        <v>#REF!</v>
      </c>
      <c r="EM192" t="e">
        <f>AND(#REF!,"AAAAAHfx3Y4=")</f>
        <v>#REF!</v>
      </c>
      <c r="EN192" t="e">
        <f>AND(#REF!,"AAAAAHfx3Y8=")</f>
        <v>#REF!</v>
      </c>
      <c r="EO192" t="e">
        <f>AND(#REF!,"AAAAAHfx3ZA=")</f>
        <v>#REF!</v>
      </c>
      <c r="EP192" t="e">
        <f>AND(#REF!,"AAAAAHfx3ZE=")</f>
        <v>#REF!</v>
      </c>
      <c r="EQ192" t="e">
        <f>AND(#REF!,"AAAAAHfx3ZI=")</f>
        <v>#REF!</v>
      </c>
      <c r="ER192" t="e">
        <f>AND(#REF!,"AAAAAHfx3ZM=")</f>
        <v>#REF!</v>
      </c>
      <c r="ES192" t="e">
        <f>AND(#REF!,"AAAAAHfx3ZQ=")</f>
        <v>#REF!</v>
      </c>
      <c r="ET192" t="e">
        <f>AND(#REF!,"AAAAAHfx3ZU=")</f>
        <v>#REF!</v>
      </c>
      <c r="EU192" t="e">
        <f>AND(#REF!,"AAAAAHfx3ZY=")</f>
        <v>#REF!</v>
      </c>
      <c r="EV192" t="e">
        <f>AND(#REF!,"AAAAAHfx3Zc=")</f>
        <v>#REF!</v>
      </c>
      <c r="EW192" t="e">
        <f>AND(#REF!,"AAAAAHfx3Zg=")</f>
        <v>#REF!</v>
      </c>
      <c r="EX192" t="e">
        <f>AND(#REF!,"AAAAAHfx3Zk=")</f>
        <v>#REF!</v>
      </c>
      <c r="EY192" t="e">
        <f>AND(#REF!,"AAAAAHfx3Zo=")</f>
        <v>#REF!</v>
      </c>
      <c r="EZ192" t="e">
        <f>AND(#REF!,"AAAAAHfx3Zs=")</f>
        <v>#REF!</v>
      </c>
      <c r="FA192" t="e">
        <f>AND(#REF!,"AAAAAHfx3Zw=")</f>
        <v>#REF!</v>
      </c>
      <c r="FB192" t="e">
        <f>AND(#REF!,"AAAAAHfx3Z0=")</f>
        <v>#REF!</v>
      </c>
      <c r="FC192" t="e">
        <f>AND(#REF!,"AAAAAHfx3Z4=")</f>
        <v>#REF!</v>
      </c>
      <c r="FD192" t="e">
        <f>AND(#REF!,"AAAAAHfx3Z8=")</f>
        <v>#REF!</v>
      </c>
      <c r="FE192" t="e">
        <f>AND(#REF!,"AAAAAHfx3aA=")</f>
        <v>#REF!</v>
      </c>
      <c r="FF192" t="e">
        <f>AND(#REF!,"AAAAAHfx3aE=")</f>
        <v>#REF!</v>
      </c>
      <c r="FG192" t="e">
        <f>AND(#REF!,"AAAAAHfx3aI=")</f>
        <v>#REF!</v>
      </c>
      <c r="FH192" t="e">
        <f>AND(#REF!,"AAAAAHfx3aM=")</f>
        <v>#REF!</v>
      </c>
      <c r="FI192" t="e">
        <f>AND(#REF!,"AAAAAHfx3aQ=")</f>
        <v>#REF!</v>
      </c>
      <c r="FJ192" t="e">
        <f>AND(#REF!,"AAAAAHfx3aU=")</f>
        <v>#REF!</v>
      </c>
      <c r="FK192" t="e">
        <f>AND(#REF!,"AAAAAHfx3aY=")</f>
        <v>#REF!</v>
      </c>
      <c r="FL192" t="e">
        <f>AND(#REF!,"AAAAAHfx3ac=")</f>
        <v>#REF!</v>
      </c>
      <c r="FM192" t="e">
        <f>AND(#REF!,"AAAAAHfx3ag=")</f>
        <v>#REF!</v>
      </c>
      <c r="FN192" t="e">
        <f>AND(#REF!,"AAAAAHfx3ak=")</f>
        <v>#REF!</v>
      </c>
      <c r="FO192" t="e">
        <f>AND(#REF!,"AAAAAHfx3ao=")</f>
        <v>#REF!</v>
      </c>
      <c r="FP192" t="e">
        <f>AND(#REF!,"AAAAAHfx3as=")</f>
        <v>#REF!</v>
      </c>
      <c r="FQ192" t="e">
        <f>AND(#REF!,"AAAAAHfx3aw=")</f>
        <v>#REF!</v>
      </c>
      <c r="FR192" t="e">
        <f>AND(#REF!,"AAAAAHfx3a0=")</f>
        <v>#REF!</v>
      </c>
      <c r="FS192" t="e">
        <f>AND(#REF!,"AAAAAHfx3a4=")</f>
        <v>#REF!</v>
      </c>
      <c r="FT192" t="e">
        <f>AND(#REF!,"AAAAAHfx3a8=")</f>
        <v>#REF!</v>
      </c>
      <c r="FU192" t="e">
        <f>AND(#REF!,"AAAAAHfx3bA=")</f>
        <v>#REF!</v>
      </c>
      <c r="FV192" t="e">
        <f>AND(#REF!,"AAAAAHfx3bE=")</f>
        <v>#REF!</v>
      </c>
      <c r="FW192" t="e">
        <f>AND(#REF!,"AAAAAHfx3bI=")</f>
        <v>#REF!</v>
      </c>
      <c r="FX192" t="e">
        <f>AND(#REF!,"AAAAAHfx3bM=")</f>
        <v>#REF!</v>
      </c>
      <c r="FY192" t="e">
        <f>AND(#REF!,"AAAAAHfx3bQ=")</f>
        <v>#REF!</v>
      </c>
      <c r="FZ192" t="e">
        <f>AND(#REF!,"AAAAAHfx3bU=")</f>
        <v>#REF!</v>
      </c>
      <c r="GA192" t="e">
        <f>AND(#REF!,"AAAAAHfx3bY=")</f>
        <v>#REF!</v>
      </c>
      <c r="GB192" t="e">
        <f>AND(#REF!,"AAAAAHfx3bc=")</f>
        <v>#REF!</v>
      </c>
      <c r="GC192" t="e">
        <f>AND(#REF!,"AAAAAHfx3bg=")</f>
        <v>#REF!</v>
      </c>
      <c r="GD192" t="e">
        <f>AND(#REF!,"AAAAAHfx3bk=")</f>
        <v>#REF!</v>
      </c>
      <c r="GE192" t="e">
        <f>AND(#REF!,"AAAAAHfx3bo=")</f>
        <v>#REF!</v>
      </c>
      <c r="GF192" t="e">
        <f>AND(#REF!,"AAAAAHfx3bs=")</f>
        <v>#REF!</v>
      </c>
      <c r="GG192" t="e">
        <f>AND(#REF!,"AAAAAHfx3bw=")</f>
        <v>#REF!</v>
      </c>
      <c r="GH192" t="e">
        <f>AND(#REF!,"AAAAAHfx3b0=")</f>
        <v>#REF!</v>
      </c>
      <c r="GI192" t="e">
        <f>AND(#REF!,"AAAAAHfx3b4=")</f>
        <v>#REF!</v>
      </c>
      <c r="GJ192" t="e">
        <f>AND(#REF!,"AAAAAHfx3b8=")</f>
        <v>#REF!</v>
      </c>
      <c r="GK192" t="e">
        <f>AND(#REF!,"AAAAAHfx3cA=")</f>
        <v>#REF!</v>
      </c>
      <c r="GL192" t="e">
        <f>AND(#REF!,"AAAAAHfx3cE=")</f>
        <v>#REF!</v>
      </c>
      <c r="GM192" t="e">
        <f>AND(#REF!,"AAAAAHfx3cI=")</f>
        <v>#REF!</v>
      </c>
      <c r="GN192" t="e">
        <f>AND(#REF!,"AAAAAHfx3cM=")</f>
        <v>#REF!</v>
      </c>
      <c r="GO192" t="e">
        <f>AND(#REF!,"AAAAAHfx3cQ=")</f>
        <v>#REF!</v>
      </c>
      <c r="GP192" t="e">
        <f>AND(#REF!,"AAAAAHfx3cU=")</f>
        <v>#REF!</v>
      </c>
      <c r="GQ192" t="e">
        <f>AND(#REF!,"AAAAAHfx3cY=")</f>
        <v>#REF!</v>
      </c>
      <c r="GR192" t="e">
        <f>AND(#REF!,"AAAAAHfx3cc=")</f>
        <v>#REF!</v>
      </c>
      <c r="GS192" t="e">
        <f>IF(#REF!,"AAAAAHfx3cg=",0)</f>
        <v>#REF!</v>
      </c>
      <c r="GT192" t="e">
        <f>AND(#REF!,"AAAAAHfx3ck=")</f>
        <v>#REF!</v>
      </c>
      <c r="GU192" t="e">
        <f>AND(#REF!,"AAAAAHfx3co=")</f>
        <v>#REF!</v>
      </c>
      <c r="GV192" t="e">
        <f>AND(#REF!,"AAAAAHfx3cs=")</f>
        <v>#REF!</v>
      </c>
      <c r="GW192" t="e">
        <f>AND(#REF!,"AAAAAHfx3cw=")</f>
        <v>#REF!</v>
      </c>
      <c r="GX192" t="e">
        <f>AND(#REF!,"AAAAAHfx3c0=")</f>
        <v>#REF!</v>
      </c>
      <c r="GY192" t="e">
        <f>AND(#REF!,"AAAAAHfx3c4=")</f>
        <v>#REF!</v>
      </c>
      <c r="GZ192" t="e">
        <f>AND(#REF!,"AAAAAHfx3c8=")</f>
        <v>#REF!</v>
      </c>
      <c r="HA192" t="e">
        <f>AND(#REF!,"AAAAAHfx3dA=")</f>
        <v>#REF!</v>
      </c>
      <c r="HB192" t="e">
        <f>AND(#REF!,"AAAAAHfx3dE=")</f>
        <v>#REF!</v>
      </c>
      <c r="HC192" t="e">
        <f>AND(#REF!,"AAAAAHfx3dI=")</f>
        <v>#REF!</v>
      </c>
      <c r="HD192" t="e">
        <f>AND(#REF!,"AAAAAHfx3dM=")</f>
        <v>#REF!</v>
      </c>
      <c r="HE192" t="e">
        <f>AND(#REF!,"AAAAAHfx3dQ=")</f>
        <v>#REF!</v>
      </c>
      <c r="HF192" t="e">
        <f>AND(#REF!,"AAAAAHfx3dU=")</f>
        <v>#REF!</v>
      </c>
      <c r="HG192" t="e">
        <f>AND(#REF!,"AAAAAHfx3dY=")</f>
        <v>#REF!</v>
      </c>
      <c r="HH192" t="e">
        <f>AND(#REF!,"AAAAAHfx3dc=")</f>
        <v>#REF!</v>
      </c>
      <c r="HI192" t="e">
        <f>AND(#REF!,"AAAAAHfx3dg=")</f>
        <v>#REF!</v>
      </c>
      <c r="HJ192" t="e">
        <f>AND(#REF!,"AAAAAHfx3dk=")</f>
        <v>#REF!</v>
      </c>
      <c r="HK192" t="e">
        <f>AND(#REF!,"AAAAAHfx3do=")</f>
        <v>#REF!</v>
      </c>
      <c r="HL192" t="e">
        <f>AND(#REF!,"AAAAAHfx3ds=")</f>
        <v>#REF!</v>
      </c>
      <c r="HM192" t="e">
        <f>AND(#REF!,"AAAAAHfx3dw=")</f>
        <v>#REF!</v>
      </c>
      <c r="HN192" t="e">
        <f>AND(#REF!,"AAAAAHfx3d0=")</f>
        <v>#REF!</v>
      </c>
      <c r="HO192" t="e">
        <f>AND(#REF!,"AAAAAHfx3d4=")</f>
        <v>#REF!</v>
      </c>
      <c r="HP192" t="e">
        <f>AND(#REF!,"AAAAAHfx3d8=")</f>
        <v>#REF!</v>
      </c>
      <c r="HQ192" t="e">
        <f>AND(#REF!,"AAAAAHfx3eA=")</f>
        <v>#REF!</v>
      </c>
      <c r="HR192" t="e">
        <f>AND(#REF!,"AAAAAHfx3eE=")</f>
        <v>#REF!</v>
      </c>
      <c r="HS192" t="e">
        <f>AND(#REF!,"AAAAAHfx3eI=")</f>
        <v>#REF!</v>
      </c>
      <c r="HT192" t="e">
        <f>AND(#REF!,"AAAAAHfx3eM=")</f>
        <v>#REF!</v>
      </c>
      <c r="HU192" t="e">
        <f>AND(#REF!,"AAAAAHfx3eQ=")</f>
        <v>#REF!</v>
      </c>
      <c r="HV192" t="e">
        <f>AND(#REF!,"AAAAAHfx3eU=")</f>
        <v>#REF!</v>
      </c>
      <c r="HW192" t="e">
        <f>AND(#REF!,"AAAAAHfx3eY=")</f>
        <v>#REF!</v>
      </c>
      <c r="HX192" t="e">
        <f>AND(#REF!,"AAAAAHfx3ec=")</f>
        <v>#REF!</v>
      </c>
      <c r="HY192" t="e">
        <f>AND(#REF!,"AAAAAHfx3eg=")</f>
        <v>#REF!</v>
      </c>
      <c r="HZ192" t="e">
        <f>AND(#REF!,"AAAAAHfx3ek=")</f>
        <v>#REF!</v>
      </c>
      <c r="IA192" t="e">
        <f>AND(#REF!,"AAAAAHfx3eo=")</f>
        <v>#REF!</v>
      </c>
      <c r="IB192" t="e">
        <f>AND(#REF!,"AAAAAHfx3es=")</f>
        <v>#REF!</v>
      </c>
      <c r="IC192" t="e">
        <f>AND(#REF!,"AAAAAHfx3ew=")</f>
        <v>#REF!</v>
      </c>
      <c r="ID192" t="e">
        <f>AND(#REF!,"AAAAAHfx3e0=")</f>
        <v>#REF!</v>
      </c>
      <c r="IE192" t="e">
        <f>AND(#REF!,"AAAAAHfx3e4=")</f>
        <v>#REF!</v>
      </c>
      <c r="IF192" t="e">
        <f>AND(#REF!,"AAAAAHfx3e8=")</f>
        <v>#REF!</v>
      </c>
      <c r="IG192" t="e">
        <f>AND(#REF!,"AAAAAHfx3fA=")</f>
        <v>#REF!</v>
      </c>
      <c r="IH192" t="e">
        <f>AND(#REF!,"AAAAAHfx3fE=")</f>
        <v>#REF!</v>
      </c>
      <c r="II192" t="e">
        <f>AND(#REF!,"AAAAAHfx3fI=")</f>
        <v>#REF!</v>
      </c>
      <c r="IJ192" t="e">
        <f>AND(#REF!,"AAAAAHfx3fM=")</f>
        <v>#REF!</v>
      </c>
      <c r="IK192" t="e">
        <f>AND(#REF!,"AAAAAHfx3fQ=")</f>
        <v>#REF!</v>
      </c>
      <c r="IL192" t="e">
        <f>AND(#REF!,"AAAAAHfx3fU=")</f>
        <v>#REF!</v>
      </c>
      <c r="IM192" t="e">
        <f>AND(#REF!,"AAAAAHfx3fY=")</f>
        <v>#REF!</v>
      </c>
      <c r="IN192" t="e">
        <f>AND(#REF!,"AAAAAHfx3fc=")</f>
        <v>#REF!</v>
      </c>
      <c r="IO192" t="e">
        <f>AND(#REF!,"AAAAAHfx3fg=")</f>
        <v>#REF!</v>
      </c>
      <c r="IP192" t="e">
        <f>AND(#REF!,"AAAAAHfx3fk=")</f>
        <v>#REF!</v>
      </c>
      <c r="IQ192" t="e">
        <f>AND(#REF!,"AAAAAHfx3fo=")</f>
        <v>#REF!</v>
      </c>
      <c r="IR192" t="e">
        <f>AND(#REF!,"AAAAAHfx3fs=")</f>
        <v>#REF!</v>
      </c>
      <c r="IS192" t="e">
        <f>AND(#REF!,"AAAAAHfx3fw=")</f>
        <v>#REF!</v>
      </c>
      <c r="IT192" t="e">
        <f>AND(#REF!,"AAAAAHfx3f0=")</f>
        <v>#REF!</v>
      </c>
      <c r="IU192" t="e">
        <f>AND(#REF!,"AAAAAHfx3f4=")</f>
        <v>#REF!</v>
      </c>
      <c r="IV192" t="e">
        <f>AND(#REF!,"AAAAAHfx3f8=")</f>
        <v>#REF!</v>
      </c>
    </row>
    <row r="193" spans="1:256" x14ac:dyDescent="0.25">
      <c r="A193" t="e">
        <f>AND(#REF!,"AAAAAHvx/wA=")</f>
        <v>#REF!</v>
      </c>
      <c r="B193" t="e">
        <f>AND(#REF!,"AAAAAHvx/wE=")</f>
        <v>#REF!</v>
      </c>
      <c r="C193" t="e">
        <f>AND(#REF!,"AAAAAHvx/wI=")</f>
        <v>#REF!</v>
      </c>
      <c r="D193" t="e">
        <f>AND(#REF!,"AAAAAHvx/wM=")</f>
        <v>#REF!</v>
      </c>
      <c r="E193" t="e">
        <f>AND(#REF!,"AAAAAHvx/wQ=")</f>
        <v>#REF!</v>
      </c>
      <c r="F193" t="e">
        <f>AND(#REF!,"AAAAAHvx/wU=")</f>
        <v>#REF!</v>
      </c>
      <c r="G193" t="e">
        <f>AND(#REF!,"AAAAAHvx/wY=")</f>
        <v>#REF!</v>
      </c>
      <c r="H193" t="e">
        <f>AND(#REF!,"AAAAAHvx/wc=")</f>
        <v>#REF!</v>
      </c>
      <c r="I193" t="e">
        <f>AND(#REF!,"AAAAAHvx/wg=")</f>
        <v>#REF!</v>
      </c>
      <c r="J193" t="e">
        <f>AND(#REF!,"AAAAAHvx/wk=")</f>
        <v>#REF!</v>
      </c>
      <c r="K193" t="e">
        <f>AND(#REF!,"AAAAAHvx/wo=")</f>
        <v>#REF!</v>
      </c>
      <c r="L193" t="e">
        <f>AND(#REF!,"AAAAAHvx/ws=")</f>
        <v>#REF!</v>
      </c>
      <c r="M193" t="e">
        <f>AND(#REF!,"AAAAAHvx/ww=")</f>
        <v>#REF!</v>
      </c>
      <c r="N193" t="e">
        <f>AND(#REF!,"AAAAAHvx/w0=")</f>
        <v>#REF!</v>
      </c>
      <c r="O193" t="e">
        <f>AND(#REF!,"AAAAAHvx/w4=")</f>
        <v>#REF!</v>
      </c>
      <c r="P193" t="e">
        <f>AND(#REF!,"AAAAAHvx/w8=")</f>
        <v>#REF!</v>
      </c>
      <c r="Q193" t="e">
        <f>AND(#REF!,"AAAAAHvx/xA=")</f>
        <v>#REF!</v>
      </c>
      <c r="R193" t="e">
        <f>AND(#REF!,"AAAAAHvx/xE=")</f>
        <v>#REF!</v>
      </c>
      <c r="S193" t="e">
        <f>AND(#REF!,"AAAAAHvx/xI=")</f>
        <v>#REF!</v>
      </c>
      <c r="T193" t="e">
        <f>AND(#REF!,"AAAAAHvx/xM=")</f>
        <v>#REF!</v>
      </c>
      <c r="U193" t="e">
        <f>AND(#REF!,"AAAAAHvx/xQ=")</f>
        <v>#REF!</v>
      </c>
      <c r="V193" t="e">
        <f>AND(#REF!,"AAAAAHvx/xU=")</f>
        <v>#REF!</v>
      </c>
      <c r="W193" t="e">
        <f>AND(#REF!,"AAAAAHvx/xY=")</f>
        <v>#REF!</v>
      </c>
      <c r="X193" t="e">
        <f>AND(#REF!,"AAAAAHvx/xc=")</f>
        <v>#REF!</v>
      </c>
      <c r="Y193" t="e">
        <f>AND(#REF!,"AAAAAHvx/xg=")</f>
        <v>#REF!</v>
      </c>
      <c r="Z193" t="e">
        <f>AND(#REF!,"AAAAAHvx/xk=")</f>
        <v>#REF!</v>
      </c>
      <c r="AA193" t="e">
        <f>AND(#REF!,"AAAAAHvx/xo=")</f>
        <v>#REF!</v>
      </c>
      <c r="AB193" t="e">
        <f>AND(#REF!,"AAAAAHvx/xs=")</f>
        <v>#REF!</v>
      </c>
      <c r="AC193" t="e">
        <f>AND(#REF!,"AAAAAHvx/xw=")</f>
        <v>#REF!</v>
      </c>
      <c r="AD193" t="e">
        <f>AND(#REF!,"AAAAAHvx/x0=")</f>
        <v>#REF!</v>
      </c>
      <c r="AE193" t="e">
        <f>AND(#REF!,"AAAAAHvx/x4=")</f>
        <v>#REF!</v>
      </c>
      <c r="AF193" t="e">
        <f>AND(#REF!,"AAAAAHvx/x8=")</f>
        <v>#REF!</v>
      </c>
      <c r="AG193" t="e">
        <f>AND(#REF!,"AAAAAHvx/yA=")</f>
        <v>#REF!</v>
      </c>
      <c r="AH193" t="e">
        <f>AND(#REF!,"AAAAAHvx/yE=")</f>
        <v>#REF!</v>
      </c>
      <c r="AI193" t="e">
        <f>AND(#REF!,"AAAAAHvx/yI=")</f>
        <v>#REF!</v>
      </c>
      <c r="AJ193" t="e">
        <f>AND(#REF!,"AAAAAHvx/yM=")</f>
        <v>#REF!</v>
      </c>
      <c r="AK193" t="e">
        <f>AND(#REF!,"AAAAAHvx/yQ=")</f>
        <v>#REF!</v>
      </c>
      <c r="AL193" t="e">
        <f>AND(#REF!,"AAAAAHvx/yU=")</f>
        <v>#REF!</v>
      </c>
      <c r="AM193" t="e">
        <f>AND(#REF!,"AAAAAHvx/yY=")</f>
        <v>#REF!</v>
      </c>
      <c r="AN193" t="e">
        <f>AND(#REF!,"AAAAAHvx/yc=")</f>
        <v>#REF!</v>
      </c>
      <c r="AO193" t="e">
        <f>AND(#REF!,"AAAAAHvx/yg=")</f>
        <v>#REF!</v>
      </c>
      <c r="AP193" t="e">
        <f>AND(#REF!,"AAAAAHvx/yk=")</f>
        <v>#REF!</v>
      </c>
      <c r="AQ193" t="e">
        <f>AND(#REF!,"AAAAAHvx/yo=")</f>
        <v>#REF!</v>
      </c>
      <c r="AR193" t="e">
        <f>AND(#REF!,"AAAAAHvx/ys=")</f>
        <v>#REF!</v>
      </c>
      <c r="AS193" t="e">
        <f>AND(#REF!,"AAAAAHvx/yw=")</f>
        <v>#REF!</v>
      </c>
      <c r="AT193" t="e">
        <f>AND(#REF!,"AAAAAHvx/y0=")</f>
        <v>#REF!</v>
      </c>
      <c r="AU193" t="e">
        <f>AND(#REF!,"AAAAAHvx/y4=")</f>
        <v>#REF!</v>
      </c>
      <c r="AV193" t="e">
        <f>AND(#REF!,"AAAAAHvx/y8=")</f>
        <v>#REF!</v>
      </c>
      <c r="AW193" t="e">
        <f>AND(#REF!,"AAAAAHvx/zA=")</f>
        <v>#REF!</v>
      </c>
      <c r="AX193" t="e">
        <f>AND(#REF!,"AAAAAHvx/zE=")</f>
        <v>#REF!</v>
      </c>
      <c r="AY193" t="e">
        <f>AND(#REF!,"AAAAAHvx/zI=")</f>
        <v>#REF!</v>
      </c>
      <c r="AZ193" t="e">
        <f>AND(#REF!,"AAAAAHvx/zM=")</f>
        <v>#REF!</v>
      </c>
      <c r="BA193" t="e">
        <f>AND(#REF!,"AAAAAHvx/zQ=")</f>
        <v>#REF!</v>
      </c>
      <c r="BB193" t="e">
        <f>AND(#REF!,"AAAAAHvx/zU=")</f>
        <v>#REF!</v>
      </c>
      <c r="BC193" t="e">
        <f>AND(#REF!,"AAAAAHvx/zY=")</f>
        <v>#REF!</v>
      </c>
      <c r="BD193" t="e">
        <f>AND(#REF!,"AAAAAHvx/zc=")</f>
        <v>#REF!</v>
      </c>
      <c r="BE193" t="e">
        <f>AND(#REF!,"AAAAAHvx/zg=")</f>
        <v>#REF!</v>
      </c>
      <c r="BF193" t="e">
        <f>AND(#REF!,"AAAAAHvx/zk=")</f>
        <v>#REF!</v>
      </c>
      <c r="BG193" t="e">
        <f>AND(#REF!,"AAAAAHvx/zo=")</f>
        <v>#REF!</v>
      </c>
      <c r="BH193" t="e">
        <f>AND(#REF!,"AAAAAHvx/zs=")</f>
        <v>#REF!</v>
      </c>
      <c r="BI193" t="e">
        <f>AND(#REF!,"AAAAAHvx/zw=")</f>
        <v>#REF!</v>
      </c>
      <c r="BJ193" t="e">
        <f>AND(#REF!,"AAAAAHvx/z0=")</f>
        <v>#REF!</v>
      </c>
      <c r="BK193" t="e">
        <f>AND(#REF!,"AAAAAHvx/z4=")</f>
        <v>#REF!</v>
      </c>
      <c r="BL193" t="e">
        <f>AND(#REF!,"AAAAAHvx/z8=")</f>
        <v>#REF!</v>
      </c>
      <c r="BM193" t="e">
        <f>AND(#REF!,"AAAAAHvx/0A=")</f>
        <v>#REF!</v>
      </c>
      <c r="BN193" t="e">
        <f>AND(#REF!,"AAAAAHvx/0E=")</f>
        <v>#REF!</v>
      </c>
      <c r="BO193" t="e">
        <f>AND(#REF!,"AAAAAHvx/0I=")</f>
        <v>#REF!</v>
      </c>
      <c r="BP193" t="e">
        <f>AND(#REF!,"AAAAAHvx/0M=")</f>
        <v>#REF!</v>
      </c>
      <c r="BQ193" t="e">
        <f>AND(#REF!,"AAAAAHvx/0Q=")</f>
        <v>#REF!</v>
      </c>
      <c r="BR193" t="e">
        <f>AND(#REF!,"AAAAAHvx/0U=")</f>
        <v>#REF!</v>
      </c>
      <c r="BS193" t="e">
        <f>AND(#REF!,"AAAAAHvx/0Y=")</f>
        <v>#REF!</v>
      </c>
      <c r="BT193" t="e">
        <f>AND(#REF!,"AAAAAHvx/0c=")</f>
        <v>#REF!</v>
      </c>
      <c r="BU193" t="e">
        <f>AND(#REF!,"AAAAAHvx/0g=")</f>
        <v>#REF!</v>
      </c>
      <c r="BV193" t="e">
        <f>AND(#REF!,"AAAAAHvx/0k=")</f>
        <v>#REF!</v>
      </c>
      <c r="BW193" t="e">
        <f>AND(#REF!,"AAAAAHvx/0o=")</f>
        <v>#REF!</v>
      </c>
      <c r="BX193" t="e">
        <f>AND(#REF!,"AAAAAHvx/0s=")</f>
        <v>#REF!</v>
      </c>
      <c r="BY193" t="e">
        <f>AND(#REF!,"AAAAAHvx/0w=")</f>
        <v>#REF!</v>
      </c>
      <c r="BZ193" t="e">
        <f>AND(#REF!,"AAAAAHvx/00=")</f>
        <v>#REF!</v>
      </c>
      <c r="CA193" t="e">
        <f>AND(#REF!,"AAAAAHvx/04=")</f>
        <v>#REF!</v>
      </c>
      <c r="CB193" t="e">
        <f>AND(#REF!,"AAAAAHvx/08=")</f>
        <v>#REF!</v>
      </c>
      <c r="CC193" t="e">
        <f>AND(#REF!,"AAAAAHvx/1A=")</f>
        <v>#REF!</v>
      </c>
      <c r="CD193" t="e">
        <f>AND(#REF!,"AAAAAHvx/1E=")</f>
        <v>#REF!</v>
      </c>
      <c r="CE193" t="e">
        <f>AND(#REF!,"AAAAAHvx/1I=")</f>
        <v>#REF!</v>
      </c>
      <c r="CF193" t="e">
        <f>AND(#REF!,"AAAAAHvx/1M=")</f>
        <v>#REF!</v>
      </c>
      <c r="CG193" t="e">
        <f>AND(#REF!,"AAAAAHvx/1Q=")</f>
        <v>#REF!</v>
      </c>
      <c r="CH193" t="e">
        <f>AND(#REF!,"AAAAAHvx/1U=")</f>
        <v>#REF!</v>
      </c>
      <c r="CI193" t="e">
        <f>AND(#REF!,"AAAAAHvx/1Y=")</f>
        <v>#REF!</v>
      </c>
      <c r="CJ193" t="e">
        <f>AND(#REF!,"AAAAAHvx/1c=")</f>
        <v>#REF!</v>
      </c>
      <c r="CK193" t="e">
        <f>AND(#REF!,"AAAAAHvx/1g=")</f>
        <v>#REF!</v>
      </c>
      <c r="CL193" t="e">
        <f>AND(#REF!,"AAAAAHvx/1k=")</f>
        <v>#REF!</v>
      </c>
      <c r="CM193" t="e">
        <f>AND(#REF!,"AAAAAHvx/1o=")</f>
        <v>#REF!</v>
      </c>
      <c r="CN193" t="e">
        <f>AND(#REF!,"AAAAAHvx/1s=")</f>
        <v>#REF!</v>
      </c>
      <c r="CO193" t="e">
        <f>AND(#REF!,"AAAAAHvx/1w=")</f>
        <v>#REF!</v>
      </c>
      <c r="CP193" t="e">
        <f>AND(#REF!,"AAAAAHvx/10=")</f>
        <v>#REF!</v>
      </c>
      <c r="CQ193" t="e">
        <f>AND(#REF!,"AAAAAHvx/14=")</f>
        <v>#REF!</v>
      </c>
      <c r="CR193" t="e">
        <f>AND(#REF!,"AAAAAHvx/18=")</f>
        <v>#REF!</v>
      </c>
      <c r="CS193" t="e">
        <f>AND(#REF!,"AAAAAHvx/2A=")</f>
        <v>#REF!</v>
      </c>
      <c r="CT193" t="e">
        <f>AND(#REF!,"AAAAAHvx/2E=")</f>
        <v>#REF!</v>
      </c>
      <c r="CU193" t="e">
        <f>AND(#REF!,"AAAAAHvx/2I=")</f>
        <v>#REF!</v>
      </c>
      <c r="CV193" t="e">
        <f>AND(#REF!,"AAAAAHvx/2M=")</f>
        <v>#REF!</v>
      </c>
      <c r="CW193" t="e">
        <f>AND(#REF!,"AAAAAHvx/2Q=")</f>
        <v>#REF!</v>
      </c>
      <c r="CX193" t="e">
        <f>AND(#REF!,"AAAAAHvx/2U=")</f>
        <v>#REF!</v>
      </c>
      <c r="CY193" t="e">
        <f>AND(#REF!,"AAAAAHvx/2Y=")</f>
        <v>#REF!</v>
      </c>
      <c r="CZ193" t="e">
        <f>AND(#REF!,"AAAAAHvx/2c=")</f>
        <v>#REF!</v>
      </c>
      <c r="DA193" t="e">
        <f>AND(#REF!,"AAAAAHvx/2g=")</f>
        <v>#REF!</v>
      </c>
      <c r="DB193" t="e">
        <f>AND(#REF!,"AAAAAHvx/2k=")</f>
        <v>#REF!</v>
      </c>
      <c r="DC193" t="e">
        <f>AND(#REF!,"AAAAAHvx/2o=")</f>
        <v>#REF!</v>
      </c>
      <c r="DD193" t="e">
        <f>AND(#REF!,"AAAAAHvx/2s=")</f>
        <v>#REF!</v>
      </c>
      <c r="DE193" t="e">
        <f>AND(#REF!,"AAAAAHvx/2w=")</f>
        <v>#REF!</v>
      </c>
      <c r="DF193" t="e">
        <f>AND(#REF!,"AAAAAHvx/20=")</f>
        <v>#REF!</v>
      </c>
      <c r="DG193" t="e">
        <f>AND(#REF!,"AAAAAHvx/24=")</f>
        <v>#REF!</v>
      </c>
      <c r="DH193" t="e">
        <f>AND(#REF!,"AAAAAHvx/28=")</f>
        <v>#REF!</v>
      </c>
      <c r="DI193" t="e">
        <f>AND(#REF!,"AAAAAHvx/3A=")</f>
        <v>#REF!</v>
      </c>
      <c r="DJ193" t="e">
        <f>AND(#REF!,"AAAAAHvx/3E=")</f>
        <v>#REF!</v>
      </c>
      <c r="DK193" t="e">
        <f>AND(#REF!,"AAAAAHvx/3I=")</f>
        <v>#REF!</v>
      </c>
      <c r="DL193" t="e">
        <f>AND(#REF!,"AAAAAHvx/3M=")</f>
        <v>#REF!</v>
      </c>
      <c r="DM193" t="e">
        <f>AND(#REF!,"AAAAAHvx/3Q=")</f>
        <v>#REF!</v>
      </c>
      <c r="DN193" t="e">
        <f>AND(#REF!,"AAAAAHvx/3U=")</f>
        <v>#REF!</v>
      </c>
      <c r="DO193" t="e">
        <f>AND(#REF!,"AAAAAHvx/3Y=")</f>
        <v>#REF!</v>
      </c>
      <c r="DP193" t="e">
        <f>AND(#REF!,"AAAAAHvx/3c=")</f>
        <v>#REF!</v>
      </c>
      <c r="DQ193" t="e">
        <f>AND(#REF!,"AAAAAHvx/3g=")</f>
        <v>#REF!</v>
      </c>
      <c r="DR193" t="e">
        <f>AND(#REF!,"AAAAAHvx/3k=")</f>
        <v>#REF!</v>
      </c>
      <c r="DS193" t="e">
        <f>AND(#REF!,"AAAAAHvx/3o=")</f>
        <v>#REF!</v>
      </c>
      <c r="DT193" t="e">
        <f>AND(#REF!,"AAAAAHvx/3s=")</f>
        <v>#REF!</v>
      </c>
      <c r="DU193" t="e">
        <f>AND(#REF!,"AAAAAHvx/3w=")</f>
        <v>#REF!</v>
      </c>
      <c r="DV193" t="e">
        <f>AND(#REF!,"AAAAAHvx/30=")</f>
        <v>#REF!</v>
      </c>
      <c r="DW193" t="e">
        <f>AND(#REF!,"AAAAAHvx/34=")</f>
        <v>#REF!</v>
      </c>
      <c r="DX193" t="e">
        <f>AND(#REF!,"AAAAAHvx/38=")</f>
        <v>#REF!</v>
      </c>
      <c r="DY193" t="e">
        <f>AND(#REF!,"AAAAAHvx/4A=")</f>
        <v>#REF!</v>
      </c>
      <c r="DZ193" t="e">
        <f>AND(#REF!,"AAAAAHvx/4E=")</f>
        <v>#REF!</v>
      </c>
      <c r="EA193" t="e">
        <f>AND(#REF!,"AAAAAHvx/4I=")</f>
        <v>#REF!</v>
      </c>
      <c r="EB193" t="e">
        <f>AND(#REF!,"AAAAAHvx/4M=")</f>
        <v>#REF!</v>
      </c>
      <c r="EC193" t="e">
        <f>AND(#REF!,"AAAAAHvx/4Q=")</f>
        <v>#REF!</v>
      </c>
      <c r="ED193" t="e">
        <f>IF(#REF!,"AAAAAHvx/4U=",0)</f>
        <v>#REF!</v>
      </c>
      <c r="EE193" t="e">
        <f>AND(#REF!,"AAAAAHvx/4Y=")</f>
        <v>#REF!</v>
      </c>
      <c r="EF193" t="e">
        <f>AND(#REF!,"AAAAAHvx/4c=")</f>
        <v>#REF!</v>
      </c>
      <c r="EG193" t="e">
        <f>AND(#REF!,"AAAAAHvx/4g=")</f>
        <v>#REF!</v>
      </c>
      <c r="EH193" t="e">
        <f>AND(#REF!,"AAAAAHvx/4k=")</f>
        <v>#REF!</v>
      </c>
      <c r="EI193" t="e">
        <f>AND(#REF!,"AAAAAHvx/4o=")</f>
        <v>#REF!</v>
      </c>
      <c r="EJ193" t="e">
        <f>AND(#REF!,"AAAAAHvx/4s=")</f>
        <v>#REF!</v>
      </c>
      <c r="EK193" t="e">
        <f>AND(#REF!,"AAAAAHvx/4w=")</f>
        <v>#REF!</v>
      </c>
      <c r="EL193" t="e">
        <f>AND(#REF!,"AAAAAHvx/40=")</f>
        <v>#REF!</v>
      </c>
      <c r="EM193" t="e">
        <f>AND(#REF!,"AAAAAHvx/44=")</f>
        <v>#REF!</v>
      </c>
      <c r="EN193" t="e">
        <f>AND(#REF!,"AAAAAHvx/48=")</f>
        <v>#REF!</v>
      </c>
      <c r="EO193" t="e">
        <f>AND(#REF!,"AAAAAHvx/5A=")</f>
        <v>#REF!</v>
      </c>
      <c r="EP193" t="e">
        <f>AND(#REF!,"AAAAAHvx/5E=")</f>
        <v>#REF!</v>
      </c>
      <c r="EQ193" t="e">
        <f>AND(#REF!,"AAAAAHvx/5I=")</f>
        <v>#REF!</v>
      </c>
      <c r="ER193" t="e">
        <f>AND(#REF!,"AAAAAHvx/5M=")</f>
        <v>#REF!</v>
      </c>
      <c r="ES193" t="e">
        <f>AND(#REF!,"AAAAAHvx/5Q=")</f>
        <v>#REF!</v>
      </c>
      <c r="ET193" t="e">
        <f>AND(#REF!,"AAAAAHvx/5U=")</f>
        <v>#REF!</v>
      </c>
      <c r="EU193" t="e">
        <f>AND(#REF!,"AAAAAHvx/5Y=")</f>
        <v>#REF!</v>
      </c>
      <c r="EV193" t="e">
        <f>AND(#REF!,"AAAAAHvx/5c=")</f>
        <v>#REF!</v>
      </c>
      <c r="EW193" t="e">
        <f>AND(#REF!,"AAAAAHvx/5g=")</f>
        <v>#REF!</v>
      </c>
      <c r="EX193" t="e">
        <f>AND(#REF!,"AAAAAHvx/5k=")</f>
        <v>#REF!</v>
      </c>
      <c r="EY193" t="e">
        <f>AND(#REF!,"AAAAAHvx/5o=")</f>
        <v>#REF!</v>
      </c>
      <c r="EZ193" t="e">
        <f>AND(#REF!,"AAAAAHvx/5s=")</f>
        <v>#REF!</v>
      </c>
      <c r="FA193" t="e">
        <f>AND(#REF!,"AAAAAHvx/5w=")</f>
        <v>#REF!</v>
      </c>
      <c r="FB193" t="e">
        <f>AND(#REF!,"AAAAAHvx/50=")</f>
        <v>#REF!</v>
      </c>
      <c r="FC193" t="e">
        <f>AND(#REF!,"AAAAAHvx/54=")</f>
        <v>#REF!</v>
      </c>
      <c r="FD193" t="e">
        <f>AND(#REF!,"AAAAAHvx/58=")</f>
        <v>#REF!</v>
      </c>
      <c r="FE193" t="e">
        <f>AND(#REF!,"AAAAAHvx/6A=")</f>
        <v>#REF!</v>
      </c>
      <c r="FF193" t="e">
        <f>AND(#REF!,"AAAAAHvx/6E=")</f>
        <v>#REF!</v>
      </c>
      <c r="FG193" t="e">
        <f>AND(#REF!,"AAAAAHvx/6I=")</f>
        <v>#REF!</v>
      </c>
      <c r="FH193" t="e">
        <f>AND(#REF!,"AAAAAHvx/6M=")</f>
        <v>#REF!</v>
      </c>
      <c r="FI193" t="e">
        <f>AND(#REF!,"AAAAAHvx/6Q=")</f>
        <v>#REF!</v>
      </c>
      <c r="FJ193" t="e">
        <f>AND(#REF!,"AAAAAHvx/6U=")</f>
        <v>#REF!</v>
      </c>
      <c r="FK193" t="e">
        <f>AND(#REF!,"AAAAAHvx/6Y=")</f>
        <v>#REF!</v>
      </c>
      <c r="FL193" t="e">
        <f>AND(#REF!,"AAAAAHvx/6c=")</f>
        <v>#REF!</v>
      </c>
      <c r="FM193" t="e">
        <f>AND(#REF!,"AAAAAHvx/6g=")</f>
        <v>#REF!</v>
      </c>
      <c r="FN193" t="e">
        <f>AND(#REF!,"AAAAAHvx/6k=")</f>
        <v>#REF!</v>
      </c>
      <c r="FO193" t="e">
        <f>AND(#REF!,"AAAAAHvx/6o=")</f>
        <v>#REF!</v>
      </c>
      <c r="FP193" t="e">
        <f>AND(#REF!,"AAAAAHvx/6s=")</f>
        <v>#REF!</v>
      </c>
      <c r="FQ193" t="e">
        <f>AND(#REF!,"AAAAAHvx/6w=")</f>
        <v>#REF!</v>
      </c>
      <c r="FR193" t="e">
        <f>AND(#REF!,"AAAAAHvx/60=")</f>
        <v>#REF!</v>
      </c>
      <c r="FS193" t="e">
        <f>AND(#REF!,"AAAAAHvx/64=")</f>
        <v>#REF!</v>
      </c>
      <c r="FT193" t="e">
        <f>AND(#REF!,"AAAAAHvx/68=")</f>
        <v>#REF!</v>
      </c>
      <c r="FU193" t="e">
        <f>AND(#REF!,"AAAAAHvx/7A=")</f>
        <v>#REF!</v>
      </c>
      <c r="FV193" t="e">
        <f>AND(#REF!,"AAAAAHvx/7E=")</f>
        <v>#REF!</v>
      </c>
      <c r="FW193" t="e">
        <f>AND(#REF!,"AAAAAHvx/7I=")</f>
        <v>#REF!</v>
      </c>
      <c r="FX193" t="e">
        <f>AND(#REF!,"AAAAAHvx/7M=")</f>
        <v>#REF!</v>
      </c>
      <c r="FY193" t="e">
        <f>AND(#REF!,"AAAAAHvx/7Q=")</f>
        <v>#REF!</v>
      </c>
      <c r="FZ193" t="e">
        <f>AND(#REF!,"AAAAAHvx/7U=")</f>
        <v>#REF!</v>
      </c>
      <c r="GA193" t="e">
        <f>AND(#REF!,"AAAAAHvx/7Y=")</f>
        <v>#REF!</v>
      </c>
      <c r="GB193" t="e">
        <f>AND(#REF!,"AAAAAHvx/7c=")</f>
        <v>#REF!</v>
      </c>
      <c r="GC193" t="e">
        <f>AND(#REF!,"AAAAAHvx/7g=")</f>
        <v>#REF!</v>
      </c>
      <c r="GD193" t="e">
        <f>AND(#REF!,"AAAAAHvx/7k=")</f>
        <v>#REF!</v>
      </c>
      <c r="GE193" t="e">
        <f>AND(#REF!,"AAAAAHvx/7o=")</f>
        <v>#REF!</v>
      </c>
      <c r="GF193" t="e">
        <f>AND(#REF!,"AAAAAHvx/7s=")</f>
        <v>#REF!</v>
      </c>
      <c r="GG193" t="e">
        <f>AND(#REF!,"AAAAAHvx/7w=")</f>
        <v>#REF!</v>
      </c>
      <c r="GH193" t="e">
        <f>AND(#REF!,"AAAAAHvx/70=")</f>
        <v>#REF!</v>
      </c>
      <c r="GI193" t="e">
        <f>AND(#REF!,"AAAAAHvx/74=")</f>
        <v>#REF!</v>
      </c>
      <c r="GJ193" t="e">
        <f>AND(#REF!,"AAAAAHvx/78=")</f>
        <v>#REF!</v>
      </c>
      <c r="GK193" t="e">
        <f>AND(#REF!,"AAAAAHvx/8A=")</f>
        <v>#REF!</v>
      </c>
      <c r="GL193" t="e">
        <f>AND(#REF!,"AAAAAHvx/8E=")</f>
        <v>#REF!</v>
      </c>
      <c r="GM193" t="e">
        <f>AND(#REF!,"AAAAAHvx/8I=")</f>
        <v>#REF!</v>
      </c>
      <c r="GN193" t="e">
        <f>AND(#REF!,"AAAAAHvx/8M=")</f>
        <v>#REF!</v>
      </c>
      <c r="GO193" t="e">
        <f>AND(#REF!,"AAAAAHvx/8Q=")</f>
        <v>#REF!</v>
      </c>
      <c r="GP193" t="e">
        <f>AND(#REF!,"AAAAAHvx/8U=")</f>
        <v>#REF!</v>
      </c>
      <c r="GQ193" t="e">
        <f>AND(#REF!,"AAAAAHvx/8Y=")</f>
        <v>#REF!</v>
      </c>
      <c r="GR193" t="e">
        <f>AND(#REF!,"AAAAAHvx/8c=")</f>
        <v>#REF!</v>
      </c>
      <c r="GS193" t="e">
        <f>AND(#REF!,"AAAAAHvx/8g=")</f>
        <v>#REF!</v>
      </c>
      <c r="GT193" t="e">
        <f>AND(#REF!,"AAAAAHvx/8k=")</f>
        <v>#REF!</v>
      </c>
      <c r="GU193" t="e">
        <f>AND(#REF!,"AAAAAHvx/8o=")</f>
        <v>#REF!</v>
      </c>
      <c r="GV193" t="e">
        <f>AND(#REF!,"AAAAAHvx/8s=")</f>
        <v>#REF!</v>
      </c>
      <c r="GW193" t="e">
        <f>AND(#REF!,"AAAAAHvx/8w=")</f>
        <v>#REF!</v>
      </c>
      <c r="GX193" t="e">
        <f>AND(#REF!,"AAAAAHvx/80=")</f>
        <v>#REF!</v>
      </c>
      <c r="GY193" t="e">
        <f>AND(#REF!,"AAAAAHvx/84=")</f>
        <v>#REF!</v>
      </c>
      <c r="GZ193" t="e">
        <f>AND(#REF!,"AAAAAHvx/88=")</f>
        <v>#REF!</v>
      </c>
      <c r="HA193" t="e">
        <f>AND(#REF!,"AAAAAHvx/9A=")</f>
        <v>#REF!</v>
      </c>
      <c r="HB193" t="e">
        <f>AND(#REF!,"AAAAAHvx/9E=")</f>
        <v>#REF!</v>
      </c>
      <c r="HC193" t="e">
        <f>AND(#REF!,"AAAAAHvx/9I=")</f>
        <v>#REF!</v>
      </c>
      <c r="HD193" t="e">
        <f>AND(#REF!,"AAAAAHvx/9M=")</f>
        <v>#REF!</v>
      </c>
      <c r="HE193" t="e">
        <f>AND(#REF!,"AAAAAHvx/9Q=")</f>
        <v>#REF!</v>
      </c>
      <c r="HF193" t="e">
        <f>AND(#REF!,"AAAAAHvx/9U=")</f>
        <v>#REF!</v>
      </c>
      <c r="HG193" t="e">
        <f>AND(#REF!,"AAAAAHvx/9Y=")</f>
        <v>#REF!</v>
      </c>
      <c r="HH193" t="e">
        <f>AND(#REF!,"AAAAAHvx/9c=")</f>
        <v>#REF!</v>
      </c>
      <c r="HI193" t="e">
        <f>AND(#REF!,"AAAAAHvx/9g=")</f>
        <v>#REF!</v>
      </c>
      <c r="HJ193" t="e">
        <f>AND(#REF!,"AAAAAHvx/9k=")</f>
        <v>#REF!</v>
      </c>
      <c r="HK193" t="e">
        <f>AND(#REF!,"AAAAAHvx/9o=")</f>
        <v>#REF!</v>
      </c>
      <c r="HL193" t="e">
        <f>AND(#REF!,"AAAAAHvx/9s=")</f>
        <v>#REF!</v>
      </c>
      <c r="HM193" t="e">
        <f>AND(#REF!,"AAAAAHvx/9w=")</f>
        <v>#REF!</v>
      </c>
      <c r="HN193" t="e">
        <f>AND(#REF!,"AAAAAHvx/90=")</f>
        <v>#REF!</v>
      </c>
      <c r="HO193" t="e">
        <f>AND(#REF!,"AAAAAHvx/94=")</f>
        <v>#REF!</v>
      </c>
      <c r="HP193" t="e">
        <f>AND(#REF!,"AAAAAHvx/98=")</f>
        <v>#REF!</v>
      </c>
      <c r="HQ193" t="e">
        <f>AND(#REF!,"AAAAAHvx/+A=")</f>
        <v>#REF!</v>
      </c>
      <c r="HR193" t="e">
        <f>AND(#REF!,"AAAAAHvx/+E=")</f>
        <v>#REF!</v>
      </c>
      <c r="HS193" t="e">
        <f>AND(#REF!,"AAAAAHvx/+I=")</f>
        <v>#REF!</v>
      </c>
      <c r="HT193" t="e">
        <f>AND(#REF!,"AAAAAHvx/+M=")</f>
        <v>#REF!</v>
      </c>
      <c r="HU193" t="e">
        <f>AND(#REF!,"AAAAAHvx/+Q=")</f>
        <v>#REF!</v>
      </c>
      <c r="HV193" t="e">
        <f>AND(#REF!,"AAAAAHvx/+U=")</f>
        <v>#REF!</v>
      </c>
      <c r="HW193" t="e">
        <f>AND(#REF!,"AAAAAHvx/+Y=")</f>
        <v>#REF!</v>
      </c>
      <c r="HX193" t="e">
        <f>AND(#REF!,"AAAAAHvx/+c=")</f>
        <v>#REF!</v>
      </c>
      <c r="HY193" t="e">
        <f>AND(#REF!,"AAAAAHvx/+g=")</f>
        <v>#REF!</v>
      </c>
      <c r="HZ193" t="e">
        <f>AND(#REF!,"AAAAAHvx/+k=")</f>
        <v>#REF!</v>
      </c>
      <c r="IA193" t="e">
        <f>AND(#REF!,"AAAAAHvx/+o=")</f>
        <v>#REF!</v>
      </c>
      <c r="IB193" t="e">
        <f>AND(#REF!,"AAAAAHvx/+s=")</f>
        <v>#REF!</v>
      </c>
      <c r="IC193" t="e">
        <f>AND(#REF!,"AAAAAHvx/+w=")</f>
        <v>#REF!</v>
      </c>
      <c r="ID193" t="e">
        <f>AND(#REF!,"AAAAAHvx/+0=")</f>
        <v>#REF!</v>
      </c>
      <c r="IE193" t="e">
        <f>AND(#REF!,"AAAAAHvx/+4=")</f>
        <v>#REF!</v>
      </c>
      <c r="IF193" t="e">
        <f>AND(#REF!,"AAAAAHvx/+8=")</f>
        <v>#REF!</v>
      </c>
      <c r="IG193" t="e">
        <f>AND(#REF!,"AAAAAHvx//A=")</f>
        <v>#REF!</v>
      </c>
      <c r="IH193" t="e">
        <f>AND(#REF!,"AAAAAHvx//E=")</f>
        <v>#REF!</v>
      </c>
      <c r="II193" t="e">
        <f>AND(#REF!,"AAAAAHvx//I=")</f>
        <v>#REF!</v>
      </c>
      <c r="IJ193" t="e">
        <f>AND(#REF!,"AAAAAHvx//M=")</f>
        <v>#REF!</v>
      </c>
      <c r="IK193" t="e">
        <f>AND(#REF!,"AAAAAHvx//Q=")</f>
        <v>#REF!</v>
      </c>
      <c r="IL193" t="e">
        <f>AND(#REF!,"AAAAAHvx//U=")</f>
        <v>#REF!</v>
      </c>
      <c r="IM193" t="e">
        <f>AND(#REF!,"AAAAAHvx//Y=")</f>
        <v>#REF!</v>
      </c>
      <c r="IN193" t="e">
        <f>AND(#REF!,"AAAAAHvx//c=")</f>
        <v>#REF!</v>
      </c>
      <c r="IO193" t="e">
        <f>AND(#REF!,"AAAAAHvx//g=")</f>
        <v>#REF!</v>
      </c>
      <c r="IP193" t="e">
        <f>AND(#REF!,"AAAAAHvx//k=")</f>
        <v>#REF!</v>
      </c>
      <c r="IQ193" t="e">
        <f>AND(#REF!,"AAAAAHvx//o=")</f>
        <v>#REF!</v>
      </c>
      <c r="IR193" t="e">
        <f>AND(#REF!,"AAAAAHvx//s=")</f>
        <v>#REF!</v>
      </c>
      <c r="IS193" t="e">
        <f>AND(#REF!,"AAAAAHvx//w=")</f>
        <v>#REF!</v>
      </c>
      <c r="IT193" t="e">
        <f>AND(#REF!,"AAAAAHvx//0=")</f>
        <v>#REF!</v>
      </c>
      <c r="IU193" t="e">
        <f>AND(#REF!,"AAAAAHvx//4=")</f>
        <v>#REF!</v>
      </c>
      <c r="IV193" t="e">
        <f>AND(#REF!,"AAAAAHvx//8=")</f>
        <v>#REF!</v>
      </c>
    </row>
    <row r="194" spans="1:256" x14ac:dyDescent="0.25">
      <c r="A194" t="e">
        <f>AND(#REF!,"AAAAAH/+fwA=")</f>
        <v>#REF!</v>
      </c>
      <c r="B194" t="e">
        <f>AND(#REF!,"AAAAAH/+fwE=")</f>
        <v>#REF!</v>
      </c>
      <c r="C194" t="e">
        <f>AND(#REF!,"AAAAAH/+fwI=")</f>
        <v>#REF!</v>
      </c>
      <c r="D194" t="e">
        <f>AND(#REF!,"AAAAAH/+fwM=")</f>
        <v>#REF!</v>
      </c>
      <c r="E194" t="e">
        <f>AND(#REF!,"AAAAAH/+fwQ=")</f>
        <v>#REF!</v>
      </c>
      <c r="F194" t="e">
        <f>AND(#REF!,"AAAAAH/+fwU=")</f>
        <v>#REF!</v>
      </c>
      <c r="G194" t="e">
        <f>AND(#REF!,"AAAAAH/+fwY=")</f>
        <v>#REF!</v>
      </c>
      <c r="H194" t="e">
        <f>AND(#REF!,"AAAAAH/+fwc=")</f>
        <v>#REF!</v>
      </c>
      <c r="I194" t="e">
        <f>AND(#REF!,"AAAAAH/+fwg=")</f>
        <v>#REF!</v>
      </c>
      <c r="J194" t="e">
        <f>AND(#REF!,"AAAAAH/+fwk=")</f>
        <v>#REF!</v>
      </c>
      <c r="K194" t="e">
        <f>AND(#REF!,"AAAAAH/+fwo=")</f>
        <v>#REF!</v>
      </c>
      <c r="L194" t="e">
        <f>AND(#REF!,"AAAAAH/+fws=")</f>
        <v>#REF!</v>
      </c>
      <c r="M194" t="e">
        <f>AND(#REF!,"AAAAAH/+fww=")</f>
        <v>#REF!</v>
      </c>
      <c r="N194" t="e">
        <f>AND(#REF!,"AAAAAH/+fw0=")</f>
        <v>#REF!</v>
      </c>
      <c r="O194" t="e">
        <f>AND(#REF!,"AAAAAH/+fw4=")</f>
        <v>#REF!</v>
      </c>
      <c r="P194" t="e">
        <f>AND(#REF!,"AAAAAH/+fw8=")</f>
        <v>#REF!</v>
      </c>
      <c r="Q194" t="e">
        <f>AND(#REF!,"AAAAAH/+fxA=")</f>
        <v>#REF!</v>
      </c>
      <c r="R194" t="e">
        <f>AND(#REF!,"AAAAAH/+fxE=")</f>
        <v>#REF!</v>
      </c>
      <c r="S194" t="e">
        <f>AND(#REF!,"AAAAAH/+fxI=")</f>
        <v>#REF!</v>
      </c>
      <c r="T194" t="e">
        <f>AND(#REF!,"AAAAAH/+fxM=")</f>
        <v>#REF!</v>
      </c>
      <c r="U194" t="e">
        <f>AND(#REF!,"AAAAAH/+fxQ=")</f>
        <v>#REF!</v>
      </c>
      <c r="V194" t="e">
        <f>AND(#REF!,"AAAAAH/+fxU=")</f>
        <v>#REF!</v>
      </c>
      <c r="W194" t="e">
        <f>AND(#REF!,"AAAAAH/+fxY=")</f>
        <v>#REF!</v>
      </c>
      <c r="X194" t="e">
        <f>AND(#REF!,"AAAAAH/+fxc=")</f>
        <v>#REF!</v>
      </c>
      <c r="Y194" t="e">
        <f>AND(#REF!,"AAAAAH/+fxg=")</f>
        <v>#REF!</v>
      </c>
      <c r="Z194" t="e">
        <f>AND(#REF!,"AAAAAH/+fxk=")</f>
        <v>#REF!</v>
      </c>
      <c r="AA194" t="e">
        <f>AND(#REF!,"AAAAAH/+fxo=")</f>
        <v>#REF!</v>
      </c>
      <c r="AB194" t="e">
        <f>AND(#REF!,"AAAAAH/+fxs=")</f>
        <v>#REF!</v>
      </c>
      <c r="AC194" t="e">
        <f>AND(#REF!,"AAAAAH/+fxw=")</f>
        <v>#REF!</v>
      </c>
      <c r="AD194" t="e">
        <f>AND(#REF!,"AAAAAH/+fx0=")</f>
        <v>#REF!</v>
      </c>
      <c r="AE194" t="e">
        <f>AND(#REF!,"AAAAAH/+fx4=")</f>
        <v>#REF!</v>
      </c>
      <c r="AF194" t="e">
        <f>AND(#REF!,"AAAAAH/+fx8=")</f>
        <v>#REF!</v>
      </c>
      <c r="AG194" t="e">
        <f>AND(#REF!,"AAAAAH/+fyA=")</f>
        <v>#REF!</v>
      </c>
      <c r="AH194" t="e">
        <f>AND(#REF!,"AAAAAH/+fyE=")</f>
        <v>#REF!</v>
      </c>
      <c r="AI194" t="e">
        <f>AND(#REF!,"AAAAAH/+fyI=")</f>
        <v>#REF!</v>
      </c>
      <c r="AJ194" t="e">
        <f>AND(#REF!,"AAAAAH/+fyM=")</f>
        <v>#REF!</v>
      </c>
      <c r="AK194" t="e">
        <f>AND(#REF!,"AAAAAH/+fyQ=")</f>
        <v>#REF!</v>
      </c>
      <c r="AL194" t="e">
        <f>AND(#REF!,"AAAAAH/+fyU=")</f>
        <v>#REF!</v>
      </c>
      <c r="AM194" t="e">
        <f>AND(#REF!,"AAAAAH/+fyY=")</f>
        <v>#REF!</v>
      </c>
      <c r="AN194" t="e">
        <f>AND(#REF!,"AAAAAH/+fyc=")</f>
        <v>#REF!</v>
      </c>
      <c r="AO194" t="e">
        <f>AND(#REF!,"AAAAAH/+fyg=")</f>
        <v>#REF!</v>
      </c>
      <c r="AP194" t="e">
        <f>AND(#REF!,"AAAAAH/+fyk=")</f>
        <v>#REF!</v>
      </c>
      <c r="AQ194" t="e">
        <f>AND(#REF!,"AAAAAH/+fyo=")</f>
        <v>#REF!</v>
      </c>
      <c r="AR194" t="e">
        <f>AND(#REF!,"AAAAAH/+fys=")</f>
        <v>#REF!</v>
      </c>
      <c r="AS194" t="e">
        <f>AND(#REF!,"AAAAAH/+fyw=")</f>
        <v>#REF!</v>
      </c>
      <c r="AT194" t="e">
        <f>AND(#REF!,"AAAAAH/+fy0=")</f>
        <v>#REF!</v>
      </c>
      <c r="AU194" t="e">
        <f>AND(#REF!,"AAAAAH/+fy4=")</f>
        <v>#REF!</v>
      </c>
      <c r="AV194" t="e">
        <f>AND(#REF!,"AAAAAH/+fy8=")</f>
        <v>#REF!</v>
      </c>
      <c r="AW194" t="e">
        <f>AND(#REF!,"AAAAAH/+fzA=")</f>
        <v>#REF!</v>
      </c>
      <c r="AX194" t="e">
        <f>AND(#REF!,"AAAAAH/+fzE=")</f>
        <v>#REF!</v>
      </c>
      <c r="AY194" t="e">
        <f>AND(#REF!,"AAAAAH/+fzI=")</f>
        <v>#REF!</v>
      </c>
      <c r="AZ194" t="e">
        <f>AND(#REF!,"AAAAAH/+fzM=")</f>
        <v>#REF!</v>
      </c>
      <c r="BA194" t="e">
        <f>AND(#REF!,"AAAAAH/+fzQ=")</f>
        <v>#REF!</v>
      </c>
      <c r="BB194" t="e">
        <f>AND(#REF!,"AAAAAH/+fzU=")</f>
        <v>#REF!</v>
      </c>
      <c r="BC194" t="e">
        <f>AND(#REF!,"AAAAAH/+fzY=")</f>
        <v>#REF!</v>
      </c>
      <c r="BD194" t="e">
        <f>AND(#REF!,"AAAAAH/+fzc=")</f>
        <v>#REF!</v>
      </c>
      <c r="BE194" t="e">
        <f>AND(#REF!,"AAAAAH/+fzg=")</f>
        <v>#REF!</v>
      </c>
      <c r="BF194" t="e">
        <f>AND(#REF!,"AAAAAH/+fzk=")</f>
        <v>#REF!</v>
      </c>
      <c r="BG194" t="e">
        <f>AND(#REF!,"AAAAAH/+fzo=")</f>
        <v>#REF!</v>
      </c>
      <c r="BH194" t="e">
        <f>AND(#REF!,"AAAAAH/+fzs=")</f>
        <v>#REF!</v>
      </c>
      <c r="BI194" t="e">
        <f>AND(#REF!,"AAAAAH/+fzw=")</f>
        <v>#REF!</v>
      </c>
      <c r="BJ194" t="e">
        <f>AND(#REF!,"AAAAAH/+fz0=")</f>
        <v>#REF!</v>
      </c>
      <c r="BK194" t="e">
        <f>AND(#REF!,"AAAAAH/+fz4=")</f>
        <v>#REF!</v>
      </c>
      <c r="BL194" t="e">
        <f>AND(#REF!,"AAAAAH/+fz8=")</f>
        <v>#REF!</v>
      </c>
      <c r="BM194" t="e">
        <f>AND(#REF!,"AAAAAH/+f0A=")</f>
        <v>#REF!</v>
      </c>
      <c r="BN194" t="e">
        <f>AND(#REF!,"AAAAAH/+f0E=")</f>
        <v>#REF!</v>
      </c>
      <c r="BO194" t="e">
        <f>IF(#REF!,"AAAAAH/+f0I=",0)</f>
        <v>#REF!</v>
      </c>
      <c r="BP194" t="e">
        <f>AND(#REF!,"AAAAAH/+f0M=")</f>
        <v>#REF!</v>
      </c>
      <c r="BQ194" t="e">
        <f>AND(#REF!,"AAAAAH/+f0Q=")</f>
        <v>#REF!</v>
      </c>
      <c r="BR194" t="e">
        <f>AND(#REF!,"AAAAAH/+f0U=")</f>
        <v>#REF!</v>
      </c>
      <c r="BS194" t="e">
        <f>AND(#REF!,"AAAAAH/+f0Y=")</f>
        <v>#REF!</v>
      </c>
      <c r="BT194" t="e">
        <f>AND(#REF!,"AAAAAH/+f0c=")</f>
        <v>#REF!</v>
      </c>
      <c r="BU194" t="e">
        <f>AND(#REF!,"AAAAAH/+f0g=")</f>
        <v>#REF!</v>
      </c>
      <c r="BV194" t="e">
        <f>AND(#REF!,"AAAAAH/+f0k=")</f>
        <v>#REF!</v>
      </c>
      <c r="BW194" t="e">
        <f>AND(#REF!,"AAAAAH/+f0o=")</f>
        <v>#REF!</v>
      </c>
      <c r="BX194" t="e">
        <f>AND(#REF!,"AAAAAH/+f0s=")</f>
        <v>#REF!</v>
      </c>
      <c r="BY194" t="e">
        <f>AND(#REF!,"AAAAAH/+f0w=")</f>
        <v>#REF!</v>
      </c>
      <c r="BZ194" t="e">
        <f>AND(#REF!,"AAAAAH/+f00=")</f>
        <v>#REF!</v>
      </c>
      <c r="CA194" t="e">
        <f>AND(#REF!,"AAAAAH/+f04=")</f>
        <v>#REF!</v>
      </c>
      <c r="CB194" t="e">
        <f>AND(#REF!,"AAAAAH/+f08=")</f>
        <v>#REF!</v>
      </c>
      <c r="CC194" t="e">
        <f>AND(#REF!,"AAAAAH/+f1A=")</f>
        <v>#REF!</v>
      </c>
      <c r="CD194" t="e">
        <f>AND(#REF!,"AAAAAH/+f1E=")</f>
        <v>#REF!</v>
      </c>
      <c r="CE194" t="e">
        <f>AND(#REF!,"AAAAAH/+f1I=")</f>
        <v>#REF!</v>
      </c>
      <c r="CF194" t="e">
        <f>AND(#REF!,"AAAAAH/+f1M=")</f>
        <v>#REF!</v>
      </c>
      <c r="CG194" t="e">
        <f>AND(#REF!,"AAAAAH/+f1Q=")</f>
        <v>#REF!</v>
      </c>
      <c r="CH194" t="e">
        <f>AND(#REF!,"AAAAAH/+f1U=")</f>
        <v>#REF!</v>
      </c>
      <c r="CI194" t="e">
        <f>AND(#REF!,"AAAAAH/+f1Y=")</f>
        <v>#REF!</v>
      </c>
      <c r="CJ194" t="e">
        <f>AND(#REF!,"AAAAAH/+f1c=")</f>
        <v>#REF!</v>
      </c>
      <c r="CK194" t="e">
        <f>AND(#REF!,"AAAAAH/+f1g=")</f>
        <v>#REF!</v>
      </c>
      <c r="CL194" t="e">
        <f>AND(#REF!,"AAAAAH/+f1k=")</f>
        <v>#REF!</v>
      </c>
      <c r="CM194" t="e">
        <f>AND(#REF!,"AAAAAH/+f1o=")</f>
        <v>#REF!</v>
      </c>
      <c r="CN194" t="e">
        <f>AND(#REF!,"AAAAAH/+f1s=")</f>
        <v>#REF!</v>
      </c>
      <c r="CO194" t="e">
        <f>AND(#REF!,"AAAAAH/+f1w=")</f>
        <v>#REF!</v>
      </c>
      <c r="CP194" t="e">
        <f>AND(#REF!,"AAAAAH/+f10=")</f>
        <v>#REF!</v>
      </c>
      <c r="CQ194" t="e">
        <f>AND(#REF!,"AAAAAH/+f14=")</f>
        <v>#REF!</v>
      </c>
      <c r="CR194" t="e">
        <f>AND(#REF!,"AAAAAH/+f18=")</f>
        <v>#REF!</v>
      </c>
      <c r="CS194" t="e">
        <f>AND(#REF!,"AAAAAH/+f2A=")</f>
        <v>#REF!</v>
      </c>
      <c r="CT194" t="e">
        <f>AND(#REF!,"AAAAAH/+f2E=")</f>
        <v>#REF!</v>
      </c>
      <c r="CU194" t="e">
        <f>AND(#REF!,"AAAAAH/+f2I=")</f>
        <v>#REF!</v>
      </c>
      <c r="CV194" t="e">
        <f>AND(#REF!,"AAAAAH/+f2M=")</f>
        <v>#REF!</v>
      </c>
      <c r="CW194" t="e">
        <f>AND(#REF!,"AAAAAH/+f2Q=")</f>
        <v>#REF!</v>
      </c>
      <c r="CX194" t="e">
        <f>AND(#REF!,"AAAAAH/+f2U=")</f>
        <v>#REF!</v>
      </c>
      <c r="CY194" t="e">
        <f>AND(#REF!,"AAAAAH/+f2Y=")</f>
        <v>#REF!</v>
      </c>
      <c r="CZ194" t="e">
        <f>AND(#REF!,"AAAAAH/+f2c=")</f>
        <v>#REF!</v>
      </c>
      <c r="DA194" t="e">
        <f>AND(#REF!,"AAAAAH/+f2g=")</f>
        <v>#REF!</v>
      </c>
      <c r="DB194" t="e">
        <f>AND(#REF!,"AAAAAH/+f2k=")</f>
        <v>#REF!</v>
      </c>
      <c r="DC194" t="e">
        <f>AND(#REF!,"AAAAAH/+f2o=")</f>
        <v>#REF!</v>
      </c>
      <c r="DD194" t="e">
        <f>AND(#REF!,"AAAAAH/+f2s=")</f>
        <v>#REF!</v>
      </c>
      <c r="DE194" t="e">
        <f>AND(#REF!,"AAAAAH/+f2w=")</f>
        <v>#REF!</v>
      </c>
      <c r="DF194" t="e">
        <f>AND(#REF!,"AAAAAH/+f20=")</f>
        <v>#REF!</v>
      </c>
      <c r="DG194" t="e">
        <f>AND(#REF!,"AAAAAH/+f24=")</f>
        <v>#REF!</v>
      </c>
      <c r="DH194" t="e">
        <f>AND(#REF!,"AAAAAH/+f28=")</f>
        <v>#REF!</v>
      </c>
      <c r="DI194" t="e">
        <f>AND(#REF!,"AAAAAH/+f3A=")</f>
        <v>#REF!</v>
      </c>
      <c r="DJ194" t="e">
        <f>AND(#REF!,"AAAAAH/+f3E=")</f>
        <v>#REF!</v>
      </c>
      <c r="DK194" t="e">
        <f>AND(#REF!,"AAAAAH/+f3I=")</f>
        <v>#REF!</v>
      </c>
      <c r="DL194" t="e">
        <f>AND(#REF!,"AAAAAH/+f3M=")</f>
        <v>#REF!</v>
      </c>
      <c r="DM194" t="e">
        <f>AND(#REF!,"AAAAAH/+f3Q=")</f>
        <v>#REF!</v>
      </c>
      <c r="DN194" t="e">
        <f>AND(#REF!,"AAAAAH/+f3U=")</f>
        <v>#REF!</v>
      </c>
      <c r="DO194" t="e">
        <f>AND(#REF!,"AAAAAH/+f3Y=")</f>
        <v>#REF!</v>
      </c>
      <c r="DP194" t="e">
        <f>AND(#REF!,"AAAAAH/+f3c=")</f>
        <v>#REF!</v>
      </c>
      <c r="DQ194" t="e">
        <f>AND(#REF!,"AAAAAH/+f3g=")</f>
        <v>#REF!</v>
      </c>
      <c r="DR194" t="e">
        <f>AND(#REF!,"AAAAAH/+f3k=")</f>
        <v>#REF!</v>
      </c>
      <c r="DS194" t="e">
        <f>AND(#REF!,"AAAAAH/+f3o=")</f>
        <v>#REF!</v>
      </c>
      <c r="DT194" t="e">
        <f>AND(#REF!,"AAAAAH/+f3s=")</f>
        <v>#REF!</v>
      </c>
      <c r="DU194" t="e">
        <f>AND(#REF!,"AAAAAH/+f3w=")</f>
        <v>#REF!</v>
      </c>
      <c r="DV194" t="e">
        <f>AND(#REF!,"AAAAAH/+f30=")</f>
        <v>#REF!</v>
      </c>
      <c r="DW194" t="e">
        <f>AND(#REF!,"AAAAAH/+f34=")</f>
        <v>#REF!</v>
      </c>
      <c r="DX194" t="e">
        <f>AND(#REF!,"AAAAAH/+f38=")</f>
        <v>#REF!</v>
      </c>
      <c r="DY194" t="e">
        <f>AND(#REF!,"AAAAAH/+f4A=")</f>
        <v>#REF!</v>
      </c>
      <c r="DZ194" t="e">
        <f>AND(#REF!,"AAAAAH/+f4E=")</f>
        <v>#REF!</v>
      </c>
      <c r="EA194" t="e">
        <f>AND(#REF!,"AAAAAH/+f4I=")</f>
        <v>#REF!</v>
      </c>
      <c r="EB194" t="e">
        <f>AND(#REF!,"AAAAAH/+f4M=")</f>
        <v>#REF!</v>
      </c>
      <c r="EC194" t="e">
        <f>AND(#REF!,"AAAAAH/+f4Q=")</f>
        <v>#REF!</v>
      </c>
      <c r="ED194" t="e">
        <f>AND(#REF!,"AAAAAH/+f4U=")</f>
        <v>#REF!</v>
      </c>
      <c r="EE194" t="e">
        <f>AND(#REF!,"AAAAAH/+f4Y=")</f>
        <v>#REF!</v>
      </c>
      <c r="EF194" t="e">
        <f>AND(#REF!,"AAAAAH/+f4c=")</f>
        <v>#REF!</v>
      </c>
      <c r="EG194" t="e">
        <f>AND(#REF!,"AAAAAH/+f4g=")</f>
        <v>#REF!</v>
      </c>
      <c r="EH194" t="e">
        <f>AND(#REF!,"AAAAAH/+f4k=")</f>
        <v>#REF!</v>
      </c>
      <c r="EI194" t="e">
        <f>AND(#REF!,"AAAAAH/+f4o=")</f>
        <v>#REF!</v>
      </c>
      <c r="EJ194" t="e">
        <f>AND(#REF!,"AAAAAH/+f4s=")</f>
        <v>#REF!</v>
      </c>
      <c r="EK194" t="e">
        <f>AND(#REF!,"AAAAAH/+f4w=")</f>
        <v>#REF!</v>
      </c>
      <c r="EL194" t="e">
        <f>AND(#REF!,"AAAAAH/+f40=")</f>
        <v>#REF!</v>
      </c>
      <c r="EM194" t="e">
        <f>AND(#REF!,"AAAAAH/+f44=")</f>
        <v>#REF!</v>
      </c>
      <c r="EN194" t="e">
        <f>AND(#REF!,"AAAAAH/+f48=")</f>
        <v>#REF!</v>
      </c>
      <c r="EO194" t="e">
        <f>AND(#REF!,"AAAAAH/+f5A=")</f>
        <v>#REF!</v>
      </c>
      <c r="EP194" t="e">
        <f>AND(#REF!,"AAAAAH/+f5E=")</f>
        <v>#REF!</v>
      </c>
      <c r="EQ194" t="e">
        <f>AND(#REF!,"AAAAAH/+f5I=")</f>
        <v>#REF!</v>
      </c>
      <c r="ER194" t="e">
        <f>AND(#REF!,"AAAAAH/+f5M=")</f>
        <v>#REF!</v>
      </c>
      <c r="ES194" t="e">
        <f>AND(#REF!,"AAAAAH/+f5Q=")</f>
        <v>#REF!</v>
      </c>
      <c r="ET194" t="e">
        <f>AND(#REF!,"AAAAAH/+f5U=")</f>
        <v>#REF!</v>
      </c>
      <c r="EU194" t="e">
        <f>AND(#REF!,"AAAAAH/+f5Y=")</f>
        <v>#REF!</v>
      </c>
      <c r="EV194" t="e">
        <f>AND(#REF!,"AAAAAH/+f5c=")</f>
        <v>#REF!</v>
      </c>
      <c r="EW194" t="e">
        <f>AND(#REF!,"AAAAAH/+f5g=")</f>
        <v>#REF!</v>
      </c>
      <c r="EX194" t="e">
        <f>AND(#REF!,"AAAAAH/+f5k=")</f>
        <v>#REF!</v>
      </c>
      <c r="EY194" t="e">
        <f>AND(#REF!,"AAAAAH/+f5o=")</f>
        <v>#REF!</v>
      </c>
      <c r="EZ194" t="e">
        <f>AND(#REF!,"AAAAAH/+f5s=")</f>
        <v>#REF!</v>
      </c>
      <c r="FA194" t="e">
        <f>AND(#REF!,"AAAAAH/+f5w=")</f>
        <v>#REF!</v>
      </c>
      <c r="FB194" t="e">
        <f>AND(#REF!,"AAAAAH/+f50=")</f>
        <v>#REF!</v>
      </c>
      <c r="FC194" t="e">
        <f>AND(#REF!,"AAAAAH/+f54=")</f>
        <v>#REF!</v>
      </c>
      <c r="FD194" t="e">
        <f>AND(#REF!,"AAAAAH/+f58=")</f>
        <v>#REF!</v>
      </c>
      <c r="FE194" t="e">
        <f>AND(#REF!,"AAAAAH/+f6A=")</f>
        <v>#REF!</v>
      </c>
      <c r="FF194" t="e">
        <f>AND(#REF!,"AAAAAH/+f6E=")</f>
        <v>#REF!</v>
      </c>
      <c r="FG194" t="e">
        <f>AND(#REF!,"AAAAAH/+f6I=")</f>
        <v>#REF!</v>
      </c>
      <c r="FH194" t="e">
        <f>AND(#REF!,"AAAAAH/+f6M=")</f>
        <v>#REF!</v>
      </c>
      <c r="FI194" t="e">
        <f>AND(#REF!,"AAAAAH/+f6Q=")</f>
        <v>#REF!</v>
      </c>
      <c r="FJ194" t="e">
        <f>AND(#REF!,"AAAAAH/+f6U=")</f>
        <v>#REF!</v>
      </c>
      <c r="FK194" t="e">
        <f>AND(#REF!,"AAAAAH/+f6Y=")</f>
        <v>#REF!</v>
      </c>
      <c r="FL194" t="e">
        <f>AND(#REF!,"AAAAAH/+f6c=")</f>
        <v>#REF!</v>
      </c>
      <c r="FM194" t="e">
        <f>AND(#REF!,"AAAAAH/+f6g=")</f>
        <v>#REF!</v>
      </c>
      <c r="FN194" t="e">
        <f>AND(#REF!,"AAAAAH/+f6k=")</f>
        <v>#REF!</v>
      </c>
      <c r="FO194" t="e">
        <f>AND(#REF!,"AAAAAH/+f6o=")</f>
        <v>#REF!</v>
      </c>
      <c r="FP194" t="e">
        <f>AND(#REF!,"AAAAAH/+f6s=")</f>
        <v>#REF!</v>
      </c>
      <c r="FQ194" t="e">
        <f>AND(#REF!,"AAAAAH/+f6w=")</f>
        <v>#REF!</v>
      </c>
      <c r="FR194" t="e">
        <f>AND(#REF!,"AAAAAH/+f60=")</f>
        <v>#REF!</v>
      </c>
      <c r="FS194" t="e">
        <f>AND(#REF!,"AAAAAH/+f64=")</f>
        <v>#REF!</v>
      </c>
      <c r="FT194" t="e">
        <f>AND(#REF!,"AAAAAH/+f68=")</f>
        <v>#REF!</v>
      </c>
      <c r="FU194" t="e">
        <f>AND(#REF!,"AAAAAH/+f7A=")</f>
        <v>#REF!</v>
      </c>
      <c r="FV194" t="e">
        <f>AND(#REF!,"AAAAAH/+f7E=")</f>
        <v>#REF!</v>
      </c>
      <c r="FW194" t="e">
        <f>AND(#REF!,"AAAAAH/+f7I=")</f>
        <v>#REF!</v>
      </c>
      <c r="FX194" t="e">
        <f>AND(#REF!,"AAAAAH/+f7M=")</f>
        <v>#REF!</v>
      </c>
      <c r="FY194" t="e">
        <f>AND(#REF!,"AAAAAH/+f7Q=")</f>
        <v>#REF!</v>
      </c>
      <c r="FZ194" t="e">
        <f>AND(#REF!,"AAAAAH/+f7U=")</f>
        <v>#REF!</v>
      </c>
      <c r="GA194" t="e">
        <f>AND(#REF!,"AAAAAH/+f7Y=")</f>
        <v>#REF!</v>
      </c>
      <c r="GB194" t="e">
        <f>AND(#REF!,"AAAAAH/+f7c=")</f>
        <v>#REF!</v>
      </c>
      <c r="GC194" t="e">
        <f>AND(#REF!,"AAAAAH/+f7g=")</f>
        <v>#REF!</v>
      </c>
      <c r="GD194" t="e">
        <f>AND(#REF!,"AAAAAH/+f7k=")</f>
        <v>#REF!</v>
      </c>
      <c r="GE194" t="e">
        <f>AND(#REF!,"AAAAAH/+f7o=")</f>
        <v>#REF!</v>
      </c>
      <c r="GF194" t="e">
        <f>AND(#REF!,"AAAAAH/+f7s=")</f>
        <v>#REF!</v>
      </c>
      <c r="GG194" t="e">
        <f>AND(#REF!,"AAAAAH/+f7w=")</f>
        <v>#REF!</v>
      </c>
      <c r="GH194" t="e">
        <f>AND(#REF!,"AAAAAH/+f70=")</f>
        <v>#REF!</v>
      </c>
      <c r="GI194" t="e">
        <f>AND(#REF!,"AAAAAH/+f74=")</f>
        <v>#REF!</v>
      </c>
      <c r="GJ194" t="e">
        <f>AND(#REF!,"AAAAAH/+f78=")</f>
        <v>#REF!</v>
      </c>
      <c r="GK194" t="e">
        <f>AND(#REF!,"AAAAAH/+f8A=")</f>
        <v>#REF!</v>
      </c>
      <c r="GL194" t="e">
        <f>AND(#REF!,"AAAAAH/+f8E=")</f>
        <v>#REF!</v>
      </c>
      <c r="GM194" t="e">
        <f>AND(#REF!,"AAAAAH/+f8I=")</f>
        <v>#REF!</v>
      </c>
      <c r="GN194" t="e">
        <f>AND(#REF!,"AAAAAH/+f8M=")</f>
        <v>#REF!</v>
      </c>
      <c r="GO194" t="e">
        <f>AND(#REF!,"AAAAAH/+f8Q=")</f>
        <v>#REF!</v>
      </c>
      <c r="GP194" t="e">
        <f>AND(#REF!,"AAAAAH/+f8U=")</f>
        <v>#REF!</v>
      </c>
      <c r="GQ194" t="e">
        <f>AND(#REF!,"AAAAAH/+f8Y=")</f>
        <v>#REF!</v>
      </c>
      <c r="GR194" t="e">
        <f>AND(#REF!,"AAAAAH/+f8c=")</f>
        <v>#REF!</v>
      </c>
      <c r="GS194" t="e">
        <f>AND(#REF!,"AAAAAH/+f8g=")</f>
        <v>#REF!</v>
      </c>
      <c r="GT194" t="e">
        <f>AND(#REF!,"AAAAAH/+f8k=")</f>
        <v>#REF!</v>
      </c>
      <c r="GU194" t="e">
        <f>AND(#REF!,"AAAAAH/+f8o=")</f>
        <v>#REF!</v>
      </c>
      <c r="GV194" t="e">
        <f>AND(#REF!,"AAAAAH/+f8s=")</f>
        <v>#REF!</v>
      </c>
      <c r="GW194" t="e">
        <f>AND(#REF!,"AAAAAH/+f8w=")</f>
        <v>#REF!</v>
      </c>
      <c r="GX194" t="e">
        <f>AND(#REF!,"AAAAAH/+f80=")</f>
        <v>#REF!</v>
      </c>
      <c r="GY194" t="e">
        <f>AND(#REF!,"AAAAAH/+f84=")</f>
        <v>#REF!</v>
      </c>
      <c r="GZ194" t="e">
        <f>AND(#REF!,"AAAAAH/+f88=")</f>
        <v>#REF!</v>
      </c>
      <c r="HA194" t="e">
        <f>AND(#REF!,"AAAAAH/+f9A=")</f>
        <v>#REF!</v>
      </c>
      <c r="HB194" t="e">
        <f>AND(#REF!,"AAAAAH/+f9E=")</f>
        <v>#REF!</v>
      </c>
      <c r="HC194" t="e">
        <f>AND(#REF!,"AAAAAH/+f9I=")</f>
        <v>#REF!</v>
      </c>
      <c r="HD194" t="e">
        <f>AND(#REF!,"AAAAAH/+f9M=")</f>
        <v>#REF!</v>
      </c>
      <c r="HE194" t="e">
        <f>AND(#REF!,"AAAAAH/+f9Q=")</f>
        <v>#REF!</v>
      </c>
      <c r="HF194" t="e">
        <f>AND(#REF!,"AAAAAH/+f9U=")</f>
        <v>#REF!</v>
      </c>
      <c r="HG194" t="e">
        <f>AND(#REF!,"AAAAAH/+f9Y=")</f>
        <v>#REF!</v>
      </c>
      <c r="HH194" t="e">
        <f>AND(#REF!,"AAAAAH/+f9c=")</f>
        <v>#REF!</v>
      </c>
      <c r="HI194" t="e">
        <f>AND(#REF!,"AAAAAH/+f9g=")</f>
        <v>#REF!</v>
      </c>
      <c r="HJ194" t="e">
        <f>AND(#REF!,"AAAAAH/+f9k=")</f>
        <v>#REF!</v>
      </c>
      <c r="HK194" t="e">
        <f>AND(#REF!,"AAAAAH/+f9o=")</f>
        <v>#REF!</v>
      </c>
      <c r="HL194" t="e">
        <f>AND(#REF!,"AAAAAH/+f9s=")</f>
        <v>#REF!</v>
      </c>
      <c r="HM194" t="e">
        <f>AND(#REF!,"AAAAAH/+f9w=")</f>
        <v>#REF!</v>
      </c>
      <c r="HN194" t="e">
        <f>AND(#REF!,"AAAAAH/+f90=")</f>
        <v>#REF!</v>
      </c>
      <c r="HO194" t="e">
        <f>AND(#REF!,"AAAAAH/+f94=")</f>
        <v>#REF!</v>
      </c>
      <c r="HP194" t="e">
        <f>AND(#REF!,"AAAAAH/+f98=")</f>
        <v>#REF!</v>
      </c>
      <c r="HQ194" t="e">
        <f>AND(#REF!,"AAAAAH/+f+A=")</f>
        <v>#REF!</v>
      </c>
      <c r="HR194" t="e">
        <f>AND(#REF!,"AAAAAH/+f+E=")</f>
        <v>#REF!</v>
      </c>
      <c r="HS194" t="e">
        <f>AND(#REF!,"AAAAAH/+f+I=")</f>
        <v>#REF!</v>
      </c>
      <c r="HT194" t="e">
        <f>AND(#REF!,"AAAAAH/+f+M=")</f>
        <v>#REF!</v>
      </c>
      <c r="HU194" t="e">
        <f>AND(#REF!,"AAAAAH/+f+Q=")</f>
        <v>#REF!</v>
      </c>
      <c r="HV194" t="e">
        <f>AND(#REF!,"AAAAAH/+f+U=")</f>
        <v>#REF!</v>
      </c>
      <c r="HW194" t="e">
        <f>AND(#REF!,"AAAAAH/+f+Y=")</f>
        <v>#REF!</v>
      </c>
      <c r="HX194" t="e">
        <f>AND(#REF!,"AAAAAH/+f+c=")</f>
        <v>#REF!</v>
      </c>
      <c r="HY194" t="e">
        <f>AND(#REF!,"AAAAAH/+f+g=")</f>
        <v>#REF!</v>
      </c>
      <c r="HZ194" t="e">
        <f>AND(#REF!,"AAAAAH/+f+k=")</f>
        <v>#REF!</v>
      </c>
      <c r="IA194" t="e">
        <f>AND(#REF!,"AAAAAH/+f+o=")</f>
        <v>#REF!</v>
      </c>
      <c r="IB194" t="e">
        <f>AND(#REF!,"AAAAAH/+f+s=")</f>
        <v>#REF!</v>
      </c>
      <c r="IC194" t="e">
        <f>AND(#REF!,"AAAAAH/+f+w=")</f>
        <v>#REF!</v>
      </c>
      <c r="ID194" t="e">
        <f>AND(#REF!,"AAAAAH/+f+0=")</f>
        <v>#REF!</v>
      </c>
      <c r="IE194" t="e">
        <f>AND(#REF!,"AAAAAH/+f+4=")</f>
        <v>#REF!</v>
      </c>
      <c r="IF194" t="e">
        <f>AND(#REF!,"AAAAAH/+f+8=")</f>
        <v>#REF!</v>
      </c>
      <c r="IG194" t="e">
        <f>AND(#REF!,"AAAAAH/+f/A=")</f>
        <v>#REF!</v>
      </c>
      <c r="IH194" t="e">
        <f>AND(#REF!,"AAAAAH/+f/E=")</f>
        <v>#REF!</v>
      </c>
      <c r="II194" t="e">
        <f>AND(#REF!,"AAAAAH/+f/I=")</f>
        <v>#REF!</v>
      </c>
      <c r="IJ194" t="e">
        <f>AND(#REF!,"AAAAAH/+f/M=")</f>
        <v>#REF!</v>
      </c>
      <c r="IK194" t="e">
        <f>AND(#REF!,"AAAAAH/+f/Q=")</f>
        <v>#REF!</v>
      </c>
      <c r="IL194" t="e">
        <f>AND(#REF!,"AAAAAH/+f/U=")</f>
        <v>#REF!</v>
      </c>
      <c r="IM194" t="e">
        <f>AND(#REF!,"AAAAAH/+f/Y=")</f>
        <v>#REF!</v>
      </c>
      <c r="IN194" t="e">
        <f>AND(#REF!,"AAAAAH/+f/c=")</f>
        <v>#REF!</v>
      </c>
      <c r="IO194" t="e">
        <f>AND(#REF!,"AAAAAH/+f/g=")</f>
        <v>#REF!</v>
      </c>
      <c r="IP194" t="e">
        <f>AND(#REF!,"AAAAAH/+f/k=")</f>
        <v>#REF!</v>
      </c>
      <c r="IQ194" t="e">
        <f>AND(#REF!,"AAAAAH/+f/o=")</f>
        <v>#REF!</v>
      </c>
      <c r="IR194" t="e">
        <f>AND(#REF!,"AAAAAH/+f/s=")</f>
        <v>#REF!</v>
      </c>
      <c r="IS194" t="e">
        <f>AND(#REF!,"AAAAAH/+f/w=")</f>
        <v>#REF!</v>
      </c>
      <c r="IT194" t="e">
        <f>AND(#REF!,"AAAAAH/+f/0=")</f>
        <v>#REF!</v>
      </c>
      <c r="IU194" t="e">
        <f>AND(#REF!,"AAAAAH/+f/4=")</f>
        <v>#REF!</v>
      </c>
      <c r="IV194" t="e">
        <f>IF(#REF!,"AAAAAH/+f/8=",0)</f>
        <v>#REF!</v>
      </c>
    </row>
    <row r="195" spans="1:256" x14ac:dyDescent="0.25">
      <c r="A195" t="e">
        <f>AND(#REF!,"AAAAAFpUrwA=")</f>
        <v>#REF!</v>
      </c>
      <c r="B195" t="e">
        <f>AND(#REF!,"AAAAAFpUrwE=")</f>
        <v>#REF!</v>
      </c>
      <c r="C195" t="e">
        <f>AND(#REF!,"AAAAAFpUrwI=")</f>
        <v>#REF!</v>
      </c>
      <c r="D195" t="e">
        <f>AND(#REF!,"AAAAAFpUrwM=")</f>
        <v>#REF!</v>
      </c>
      <c r="E195" t="e">
        <f>AND(#REF!,"AAAAAFpUrwQ=")</f>
        <v>#REF!</v>
      </c>
      <c r="F195" t="e">
        <f>AND(#REF!,"AAAAAFpUrwU=")</f>
        <v>#REF!</v>
      </c>
      <c r="G195" t="e">
        <f>AND(#REF!,"AAAAAFpUrwY=")</f>
        <v>#REF!</v>
      </c>
      <c r="H195" t="e">
        <f>AND(#REF!,"AAAAAFpUrwc=")</f>
        <v>#REF!</v>
      </c>
      <c r="I195" t="e">
        <f>AND(#REF!,"AAAAAFpUrwg=")</f>
        <v>#REF!</v>
      </c>
      <c r="J195" t="e">
        <f>AND(#REF!,"AAAAAFpUrwk=")</f>
        <v>#REF!</v>
      </c>
      <c r="K195" t="e">
        <f>AND(#REF!,"AAAAAFpUrwo=")</f>
        <v>#REF!</v>
      </c>
      <c r="L195" t="e">
        <f>AND(#REF!,"AAAAAFpUrws=")</f>
        <v>#REF!</v>
      </c>
      <c r="M195" t="e">
        <f>AND(#REF!,"AAAAAFpUrww=")</f>
        <v>#REF!</v>
      </c>
      <c r="N195" t="e">
        <f>AND(#REF!,"AAAAAFpUrw0=")</f>
        <v>#REF!</v>
      </c>
      <c r="O195" t="e">
        <f>AND(#REF!,"AAAAAFpUrw4=")</f>
        <v>#REF!</v>
      </c>
      <c r="P195" t="e">
        <f>AND(#REF!,"AAAAAFpUrw8=")</f>
        <v>#REF!</v>
      </c>
      <c r="Q195" t="e">
        <f>AND(#REF!,"AAAAAFpUrxA=")</f>
        <v>#REF!</v>
      </c>
      <c r="R195" t="e">
        <f>AND(#REF!,"AAAAAFpUrxE=")</f>
        <v>#REF!</v>
      </c>
      <c r="S195" t="e">
        <f>AND(#REF!,"AAAAAFpUrxI=")</f>
        <v>#REF!</v>
      </c>
      <c r="T195" t="e">
        <f>AND(#REF!,"AAAAAFpUrxM=")</f>
        <v>#REF!</v>
      </c>
      <c r="U195" t="e">
        <f>AND(#REF!,"AAAAAFpUrxQ=")</f>
        <v>#REF!</v>
      </c>
      <c r="V195" t="e">
        <f>AND(#REF!,"AAAAAFpUrxU=")</f>
        <v>#REF!</v>
      </c>
      <c r="W195" t="e">
        <f>AND(#REF!,"AAAAAFpUrxY=")</f>
        <v>#REF!</v>
      </c>
      <c r="X195" t="e">
        <f>AND(#REF!,"AAAAAFpUrxc=")</f>
        <v>#REF!</v>
      </c>
      <c r="Y195" t="e">
        <f>AND(#REF!,"AAAAAFpUrxg=")</f>
        <v>#REF!</v>
      </c>
      <c r="Z195" t="e">
        <f>AND(#REF!,"AAAAAFpUrxk=")</f>
        <v>#REF!</v>
      </c>
      <c r="AA195" t="e">
        <f>AND(#REF!,"AAAAAFpUrxo=")</f>
        <v>#REF!</v>
      </c>
      <c r="AB195" t="e">
        <f>AND(#REF!,"AAAAAFpUrxs=")</f>
        <v>#REF!</v>
      </c>
      <c r="AC195" t="e">
        <f>AND(#REF!,"AAAAAFpUrxw=")</f>
        <v>#REF!</v>
      </c>
      <c r="AD195" t="e">
        <f>AND(#REF!,"AAAAAFpUrx0=")</f>
        <v>#REF!</v>
      </c>
      <c r="AE195" t="e">
        <f>AND(#REF!,"AAAAAFpUrx4=")</f>
        <v>#REF!</v>
      </c>
      <c r="AF195" t="e">
        <f>AND(#REF!,"AAAAAFpUrx8=")</f>
        <v>#REF!</v>
      </c>
      <c r="AG195" t="e">
        <f>AND(#REF!,"AAAAAFpUryA=")</f>
        <v>#REF!</v>
      </c>
      <c r="AH195" t="e">
        <f>AND(#REF!,"AAAAAFpUryE=")</f>
        <v>#REF!</v>
      </c>
      <c r="AI195" t="e">
        <f>AND(#REF!,"AAAAAFpUryI=")</f>
        <v>#REF!</v>
      </c>
      <c r="AJ195" t="e">
        <f>AND(#REF!,"AAAAAFpUryM=")</f>
        <v>#REF!</v>
      </c>
      <c r="AK195" t="e">
        <f>AND(#REF!,"AAAAAFpUryQ=")</f>
        <v>#REF!</v>
      </c>
      <c r="AL195" t="e">
        <f>AND(#REF!,"AAAAAFpUryU=")</f>
        <v>#REF!</v>
      </c>
      <c r="AM195" t="e">
        <f>AND(#REF!,"AAAAAFpUryY=")</f>
        <v>#REF!</v>
      </c>
      <c r="AN195" t="e">
        <f>AND(#REF!,"AAAAAFpUryc=")</f>
        <v>#REF!</v>
      </c>
      <c r="AO195" t="e">
        <f>AND(#REF!,"AAAAAFpUryg=")</f>
        <v>#REF!</v>
      </c>
      <c r="AP195" t="e">
        <f>AND(#REF!,"AAAAAFpUryk=")</f>
        <v>#REF!</v>
      </c>
      <c r="AQ195" t="e">
        <f>AND(#REF!,"AAAAAFpUryo=")</f>
        <v>#REF!</v>
      </c>
      <c r="AR195" t="e">
        <f>AND(#REF!,"AAAAAFpUrys=")</f>
        <v>#REF!</v>
      </c>
      <c r="AS195" t="e">
        <f>AND(#REF!,"AAAAAFpUryw=")</f>
        <v>#REF!</v>
      </c>
      <c r="AT195" t="e">
        <f>AND(#REF!,"AAAAAFpUry0=")</f>
        <v>#REF!</v>
      </c>
      <c r="AU195" t="e">
        <f>AND(#REF!,"AAAAAFpUry4=")</f>
        <v>#REF!</v>
      </c>
      <c r="AV195" t="e">
        <f>AND(#REF!,"AAAAAFpUry8=")</f>
        <v>#REF!</v>
      </c>
      <c r="AW195" t="e">
        <f>AND(#REF!,"AAAAAFpUrzA=")</f>
        <v>#REF!</v>
      </c>
      <c r="AX195" t="e">
        <f>AND(#REF!,"AAAAAFpUrzE=")</f>
        <v>#REF!</v>
      </c>
      <c r="AY195" t="e">
        <f>AND(#REF!,"AAAAAFpUrzI=")</f>
        <v>#REF!</v>
      </c>
      <c r="AZ195" t="e">
        <f>AND(#REF!,"AAAAAFpUrzM=")</f>
        <v>#REF!</v>
      </c>
      <c r="BA195" t="e">
        <f>AND(#REF!,"AAAAAFpUrzQ=")</f>
        <v>#REF!</v>
      </c>
      <c r="BB195" t="e">
        <f>AND(#REF!,"AAAAAFpUrzU=")</f>
        <v>#REF!</v>
      </c>
      <c r="BC195" t="e">
        <f>AND(#REF!,"AAAAAFpUrzY=")</f>
        <v>#REF!</v>
      </c>
      <c r="BD195" t="e">
        <f>AND(#REF!,"AAAAAFpUrzc=")</f>
        <v>#REF!</v>
      </c>
      <c r="BE195" t="e">
        <f>AND(#REF!,"AAAAAFpUrzg=")</f>
        <v>#REF!</v>
      </c>
      <c r="BF195" t="e">
        <f>AND(#REF!,"AAAAAFpUrzk=")</f>
        <v>#REF!</v>
      </c>
      <c r="BG195" t="e">
        <f>AND(#REF!,"AAAAAFpUrzo=")</f>
        <v>#REF!</v>
      </c>
      <c r="BH195" t="e">
        <f>AND(#REF!,"AAAAAFpUrzs=")</f>
        <v>#REF!</v>
      </c>
      <c r="BI195" t="e">
        <f>AND(#REF!,"AAAAAFpUrzw=")</f>
        <v>#REF!</v>
      </c>
      <c r="BJ195" t="e">
        <f>AND(#REF!,"AAAAAFpUrz0=")</f>
        <v>#REF!</v>
      </c>
      <c r="BK195" t="e">
        <f>AND(#REF!,"AAAAAFpUrz4=")</f>
        <v>#REF!</v>
      </c>
      <c r="BL195" t="e">
        <f>AND(#REF!,"AAAAAFpUrz8=")</f>
        <v>#REF!</v>
      </c>
      <c r="BM195" t="e">
        <f>AND(#REF!,"AAAAAFpUr0A=")</f>
        <v>#REF!</v>
      </c>
      <c r="BN195" t="e">
        <f>AND(#REF!,"AAAAAFpUr0E=")</f>
        <v>#REF!</v>
      </c>
      <c r="BO195" t="e">
        <f>AND(#REF!,"AAAAAFpUr0I=")</f>
        <v>#REF!</v>
      </c>
      <c r="BP195" t="e">
        <f>AND(#REF!,"AAAAAFpUr0M=")</f>
        <v>#REF!</v>
      </c>
      <c r="BQ195" t="e">
        <f>AND(#REF!,"AAAAAFpUr0Q=")</f>
        <v>#REF!</v>
      </c>
      <c r="BR195" t="e">
        <f>AND(#REF!,"AAAAAFpUr0U=")</f>
        <v>#REF!</v>
      </c>
      <c r="BS195" t="e">
        <f>AND(#REF!,"AAAAAFpUr0Y=")</f>
        <v>#REF!</v>
      </c>
      <c r="BT195" t="e">
        <f>AND(#REF!,"AAAAAFpUr0c=")</f>
        <v>#REF!</v>
      </c>
      <c r="BU195" t="e">
        <f>AND(#REF!,"AAAAAFpUr0g=")</f>
        <v>#REF!</v>
      </c>
      <c r="BV195" t="e">
        <f>AND(#REF!,"AAAAAFpUr0k=")</f>
        <v>#REF!</v>
      </c>
      <c r="BW195" t="e">
        <f>AND(#REF!,"AAAAAFpUr0o=")</f>
        <v>#REF!</v>
      </c>
      <c r="BX195" t="e">
        <f>AND(#REF!,"AAAAAFpUr0s=")</f>
        <v>#REF!</v>
      </c>
      <c r="BY195" t="e">
        <f>AND(#REF!,"AAAAAFpUr0w=")</f>
        <v>#REF!</v>
      </c>
      <c r="BZ195" t="e">
        <f>AND(#REF!,"AAAAAFpUr00=")</f>
        <v>#REF!</v>
      </c>
      <c r="CA195" t="e">
        <f>AND(#REF!,"AAAAAFpUr04=")</f>
        <v>#REF!</v>
      </c>
      <c r="CB195" t="e">
        <f>AND(#REF!,"AAAAAFpUr08=")</f>
        <v>#REF!</v>
      </c>
      <c r="CC195" t="e">
        <f>AND(#REF!,"AAAAAFpUr1A=")</f>
        <v>#REF!</v>
      </c>
      <c r="CD195" t="e">
        <f>AND(#REF!,"AAAAAFpUr1E=")</f>
        <v>#REF!</v>
      </c>
      <c r="CE195" t="e">
        <f>AND(#REF!,"AAAAAFpUr1I=")</f>
        <v>#REF!</v>
      </c>
      <c r="CF195" t="e">
        <f>AND(#REF!,"AAAAAFpUr1M=")</f>
        <v>#REF!</v>
      </c>
      <c r="CG195" t="e">
        <f>AND(#REF!,"AAAAAFpUr1Q=")</f>
        <v>#REF!</v>
      </c>
      <c r="CH195" t="e">
        <f>AND(#REF!,"AAAAAFpUr1U=")</f>
        <v>#REF!</v>
      </c>
      <c r="CI195" t="e">
        <f>AND(#REF!,"AAAAAFpUr1Y=")</f>
        <v>#REF!</v>
      </c>
      <c r="CJ195" t="e">
        <f>AND(#REF!,"AAAAAFpUr1c=")</f>
        <v>#REF!</v>
      </c>
      <c r="CK195" t="e">
        <f>AND(#REF!,"AAAAAFpUr1g=")</f>
        <v>#REF!</v>
      </c>
      <c r="CL195" t="e">
        <f>AND(#REF!,"AAAAAFpUr1k=")</f>
        <v>#REF!</v>
      </c>
      <c r="CM195" t="e">
        <f>AND(#REF!,"AAAAAFpUr1o=")</f>
        <v>#REF!</v>
      </c>
      <c r="CN195" t="e">
        <f>AND(#REF!,"AAAAAFpUr1s=")</f>
        <v>#REF!</v>
      </c>
      <c r="CO195" t="e">
        <f>AND(#REF!,"AAAAAFpUr1w=")</f>
        <v>#REF!</v>
      </c>
      <c r="CP195" t="e">
        <f>AND(#REF!,"AAAAAFpUr10=")</f>
        <v>#REF!</v>
      </c>
      <c r="CQ195" t="e">
        <f>AND(#REF!,"AAAAAFpUr14=")</f>
        <v>#REF!</v>
      </c>
      <c r="CR195" t="e">
        <f>AND(#REF!,"AAAAAFpUr18=")</f>
        <v>#REF!</v>
      </c>
      <c r="CS195" t="e">
        <f>AND(#REF!,"AAAAAFpUr2A=")</f>
        <v>#REF!</v>
      </c>
      <c r="CT195" t="e">
        <f>AND(#REF!,"AAAAAFpUr2E=")</f>
        <v>#REF!</v>
      </c>
      <c r="CU195" t="e">
        <f>AND(#REF!,"AAAAAFpUr2I=")</f>
        <v>#REF!</v>
      </c>
      <c r="CV195" t="e">
        <f>AND(#REF!,"AAAAAFpUr2M=")</f>
        <v>#REF!</v>
      </c>
      <c r="CW195" t="e">
        <f>AND(#REF!,"AAAAAFpUr2Q=")</f>
        <v>#REF!</v>
      </c>
      <c r="CX195" t="e">
        <f>AND(#REF!,"AAAAAFpUr2U=")</f>
        <v>#REF!</v>
      </c>
      <c r="CY195" t="e">
        <f>AND(#REF!,"AAAAAFpUr2Y=")</f>
        <v>#REF!</v>
      </c>
      <c r="CZ195" t="e">
        <f>AND(#REF!,"AAAAAFpUr2c=")</f>
        <v>#REF!</v>
      </c>
      <c r="DA195" t="e">
        <f>AND(#REF!,"AAAAAFpUr2g=")</f>
        <v>#REF!</v>
      </c>
      <c r="DB195" t="e">
        <f>AND(#REF!,"AAAAAFpUr2k=")</f>
        <v>#REF!</v>
      </c>
      <c r="DC195" t="e">
        <f>AND(#REF!,"AAAAAFpUr2o=")</f>
        <v>#REF!</v>
      </c>
      <c r="DD195" t="e">
        <f>AND(#REF!,"AAAAAFpUr2s=")</f>
        <v>#REF!</v>
      </c>
      <c r="DE195" t="e">
        <f>AND(#REF!,"AAAAAFpUr2w=")</f>
        <v>#REF!</v>
      </c>
      <c r="DF195" t="e">
        <f>AND(#REF!,"AAAAAFpUr20=")</f>
        <v>#REF!</v>
      </c>
      <c r="DG195" t="e">
        <f>AND(#REF!,"AAAAAFpUr24=")</f>
        <v>#REF!</v>
      </c>
      <c r="DH195" t="e">
        <f>AND(#REF!,"AAAAAFpUr28=")</f>
        <v>#REF!</v>
      </c>
      <c r="DI195" t="e">
        <f>AND(#REF!,"AAAAAFpUr3A=")</f>
        <v>#REF!</v>
      </c>
      <c r="DJ195" t="e">
        <f>AND(#REF!,"AAAAAFpUr3E=")</f>
        <v>#REF!</v>
      </c>
      <c r="DK195" t="e">
        <f>AND(#REF!,"AAAAAFpUr3I=")</f>
        <v>#REF!</v>
      </c>
      <c r="DL195" t="e">
        <f>AND(#REF!,"AAAAAFpUr3M=")</f>
        <v>#REF!</v>
      </c>
      <c r="DM195" t="e">
        <f>AND(#REF!,"AAAAAFpUr3Q=")</f>
        <v>#REF!</v>
      </c>
      <c r="DN195" t="e">
        <f>AND(#REF!,"AAAAAFpUr3U=")</f>
        <v>#REF!</v>
      </c>
      <c r="DO195" t="e">
        <f>AND(#REF!,"AAAAAFpUr3Y=")</f>
        <v>#REF!</v>
      </c>
      <c r="DP195" t="e">
        <f>AND(#REF!,"AAAAAFpUr3c=")</f>
        <v>#REF!</v>
      </c>
      <c r="DQ195" t="e">
        <f>AND(#REF!,"AAAAAFpUr3g=")</f>
        <v>#REF!</v>
      </c>
      <c r="DR195" t="e">
        <f>AND(#REF!,"AAAAAFpUr3k=")</f>
        <v>#REF!</v>
      </c>
      <c r="DS195" t="e">
        <f>AND(#REF!,"AAAAAFpUr3o=")</f>
        <v>#REF!</v>
      </c>
      <c r="DT195" t="e">
        <f>AND(#REF!,"AAAAAFpUr3s=")</f>
        <v>#REF!</v>
      </c>
      <c r="DU195" t="e">
        <f>AND(#REF!,"AAAAAFpUr3w=")</f>
        <v>#REF!</v>
      </c>
      <c r="DV195" t="e">
        <f>AND(#REF!,"AAAAAFpUr30=")</f>
        <v>#REF!</v>
      </c>
      <c r="DW195" t="e">
        <f>AND(#REF!,"AAAAAFpUr34=")</f>
        <v>#REF!</v>
      </c>
      <c r="DX195" t="e">
        <f>AND(#REF!,"AAAAAFpUr38=")</f>
        <v>#REF!</v>
      </c>
      <c r="DY195" t="e">
        <f>AND(#REF!,"AAAAAFpUr4A=")</f>
        <v>#REF!</v>
      </c>
      <c r="DZ195" t="e">
        <f>AND(#REF!,"AAAAAFpUr4E=")</f>
        <v>#REF!</v>
      </c>
      <c r="EA195" t="e">
        <f>AND(#REF!,"AAAAAFpUr4I=")</f>
        <v>#REF!</v>
      </c>
      <c r="EB195" t="e">
        <f>AND(#REF!,"AAAAAFpUr4M=")</f>
        <v>#REF!</v>
      </c>
      <c r="EC195" t="e">
        <f>AND(#REF!,"AAAAAFpUr4Q=")</f>
        <v>#REF!</v>
      </c>
      <c r="ED195" t="e">
        <f>AND(#REF!,"AAAAAFpUr4U=")</f>
        <v>#REF!</v>
      </c>
      <c r="EE195" t="e">
        <f>AND(#REF!,"AAAAAFpUr4Y=")</f>
        <v>#REF!</v>
      </c>
      <c r="EF195" t="e">
        <f>AND(#REF!,"AAAAAFpUr4c=")</f>
        <v>#REF!</v>
      </c>
      <c r="EG195" t="e">
        <f>AND(#REF!,"AAAAAFpUr4g=")</f>
        <v>#REF!</v>
      </c>
      <c r="EH195" t="e">
        <f>AND(#REF!,"AAAAAFpUr4k=")</f>
        <v>#REF!</v>
      </c>
      <c r="EI195" t="e">
        <f>AND(#REF!,"AAAAAFpUr4o=")</f>
        <v>#REF!</v>
      </c>
      <c r="EJ195" t="e">
        <f>AND(#REF!,"AAAAAFpUr4s=")</f>
        <v>#REF!</v>
      </c>
      <c r="EK195" t="e">
        <f>AND(#REF!,"AAAAAFpUr4w=")</f>
        <v>#REF!</v>
      </c>
      <c r="EL195" t="e">
        <f>AND(#REF!,"AAAAAFpUr40=")</f>
        <v>#REF!</v>
      </c>
      <c r="EM195" t="e">
        <f>AND(#REF!,"AAAAAFpUr44=")</f>
        <v>#REF!</v>
      </c>
      <c r="EN195" t="e">
        <f>AND(#REF!,"AAAAAFpUr48=")</f>
        <v>#REF!</v>
      </c>
      <c r="EO195" t="e">
        <f>AND(#REF!,"AAAAAFpUr5A=")</f>
        <v>#REF!</v>
      </c>
      <c r="EP195" t="e">
        <f>AND(#REF!,"AAAAAFpUr5E=")</f>
        <v>#REF!</v>
      </c>
      <c r="EQ195" t="e">
        <f>AND(#REF!,"AAAAAFpUr5I=")</f>
        <v>#REF!</v>
      </c>
      <c r="ER195" t="e">
        <f>AND(#REF!,"AAAAAFpUr5M=")</f>
        <v>#REF!</v>
      </c>
      <c r="ES195" t="e">
        <f>AND(#REF!,"AAAAAFpUr5Q=")</f>
        <v>#REF!</v>
      </c>
      <c r="ET195" t="e">
        <f>AND(#REF!,"AAAAAFpUr5U=")</f>
        <v>#REF!</v>
      </c>
      <c r="EU195" t="e">
        <f>AND(#REF!,"AAAAAFpUr5Y=")</f>
        <v>#REF!</v>
      </c>
      <c r="EV195" t="e">
        <f>AND(#REF!,"AAAAAFpUr5c=")</f>
        <v>#REF!</v>
      </c>
      <c r="EW195" t="e">
        <f>AND(#REF!,"AAAAAFpUr5g=")</f>
        <v>#REF!</v>
      </c>
      <c r="EX195" t="e">
        <f>AND(#REF!,"AAAAAFpUr5k=")</f>
        <v>#REF!</v>
      </c>
      <c r="EY195" t="e">
        <f>AND(#REF!,"AAAAAFpUr5o=")</f>
        <v>#REF!</v>
      </c>
      <c r="EZ195" t="e">
        <f>AND(#REF!,"AAAAAFpUr5s=")</f>
        <v>#REF!</v>
      </c>
      <c r="FA195" t="e">
        <f>AND(#REF!,"AAAAAFpUr5w=")</f>
        <v>#REF!</v>
      </c>
      <c r="FB195" t="e">
        <f>AND(#REF!,"AAAAAFpUr50=")</f>
        <v>#REF!</v>
      </c>
      <c r="FC195" t="e">
        <f>AND(#REF!,"AAAAAFpUr54=")</f>
        <v>#REF!</v>
      </c>
      <c r="FD195" t="e">
        <f>AND(#REF!,"AAAAAFpUr58=")</f>
        <v>#REF!</v>
      </c>
      <c r="FE195" t="e">
        <f>AND(#REF!,"AAAAAFpUr6A=")</f>
        <v>#REF!</v>
      </c>
      <c r="FF195" t="e">
        <f>AND(#REF!,"AAAAAFpUr6E=")</f>
        <v>#REF!</v>
      </c>
      <c r="FG195" t="e">
        <f>AND(#REF!,"AAAAAFpUr6I=")</f>
        <v>#REF!</v>
      </c>
      <c r="FH195" t="e">
        <f>AND(#REF!,"AAAAAFpUr6M=")</f>
        <v>#REF!</v>
      </c>
      <c r="FI195" t="e">
        <f>AND(#REF!,"AAAAAFpUr6Q=")</f>
        <v>#REF!</v>
      </c>
      <c r="FJ195" t="e">
        <f>AND(#REF!,"AAAAAFpUr6U=")</f>
        <v>#REF!</v>
      </c>
      <c r="FK195" t="e">
        <f>AND(#REF!,"AAAAAFpUr6Y=")</f>
        <v>#REF!</v>
      </c>
      <c r="FL195" t="e">
        <f>AND(#REF!,"AAAAAFpUr6c=")</f>
        <v>#REF!</v>
      </c>
      <c r="FM195" t="e">
        <f>AND(#REF!,"AAAAAFpUr6g=")</f>
        <v>#REF!</v>
      </c>
      <c r="FN195" t="e">
        <f>AND(#REF!,"AAAAAFpUr6k=")</f>
        <v>#REF!</v>
      </c>
      <c r="FO195" t="e">
        <f>AND(#REF!,"AAAAAFpUr6o=")</f>
        <v>#REF!</v>
      </c>
      <c r="FP195" t="e">
        <f>AND(#REF!,"AAAAAFpUr6s=")</f>
        <v>#REF!</v>
      </c>
      <c r="FQ195" t="e">
        <f>AND(#REF!,"AAAAAFpUr6w=")</f>
        <v>#REF!</v>
      </c>
      <c r="FR195" t="e">
        <f>AND(#REF!,"AAAAAFpUr60=")</f>
        <v>#REF!</v>
      </c>
      <c r="FS195" t="e">
        <f>AND(#REF!,"AAAAAFpUr64=")</f>
        <v>#REF!</v>
      </c>
      <c r="FT195" t="e">
        <f>AND(#REF!,"AAAAAFpUr68=")</f>
        <v>#REF!</v>
      </c>
      <c r="FU195" t="e">
        <f>AND(#REF!,"AAAAAFpUr7A=")</f>
        <v>#REF!</v>
      </c>
      <c r="FV195" t="e">
        <f>AND(#REF!,"AAAAAFpUr7E=")</f>
        <v>#REF!</v>
      </c>
      <c r="FW195" t="e">
        <f>AND(#REF!,"AAAAAFpUr7I=")</f>
        <v>#REF!</v>
      </c>
      <c r="FX195" t="e">
        <f>AND(#REF!,"AAAAAFpUr7M=")</f>
        <v>#REF!</v>
      </c>
      <c r="FY195" t="e">
        <f>AND(#REF!,"AAAAAFpUr7Q=")</f>
        <v>#REF!</v>
      </c>
      <c r="FZ195" t="e">
        <f>AND(#REF!,"AAAAAFpUr7U=")</f>
        <v>#REF!</v>
      </c>
      <c r="GA195" t="e">
        <f>AND(#REF!,"AAAAAFpUr7Y=")</f>
        <v>#REF!</v>
      </c>
      <c r="GB195" t="e">
        <f>AND(#REF!,"AAAAAFpUr7c=")</f>
        <v>#REF!</v>
      </c>
      <c r="GC195" t="e">
        <f>AND(#REF!,"AAAAAFpUr7g=")</f>
        <v>#REF!</v>
      </c>
      <c r="GD195" t="e">
        <f>AND(#REF!,"AAAAAFpUr7k=")</f>
        <v>#REF!</v>
      </c>
      <c r="GE195" t="e">
        <f>AND(#REF!,"AAAAAFpUr7o=")</f>
        <v>#REF!</v>
      </c>
      <c r="GF195" t="e">
        <f>AND(#REF!,"AAAAAFpUr7s=")</f>
        <v>#REF!</v>
      </c>
      <c r="GG195" t="e">
        <f>IF(#REF!,"AAAAAFpUr7w=",0)</f>
        <v>#REF!</v>
      </c>
      <c r="GH195" t="e">
        <f>AND(#REF!,"AAAAAFpUr70=")</f>
        <v>#REF!</v>
      </c>
      <c r="GI195" t="e">
        <f>AND(#REF!,"AAAAAFpUr74=")</f>
        <v>#REF!</v>
      </c>
      <c r="GJ195" t="e">
        <f>AND(#REF!,"AAAAAFpUr78=")</f>
        <v>#REF!</v>
      </c>
      <c r="GK195" t="e">
        <f>AND(#REF!,"AAAAAFpUr8A=")</f>
        <v>#REF!</v>
      </c>
      <c r="GL195" t="e">
        <f>AND(#REF!,"AAAAAFpUr8E=")</f>
        <v>#REF!</v>
      </c>
      <c r="GM195" t="e">
        <f>AND(#REF!,"AAAAAFpUr8I=")</f>
        <v>#REF!</v>
      </c>
      <c r="GN195" t="e">
        <f>AND(#REF!,"AAAAAFpUr8M=")</f>
        <v>#REF!</v>
      </c>
      <c r="GO195" t="e">
        <f>AND(#REF!,"AAAAAFpUr8Q=")</f>
        <v>#REF!</v>
      </c>
      <c r="GP195" t="e">
        <f>AND(#REF!,"AAAAAFpUr8U=")</f>
        <v>#REF!</v>
      </c>
      <c r="GQ195" t="e">
        <f>AND(#REF!,"AAAAAFpUr8Y=")</f>
        <v>#REF!</v>
      </c>
      <c r="GR195" t="e">
        <f>AND(#REF!,"AAAAAFpUr8c=")</f>
        <v>#REF!</v>
      </c>
      <c r="GS195" t="e">
        <f>AND(#REF!,"AAAAAFpUr8g=")</f>
        <v>#REF!</v>
      </c>
      <c r="GT195" t="e">
        <f>AND(#REF!,"AAAAAFpUr8k=")</f>
        <v>#REF!</v>
      </c>
      <c r="GU195" t="e">
        <f>AND(#REF!,"AAAAAFpUr8o=")</f>
        <v>#REF!</v>
      </c>
      <c r="GV195" t="e">
        <f>AND(#REF!,"AAAAAFpUr8s=")</f>
        <v>#REF!</v>
      </c>
      <c r="GW195" t="e">
        <f>AND(#REF!,"AAAAAFpUr8w=")</f>
        <v>#REF!</v>
      </c>
      <c r="GX195" t="e">
        <f>AND(#REF!,"AAAAAFpUr80=")</f>
        <v>#REF!</v>
      </c>
      <c r="GY195" t="e">
        <f>AND(#REF!,"AAAAAFpUr84=")</f>
        <v>#REF!</v>
      </c>
      <c r="GZ195" t="e">
        <f>AND(#REF!,"AAAAAFpUr88=")</f>
        <v>#REF!</v>
      </c>
      <c r="HA195" t="e">
        <f>AND(#REF!,"AAAAAFpUr9A=")</f>
        <v>#REF!</v>
      </c>
      <c r="HB195" t="e">
        <f>AND(#REF!,"AAAAAFpUr9E=")</f>
        <v>#REF!</v>
      </c>
      <c r="HC195" t="e">
        <f>AND(#REF!,"AAAAAFpUr9I=")</f>
        <v>#REF!</v>
      </c>
      <c r="HD195" t="e">
        <f>AND(#REF!,"AAAAAFpUr9M=")</f>
        <v>#REF!</v>
      </c>
      <c r="HE195" t="e">
        <f>AND(#REF!,"AAAAAFpUr9Q=")</f>
        <v>#REF!</v>
      </c>
      <c r="HF195" t="e">
        <f>AND(#REF!,"AAAAAFpUr9U=")</f>
        <v>#REF!</v>
      </c>
      <c r="HG195" t="e">
        <f>AND(#REF!,"AAAAAFpUr9Y=")</f>
        <v>#REF!</v>
      </c>
      <c r="HH195" t="e">
        <f>AND(#REF!,"AAAAAFpUr9c=")</f>
        <v>#REF!</v>
      </c>
      <c r="HI195" t="e">
        <f>AND(#REF!,"AAAAAFpUr9g=")</f>
        <v>#REF!</v>
      </c>
      <c r="HJ195" t="e">
        <f>AND(#REF!,"AAAAAFpUr9k=")</f>
        <v>#REF!</v>
      </c>
      <c r="HK195" t="e">
        <f>AND(#REF!,"AAAAAFpUr9o=")</f>
        <v>#REF!</v>
      </c>
      <c r="HL195" t="e">
        <f>AND(#REF!,"AAAAAFpUr9s=")</f>
        <v>#REF!</v>
      </c>
      <c r="HM195" t="e">
        <f>AND(#REF!,"AAAAAFpUr9w=")</f>
        <v>#REF!</v>
      </c>
      <c r="HN195" t="e">
        <f>AND(#REF!,"AAAAAFpUr90=")</f>
        <v>#REF!</v>
      </c>
      <c r="HO195" t="e">
        <f>AND(#REF!,"AAAAAFpUr94=")</f>
        <v>#REF!</v>
      </c>
      <c r="HP195" t="e">
        <f>AND(#REF!,"AAAAAFpUr98=")</f>
        <v>#REF!</v>
      </c>
      <c r="HQ195" t="e">
        <f>AND(#REF!,"AAAAAFpUr+A=")</f>
        <v>#REF!</v>
      </c>
      <c r="HR195" t="e">
        <f>AND(#REF!,"AAAAAFpUr+E=")</f>
        <v>#REF!</v>
      </c>
      <c r="HS195" t="e">
        <f>AND(#REF!,"AAAAAFpUr+I=")</f>
        <v>#REF!</v>
      </c>
      <c r="HT195" t="e">
        <f>AND(#REF!,"AAAAAFpUr+M=")</f>
        <v>#REF!</v>
      </c>
      <c r="HU195" t="e">
        <f>AND(#REF!,"AAAAAFpUr+Q=")</f>
        <v>#REF!</v>
      </c>
      <c r="HV195" t="e">
        <f>AND(#REF!,"AAAAAFpUr+U=")</f>
        <v>#REF!</v>
      </c>
      <c r="HW195" t="e">
        <f>AND(#REF!,"AAAAAFpUr+Y=")</f>
        <v>#REF!</v>
      </c>
      <c r="HX195" t="e">
        <f>AND(#REF!,"AAAAAFpUr+c=")</f>
        <v>#REF!</v>
      </c>
      <c r="HY195" t="e">
        <f>AND(#REF!,"AAAAAFpUr+g=")</f>
        <v>#REF!</v>
      </c>
      <c r="HZ195" t="e">
        <f>AND(#REF!,"AAAAAFpUr+k=")</f>
        <v>#REF!</v>
      </c>
      <c r="IA195" t="e">
        <f>AND(#REF!,"AAAAAFpUr+o=")</f>
        <v>#REF!</v>
      </c>
      <c r="IB195" t="e">
        <f>AND(#REF!,"AAAAAFpUr+s=")</f>
        <v>#REF!</v>
      </c>
      <c r="IC195" t="e">
        <f>AND(#REF!,"AAAAAFpUr+w=")</f>
        <v>#REF!</v>
      </c>
      <c r="ID195" t="e">
        <f>AND(#REF!,"AAAAAFpUr+0=")</f>
        <v>#REF!</v>
      </c>
      <c r="IE195" t="e">
        <f>AND(#REF!,"AAAAAFpUr+4=")</f>
        <v>#REF!</v>
      </c>
      <c r="IF195" t="e">
        <f>AND(#REF!,"AAAAAFpUr+8=")</f>
        <v>#REF!</v>
      </c>
      <c r="IG195" t="e">
        <f>AND(#REF!,"AAAAAFpUr/A=")</f>
        <v>#REF!</v>
      </c>
      <c r="IH195" t="e">
        <f>AND(#REF!,"AAAAAFpUr/E=")</f>
        <v>#REF!</v>
      </c>
      <c r="II195" t="e">
        <f>AND(#REF!,"AAAAAFpUr/I=")</f>
        <v>#REF!</v>
      </c>
      <c r="IJ195" t="e">
        <f>AND(#REF!,"AAAAAFpUr/M=")</f>
        <v>#REF!</v>
      </c>
      <c r="IK195" t="e">
        <f>AND(#REF!,"AAAAAFpUr/Q=")</f>
        <v>#REF!</v>
      </c>
      <c r="IL195" t="e">
        <f>AND(#REF!,"AAAAAFpUr/U=")</f>
        <v>#REF!</v>
      </c>
      <c r="IM195" t="e">
        <f>AND(#REF!,"AAAAAFpUr/Y=")</f>
        <v>#REF!</v>
      </c>
      <c r="IN195" t="e">
        <f>AND(#REF!,"AAAAAFpUr/c=")</f>
        <v>#REF!</v>
      </c>
      <c r="IO195" t="e">
        <f>AND(#REF!,"AAAAAFpUr/g=")</f>
        <v>#REF!</v>
      </c>
      <c r="IP195" t="e">
        <f>AND(#REF!,"AAAAAFpUr/k=")</f>
        <v>#REF!</v>
      </c>
      <c r="IQ195" t="e">
        <f>AND(#REF!,"AAAAAFpUr/o=")</f>
        <v>#REF!</v>
      </c>
      <c r="IR195" t="e">
        <f>AND(#REF!,"AAAAAFpUr/s=")</f>
        <v>#REF!</v>
      </c>
      <c r="IS195" t="e">
        <f>AND(#REF!,"AAAAAFpUr/w=")</f>
        <v>#REF!</v>
      </c>
      <c r="IT195" t="e">
        <f>AND(#REF!,"AAAAAFpUr/0=")</f>
        <v>#REF!</v>
      </c>
      <c r="IU195" t="e">
        <f>AND(#REF!,"AAAAAFpUr/4=")</f>
        <v>#REF!</v>
      </c>
      <c r="IV195" t="e">
        <f>AND(#REF!,"AAAAAFpUr/8=")</f>
        <v>#REF!</v>
      </c>
    </row>
    <row r="196" spans="1:256" x14ac:dyDescent="0.25">
      <c r="A196" t="e">
        <f>AND(#REF!,"AAAAAHfX2wA=")</f>
        <v>#REF!</v>
      </c>
      <c r="B196" t="e">
        <f>AND(#REF!,"AAAAAHfX2wE=")</f>
        <v>#REF!</v>
      </c>
      <c r="C196" t="e">
        <f>AND(#REF!,"AAAAAHfX2wI=")</f>
        <v>#REF!</v>
      </c>
      <c r="D196" t="e">
        <f>AND(#REF!,"AAAAAHfX2wM=")</f>
        <v>#REF!</v>
      </c>
      <c r="E196" t="e">
        <f>AND(#REF!,"AAAAAHfX2wQ=")</f>
        <v>#REF!</v>
      </c>
      <c r="F196" t="e">
        <f>AND(#REF!,"AAAAAHfX2wU=")</f>
        <v>#REF!</v>
      </c>
      <c r="G196" t="e">
        <f>AND(#REF!,"AAAAAHfX2wY=")</f>
        <v>#REF!</v>
      </c>
      <c r="H196" t="e">
        <f>AND(#REF!,"AAAAAHfX2wc=")</f>
        <v>#REF!</v>
      </c>
      <c r="I196" t="e">
        <f>AND(#REF!,"AAAAAHfX2wg=")</f>
        <v>#REF!</v>
      </c>
      <c r="J196" t="e">
        <f>AND(#REF!,"AAAAAHfX2wk=")</f>
        <v>#REF!</v>
      </c>
      <c r="K196" t="e">
        <f>AND(#REF!,"AAAAAHfX2wo=")</f>
        <v>#REF!</v>
      </c>
      <c r="L196" t="e">
        <f>AND(#REF!,"AAAAAHfX2ws=")</f>
        <v>#REF!</v>
      </c>
      <c r="M196" t="e">
        <f>AND(#REF!,"AAAAAHfX2ww=")</f>
        <v>#REF!</v>
      </c>
      <c r="N196" t="e">
        <f>AND(#REF!,"AAAAAHfX2w0=")</f>
        <v>#REF!</v>
      </c>
      <c r="O196" t="e">
        <f>AND(#REF!,"AAAAAHfX2w4=")</f>
        <v>#REF!</v>
      </c>
      <c r="P196" t="e">
        <f>AND(#REF!,"AAAAAHfX2w8=")</f>
        <v>#REF!</v>
      </c>
      <c r="Q196" t="e">
        <f>AND(#REF!,"AAAAAHfX2xA=")</f>
        <v>#REF!</v>
      </c>
      <c r="R196" t="e">
        <f>AND(#REF!,"AAAAAHfX2xE=")</f>
        <v>#REF!</v>
      </c>
      <c r="S196" t="e">
        <f>AND(#REF!,"AAAAAHfX2xI=")</f>
        <v>#REF!</v>
      </c>
      <c r="T196" t="e">
        <f>AND(#REF!,"AAAAAHfX2xM=")</f>
        <v>#REF!</v>
      </c>
      <c r="U196" t="e">
        <f>AND(#REF!,"AAAAAHfX2xQ=")</f>
        <v>#REF!</v>
      </c>
      <c r="V196" t="e">
        <f>AND(#REF!,"AAAAAHfX2xU=")</f>
        <v>#REF!</v>
      </c>
      <c r="W196" t="e">
        <f>AND(#REF!,"AAAAAHfX2xY=")</f>
        <v>#REF!</v>
      </c>
      <c r="X196" t="e">
        <f>AND(#REF!,"AAAAAHfX2xc=")</f>
        <v>#REF!</v>
      </c>
      <c r="Y196" t="e">
        <f>AND(#REF!,"AAAAAHfX2xg=")</f>
        <v>#REF!</v>
      </c>
      <c r="Z196" t="e">
        <f>AND(#REF!,"AAAAAHfX2xk=")</f>
        <v>#REF!</v>
      </c>
      <c r="AA196" t="e">
        <f>AND(#REF!,"AAAAAHfX2xo=")</f>
        <v>#REF!</v>
      </c>
      <c r="AB196" t="e">
        <f>AND(#REF!,"AAAAAHfX2xs=")</f>
        <v>#REF!</v>
      </c>
      <c r="AC196" t="e">
        <f>AND(#REF!,"AAAAAHfX2xw=")</f>
        <v>#REF!</v>
      </c>
      <c r="AD196" t="e">
        <f>AND(#REF!,"AAAAAHfX2x0=")</f>
        <v>#REF!</v>
      </c>
      <c r="AE196" t="e">
        <f>AND(#REF!,"AAAAAHfX2x4=")</f>
        <v>#REF!</v>
      </c>
      <c r="AF196" t="e">
        <f>AND(#REF!,"AAAAAHfX2x8=")</f>
        <v>#REF!</v>
      </c>
      <c r="AG196" t="e">
        <f>AND(#REF!,"AAAAAHfX2yA=")</f>
        <v>#REF!</v>
      </c>
      <c r="AH196" t="e">
        <f>AND(#REF!,"AAAAAHfX2yE=")</f>
        <v>#REF!</v>
      </c>
      <c r="AI196" t="e">
        <f>AND(#REF!,"AAAAAHfX2yI=")</f>
        <v>#REF!</v>
      </c>
      <c r="AJ196" t="e">
        <f>AND(#REF!,"AAAAAHfX2yM=")</f>
        <v>#REF!</v>
      </c>
      <c r="AK196" t="e">
        <f>AND(#REF!,"AAAAAHfX2yQ=")</f>
        <v>#REF!</v>
      </c>
      <c r="AL196" t="e">
        <f>AND(#REF!,"AAAAAHfX2yU=")</f>
        <v>#REF!</v>
      </c>
      <c r="AM196" t="e">
        <f>AND(#REF!,"AAAAAHfX2yY=")</f>
        <v>#REF!</v>
      </c>
      <c r="AN196" t="e">
        <f>AND(#REF!,"AAAAAHfX2yc=")</f>
        <v>#REF!</v>
      </c>
      <c r="AO196" t="e">
        <f>AND(#REF!,"AAAAAHfX2yg=")</f>
        <v>#REF!</v>
      </c>
      <c r="AP196" t="e">
        <f>AND(#REF!,"AAAAAHfX2yk=")</f>
        <v>#REF!</v>
      </c>
      <c r="AQ196" t="e">
        <f>AND(#REF!,"AAAAAHfX2yo=")</f>
        <v>#REF!</v>
      </c>
      <c r="AR196" t="e">
        <f>AND(#REF!,"AAAAAHfX2ys=")</f>
        <v>#REF!</v>
      </c>
      <c r="AS196" t="e">
        <f>AND(#REF!,"AAAAAHfX2yw=")</f>
        <v>#REF!</v>
      </c>
      <c r="AT196" t="e">
        <f>AND(#REF!,"AAAAAHfX2y0=")</f>
        <v>#REF!</v>
      </c>
      <c r="AU196" t="e">
        <f>AND(#REF!,"AAAAAHfX2y4=")</f>
        <v>#REF!</v>
      </c>
      <c r="AV196" t="e">
        <f>AND(#REF!,"AAAAAHfX2y8=")</f>
        <v>#REF!</v>
      </c>
      <c r="AW196" t="e">
        <f>AND(#REF!,"AAAAAHfX2zA=")</f>
        <v>#REF!</v>
      </c>
      <c r="AX196" t="e">
        <f>AND(#REF!,"AAAAAHfX2zE=")</f>
        <v>#REF!</v>
      </c>
      <c r="AY196" t="e">
        <f>AND(#REF!,"AAAAAHfX2zI=")</f>
        <v>#REF!</v>
      </c>
      <c r="AZ196" t="e">
        <f>AND(#REF!,"AAAAAHfX2zM=")</f>
        <v>#REF!</v>
      </c>
      <c r="BA196" t="e">
        <f>AND(#REF!,"AAAAAHfX2zQ=")</f>
        <v>#REF!</v>
      </c>
      <c r="BB196" t="e">
        <f>AND(#REF!,"AAAAAHfX2zU=")</f>
        <v>#REF!</v>
      </c>
      <c r="BC196" t="e">
        <f>AND(#REF!,"AAAAAHfX2zY=")</f>
        <v>#REF!</v>
      </c>
      <c r="BD196" t="e">
        <f>AND(#REF!,"AAAAAHfX2zc=")</f>
        <v>#REF!</v>
      </c>
      <c r="BE196" t="e">
        <f>AND(#REF!,"AAAAAHfX2zg=")</f>
        <v>#REF!</v>
      </c>
      <c r="BF196" t="e">
        <f>AND(#REF!,"AAAAAHfX2zk=")</f>
        <v>#REF!</v>
      </c>
      <c r="BG196" t="e">
        <f>AND(#REF!,"AAAAAHfX2zo=")</f>
        <v>#REF!</v>
      </c>
      <c r="BH196" t="e">
        <f>AND(#REF!,"AAAAAHfX2zs=")</f>
        <v>#REF!</v>
      </c>
      <c r="BI196" t="e">
        <f>AND(#REF!,"AAAAAHfX2zw=")</f>
        <v>#REF!</v>
      </c>
      <c r="BJ196" t="e">
        <f>AND(#REF!,"AAAAAHfX2z0=")</f>
        <v>#REF!</v>
      </c>
      <c r="BK196" t="e">
        <f>AND(#REF!,"AAAAAHfX2z4=")</f>
        <v>#REF!</v>
      </c>
      <c r="BL196" t="e">
        <f>AND(#REF!,"AAAAAHfX2z8=")</f>
        <v>#REF!</v>
      </c>
      <c r="BM196" t="e">
        <f>AND(#REF!,"AAAAAHfX20A=")</f>
        <v>#REF!</v>
      </c>
      <c r="BN196" t="e">
        <f>AND(#REF!,"AAAAAHfX20E=")</f>
        <v>#REF!</v>
      </c>
      <c r="BO196" t="e">
        <f>AND(#REF!,"AAAAAHfX20I=")</f>
        <v>#REF!</v>
      </c>
      <c r="BP196" t="e">
        <f>AND(#REF!,"AAAAAHfX20M=")</f>
        <v>#REF!</v>
      </c>
      <c r="BQ196" t="e">
        <f>AND(#REF!,"AAAAAHfX20Q=")</f>
        <v>#REF!</v>
      </c>
      <c r="BR196" t="e">
        <f>AND(#REF!,"AAAAAHfX20U=")</f>
        <v>#REF!</v>
      </c>
      <c r="BS196" t="e">
        <f>AND(#REF!,"AAAAAHfX20Y=")</f>
        <v>#REF!</v>
      </c>
      <c r="BT196" t="e">
        <f>AND(#REF!,"AAAAAHfX20c=")</f>
        <v>#REF!</v>
      </c>
      <c r="BU196" t="e">
        <f>AND(#REF!,"AAAAAHfX20g=")</f>
        <v>#REF!</v>
      </c>
      <c r="BV196" t="e">
        <f>AND(#REF!,"AAAAAHfX20k=")</f>
        <v>#REF!</v>
      </c>
      <c r="BW196" t="e">
        <f>AND(#REF!,"AAAAAHfX20o=")</f>
        <v>#REF!</v>
      </c>
      <c r="BX196" t="e">
        <f>AND(#REF!,"AAAAAHfX20s=")</f>
        <v>#REF!</v>
      </c>
      <c r="BY196" t="e">
        <f>AND(#REF!,"AAAAAHfX20w=")</f>
        <v>#REF!</v>
      </c>
      <c r="BZ196" t="e">
        <f>AND(#REF!,"AAAAAHfX200=")</f>
        <v>#REF!</v>
      </c>
      <c r="CA196" t="e">
        <f>AND(#REF!,"AAAAAHfX204=")</f>
        <v>#REF!</v>
      </c>
      <c r="CB196" t="e">
        <f>AND(#REF!,"AAAAAHfX208=")</f>
        <v>#REF!</v>
      </c>
      <c r="CC196" t="e">
        <f>AND(#REF!,"AAAAAHfX21A=")</f>
        <v>#REF!</v>
      </c>
      <c r="CD196" t="e">
        <f>AND(#REF!,"AAAAAHfX21E=")</f>
        <v>#REF!</v>
      </c>
      <c r="CE196" t="e">
        <f>AND(#REF!,"AAAAAHfX21I=")</f>
        <v>#REF!</v>
      </c>
      <c r="CF196" t="e">
        <f>AND(#REF!,"AAAAAHfX21M=")</f>
        <v>#REF!</v>
      </c>
      <c r="CG196" t="e">
        <f>AND(#REF!,"AAAAAHfX21Q=")</f>
        <v>#REF!</v>
      </c>
      <c r="CH196" t="e">
        <f>AND(#REF!,"AAAAAHfX21U=")</f>
        <v>#REF!</v>
      </c>
      <c r="CI196" t="e">
        <f>AND(#REF!,"AAAAAHfX21Y=")</f>
        <v>#REF!</v>
      </c>
      <c r="CJ196" t="e">
        <f>AND(#REF!,"AAAAAHfX21c=")</f>
        <v>#REF!</v>
      </c>
      <c r="CK196" t="e">
        <f>AND(#REF!,"AAAAAHfX21g=")</f>
        <v>#REF!</v>
      </c>
      <c r="CL196" t="e">
        <f>AND(#REF!,"AAAAAHfX21k=")</f>
        <v>#REF!</v>
      </c>
      <c r="CM196" t="e">
        <f>AND(#REF!,"AAAAAHfX21o=")</f>
        <v>#REF!</v>
      </c>
      <c r="CN196" t="e">
        <f>AND(#REF!,"AAAAAHfX21s=")</f>
        <v>#REF!</v>
      </c>
      <c r="CO196" t="e">
        <f>AND(#REF!,"AAAAAHfX21w=")</f>
        <v>#REF!</v>
      </c>
      <c r="CP196" t="e">
        <f>AND(#REF!,"AAAAAHfX210=")</f>
        <v>#REF!</v>
      </c>
      <c r="CQ196" t="e">
        <f>AND(#REF!,"AAAAAHfX214=")</f>
        <v>#REF!</v>
      </c>
      <c r="CR196" t="e">
        <f>AND(#REF!,"AAAAAHfX218=")</f>
        <v>#REF!</v>
      </c>
      <c r="CS196" t="e">
        <f>AND(#REF!,"AAAAAHfX22A=")</f>
        <v>#REF!</v>
      </c>
      <c r="CT196" t="e">
        <f>AND(#REF!,"AAAAAHfX22E=")</f>
        <v>#REF!</v>
      </c>
      <c r="CU196" t="e">
        <f>AND(#REF!,"AAAAAHfX22I=")</f>
        <v>#REF!</v>
      </c>
      <c r="CV196" t="e">
        <f>AND(#REF!,"AAAAAHfX22M=")</f>
        <v>#REF!</v>
      </c>
      <c r="CW196" t="e">
        <f>AND(#REF!,"AAAAAHfX22Q=")</f>
        <v>#REF!</v>
      </c>
      <c r="CX196" t="e">
        <f>AND(#REF!,"AAAAAHfX22U=")</f>
        <v>#REF!</v>
      </c>
      <c r="CY196" t="e">
        <f>AND(#REF!,"AAAAAHfX22Y=")</f>
        <v>#REF!</v>
      </c>
      <c r="CZ196" t="e">
        <f>AND(#REF!,"AAAAAHfX22c=")</f>
        <v>#REF!</v>
      </c>
      <c r="DA196" t="e">
        <f>AND(#REF!,"AAAAAHfX22g=")</f>
        <v>#REF!</v>
      </c>
      <c r="DB196" t="e">
        <f>AND(#REF!,"AAAAAHfX22k=")</f>
        <v>#REF!</v>
      </c>
      <c r="DC196" t="e">
        <f>AND(#REF!,"AAAAAHfX22o=")</f>
        <v>#REF!</v>
      </c>
      <c r="DD196" t="e">
        <f>AND(#REF!,"AAAAAHfX22s=")</f>
        <v>#REF!</v>
      </c>
      <c r="DE196" t="e">
        <f>AND(#REF!,"AAAAAHfX22w=")</f>
        <v>#REF!</v>
      </c>
      <c r="DF196" t="e">
        <f>AND(#REF!,"AAAAAHfX220=")</f>
        <v>#REF!</v>
      </c>
      <c r="DG196" t="e">
        <f>AND(#REF!,"AAAAAHfX224=")</f>
        <v>#REF!</v>
      </c>
      <c r="DH196" t="e">
        <f>AND(#REF!,"AAAAAHfX228=")</f>
        <v>#REF!</v>
      </c>
      <c r="DI196" t="e">
        <f>AND(#REF!,"AAAAAHfX23A=")</f>
        <v>#REF!</v>
      </c>
      <c r="DJ196" t="e">
        <f>AND(#REF!,"AAAAAHfX23E=")</f>
        <v>#REF!</v>
      </c>
      <c r="DK196" t="e">
        <f>AND(#REF!,"AAAAAHfX23I=")</f>
        <v>#REF!</v>
      </c>
      <c r="DL196" t="e">
        <f>AND(#REF!,"AAAAAHfX23M=")</f>
        <v>#REF!</v>
      </c>
      <c r="DM196" t="e">
        <f>AND(#REF!,"AAAAAHfX23Q=")</f>
        <v>#REF!</v>
      </c>
      <c r="DN196" t="e">
        <f>AND(#REF!,"AAAAAHfX23U=")</f>
        <v>#REF!</v>
      </c>
      <c r="DO196" t="e">
        <f>AND(#REF!,"AAAAAHfX23Y=")</f>
        <v>#REF!</v>
      </c>
      <c r="DP196" t="e">
        <f>AND(#REF!,"AAAAAHfX23c=")</f>
        <v>#REF!</v>
      </c>
      <c r="DQ196" t="e">
        <f>AND(#REF!,"AAAAAHfX23g=")</f>
        <v>#REF!</v>
      </c>
      <c r="DR196" t="e">
        <f>IF(#REF!,"AAAAAHfX23k=",0)</f>
        <v>#REF!</v>
      </c>
      <c r="DS196" t="e">
        <f>AND(#REF!,"AAAAAHfX23o=")</f>
        <v>#REF!</v>
      </c>
      <c r="DT196" t="e">
        <f>AND(#REF!,"AAAAAHfX23s=")</f>
        <v>#REF!</v>
      </c>
      <c r="DU196" t="e">
        <f>AND(#REF!,"AAAAAHfX23w=")</f>
        <v>#REF!</v>
      </c>
      <c r="DV196" t="e">
        <f>AND(#REF!,"AAAAAHfX230=")</f>
        <v>#REF!</v>
      </c>
      <c r="DW196" t="e">
        <f>AND(#REF!,"AAAAAHfX234=")</f>
        <v>#REF!</v>
      </c>
      <c r="DX196" t="e">
        <f>AND(#REF!,"AAAAAHfX238=")</f>
        <v>#REF!</v>
      </c>
      <c r="DY196" t="e">
        <f>AND(#REF!,"AAAAAHfX24A=")</f>
        <v>#REF!</v>
      </c>
      <c r="DZ196" t="e">
        <f>AND(#REF!,"AAAAAHfX24E=")</f>
        <v>#REF!</v>
      </c>
      <c r="EA196" t="e">
        <f>AND(#REF!,"AAAAAHfX24I=")</f>
        <v>#REF!</v>
      </c>
      <c r="EB196" t="e">
        <f>AND(#REF!,"AAAAAHfX24M=")</f>
        <v>#REF!</v>
      </c>
      <c r="EC196" t="e">
        <f>AND(#REF!,"AAAAAHfX24Q=")</f>
        <v>#REF!</v>
      </c>
      <c r="ED196" t="e">
        <f>AND(#REF!,"AAAAAHfX24U=")</f>
        <v>#REF!</v>
      </c>
      <c r="EE196" t="e">
        <f>AND(#REF!,"AAAAAHfX24Y=")</f>
        <v>#REF!</v>
      </c>
      <c r="EF196" t="e">
        <f>AND(#REF!,"AAAAAHfX24c=")</f>
        <v>#REF!</v>
      </c>
      <c r="EG196" t="e">
        <f>AND(#REF!,"AAAAAHfX24g=")</f>
        <v>#REF!</v>
      </c>
      <c r="EH196" t="e">
        <f>AND(#REF!,"AAAAAHfX24k=")</f>
        <v>#REF!</v>
      </c>
      <c r="EI196" t="e">
        <f>AND(#REF!,"AAAAAHfX24o=")</f>
        <v>#REF!</v>
      </c>
      <c r="EJ196" t="e">
        <f>AND(#REF!,"AAAAAHfX24s=")</f>
        <v>#REF!</v>
      </c>
      <c r="EK196" t="e">
        <f>AND(#REF!,"AAAAAHfX24w=")</f>
        <v>#REF!</v>
      </c>
      <c r="EL196" t="e">
        <f>AND(#REF!,"AAAAAHfX240=")</f>
        <v>#REF!</v>
      </c>
      <c r="EM196" t="e">
        <f>AND(#REF!,"AAAAAHfX244=")</f>
        <v>#REF!</v>
      </c>
      <c r="EN196" t="e">
        <f>AND(#REF!,"AAAAAHfX248=")</f>
        <v>#REF!</v>
      </c>
      <c r="EO196" t="e">
        <f>AND(#REF!,"AAAAAHfX25A=")</f>
        <v>#REF!</v>
      </c>
      <c r="EP196" t="e">
        <f>AND(#REF!,"AAAAAHfX25E=")</f>
        <v>#REF!</v>
      </c>
      <c r="EQ196" t="e">
        <f>AND(#REF!,"AAAAAHfX25I=")</f>
        <v>#REF!</v>
      </c>
      <c r="ER196" t="e">
        <f>AND(#REF!,"AAAAAHfX25M=")</f>
        <v>#REF!</v>
      </c>
      <c r="ES196" t="e">
        <f>AND(#REF!,"AAAAAHfX25Q=")</f>
        <v>#REF!</v>
      </c>
      <c r="ET196" t="e">
        <f>AND(#REF!,"AAAAAHfX25U=")</f>
        <v>#REF!</v>
      </c>
      <c r="EU196" t="e">
        <f>AND(#REF!,"AAAAAHfX25Y=")</f>
        <v>#REF!</v>
      </c>
      <c r="EV196" t="e">
        <f>AND(#REF!,"AAAAAHfX25c=")</f>
        <v>#REF!</v>
      </c>
      <c r="EW196" t="e">
        <f>AND(#REF!,"AAAAAHfX25g=")</f>
        <v>#REF!</v>
      </c>
      <c r="EX196" t="e">
        <f>AND(#REF!,"AAAAAHfX25k=")</f>
        <v>#REF!</v>
      </c>
      <c r="EY196" t="e">
        <f>AND(#REF!,"AAAAAHfX25o=")</f>
        <v>#REF!</v>
      </c>
      <c r="EZ196" t="e">
        <f>AND(#REF!,"AAAAAHfX25s=")</f>
        <v>#REF!</v>
      </c>
      <c r="FA196" t="e">
        <f>AND(#REF!,"AAAAAHfX25w=")</f>
        <v>#REF!</v>
      </c>
      <c r="FB196" t="e">
        <f>AND(#REF!,"AAAAAHfX250=")</f>
        <v>#REF!</v>
      </c>
      <c r="FC196" t="e">
        <f>AND(#REF!,"AAAAAHfX254=")</f>
        <v>#REF!</v>
      </c>
      <c r="FD196" t="e">
        <f>AND(#REF!,"AAAAAHfX258=")</f>
        <v>#REF!</v>
      </c>
      <c r="FE196" t="e">
        <f>AND(#REF!,"AAAAAHfX26A=")</f>
        <v>#REF!</v>
      </c>
      <c r="FF196" t="e">
        <f>AND(#REF!,"AAAAAHfX26E=")</f>
        <v>#REF!</v>
      </c>
      <c r="FG196" t="e">
        <f>AND(#REF!,"AAAAAHfX26I=")</f>
        <v>#REF!</v>
      </c>
      <c r="FH196" t="e">
        <f>AND(#REF!,"AAAAAHfX26M=")</f>
        <v>#REF!</v>
      </c>
      <c r="FI196" t="e">
        <f>AND(#REF!,"AAAAAHfX26Q=")</f>
        <v>#REF!</v>
      </c>
      <c r="FJ196" t="e">
        <f>AND(#REF!,"AAAAAHfX26U=")</f>
        <v>#REF!</v>
      </c>
      <c r="FK196" t="e">
        <f>AND(#REF!,"AAAAAHfX26Y=")</f>
        <v>#REF!</v>
      </c>
      <c r="FL196" t="e">
        <f>AND(#REF!,"AAAAAHfX26c=")</f>
        <v>#REF!</v>
      </c>
      <c r="FM196" t="e">
        <f>AND(#REF!,"AAAAAHfX26g=")</f>
        <v>#REF!</v>
      </c>
      <c r="FN196" t="e">
        <f>AND(#REF!,"AAAAAHfX26k=")</f>
        <v>#REF!</v>
      </c>
      <c r="FO196" t="e">
        <f>AND(#REF!,"AAAAAHfX26o=")</f>
        <v>#REF!</v>
      </c>
      <c r="FP196" t="e">
        <f>AND(#REF!,"AAAAAHfX26s=")</f>
        <v>#REF!</v>
      </c>
      <c r="FQ196" t="e">
        <f>AND(#REF!,"AAAAAHfX26w=")</f>
        <v>#REF!</v>
      </c>
      <c r="FR196" t="e">
        <f>AND(#REF!,"AAAAAHfX260=")</f>
        <v>#REF!</v>
      </c>
      <c r="FS196" t="e">
        <f>AND(#REF!,"AAAAAHfX264=")</f>
        <v>#REF!</v>
      </c>
      <c r="FT196" t="e">
        <f>AND(#REF!,"AAAAAHfX268=")</f>
        <v>#REF!</v>
      </c>
      <c r="FU196" t="e">
        <f>AND(#REF!,"AAAAAHfX27A=")</f>
        <v>#REF!</v>
      </c>
      <c r="FV196" t="e">
        <f>AND(#REF!,"AAAAAHfX27E=")</f>
        <v>#REF!</v>
      </c>
      <c r="FW196" t="e">
        <f>AND(#REF!,"AAAAAHfX27I=")</f>
        <v>#REF!</v>
      </c>
      <c r="FX196" t="e">
        <f>AND(#REF!,"AAAAAHfX27M=")</f>
        <v>#REF!</v>
      </c>
      <c r="FY196" t="e">
        <f>AND(#REF!,"AAAAAHfX27Q=")</f>
        <v>#REF!</v>
      </c>
      <c r="FZ196" t="e">
        <f>AND(#REF!,"AAAAAHfX27U=")</f>
        <v>#REF!</v>
      </c>
      <c r="GA196" t="e">
        <f>AND(#REF!,"AAAAAHfX27Y=")</f>
        <v>#REF!</v>
      </c>
      <c r="GB196" t="e">
        <f>AND(#REF!,"AAAAAHfX27c=")</f>
        <v>#REF!</v>
      </c>
      <c r="GC196" t="e">
        <f>AND(#REF!,"AAAAAHfX27g=")</f>
        <v>#REF!</v>
      </c>
      <c r="GD196" t="e">
        <f>AND(#REF!,"AAAAAHfX27k=")</f>
        <v>#REF!</v>
      </c>
      <c r="GE196" t="e">
        <f>AND(#REF!,"AAAAAHfX27o=")</f>
        <v>#REF!</v>
      </c>
      <c r="GF196" t="e">
        <f>AND(#REF!,"AAAAAHfX27s=")</f>
        <v>#REF!</v>
      </c>
      <c r="GG196" t="e">
        <f>AND(#REF!,"AAAAAHfX27w=")</f>
        <v>#REF!</v>
      </c>
      <c r="GH196" t="e">
        <f>AND(#REF!,"AAAAAHfX270=")</f>
        <v>#REF!</v>
      </c>
      <c r="GI196" t="e">
        <f>AND(#REF!,"AAAAAHfX274=")</f>
        <v>#REF!</v>
      </c>
      <c r="GJ196" t="e">
        <f>AND(#REF!,"AAAAAHfX278=")</f>
        <v>#REF!</v>
      </c>
      <c r="GK196" t="e">
        <f>AND(#REF!,"AAAAAHfX28A=")</f>
        <v>#REF!</v>
      </c>
      <c r="GL196" t="e">
        <f>AND(#REF!,"AAAAAHfX28E=")</f>
        <v>#REF!</v>
      </c>
      <c r="GM196" t="e">
        <f>AND(#REF!,"AAAAAHfX28I=")</f>
        <v>#REF!</v>
      </c>
      <c r="GN196" t="e">
        <f>AND(#REF!,"AAAAAHfX28M=")</f>
        <v>#REF!</v>
      </c>
      <c r="GO196" t="e">
        <f>AND(#REF!,"AAAAAHfX28Q=")</f>
        <v>#REF!</v>
      </c>
      <c r="GP196" t="e">
        <f>AND(#REF!,"AAAAAHfX28U=")</f>
        <v>#REF!</v>
      </c>
      <c r="GQ196" t="e">
        <f>AND(#REF!,"AAAAAHfX28Y=")</f>
        <v>#REF!</v>
      </c>
      <c r="GR196" t="e">
        <f>AND(#REF!,"AAAAAHfX28c=")</f>
        <v>#REF!</v>
      </c>
      <c r="GS196" t="e">
        <f>AND(#REF!,"AAAAAHfX28g=")</f>
        <v>#REF!</v>
      </c>
      <c r="GT196" t="e">
        <f>AND(#REF!,"AAAAAHfX28k=")</f>
        <v>#REF!</v>
      </c>
      <c r="GU196" t="e">
        <f>AND(#REF!,"AAAAAHfX28o=")</f>
        <v>#REF!</v>
      </c>
      <c r="GV196" t="e">
        <f>AND(#REF!,"AAAAAHfX28s=")</f>
        <v>#REF!</v>
      </c>
      <c r="GW196" t="e">
        <f>AND(#REF!,"AAAAAHfX28w=")</f>
        <v>#REF!</v>
      </c>
      <c r="GX196" t="e">
        <f>AND(#REF!,"AAAAAHfX280=")</f>
        <v>#REF!</v>
      </c>
      <c r="GY196" t="e">
        <f>AND(#REF!,"AAAAAHfX284=")</f>
        <v>#REF!</v>
      </c>
      <c r="GZ196" t="e">
        <f>AND(#REF!,"AAAAAHfX288=")</f>
        <v>#REF!</v>
      </c>
      <c r="HA196" t="e">
        <f>AND(#REF!,"AAAAAHfX29A=")</f>
        <v>#REF!</v>
      </c>
      <c r="HB196" t="e">
        <f>AND(#REF!,"AAAAAHfX29E=")</f>
        <v>#REF!</v>
      </c>
      <c r="HC196" t="e">
        <f>AND(#REF!,"AAAAAHfX29I=")</f>
        <v>#REF!</v>
      </c>
      <c r="HD196" t="e">
        <f>AND(#REF!,"AAAAAHfX29M=")</f>
        <v>#REF!</v>
      </c>
      <c r="HE196" t="e">
        <f>AND(#REF!,"AAAAAHfX29Q=")</f>
        <v>#REF!</v>
      </c>
      <c r="HF196" t="e">
        <f>AND(#REF!,"AAAAAHfX29U=")</f>
        <v>#REF!</v>
      </c>
      <c r="HG196" t="e">
        <f>AND(#REF!,"AAAAAHfX29Y=")</f>
        <v>#REF!</v>
      </c>
      <c r="HH196" t="e">
        <f>AND(#REF!,"AAAAAHfX29c=")</f>
        <v>#REF!</v>
      </c>
      <c r="HI196" t="e">
        <f>AND(#REF!,"AAAAAHfX29g=")</f>
        <v>#REF!</v>
      </c>
      <c r="HJ196" t="e">
        <f>AND(#REF!,"AAAAAHfX29k=")</f>
        <v>#REF!</v>
      </c>
      <c r="HK196" t="e">
        <f>AND(#REF!,"AAAAAHfX29o=")</f>
        <v>#REF!</v>
      </c>
      <c r="HL196" t="e">
        <f>AND(#REF!,"AAAAAHfX29s=")</f>
        <v>#REF!</v>
      </c>
      <c r="HM196" t="e">
        <f>AND(#REF!,"AAAAAHfX29w=")</f>
        <v>#REF!</v>
      </c>
      <c r="HN196" t="e">
        <f>AND(#REF!,"AAAAAHfX290=")</f>
        <v>#REF!</v>
      </c>
      <c r="HO196" t="e">
        <f>AND(#REF!,"AAAAAHfX294=")</f>
        <v>#REF!</v>
      </c>
      <c r="HP196" t="e">
        <f>AND(#REF!,"AAAAAHfX298=")</f>
        <v>#REF!</v>
      </c>
      <c r="HQ196" t="e">
        <f>AND(#REF!,"AAAAAHfX2+A=")</f>
        <v>#REF!</v>
      </c>
      <c r="HR196" t="e">
        <f>AND(#REF!,"AAAAAHfX2+E=")</f>
        <v>#REF!</v>
      </c>
      <c r="HS196" t="e">
        <f>AND(#REF!,"AAAAAHfX2+I=")</f>
        <v>#REF!</v>
      </c>
      <c r="HT196" t="e">
        <f>AND(#REF!,"AAAAAHfX2+M=")</f>
        <v>#REF!</v>
      </c>
      <c r="HU196" t="e">
        <f>AND(#REF!,"AAAAAHfX2+Q=")</f>
        <v>#REF!</v>
      </c>
      <c r="HV196" t="e">
        <f>AND(#REF!,"AAAAAHfX2+U=")</f>
        <v>#REF!</v>
      </c>
      <c r="HW196" t="e">
        <f>AND(#REF!,"AAAAAHfX2+Y=")</f>
        <v>#REF!</v>
      </c>
      <c r="HX196" t="e">
        <f>AND(#REF!,"AAAAAHfX2+c=")</f>
        <v>#REF!</v>
      </c>
      <c r="HY196" t="e">
        <f>AND(#REF!,"AAAAAHfX2+g=")</f>
        <v>#REF!</v>
      </c>
      <c r="HZ196" t="e">
        <f>AND(#REF!,"AAAAAHfX2+k=")</f>
        <v>#REF!</v>
      </c>
      <c r="IA196" t="e">
        <f>AND(#REF!,"AAAAAHfX2+o=")</f>
        <v>#REF!</v>
      </c>
      <c r="IB196" t="e">
        <f>AND(#REF!,"AAAAAHfX2+s=")</f>
        <v>#REF!</v>
      </c>
      <c r="IC196" t="e">
        <f>AND(#REF!,"AAAAAHfX2+w=")</f>
        <v>#REF!</v>
      </c>
      <c r="ID196" t="e">
        <f>AND(#REF!,"AAAAAHfX2+0=")</f>
        <v>#REF!</v>
      </c>
      <c r="IE196" t="e">
        <f>AND(#REF!,"AAAAAHfX2+4=")</f>
        <v>#REF!</v>
      </c>
      <c r="IF196" t="e">
        <f>AND(#REF!,"AAAAAHfX2+8=")</f>
        <v>#REF!</v>
      </c>
      <c r="IG196" t="e">
        <f>AND(#REF!,"AAAAAHfX2/A=")</f>
        <v>#REF!</v>
      </c>
      <c r="IH196" t="e">
        <f>AND(#REF!,"AAAAAHfX2/E=")</f>
        <v>#REF!</v>
      </c>
      <c r="II196" t="e">
        <f>AND(#REF!,"AAAAAHfX2/I=")</f>
        <v>#REF!</v>
      </c>
      <c r="IJ196" t="e">
        <f>AND(#REF!,"AAAAAHfX2/M=")</f>
        <v>#REF!</v>
      </c>
      <c r="IK196" t="e">
        <f>AND(#REF!,"AAAAAHfX2/Q=")</f>
        <v>#REF!</v>
      </c>
      <c r="IL196" t="e">
        <f>AND(#REF!,"AAAAAHfX2/U=")</f>
        <v>#REF!</v>
      </c>
      <c r="IM196" t="e">
        <f>AND(#REF!,"AAAAAHfX2/Y=")</f>
        <v>#REF!</v>
      </c>
      <c r="IN196" t="e">
        <f>AND(#REF!,"AAAAAHfX2/c=")</f>
        <v>#REF!</v>
      </c>
      <c r="IO196" t="e">
        <f>AND(#REF!,"AAAAAHfX2/g=")</f>
        <v>#REF!</v>
      </c>
      <c r="IP196" t="e">
        <f>AND(#REF!,"AAAAAHfX2/k=")</f>
        <v>#REF!</v>
      </c>
      <c r="IQ196" t="e">
        <f>AND(#REF!,"AAAAAHfX2/o=")</f>
        <v>#REF!</v>
      </c>
      <c r="IR196" t="e">
        <f>AND(#REF!,"AAAAAHfX2/s=")</f>
        <v>#REF!</v>
      </c>
      <c r="IS196" t="e">
        <f>AND(#REF!,"AAAAAHfX2/w=")</f>
        <v>#REF!</v>
      </c>
      <c r="IT196" t="e">
        <f>AND(#REF!,"AAAAAHfX2/0=")</f>
        <v>#REF!</v>
      </c>
      <c r="IU196" t="e">
        <f>AND(#REF!,"AAAAAHfX2/4=")</f>
        <v>#REF!</v>
      </c>
      <c r="IV196" t="e">
        <f>AND(#REF!,"AAAAAHfX2/8=")</f>
        <v>#REF!</v>
      </c>
    </row>
    <row r="197" spans="1:256" x14ac:dyDescent="0.25">
      <c r="A197" t="e">
        <f>AND(#REF!,"AAAAAHemOwA=")</f>
        <v>#REF!</v>
      </c>
      <c r="B197" t="e">
        <f>AND(#REF!,"AAAAAHemOwE=")</f>
        <v>#REF!</v>
      </c>
      <c r="C197" t="e">
        <f>AND(#REF!,"AAAAAHemOwI=")</f>
        <v>#REF!</v>
      </c>
      <c r="D197" t="e">
        <f>AND(#REF!,"AAAAAHemOwM=")</f>
        <v>#REF!</v>
      </c>
      <c r="E197" t="e">
        <f>AND(#REF!,"AAAAAHemOwQ=")</f>
        <v>#REF!</v>
      </c>
      <c r="F197" t="e">
        <f>AND(#REF!,"AAAAAHemOwU=")</f>
        <v>#REF!</v>
      </c>
      <c r="G197" t="e">
        <f>AND(#REF!,"AAAAAHemOwY=")</f>
        <v>#REF!</v>
      </c>
      <c r="H197" t="e">
        <f>AND(#REF!,"AAAAAHemOwc=")</f>
        <v>#REF!</v>
      </c>
      <c r="I197" t="e">
        <f>AND(#REF!,"AAAAAHemOwg=")</f>
        <v>#REF!</v>
      </c>
      <c r="J197" t="e">
        <f>AND(#REF!,"AAAAAHemOwk=")</f>
        <v>#REF!</v>
      </c>
      <c r="K197" t="e">
        <f>AND(#REF!,"AAAAAHemOwo=")</f>
        <v>#REF!</v>
      </c>
      <c r="L197" t="e">
        <f>AND(#REF!,"AAAAAHemOws=")</f>
        <v>#REF!</v>
      </c>
      <c r="M197" t="e">
        <f>AND(#REF!,"AAAAAHemOww=")</f>
        <v>#REF!</v>
      </c>
      <c r="N197" t="e">
        <f>AND(#REF!,"AAAAAHemOw0=")</f>
        <v>#REF!</v>
      </c>
      <c r="O197" t="e">
        <f>AND(#REF!,"AAAAAHemOw4=")</f>
        <v>#REF!</v>
      </c>
      <c r="P197" t="e">
        <f>AND(#REF!,"AAAAAHemOw8=")</f>
        <v>#REF!</v>
      </c>
      <c r="Q197" t="e">
        <f>AND(#REF!,"AAAAAHemOxA=")</f>
        <v>#REF!</v>
      </c>
      <c r="R197" t="e">
        <f>AND(#REF!,"AAAAAHemOxE=")</f>
        <v>#REF!</v>
      </c>
      <c r="S197" t="e">
        <f>AND(#REF!,"AAAAAHemOxI=")</f>
        <v>#REF!</v>
      </c>
      <c r="T197" t="e">
        <f>AND(#REF!,"AAAAAHemOxM=")</f>
        <v>#REF!</v>
      </c>
      <c r="U197" t="e">
        <f>AND(#REF!,"AAAAAHemOxQ=")</f>
        <v>#REF!</v>
      </c>
      <c r="V197" t="e">
        <f>AND(#REF!,"AAAAAHemOxU=")</f>
        <v>#REF!</v>
      </c>
      <c r="W197" t="e">
        <f>AND(#REF!,"AAAAAHemOxY=")</f>
        <v>#REF!</v>
      </c>
      <c r="X197" t="e">
        <f>AND(#REF!,"AAAAAHemOxc=")</f>
        <v>#REF!</v>
      </c>
      <c r="Y197" t="e">
        <f>AND(#REF!,"AAAAAHemOxg=")</f>
        <v>#REF!</v>
      </c>
      <c r="Z197" t="e">
        <f>AND(#REF!,"AAAAAHemOxk=")</f>
        <v>#REF!</v>
      </c>
      <c r="AA197" t="e">
        <f>AND(#REF!,"AAAAAHemOxo=")</f>
        <v>#REF!</v>
      </c>
      <c r="AB197" t="e">
        <f>AND(#REF!,"AAAAAHemOxs=")</f>
        <v>#REF!</v>
      </c>
      <c r="AC197" t="e">
        <f>AND(#REF!,"AAAAAHemOxw=")</f>
        <v>#REF!</v>
      </c>
      <c r="AD197" t="e">
        <f>AND(#REF!,"AAAAAHemOx0=")</f>
        <v>#REF!</v>
      </c>
      <c r="AE197" t="e">
        <f>AND(#REF!,"AAAAAHemOx4=")</f>
        <v>#REF!</v>
      </c>
      <c r="AF197" t="e">
        <f>AND(#REF!,"AAAAAHemOx8=")</f>
        <v>#REF!</v>
      </c>
      <c r="AG197" t="e">
        <f>AND(#REF!,"AAAAAHemOyA=")</f>
        <v>#REF!</v>
      </c>
      <c r="AH197" t="e">
        <f>AND(#REF!,"AAAAAHemOyE=")</f>
        <v>#REF!</v>
      </c>
      <c r="AI197" t="e">
        <f>AND(#REF!,"AAAAAHemOyI=")</f>
        <v>#REF!</v>
      </c>
      <c r="AJ197" t="e">
        <f>AND(#REF!,"AAAAAHemOyM=")</f>
        <v>#REF!</v>
      </c>
      <c r="AK197" t="e">
        <f>AND(#REF!,"AAAAAHemOyQ=")</f>
        <v>#REF!</v>
      </c>
      <c r="AL197" t="e">
        <f>AND(#REF!,"AAAAAHemOyU=")</f>
        <v>#REF!</v>
      </c>
      <c r="AM197" t="e">
        <f>AND(#REF!,"AAAAAHemOyY=")</f>
        <v>#REF!</v>
      </c>
      <c r="AN197" t="e">
        <f>AND(#REF!,"AAAAAHemOyc=")</f>
        <v>#REF!</v>
      </c>
      <c r="AO197" t="e">
        <f>AND(#REF!,"AAAAAHemOyg=")</f>
        <v>#REF!</v>
      </c>
      <c r="AP197" t="e">
        <f>AND(#REF!,"AAAAAHemOyk=")</f>
        <v>#REF!</v>
      </c>
      <c r="AQ197" t="e">
        <f>AND(#REF!,"AAAAAHemOyo=")</f>
        <v>#REF!</v>
      </c>
      <c r="AR197" t="e">
        <f>AND(#REF!,"AAAAAHemOys=")</f>
        <v>#REF!</v>
      </c>
      <c r="AS197" t="e">
        <f>AND(#REF!,"AAAAAHemOyw=")</f>
        <v>#REF!</v>
      </c>
      <c r="AT197" t="e">
        <f>AND(#REF!,"AAAAAHemOy0=")</f>
        <v>#REF!</v>
      </c>
      <c r="AU197" t="e">
        <f>AND(#REF!,"AAAAAHemOy4=")</f>
        <v>#REF!</v>
      </c>
      <c r="AV197" t="e">
        <f>AND(#REF!,"AAAAAHemOy8=")</f>
        <v>#REF!</v>
      </c>
      <c r="AW197" t="e">
        <f>AND(#REF!,"AAAAAHemOzA=")</f>
        <v>#REF!</v>
      </c>
      <c r="AX197" t="e">
        <f>AND(#REF!,"AAAAAHemOzE=")</f>
        <v>#REF!</v>
      </c>
      <c r="AY197" t="e">
        <f>AND(#REF!,"AAAAAHemOzI=")</f>
        <v>#REF!</v>
      </c>
      <c r="AZ197" t="e">
        <f>AND(#REF!,"AAAAAHemOzM=")</f>
        <v>#REF!</v>
      </c>
      <c r="BA197" t="e">
        <f>AND(#REF!,"AAAAAHemOzQ=")</f>
        <v>#REF!</v>
      </c>
      <c r="BB197" t="e">
        <f>AND(#REF!,"AAAAAHemOzU=")</f>
        <v>#REF!</v>
      </c>
      <c r="BC197" t="e">
        <f>IF(#REF!,"AAAAAHemOzY=",0)</f>
        <v>#REF!</v>
      </c>
      <c r="BD197" t="e">
        <f>AND(#REF!,"AAAAAHemOzc=")</f>
        <v>#REF!</v>
      </c>
      <c r="BE197" t="e">
        <f>AND(#REF!,"AAAAAHemOzg=")</f>
        <v>#REF!</v>
      </c>
      <c r="BF197" t="e">
        <f>AND(#REF!,"AAAAAHemOzk=")</f>
        <v>#REF!</v>
      </c>
      <c r="BG197" t="e">
        <f>AND(#REF!,"AAAAAHemOzo=")</f>
        <v>#REF!</v>
      </c>
      <c r="BH197" t="e">
        <f>AND(#REF!,"AAAAAHemOzs=")</f>
        <v>#REF!</v>
      </c>
      <c r="BI197" t="e">
        <f>AND(#REF!,"AAAAAHemOzw=")</f>
        <v>#REF!</v>
      </c>
      <c r="BJ197" t="e">
        <f>AND(#REF!,"AAAAAHemOz0=")</f>
        <v>#REF!</v>
      </c>
      <c r="BK197" t="e">
        <f>AND(#REF!,"AAAAAHemOz4=")</f>
        <v>#REF!</v>
      </c>
      <c r="BL197" t="e">
        <f>AND(#REF!,"AAAAAHemOz8=")</f>
        <v>#REF!</v>
      </c>
      <c r="BM197" t="e">
        <f>AND(#REF!,"AAAAAHemO0A=")</f>
        <v>#REF!</v>
      </c>
      <c r="BN197" t="e">
        <f>AND(#REF!,"AAAAAHemO0E=")</f>
        <v>#REF!</v>
      </c>
      <c r="BO197" t="e">
        <f>AND(#REF!,"AAAAAHemO0I=")</f>
        <v>#REF!</v>
      </c>
      <c r="BP197" t="e">
        <f>AND(#REF!,"AAAAAHemO0M=")</f>
        <v>#REF!</v>
      </c>
      <c r="BQ197" t="e">
        <f>AND(#REF!,"AAAAAHemO0Q=")</f>
        <v>#REF!</v>
      </c>
      <c r="BR197" t="e">
        <f>AND(#REF!,"AAAAAHemO0U=")</f>
        <v>#REF!</v>
      </c>
      <c r="BS197" t="e">
        <f>AND(#REF!,"AAAAAHemO0Y=")</f>
        <v>#REF!</v>
      </c>
      <c r="BT197" t="e">
        <f>AND(#REF!,"AAAAAHemO0c=")</f>
        <v>#REF!</v>
      </c>
      <c r="BU197" t="e">
        <f>AND(#REF!,"AAAAAHemO0g=")</f>
        <v>#REF!</v>
      </c>
      <c r="BV197" t="e">
        <f>AND(#REF!,"AAAAAHemO0k=")</f>
        <v>#REF!</v>
      </c>
      <c r="BW197" t="e">
        <f>AND(#REF!,"AAAAAHemO0o=")</f>
        <v>#REF!</v>
      </c>
      <c r="BX197" t="e">
        <f>AND(#REF!,"AAAAAHemO0s=")</f>
        <v>#REF!</v>
      </c>
      <c r="BY197" t="e">
        <f>AND(#REF!,"AAAAAHemO0w=")</f>
        <v>#REF!</v>
      </c>
      <c r="BZ197" t="e">
        <f>AND(#REF!,"AAAAAHemO00=")</f>
        <v>#REF!</v>
      </c>
      <c r="CA197" t="e">
        <f>AND(#REF!,"AAAAAHemO04=")</f>
        <v>#REF!</v>
      </c>
      <c r="CB197" t="e">
        <f>AND(#REF!,"AAAAAHemO08=")</f>
        <v>#REF!</v>
      </c>
      <c r="CC197" t="e">
        <f>AND(#REF!,"AAAAAHemO1A=")</f>
        <v>#REF!</v>
      </c>
      <c r="CD197" t="e">
        <f>AND(#REF!,"AAAAAHemO1E=")</f>
        <v>#REF!</v>
      </c>
      <c r="CE197" t="e">
        <f>AND(#REF!,"AAAAAHemO1I=")</f>
        <v>#REF!</v>
      </c>
      <c r="CF197" t="e">
        <f>AND(#REF!,"AAAAAHemO1M=")</f>
        <v>#REF!</v>
      </c>
      <c r="CG197" t="e">
        <f>AND(#REF!,"AAAAAHemO1Q=")</f>
        <v>#REF!</v>
      </c>
      <c r="CH197" t="e">
        <f>AND(#REF!,"AAAAAHemO1U=")</f>
        <v>#REF!</v>
      </c>
      <c r="CI197" t="e">
        <f>AND(#REF!,"AAAAAHemO1Y=")</f>
        <v>#REF!</v>
      </c>
      <c r="CJ197" t="e">
        <f>AND(#REF!,"AAAAAHemO1c=")</f>
        <v>#REF!</v>
      </c>
      <c r="CK197" t="e">
        <f>AND(#REF!,"AAAAAHemO1g=")</f>
        <v>#REF!</v>
      </c>
      <c r="CL197" t="e">
        <f>AND(#REF!,"AAAAAHemO1k=")</f>
        <v>#REF!</v>
      </c>
      <c r="CM197" t="e">
        <f>AND(#REF!,"AAAAAHemO1o=")</f>
        <v>#REF!</v>
      </c>
      <c r="CN197" t="e">
        <f>AND(#REF!,"AAAAAHemO1s=")</f>
        <v>#REF!</v>
      </c>
      <c r="CO197" t="e">
        <f>AND(#REF!,"AAAAAHemO1w=")</f>
        <v>#REF!</v>
      </c>
      <c r="CP197" t="e">
        <f>AND(#REF!,"AAAAAHemO10=")</f>
        <v>#REF!</v>
      </c>
      <c r="CQ197" t="e">
        <f>AND(#REF!,"AAAAAHemO14=")</f>
        <v>#REF!</v>
      </c>
      <c r="CR197" t="e">
        <f>AND(#REF!,"AAAAAHemO18=")</f>
        <v>#REF!</v>
      </c>
      <c r="CS197" t="e">
        <f>AND(#REF!,"AAAAAHemO2A=")</f>
        <v>#REF!</v>
      </c>
      <c r="CT197" t="e">
        <f>AND(#REF!,"AAAAAHemO2E=")</f>
        <v>#REF!</v>
      </c>
      <c r="CU197" t="e">
        <f>AND(#REF!,"AAAAAHemO2I=")</f>
        <v>#REF!</v>
      </c>
      <c r="CV197" t="e">
        <f>AND(#REF!,"AAAAAHemO2M=")</f>
        <v>#REF!</v>
      </c>
      <c r="CW197" t="e">
        <f>AND(#REF!,"AAAAAHemO2Q=")</f>
        <v>#REF!</v>
      </c>
      <c r="CX197" t="e">
        <f>AND(#REF!,"AAAAAHemO2U=")</f>
        <v>#REF!</v>
      </c>
      <c r="CY197" t="e">
        <f>AND(#REF!,"AAAAAHemO2Y=")</f>
        <v>#REF!</v>
      </c>
      <c r="CZ197" t="e">
        <f>AND(#REF!,"AAAAAHemO2c=")</f>
        <v>#REF!</v>
      </c>
      <c r="DA197" t="e">
        <f>AND(#REF!,"AAAAAHemO2g=")</f>
        <v>#REF!</v>
      </c>
      <c r="DB197" t="e">
        <f>AND(#REF!,"AAAAAHemO2k=")</f>
        <v>#REF!</v>
      </c>
      <c r="DC197" t="e">
        <f>AND(#REF!,"AAAAAHemO2o=")</f>
        <v>#REF!</v>
      </c>
      <c r="DD197" t="e">
        <f>AND(#REF!,"AAAAAHemO2s=")</f>
        <v>#REF!</v>
      </c>
      <c r="DE197" t="e">
        <f>AND(#REF!,"AAAAAHemO2w=")</f>
        <v>#REF!</v>
      </c>
      <c r="DF197" t="e">
        <f>AND(#REF!,"AAAAAHemO20=")</f>
        <v>#REF!</v>
      </c>
      <c r="DG197" t="e">
        <f>AND(#REF!,"AAAAAHemO24=")</f>
        <v>#REF!</v>
      </c>
      <c r="DH197" t="e">
        <f>AND(#REF!,"AAAAAHemO28=")</f>
        <v>#REF!</v>
      </c>
      <c r="DI197" t="e">
        <f>AND(#REF!,"AAAAAHemO3A=")</f>
        <v>#REF!</v>
      </c>
      <c r="DJ197" t="e">
        <f>AND(#REF!,"AAAAAHemO3E=")</f>
        <v>#REF!</v>
      </c>
      <c r="DK197" t="e">
        <f>AND(#REF!,"AAAAAHemO3I=")</f>
        <v>#REF!</v>
      </c>
      <c r="DL197" t="e">
        <f>AND(#REF!,"AAAAAHemO3M=")</f>
        <v>#REF!</v>
      </c>
      <c r="DM197" t="e">
        <f>AND(#REF!,"AAAAAHemO3Q=")</f>
        <v>#REF!</v>
      </c>
      <c r="DN197" t="e">
        <f>AND(#REF!,"AAAAAHemO3U=")</f>
        <v>#REF!</v>
      </c>
      <c r="DO197" t="e">
        <f>AND(#REF!,"AAAAAHemO3Y=")</f>
        <v>#REF!</v>
      </c>
      <c r="DP197" t="e">
        <f>AND(#REF!,"AAAAAHemO3c=")</f>
        <v>#REF!</v>
      </c>
      <c r="DQ197" t="e">
        <f>AND(#REF!,"AAAAAHemO3g=")</f>
        <v>#REF!</v>
      </c>
      <c r="DR197" t="e">
        <f>AND(#REF!,"AAAAAHemO3k=")</f>
        <v>#REF!</v>
      </c>
      <c r="DS197" t="e">
        <f>AND(#REF!,"AAAAAHemO3o=")</f>
        <v>#REF!</v>
      </c>
      <c r="DT197" t="e">
        <f>AND(#REF!,"AAAAAHemO3s=")</f>
        <v>#REF!</v>
      </c>
      <c r="DU197" t="e">
        <f>AND(#REF!,"AAAAAHemO3w=")</f>
        <v>#REF!</v>
      </c>
      <c r="DV197" t="e">
        <f>AND(#REF!,"AAAAAHemO30=")</f>
        <v>#REF!</v>
      </c>
      <c r="DW197" t="e">
        <f>AND(#REF!,"AAAAAHemO34=")</f>
        <v>#REF!</v>
      </c>
      <c r="DX197" t="e">
        <f>AND(#REF!,"AAAAAHemO38=")</f>
        <v>#REF!</v>
      </c>
      <c r="DY197" t="e">
        <f>AND(#REF!,"AAAAAHemO4A=")</f>
        <v>#REF!</v>
      </c>
      <c r="DZ197" t="e">
        <f>AND(#REF!,"AAAAAHemO4E=")</f>
        <v>#REF!</v>
      </c>
      <c r="EA197" t="e">
        <f>AND(#REF!,"AAAAAHemO4I=")</f>
        <v>#REF!</v>
      </c>
      <c r="EB197" t="e">
        <f>AND(#REF!,"AAAAAHemO4M=")</f>
        <v>#REF!</v>
      </c>
      <c r="EC197" t="e">
        <f>AND(#REF!,"AAAAAHemO4Q=")</f>
        <v>#REF!</v>
      </c>
      <c r="ED197" t="e">
        <f>AND(#REF!,"AAAAAHemO4U=")</f>
        <v>#REF!</v>
      </c>
      <c r="EE197" t="e">
        <f>AND(#REF!,"AAAAAHemO4Y=")</f>
        <v>#REF!</v>
      </c>
      <c r="EF197" t="e">
        <f>AND(#REF!,"AAAAAHemO4c=")</f>
        <v>#REF!</v>
      </c>
      <c r="EG197" t="e">
        <f>AND(#REF!,"AAAAAHemO4g=")</f>
        <v>#REF!</v>
      </c>
      <c r="EH197" t="e">
        <f>AND(#REF!,"AAAAAHemO4k=")</f>
        <v>#REF!</v>
      </c>
      <c r="EI197" t="e">
        <f>AND(#REF!,"AAAAAHemO4o=")</f>
        <v>#REF!</v>
      </c>
      <c r="EJ197" t="e">
        <f>AND(#REF!,"AAAAAHemO4s=")</f>
        <v>#REF!</v>
      </c>
      <c r="EK197" t="e">
        <f>AND(#REF!,"AAAAAHemO4w=")</f>
        <v>#REF!</v>
      </c>
      <c r="EL197" t="e">
        <f>AND(#REF!,"AAAAAHemO40=")</f>
        <v>#REF!</v>
      </c>
      <c r="EM197" t="e">
        <f>AND(#REF!,"AAAAAHemO44=")</f>
        <v>#REF!</v>
      </c>
      <c r="EN197" t="e">
        <f>AND(#REF!,"AAAAAHemO48=")</f>
        <v>#REF!</v>
      </c>
      <c r="EO197" t="e">
        <f>AND(#REF!,"AAAAAHemO5A=")</f>
        <v>#REF!</v>
      </c>
      <c r="EP197" t="e">
        <f>AND(#REF!,"AAAAAHemO5E=")</f>
        <v>#REF!</v>
      </c>
      <c r="EQ197" t="e">
        <f>AND(#REF!,"AAAAAHemO5I=")</f>
        <v>#REF!</v>
      </c>
      <c r="ER197" t="e">
        <f>AND(#REF!,"AAAAAHemO5M=")</f>
        <v>#REF!</v>
      </c>
      <c r="ES197" t="e">
        <f>AND(#REF!,"AAAAAHemO5Q=")</f>
        <v>#REF!</v>
      </c>
      <c r="ET197" t="e">
        <f>AND(#REF!,"AAAAAHemO5U=")</f>
        <v>#REF!</v>
      </c>
      <c r="EU197" t="e">
        <f>AND(#REF!,"AAAAAHemO5Y=")</f>
        <v>#REF!</v>
      </c>
      <c r="EV197" t="e">
        <f>AND(#REF!,"AAAAAHemO5c=")</f>
        <v>#REF!</v>
      </c>
      <c r="EW197" t="e">
        <f>AND(#REF!,"AAAAAHemO5g=")</f>
        <v>#REF!</v>
      </c>
      <c r="EX197" t="e">
        <f>AND(#REF!,"AAAAAHemO5k=")</f>
        <v>#REF!</v>
      </c>
      <c r="EY197" t="e">
        <f>AND(#REF!,"AAAAAHemO5o=")</f>
        <v>#REF!</v>
      </c>
      <c r="EZ197" t="e">
        <f>AND(#REF!,"AAAAAHemO5s=")</f>
        <v>#REF!</v>
      </c>
      <c r="FA197" t="e">
        <f>AND(#REF!,"AAAAAHemO5w=")</f>
        <v>#REF!</v>
      </c>
      <c r="FB197" t="e">
        <f>AND(#REF!,"AAAAAHemO50=")</f>
        <v>#REF!</v>
      </c>
      <c r="FC197" t="e">
        <f>AND(#REF!,"AAAAAHemO54=")</f>
        <v>#REF!</v>
      </c>
      <c r="FD197" t="e">
        <f>AND(#REF!,"AAAAAHemO58=")</f>
        <v>#REF!</v>
      </c>
      <c r="FE197" t="e">
        <f>AND(#REF!,"AAAAAHemO6A=")</f>
        <v>#REF!</v>
      </c>
      <c r="FF197" t="e">
        <f>AND(#REF!,"AAAAAHemO6E=")</f>
        <v>#REF!</v>
      </c>
      <c r="FG197" t="e">
        <f>AND(#REF!,"AAAAAHemO6I=")</f>
        <v>#REF!</v>
      </c>
      <c r="FH197" t="e">
        <f>AND(#REF!,"AAAAAHemO6M=")</f>
        <v>#REF!</v>
      </c>
      <c r="FI197" t="e">
        <f>AND(#REF!,"AAAAAHemO6Q=")</f>
        <v>#REF!</v>
      </c>
      <c r="FJ197" t="e">
        <f>AND(#REF!,"AAAAAHemO6U=")</f>
        <v>#REF!</v>
      </c>
      <c r="FK197" t="e">
        <f>AND(#REF!,"AAAAAHemO6Y=")</f>
        <v>#REF!</v>
      </c>
      <c r="FL197" t="e">
        <f>AND(#REF!,"AAAAAHemO6c=")</f>
        <v>#REF!</v>
      </c>
      <c r="FM197" t="e">
        <f>AND(#REF!,"AAAAAHemO6g=")</f>
        <v>#REF!</v>
      </c>
      <c r="FN197" t="e">
        <f>AND(#REF!,"AAAAAHemO6k=")</f>
        <v>#REF!</v>
      </c>
      <c r="FO197" t="e">
        <f>AND(#REF!,"AAAAAHemO6o=")</f>
        <v>#REF!</v>
      </c>
      <c r="FP197" t="e">
        <f>AND(#REF!,"AAAAAHemO6s=")</f>
        <v>#REF!</v>
      </c>
      <c r="FQ197" t="e">
        <f>AND(#REF!,"AAAAAHemO6w=")</f>
        <v>#REF!</v>
      </c>
      <c r="FR197" t="e">
        <f>AND(#REF!,"AAAAAHemO60=")</f>
        <v>#REF!</v>
      </c>
      <c r="FS197" t="e">
        <f>AND(#REF!,"AAAAAHemO64=")</f>
        <v>#REF!</v>
      </c>
      <c r="FT197" t="e">
        <f>AND(#REF!,"AAAAAHemO68=")</f>
        <v>#REF!</v>
      </c>
      <c r="FU197" t="e">
        <f>AND(#REF!,"AAAAAHemO7A=")</f>
        <v>#REF!</v>
      </c>
      <c r="FV197" t="e">
        <f>AND(#REF!,"AAAAAHemO7E=")</f>
        <v>#REF!</v>
      </c>
      <c r="FW197" t="e">
        <f>AND(#REF!,"AAAAAHemO7I=")</f>
        <v>#REF!</v>
      </c>
      <c r="FX197" t="e">
        <f>AND(#REF!,"AAAAAHemO7M=")</f>
        <v>#REF!</v>
      </c>
      <c r="FY197" t="e">
        <f>AND(#REF!,"AAAAAHemO7Q=")</f>
        <v>#REF!</v>
      </c>
      <c r="FZ197" t="e">
        <f>AND(#REF!,"AAAAAHemO7U=")</f>
        <v>#REF!</v>
      </c>
      <c r="GA197" t="e">
        <f>AND(#REF!,"AAAAAHemO7Y=")</f>
        <v>#REF!</v>
      </c>
      <c r="GB197" t="e">
        <f>AND(#REF!,"AAAAAHemO7c=")</f>
        <v>#REF!</v>
      </c>
      <c r="GC197" t="e">
        <f>AND(#REF!,"AAAAAHemO7g=")</f>
        <v>#REF!</v>
      </c>
      <c r="GD197" t="e">
        <f>AND(#REF!,"AAAAAHemO7k=")</f>
        <v>#REF!</v>
      </c>
      <c r="GE197" t="e">
        <f>AND(#REF!,"AAAAAHemO7o=")</f>
        <v>#REF!</v>
      </c>
      <c r="GF197" t="e">
        <f>AND(#REF!,"AAAAAHemO7s=")</f>
        <v>#REF!</v>
      </c>
      <c r="GG197" t="e">
        <f>AND(#REF!,"AAAAAHemO7w=")</f>
        <v>#REF!</v>
      </c>
      <c r="GH197" t="e">
        <f>AND(#REF!,"AAAAAHemO70=")</f>
        <v>#REF!</v>
      </c>
      <c r="GI197" t="e">
        <f>AND(#REF!,"AAAAAHemO74=")</f>
        <v>#REF!</v>
      </c>
      <c r="GJ197" t="e">
        <f>AND(#REF!,"AAAAAHemO78=")</f>
        <v>#REF!</v>
      </c>
      <c r="GK197" t="e">
        <f>AND(#REF!,"AAAAAHemO8A=")</f>
        <v>#REF!</v>
      </c>
      <c r="GL197" t="e">
        <f>AND(#REF!,"AAAAAHemO8E=")</f>
        <v>#REF!</v>
      </c>
      <c r="GM197" t="e">
        <f>AND(#REF!,"AAAAAHemO8I=")</f>
        <v>#REF!</v>
      </c>
      <c r="GN197" t="e">
        <f>AND(#REF!,"AAAAAHemO8M=")</f>
        <v>#REF!</v>
      </c>
      <c r="GO197" t="e">
        <f>AND(#REF!,"AAAAAHemO8Q=")</f>
        <v>#REF!</v>
      </c>
      <c r="GP197" t="e">
        <f>AND(#REF!,"AAAAAHemO8U=")</f>
        <v>#REF!</v>
      </c>
      <c r="GQ197" t="e">
        <f>AND(#REF!,"AAAAAHemO8Y=")</f>
        <v>#REF!</v>
      </c>
      <c r="GR197" t="e">
        <f>AND(#REF!,"AAAAAHemO8c=")</f>
        <v>#REF!</v>
      </c>
      <c r="GS197" t="e">
        <f>AND(#REF!,"AAAAAHemO8g=")</f>
        <v>#REF!</v>
      </c>
      <c r="GT197" t="e">
        <f>AND(#REF!,"AAAAAHemO8k=")</f>
        <v>#REF!</v>
      </c>
      <c r="GU197" t="e">
        <f>AND(#REF!,"AAAAAHemO8o=")</f>
        <v>#REF!</v>
      </c>
      <c r="GV197" t="e">
        <f>AND(#REF!,"AAAAAHemO8s=")</f>
        <v>#REF!</v>
      </c>
      <c r="GW197" t="e">
        <f>AND(#REF!,"AAAAAHemO8w=")</f>
        <v>#REF!</v>
      </c>
      <c r="GX197" t="e">
        <f>AND(#REF!,"AAAAAHemO80=")</f>
        <v>#REF!</v>
      </c>
      <c r="GY197" t="e">
        <f>AND(#REF!,"AAAAAHemO84=")</f>
        <v>#REF!</v>
      </c>
      <c r="GZ197" t="e">
        <f>AND(#REF!,"AAAAAHemO88=")</f>
        <v>#REF!</v>
      </c>
      <c r="HA197" t="e">
        <f>AND(#REF!,"AAAAAHemO9A=")</f>
        <v>#REF!</v>
      </c>
      <c r="HB197" t="e">
        <f>AND(#REF!,"AAAAAHemO9E=")</f>
        <v>#REF!</v>
      </c>
      <c r="HC197" t="e">
        <f>AND(#REF!,"AAAAAHemO9I=")</f>
        <v>#REF!</v>
      </c>
      <c r="HD197" t="e">
        <f>AND(#REF!,"AAAAAHemO9M=")</f>
        <v>#REF!</v>
      </c>
      <c r="HE197" t="e">
        <f>AND(#REF!,"AAAAAHemO9Q=")</f>
        <v>#REF!</v>
      </c>
      <c r="HF197" t="e">
        <f>AND(#REF!,"AAAAAHemO9U=")</f>
        <v>#REF!</v>
      </c>
      <c r="HG197" t="e">
        <f>AND(#REF!,"AAAAAHemO9Y=")</f>
        <v>#REF!</v>
      </c>
      <c r="HH197" t="e">
        <f>AND(#REF!,"AAAAAHemO9c=")</f>
        <v>#REF!</v>
      </c>
      <c r="HI197" t="e">
        <f>AND(#REF!,"AAAAAHemO9g=")</f>
        <v>#REF!</v>
      </c>
      <c r="HJ197" t="e">
        <f>AND(#REF!,"AAAAAHemO9k=")</f>
        <v>#REF!</v>
      </c>
      <c r="HK197" t="e">
        <f>AND(#REF!,"AAAAAHemO9o=")</f>
        <v>#REF!</v>
      </c>
      <c r="HL197" t="e">
        <f>AND(#REF!,"AAAAAHemO9s=")</f>
        <v>#REF!</v>
      </c>
      <c r="HM197" t="e">
        <f>AND(#REF!,"AAAAAHemO9w=")</f>
        <v>#REF!</v>
      </c>
      <c r="HN197" t="e">
        <f>AND(#REF!,"AAAAAHemO90=")</f>
        <v>#REF!</v>
      </c>
      <c r="HO197" t="e">
        <f>AND(#REF!,"AAAAAHemO94=")</f>
        <v>#REF!</v>
      </c>
      <c r="HP197" t="e">
        <f>AND(#REF!,"AAAAAHemO98=")</f>
        <v>#REF!</v>
      </c>
      <c r="HQ197" t="e">
        <f>AND(#REF!,"AAAAAHemO+A=")</f>
        <v>#REF!</v>
      </c>
      <c r="HR197" t="e">
        <f>AND(#REF!,"AAAAAHemO+E=")</f>
        <v>#REF!</v>
      </c>
      <c r="HS197" t="e">
        <f>AND(#REF!,"AAAAAHemO+I=")</f>
        <v>#REF!</v>
      </c>
      <c r="HT197" t="e">
        <f>AND(#REF!,"AAAAAHemO+M=")</f>
        <v>#REF!</v>
      </c>
      <c r="HU197" t="e">
        <f>AND(#REF!,"AAAAAHemO+Q=")</f>
        <v>#REF!</v>
      </c>
      <c r="HV197" t="e">
        <f>AND(#REF!,"AAAAAHemO+U=")</f>
        <v>#REF!</v>
      </c>
      <c r="HW197" t="e">
        <f>AND(#REF!,"AAAAAHemO+Y=")</f>
        <v>#REF!</v>
      </c>
      <c r="HX197" t="e">
        <f>AND(#REF!,"AAAAAHemO+c=")</f>
        <v>#REF!</v>
      </c>
      <c r="HY197" t="e">
        <f>AND(#REF!,"AAAAAHemO+g=")</f>
        <v>#REF!</v>
      </c>
      <c r="HZ197" t="e">
        <f>AND(#REF!,"AAAAAHemO+k=")</f>
        <v>#REF!</v>
      </c>
      <c r="IA197" t="e">
        <f>AND(#REF!,"AAAAAHemO+o=")</f>
        <v>#REF!</v>
      </c>
      <c r="IB197" t="e">
        <f>AND(#REF!,"AAAAAHemO+s=")</f>
        <v>#REF!</v>
      </c>
      <c r="IC197" t="e">
        <f>AND(#REF!,"AAAAAHemO+w=")</f>
        <v>#REF!</v>
      </c>
      <c r="ID197" t="e">
        <f>AND(#REF!,"AAAAAHemO+0=")</f>
        <v>#REF!</v>
      </c>
      <c r="IE197" t="e">
        <f>AND(#REF!,"AAAAAHemO+4=")</f>
        <v>#REF!</v>
      </c>
      <c r="IF197" t="e">
        <f>AND(#REF!,"AAAAAHemO+8=")</f>
        <v>#REF!</v>
      </c>
      <c r="IG197" t="e">
        <f>AND(#REF!,"AAAAAHemO/A=")</f>
        <v>#REF!</v>
      </c>
      <c r="IH197" t="e">
        <f>AND(#REF!,"AAAAAHemO/E=")</f>
        <v>#REF!</v>
      </c>
      <c r="II197" t="e">
        <f>AND(#REF!,"AAAAAHemO/I=")</f>
        <v>#REF!</v>
      </c>
      <c r="IJ197" t="e">
        <f>IF(#REF!,"AAAAAHemO/M=",0)</f>
        <v>#REF!</v>
      </c>
      <c r="IK197" t="e">
        <f>AND(#REF!,"AAAAAHemO/Q=")</f>
        <v>#REF!</v>
      </c>
      <c r="IL197" t="e">
        <f>AND(#REF!,"AAAAAHemO/U=")</f>
        <v>#REF!</v>
      </c>
      <c r="IM197" t="e">
        <f>AND(#REF!,"AAAAAHemO/Y=")</f>
        <v>#REF!</v>
      </c>
      <c r="IN197" t="e">
        <f>AND(#REF!,"AAAAAHemO/c=")</f>
        <v>#REF!</v>
      </c>
      <c r="IO197" t="e">
        <f>AND(#REF!,"AAAAAHemO/g=")</f>
        <v>#REF!</v>
      </c>
      <c r="IP197" t="e">
        <f>AND(#REF!,"AAAAAHemO/k=")</f>
        <v>#REF!</v>
      </c>
      <c r="IQ197" t="e">
        <f>AND(#REF!,"AAAAAHemO/o=")</f>
        <v>#REF!</v>
      </c>
      <c r="IR197" t="e">
        <f>AND(#REF!,"AAAAAHemO/s=")</f>
        <v>#REF!</v>
      </c>
      <c r="IS197" t="e">
        <f>AND(#REF!,"AAAAAHemO/w=")</f>
        <v>#REF!</v>
      </c>
      <c r="IT197" t="e">
        <f>AND(#REF!,"AAAAAHemO/0=")</f>
        <v>#REF!</v>
      </c>
      <c r="IU197" t="e">
        <f>AND(#REF!,"AAAAAHemO/4=")</f>
        <v>#REF!</v>
      </c>
      <c r="IV197" t="e">
        <f>AND(#REF!,"AAAAAHemO/8=")</f>
        <v>#REF!</v>
      </c>
    </row>
    <row r="198" spans="1:256" x14ac:dyDescent="0.25">
      <c r="A198" t="e">
        <f>AND(#REF!,"AAAAAGc/lwA=")</f>
        <v>#REF!</v>
      </c>
      <c r="B198" t="e">
        <f>AND(#REF!,"AAAAAGc/lwE=")</f>
        <v>#REF!</v>
      </c>
      <c r="C198" t="e">
        <f>AND(#REF!,"AAAAAGc/lwI=")</f>
        <v>#REF!</v>
      </c>
      <c r="D198" t="e">
        <f>AND(#REF!,"AAAAAGc/lwM=")</f>
        <v>#REF!</v>
      </c>
      <c r="E198" t="e">
        <f>AND(#REF!,"AAAAAGc/lwQ=")</f>
        <v>#REF!</v>
      </c>
      <c r="F198" t="e">
        <f>AND(#REF!,"AAAAAGc/lwU=")</f>
        <v>#REF!</v>
      </c>
      <c r="G198" t="e">
        <f>AND(#REF!,"AAAAAGc/lwY=")</f>
        <v>#REF!</v>
      </c>
      <c r="H198" t="e">
        <f>AND(#REF!,"AAAAAGc/lwc=")</f>
        <v>#REF!</v>
      </c>
      <c r="I198" t="e">
        <f>AND(#REF!,"AAAAAGc/lwg=")</f>
        <v>#REF!</v>
      </c>
      <c r="J198" t="e">
        <f>AND(#REF!,"AAAAAGc/lwk=")</f>
        <v>#REF!</v>
      </c>
      <c r="K198" t="e">
        <f>AND(#REF!,"AAAAAGc/lwo=")</f>
        <v>#REF!</v>
      </c>
      <c r="L198" t="e">
        <f>AND(#REF!,"AAAAAGc/lws=")</f>
        <v>#REF!</v>
      </c>
      <c r="M198" t="e">
        <f>AND(#REF!,"AAAAAGc/lww=")</f>
        <v>#REF!</v>
      </c>
      <c r="N198" t="e">
        <f>AND(#REF!,"AAAAAGc/lw0=")</f>
        <v>#REF!</v>
      </c>
      <c r="O198" t="e">
        <f>AND(#REF!,"AAAAAGc/lw4=")</f>
        <v>#REF!</v>
      </c>
      <c r="P198" t="e">
        <f>AND(#REF!,"AAAAAGc/lw8=")</f>
        <v>#REF!</v>
      </c>
      <c r="Q198" t="e">
        <f>AND(#REF!,"AAAAAGc/lxA=")</f>
        <v>#REF!</v>
      </c>
      <c r="R198" t="e">
        <f>AND(#REF!,"AAAAAGc/lxE=")</f>
        <v>#REF!</v>
      </c>
      <c r="S198" t="e">
        <f>AND(#REF!,"AAAAAGc/lxI=")</f>
        <v>#REF!</v>
      </c>
      <c r="T198" t="e">
        <f>AND(#REF!,"AAAAAGc/lxM=")</f>
        <v>#REF!</v>
      </c>
      <c r="U198" t="e">
        <f>AND(#REF!,"AAAAAGc/lxQ=")</f>
        <v>#REF!</v>
      </c>
      <c r="V198" t="e">
        <f>AND(#REF!,"AAAAAGc/lxU=")</f>
        <v>#REF!</v>
      </c>
      <c r="W198" t="e">
        <f>AND(#REF!,"AAAAAGc/lxY=")</f>
        <v>#REF!</v>
      </c>
      <c r="X198" t="e">
        <f>AND(#REF!,"AAAAAGc/lxc=")</f>
        <v>#REF!</v>
      </c>
      <c r="Y198" t="e">
        <f>AND(#REF!,"AAAAAGc/lxg=")</f>
        <v>#REF!</v>
      </c>
      <c r="Z198" t="e">
        <f>AND(#REF!,"AAAAAGc/lxk=")</f>
        <v>#REF!</v>
      </c>
      <c r="AA198" t="e">
        <f>AND(#REF!,"AAAAAGc/lxo=")</f>
        <v>#REF!</v>
      </c>
      <c r="AB198" t="e">
        <f>AND(#REF!,"AAAAAGc/lxs=")</f>
        <v>#REF!</v>
      </c>
      <c r="AC198" t="e">
        <f>AND(#REF!,"AAAAAGc/lxw=")</f>
        <v>#REF!</v>
      </c>
      <c r="AD198" t="e">
        <f>AND(#REF!,"AAAAAGc/lx0=")</f>
        <v>#REF!</v>
      </c>
      <c r="AE198" t="e">
        <f>AND(#REF!,"AAAAAGc/lx4=")</f>
        <v>#REF!</v>
      </c>
      <c r="AF198" t="e">
        <f>AND(#REF!,"AAAAAGc/lx8=")</f>
        <v>#REF!</v>
      </c>
      <c r="AG198" t="e">
        <f>AND(#REF!,"AAAAAGc/lyA=")</f>
        <v>#REF!</v>
      </c>
      <c r="AH198" t="e">
        <f>AND(#REF!,"AAAAAGc/lyE=")</f>
        <v>#REF!</v>
      </c>
      <c r="AI198" t="e">
        <f>AND(#REF!,"AAAAAGc/lyI=")</f>
        <v>#REF!</v>
      </c>
      <c r="AJ198" t="e">
        <f>AND(#REF!,"AAAAAGc/lyM=")</f>
        <v>#REF!</v>
      </c>
      <c r="AK198" t="e">
        <f>AND(#REF!,"AAAAAGc/lyQ=")</f>
        <v>#REF!</v>
      </c>
      <c r="AL198" t="e">
        <f>AND(#REF!,"AAAAAGc/lyU=")</f>
        <v>#REF!</v>
      </c>
      <c r="AM198" t="e">
        <f>AND(#REF!,"AAAAAGc/lyY=")</f>
        <v>#REF!</v>
      </c>
      <c r="AN198" t="e">
        <f>AND(#REF!,"AAAAAGc/lyc=")</f>
        <v>#REF!</v>
      </c>
      <c r="AO198" t="e">
        <f>AND(#REF!,"AAAAAGc/lyg=")</f>
        <v>#REF!</v>
      </c>
      <c r="AP198" t="e">
        <f>AND(#REF!,"AAAAAGc/lyk=")</f>
        <v>#REF!</v>
      </c>
      <c r="AQ198" t="e">
        <f>AND(#REF!,"AAAAAGc/lyo=")</f>
        <v>#REF!</v>
      </c>
      <c r="AR198" t="e">
        <f>AND(#REF!,"AAAAAGc/lys=")</f>
        <v>#REF!</v>
      </c>
      <c r="AS198" t="e">
        <f>AND(#REF!,"AAAAAGc/lyw=")</f>
        <v>#REF!</v>
      </c>
      <c r="AT198" t="e">
        <f>AND(#REF!,"AAAAAGc/ly0=")</f>
        <v>#REF!</v>
      </c>
      <c r="AU198" t="e">
        <f>AND(#REF!,"AAAAAGc/ly4=")</f>
        <v>#REF!</v>
      </c>
      <c r="AV198" t="e">
        <f>AND(#REF!,"AAAAAGc/ly8=")</f>
        <v>#REF!</v>
      </c>
      <c r="AW198" t="e">
        <f>AND(#REF!,"AAAAAGc/lzA=")</f>
        <v>#REF!</v>
      </c>
      <c r="AX198" t="e">
        <f>AND(#REF!,"AAAAAGc/lzE=")</f>
        <v>#REF!</v>
      </c>
      <c r="AY198" t="e">
        <f>AND(#REF!,"AAAAAGc/lzI=")</f>
        <v>#REF!</v>
      </c>
      <c r="AZ198" t="e">
        <f>AND(#REF!,"AAAAAGc/lzM=")</f>
        <v>#REF!</v>
      </c>
      <c r="BA198" t="e">
        <f>AND(#REF!,"AAAAAGc/lzQ=")</f>
        <v>#REF!</v>
      </c>
      <c r="BB198" t="e">
        <f>AND(#REF!,"AAAAAGc/lzU=")</f>
        <v>#REF!</v>
      </c>
      <c r="BC198" t="e">
        <f>AND(#REF!,"AAAAAGc/lzY=")</f>
        <v>#REF!</v>
      </c>
      <c r="BD198" t="e">
        <f>AND(#REF!,"AAAAAGc/lzc=")</f>
        <v>#REF!</v>
      </c>
      <c r="BE198" t="e">
        <f>AND(#REF!,"AAAAAGc/lzg=")</f>
        <v>#REF!</v>
      </c>
      <c r="BF198" t="e">
        <f>AND(#REF!,"AAAAAGc/lzk=")</f>
        <v>#REF!</v>
      </c>
      <c r="BG198" t="e">
        <f>AND(#REF!,"AAAAAGc/lzo=")</f>
        <v>#REF!</v>
      </c>
      <c r="BH198" t="e">
        <f>AND(#REF!,"AAAAAGc/lzs=")</f>
        <v>#REF!</v>
      </c>
      <c r="BI198" t="e">
        <f>AND(#REF!,"AAAAAGc/lzw=")</f>
        <v>#REF!</v>
      </c>
      <c r="BJ198" t="e">
        <f>AND(#REF!,"AAAAAGc/lz0=")</f>
        <v>#REF!</v>
      </c>
      <c r="BK198" t="e">
        <f>AND(#REF!,"AAAAAGc/lz4=")</f>
        <v>#REF!</v>
      </c>
      <c r="BL198" t="e">
        <f>AND(#REF!,"AAAAAGc/lz8=")</f>
        <v>#REF!</v>
      </c>
      <c r="BM198" t="e">
        <f>AND(#REF!,"AAAAAGc/l0A=")</f>
        <v>#REF!</v>
      </c>
      <c r="BN198" t="e">
        <f>AND(#REF!,"AAAAAGc/l0E=")</f>
        <v>#REF!</v>
      </c>
      <c r="BO198" t="e">
        <f>AND(#REF!,"AAAAAGc/l0I=")</f>
        <v>#REF!</v>
      </c>
      <c r="BP198" t="e">
        <f>AND(#REF!,"AAAAAGc/l0M=")</f>
        <v>#REF!</v>
      </c>
      <c r="BQ198" t="e">
        <f>AND(#REF!,"AAAAAGc/l0Q=")</f>
        <v>#REF!</v>
      </c>
      <c r="BR198" t="e">
        <f>AND(#REF!,"AAAAAGc/l0U=")</f>
        <v>#REF!</v>
      </c>
      <c r="BS198" t="e">
        <f>AND(#REF!,"AAAAAGc/l0Y=")</f>
        <v>#REF!</v>
      </c>
      <c r="BT198" t="e">
        <f>AND(#REF!,"AAAAAGc/l0c=")</f>
        <v>#REF!</v>
      </c>
      <c r="BU198" t="e">
        <f>AND(#REF!,"AAAAAGc/l0g=")</f>
        <v>#REF!</v>
      </c>
      <c r="BV198" t="e">
        <f>AND(#REF!,"AAAAAGc/l0k=")</f>
        <v>#REF!</v>
      </c>
      <c r="BW198" t="e">
        <f>AND(#REF!,"AAAAAGc/l0o=")</f>
        <v>#REF!</v>
      </c>
      <c r="BX198" t="e">
        <f>AND(#REF!,"AAAAAGc/l0s=")</f>
        <v>#REF!</v>
      </c>
      <c r="BY198" t="e">
        <f>AND(#REF!,"AAAAAGc/l0w=")</f>
        <v>#REF!</v>
      </c>
      <c r="BZ198" t="e">
        <f>AND(#REF!,"AAAAAGc/l00=")</f>
        <v>#REF!</v>
      </c>
      <c r="CA198" t="e">
        <f>AND(#REF!,"AAAAAGc/l04=")</f>
        <v>#REF!</v>
      </c>
      <c r="CB198" t="e">
        <f>AND(#REF!,"AAAAAGc/l08=")</f>
        <v>#REF!</v>
      </c>
      <c r="CC198" t="e">
        <f>AND(#REF!,"AAAAAGc/l1A=")</f>
        <v>#REF!</v>
      </c>
      <c r="CD198" t="e">
        <f>AND(#REF!,"AAAAAGc/l1E=")</f>
        <v>#REF!</v>
      </c>
      <c r="CE198" t="e">
        <f>AND(#REF!,"AAAAAGc/l1I=")</f>
        <v>#REF!</v>
      </c>
      <c r="CF198" t="e">
        <f>AND(#REF!,"AAAAAGc/l1M=")</f>
        <v>#REF!</v>
      </c>
      <c r="CG198" t="e">
        <f>AND(#REF!,"AAAAAGc/l1Q=")</f>
        <v>#REF!</v>
      </c>
      <c r="CH198" t="e">
        <f>AND(#REF!,"AAAAAGc/l1U=")</f>
        <v>#REF!</v>
      </c>
      <c r="CI198" t="e">
        <f>AND(#REF!,"AAAAAGc/l1Y=")</f>
        <v>#REF!</v>
      </c>
      <c r="CJ198" t="e">
        <f>AND(#REF!,"AAAAAGc/l1c=")</f>
        <v>#REF!</v>
      </c>
      <c r="CK198" t="e">
        <f>AND(#REF!,"AAAAAGc/l1g=")</f>
        <v>#REF!</v>
      </c>
      <c r="CL198" t="e">
        <f>AND(#REF!,"AAAAAGc/l1k=")</f>
        <v>#REF!</v>
      </c>
      <c r="CM198" t="e">
        <f>AND(#REF!,"AAAAAGc/l1o=")</f>
        <v>#REF!</v>
      </c>
      <c r="CN198" t="e">
        <f>AND(#REF!,"AAAAAGc/l1s=")</f>
        <v>#REF!</v>
      </c>
      <c r="CO198" t="e">
        <f>AND(#REF!,"AAAAAGc/l1w=")</f>
        <v>#REF!</v>
      </c>
      <c r="CP198" t="e">
        <f>AND(#REF!,"AAAAAGc/l10=")</f>
        <v>#REF!</v>
      </c>
      <c r="CQ198" t="e">
        <f>AND(#REF!,"AAAAAGc/l14=")</f>
        <v>#REF!</v>
      </c>
      <c r="CR198" t="e">
        <f>AND(#REF!,"AAAAAGc/l18=")</f>
        <v>#REF!</v>
      </c>
      <c r="CS198" t="e">
        <f>AND(#REF!,"AAAAAGc/l2A=")</f>
        <v>#REF!</v>
      </c>
      <c r="CT198" t="e">
        <f>AND(#REF!,"AAAAAGc/l2E=")</f>
        <v>#REF!</v>
      </c>
      <c r="CU198" t="e">
        <f>AND(#REF!,"AAAAAGc/l2I=")</f>
        <v>#REF!</v>
      </c>
      <c r="CV198" t="e">
        <f>AND(#REF!,"AAAAAGc/l2M=")</f>
        <v>#REF!</v>
      </c>
      <c r="CW198" t="e">
        <f>AND(#REF!,"AAAAAGc/l2Q=")</f>
        <v>#REF!</v>
      </c>
      <c r="CX198" t="e">
        <f>AND(#REF!,"AAAAAGc/l2U=")</f>
        <v>#REF!</v>
      </c>
      <c r="CY198" t="e">
        <f>AND(#REF!,"AAAAAGc/l2Y=")</f>
        <v>#REF!</v>
      </c>
      <c r="CZ198" t="e">
        <f>AND(#REF!,"AAAAAGc/l2c=")</f>
        <v>#REF!</v>
      </c>
      <c r="DA198" t="e">
        <f>AND(#REF!,"AAAAAGc/l2g=")</f>
        <v>#REF!</v>
      </c>
      <c r="DB198" t="e">
        <f>AND(#REF!,"AAAAAGc/l2k=")</f>
        <v>#REF!</v>
      </c>
      <c r="DC198" t="e">
        <f>AND(#REF!,"AAAAAGc/l2o=")</f>
        <v>#REF!</v>
      </c>
      <c r="DD198" t="e">
        <f>AND(#REF!,"AAAAAGc/l2s=")</f>
        <v>#REF!</v>
      </c>
      <c r="DE198" t="e">
        <f>AND(#REF!,"AAAAAGc/l2w=")</f>
        <v>#REF!</v>
      </c>
      <c r="DF198" t="e">
        <f>AND(#REF!,"AAAAAGc/l20=")</f>
        <v>#REF!</v>
      </c>
      <c r="DG198" t="e">
        <f>AND(#REF!,"AAAAAGc/l24=")</f>
        <v>#REF!</v>
      </c>
      <c r="DH198" t="e">
        <f>AND(#REF!,"AAAAAGc/l28=")</f>
        <v>#REF!</v>
      </c>
      <c r="DI198" t="e">
        <f>AND(#REF!,"AAAAAGc/l3A=")</f>
        <v>#REF!</v>
      </c>
      <c r="DJ198" t="e">
        <f>AND(#REF!,"AAAAAGc/l3E=")</f>
        <v>#REF!</v>
      </c>
      <c r="DK198" t="e">
        <f>AND(#REF!,"AAAAAGc/l3I=")</f>
        <v>#REF!</v>
      </c>
      <c r="DL198" t="e">
        <f>AND(#REF!,"AAAAAGc/l3M=")</f>
        <v>#REF!</v>
      </c>
      <c r="DM198" t="e">
        <f>AND(#REF!,"AAAAAGc/l3Q=")</f>
        <v>#REF!</v>
      </c>
      <c r="DN198" t="e">
        <f>AND(#REF!,"AAAAAGc/l3U=")</f>
        <v>#REF!</v>
      </c>
      <c r="DO198" t="e">
        <f>AND(#REF!,"AAAAAGc/l3Y=")</f>
        <v>#REF!</v>
      </c>
      <c r="DP198" t="e">
        <f>AND(#REF!,"AAAAAGc/l3c=")</f>
        <v>#REF!</v>
      </c>
      <c r="DQ198" t="e">
        <f>AND(#REF!,"AAAAAGc/l3g=")</f>
        <v>#REF!</v>
      </c>
      <c r="DR198" t="e">
        <f>AND(#REF!,"AAAAAGc/l3k=")</f>
        <v>#REF!</v>
      </c>
      <c r="DS198" t="e">
        <f>AND(#REF!,"AAAAAGc/l3o=")</f>
        <v>#REF!</v>
      </c>
      <c r="DT198" t="e">
        <f>AND(#REF!,"AAAAAGc/l3s=")</f>
        <v>#REF!</v>
      </c>
      <c r="DU198" t="e">
        <f>AND(#REF!,"AAAAAGc/l3w=")</f>
        <v>#REF!</v>
      </c>
      <c r="DV198" t="e">
        <f>AND(#REF!,"AAAAAGc/l30=")</f>
        <v>#REF!</v>
      </c>
      <c r="DW198" t="e">
        <f>AND(#REF!,"AAAAAGc/l34=")</f>
        <v>#REF!</v>
      </c>
      <c r="DX198" t="e">
        <f>AND(#REF!,"AAAAAGc/l38=")</f>
        <v>#REF!</v>
      </c>
      <c r="DY198" t="e">
        <f>AND(#REF!,"AAAAAGc/l4A=")</f>
        <v>#REF!</v>
      </c>
      <c r="DZ198" t="e">
        <f>AND(#REF!,"AAAAAGc/l4E=")</f>
        <v>#REF!</v>
      </c>
      <c r="EA198" t="e">
        <f>AND(#REF!,"AAAAAGc/l4I=")</f>
        <v>#REF!</v>
      </c>
      <c r="EB198" t="e">
        <f>AND(#REF!,"AAAAAGc/l4M=")</f>
        <v>#REF!</v>
      </c>
      <c r="EC198" t="e">
        <f>AND(#REF!,"AAAAAGc/l4Q=")</f>
        <v>#REF!</v>
      </c>
      <c r="ED198" t="e">
        <f>AND(#REF!,"AAAAAGc/l4U=")</f>
        <v>#REF!</v>
      </c>
      <c r="EE198" t="e">
        <f>AND(#REF!,"AAAAAGc/l4Y=")</f>
        <v>#REF!</v>
      </c>
      <c r="EF198" t="e">
        <f>AND(#REF!,"AAAAAGc/l4c=")</f>
        <v>#REF!</v>
      </c>
      <c r="EG198" t="e">
        <f>AND(#REF!,"AAAAAGc/l4g=")</f>
        <v>#REF!</v>
      </c>
      <c r="EH198" t="e">
        <f>AND(#REF!,"AAAAAGc/l4k=")</f>
        <v>#REF!</v>
      </c>
      <c r="EI198" t="e">
        <f>AND(#REF!,"AAAAAGc/l4o=")</f>
        <v>#REF!</v>
      </c>
      <c r="EJ198" t="e">
        <f>AND(#REF!,"AAAAAGc/l4s=")</f>
        <v>#REF!</v>
      </c>
      <c r="EK198" t="e">
        <f>AND(#REF!,"AAAAAGc/l4w=")</f>
        <v>#REF!</v>
      </c>
      <c r="EL198" t="e">
        <f>AND(#REF!,"AAAAAGc/l40=")</f>
        <v>#REF!</v>
      </c>
      <c r="EM198" t="e">
        <f>AND(#REF!,"AAAAAGc/l44=")</f>
        <v>#REF!</v>
      </c>
      <c r="EN198" t="e">
        <f>AND(#REF!,"AAAAAGc/l48=")</f>
        <v>#REF!</v>
      </c>
      <c r="EO198" t="e">
        <f>AND(#REF!,"AAAAAGc/l5A=")</f>
        <v>#REF!</v>
      </c>
      <c r="EP198" t="e">
        <f>AND(#REF!,"AAAAAGc/l5E=")</f>
        <v>#REF!</v>
      </c>
      <c r="EQ198" t="e">
        <f>AND(#REF!,"AAAAAGc/l5I=")</f>
        <v>#REF!</v>
      </c>
      <c r="ER198" t="e">
        <f>AND(#REF!,"AAAAAGc/l5M=")</f>
        <v>#REF!</v>
      </c>
      <c r="ES198" t="e">
        <f>AND(#REF!,"AAAAAGc/l5Q=")</f>
        <v>#REF!</v>
      </c>
      <c r="ET198" t="e">
        <f>AND(#REF!,"AAAAAGc/l5U=")</f>
        <v>#REF!</v>
      </c>
      <c r="EU198" t="e">
        <f>AND(#REF!,"AAAAAGc/l5Y=")</f>
        <v>#REF!</v>
      </c>
      <c r="EV198" t="e">
        <f>AND(#REF!,"AAAAAGc/l5c=")</f>
        <v>#REF!</v>
      </c>
      <c r="EW198" t="e">
        <f>AND(#REF!,"AAAAAGc/l5g=")</f>
        <v>#REF!</v>
      </c>
      <c r="EX198" t="e">
        <f>AND(#REF!,"AAAAAGc/l5k=")</f>
        <v>#REF!</v>
      </c>
      <c r="EY198" t="e">
        <f>AND(#REF!,"AAAAAGc/l5o=")</f>
        <v>#REF!</v>
      </c>
      <c r="EZ198" t="e">
        <f>AND(#REF!,"AAAAAGc/l5s=")</f>
        <v>#REF!</v>
      </c>
      <c r="FA198" t="e">
        <f>AND(#REF!,"AAAAAGc/l5w=")</f>
        <v>#REF!</v>
      </c>
      <c r="FB198" t="e">
        <f>AND(#REF!,"AAAAAGc/l50=")</f>
        <v>#REF!</v>
      </c>
      <c r="FC198" t="e">
        <f>AND(#REF!,"AAAAAGc/l54=")</f>
        <v>#REF!</v>
      </c>
      <c r="FD198" t="e">
        <f>AND(#REF!,"AAAAAGc/l58=")</f>
        <v>#REF!</v>
      </c>
      <c r="FE198" t="e">
        <f>AND(#REF!,"AAAAAGc/l6A=")</f>
        <v>#REF!</v>
      </c>
      <c r="FF198" t="e">
        <f>AND(#REF!,"AAAAAGc/l6E=")</f>
        <v>#REF!</v>
      </c>
      <c r="FG198" t="e">
        <f>AND(#REF!,"AAAAAGc/l6I=")</f>
        <v>#REF!</v>
      </c>
      <c r="FH198" t="e">
        <f>AND(#REF!,"AAAAAGc/l6M=")</f>
        <v>#REF!</v>
      </c>
      <c r="FI198" t="e">
        <f>AND(#REF!,"AAAAAGc/l6Q=")</f>
        <v>#REF!</v>
      </c>
      <c r="FJ198" t="e">
        <f>AND(#REF!,"AAAAAGc/l6U=")</f>
        <v>#REF!</v>
      </c>
      <c r="FK198" t="e">
        <f>AND(#REF!,"AAAAAGc/l6Y=")</f>
        <v>#REF!</v>
      </c>
      <c r="FL198" t="e">
        <f>AND(#REF!,"AAAAAGc/l6c=")</f>
        <v>#REF!</v>
      </c>
      <c r="FM198" t="e">
        <f>AND(#REF!,"AAAAAGc/l6g=")</f>
        <v>#REF!</v>
      </c>
      <c r="FN198" t="e">
        <f>AND(#REF!,"AAAAAGc/l6k=")</f>
        <v>#REF!</v>
      </c>
      <c r="FO198" t="e">
        <f>AND(#REF!,"AAAAAGc/l6o=")</f>
        <v>#REF!</v>
      </c>
      <c r="FP198" t="e">
        <f>AND(#REF!,"AAAAAGc/l6s=")</f>
        <v>#REF!</v>
      </c>
      <c r="FQ198" t="e">
        <f>AND(#REF!,"AAAAAGc/l6w=")</f>
        <v>#REF!</v>
      </c>
      <c r="FR198" t="e">
        <f>AND(#REF!,"AAAAAGc/l60=")</f>
        <v>#REF!</v>
      </c>
      <c r="FS198" t="e">
        <f>AND(#REF!,"AAAAAGc/l64=")</f>
        <v>#REF!</v>
      </c>
      <c r="FT198" t="e">
        <f>AND(#REF!,"AAAAAGc/l68=")</f>
        <v>#REF!</v>
      </c>
      <c r="FU198" t="e">
        <f>IF(#REF!,"AAAAAGc/l7A=",0)</f>
        <v>#REF!</v>
      </c>
      <c r="FV198" t="e">
        <f>AND(#REF!,"AAAAAGc/l7E=")</f>
        <v>#REF!</v>
      </c>
      <c r="FW198" t="e">
        <f>AND(#REF!,"AAAAAGc/l7I=")</f>
        <v>#REF!</v>
      </c>
      <c r="FX198" t="e">
        <f>AND(#REF!,"AAAAAGc/l7M=")</f>
        <v>#REF!</v>
      </c>
      <c r="FY198" t="e">
        <f>AND(#REF!,"AAAAAGc/l7Q=")</f>
        <v>#REF!</v>
      </c>
      <c r="FZ198" t="e">
        <f>AND(#REF!,"AAAAAGc/l7U=")</f>
        <v>#REF!</v>
      </c>
      <c r="GA198" t="e">
        <f>AND(#REF!,"AAAAAGc/l7Y=")</f>
        <v>#REF!</v>
      </c>
      <c r="GB198" t="e">
        <f>AND(#REF!,"AAAAAGc/l7c=")</f>
        <v>#REF!</v>
      </c>
      <c r="GC198" t="e">
        <f>AND(#REF!,"AAAAAGc/l7g=")</f>
        <v>#REF!</v>
      </c>
      <c r="GD198" t="e">
        <f>AND(#REF!,"AAAAAGc/l7k=")</f>
        <v>#REF!</v>
      </c>
      <c r="GE198" t="e">
        <f>AND(#REF!,"AAAAAGc/l7o=")</f>
        <v>#REF!</v>
      </c>
      <c r="GF198" t="e">
        <f>AND(#REF!,"AAAAAGc/l7s=")</f>
        <v>#REF!</v>
      </c>
      <c r="GG198" t="e">
        <f>AND(#REF!,"AAAAAGc/l7w=")</f>
        <v>#REF!</v>
      </c>
      <c r="GH198" t="e">
        <f>AND(#REF!,"AAAAAGc/l70=")</f>
        <v>#REF!</v>
      </c>
      <c r="GI198" t="e">
        <f>AND(#REF!,"AAAAAGc/l74=")</f>
        <v>#REF!</v>
      </c>
      <c r="GJ198" t="e">
        <f>AND(#REF!,"AAAAAGc/l78=")</f>
        <v>#REF!</v>
      </c>
      <c r="GK198" t="e">
        <f>AND(#REF!,"AAAAAGc/l8A=")</f>
        <v>#REF!</v>
      </c>
      <c r="GL198" t="e">
        <f>AND(#REF!,"AAAAAGc/l8E=")</f>
        <v>#REF!</v>
      </c>
      <c r="GM198" t="e">
        <f>AND(#REF!,"AAAAAGc/l8I=")</f>
        <v>#REF!</v>
      </c>
      <c r="GN198" t="e">
        <f>AND(#REF!,"AAAAAGc/l8M=")</f>
        <v>#REF!</v>
      </c>
      <c r="GO198" t="e">
        <f>AND(#REF!,"AAAAAGc/l8Q=")</f>
        <v>#REF!</v>
      </c>
      <c r="GP198" t="e">
        <f>AND(#REF!,"AAAAAGc/l8U=")</f>
        <v>#REF!</v>
      </c>
      <c r="GQ198" t="e">
        <f>AND(#REF!,"AAAAAGc/l8Y=")</f>
        <v>#REF!</v>
      </c>
      <c r="GR198" t="e">
        <f>AND(#REF!,"AAAAAGc/l8c=")</f>
        <v>#REF!</v>
      </c>
      <c r="GS198" t="e">
        <f>AND(#REF!,"AAAAAGc/l8g=")</f>
        <v>#REF!</v>
      </c>
      <c r="GT198" t="e">
        <f>AND(#REF!,"AAAAAGc/l8k=")</f>
        <v>#REF!</v>
      </c>
      <c r="GU198" t="e">
        <f>AND(#REF!,"AAAAAGc/l8o=")</f>
        <v>#REF!</v>
      </c>
      <c r="GV198" t="e">
        <f>AND(#REF!,"AAAAAGc/l8s=")</f>
        <v>#REF!</v>
      </c>
      <c r="GW198" t="e">
        <f>AND(#REF!,"AAAAAGc/l8w=")</f>
        <v>#REF!</v>
      </c>
      <c r="GX198" t="e">
        <f>AND(#REF!,"AAAAAGc/l80=")</f>
        <v>#REF!</v>
      </c>
      <c r="GY198" t="e">
        <f>AND(#REF!,"AAAAAGc/l84=")</f>
        <v>#REF!</v>
      </c>
      <c r="GZ198" t="e">
        <f>AND(#REF!,"AAAAAGc/l88=")</f>
        <v>#REF!</v>
      </c>
      <c r="HA198" t="e">
        <f>AND(#REF!,"AAAAAGc/l9A=")</f>
        <v>#REF!</v>
      </c>
      <c r="HB198" t="e">
        <f>AND(#REF!,"AAAAAGc/l9E=")</f>
        <v>#REF!</v>
      </c>
      <c r="HC198" t="e">
        <f>AND(#REF!,"AAAAAGc/l9I=")</f>
        <v>#REF!</v>
      </c>
      <c r="HD198" t="e">
        <f>AND(#REF!,"AAAAAGc/l9M=")</f>
        <v>#REF!</v>
      </c>
      <c r="HE198" t="e">
        <f>AND(#REF!,"AAAAAGc/l9Q=")</f>
        <v>#REF!</v>
      </c>
      <c r="HF198" t="e">
        <f>AND(#REF!,"AAAAAGc/l9U=")</f>
        <v>#REF!</v>
      </c>
      <c r="HG198" t="e">
        <f>AND(#REF!,"AAAAAGc/l9Y=")</f>
        <v>#REF!</v>
      </c>
      <c r="HH198" t="e">
        <f>AND(#REF!,"AAAAAGc/l9c=")</f>
        <v>#REF!</v>
      </c>
      <c r="HI198" t="e">
        <f>AND(#REF!,"AAAAAGc/l9g=")</f>
        <v>#REF!</v>
      </c>
      <c r="HJ198" t="e">
        <f>AND(#REF!,"AAAAAGc/l9k=")</f>
        <v>#REF!</v>
      </c>
      <c r="HK198" t="e">
        <f>AND(#REF!,"AAAAAGc/l9o=")</f>
        <v>#REF!</v>
      </c>
      <c r="HL198" t="e">
        <f>AND(#REF!,"AAAAAGc/l9s=")</f>
        <v>#REF!</v>
      </c>
      <c r="HM198" t="e">
        <f>AND(#REF!,"AAAAAGc/l9w=")</f>
        <v>#REF!</v>
      </c>
      <c r="HN198" t="e">
        <f>AND(#REF!,"AAAAAGc/l90=")</f>
        <v>#REF!</v>
      </c>
      <c r="HO198" t="e">
        <f>AND(#REF!,"AAAAAGc/l94=")</f>
        <v>#REF!</v>
      </c>
      <c r="HP198" t="e">
        <f>AND(#REF!,"AAAAAGc/l98=")</f>
        <v>#REF!</v>
      </c>
      <c r="HQ198" t="e">
        <f>AND(#REF!,"AAAAAGc/l+A=")</f>
        <v>#REF!</v>
      </c>
      <c r="HR198" t="e">
        <f>AND(#REF!,"AAAAAGc/l+E=")</f>
        <v>#REF!</v>
      </c>
      <c r="HS198" t="e">
        <f>AND(#REF!,"AAAAAGc/l+I=")</f>
        <v>#REF!</v>
      </c>
      <c r="HT198" t="e">
        <f>AND(#REF!,"AAAAAGc/l+M=")</f>
        <v>#REF!</v>
      </c>
      <c r="HU198" t="e">
        <f>AND(#REF!,"AAAAAGc/l+Q=")</f>
        <v>#REF!</v>
      </c>
      <c r="HV198" t="e">
        <f>AND(#REF!,"AAAAAGc/l+U=")</f>
        <v>#REF!</v>
      </c>
      <c r="HW198" t="e">
        <f>AND(#REF!,"AAAAAGc/l+Y=")</f>
        <v>#REF!</v>
      </c>
      <c r="HX198" t="e">
        <f>AND(#REF!,"AAAAAGc/l+c=")</f>
        <v>#REF!</v>
      </c>
      <c r="HY198" t="e">
        <f>AND(#REF!,"AAAAAGc/l+g=")</f>
        <v>#REF!</v>
      </c>
      <c r="HZ198" t="e">
        <f>AND(#REF!,"AAAAAGc/l+k=")</f>
        <v>#REF!</v>
      </c>
      <c r="IA198" t="e">
        <f>AND(#REF!,"AAAAAGc/l+o=")</f>
        <v>#REF!</v>
      </c>
      <c r="IB198" t="e">
        <f>AND(#REF!,"AAAAAGc/l+s=")</f>
        <v>#REF!</v>
      </c>
      <c r="IC198" t="e">
        <f>AND(#REF!,"AAAAAGc/l+w=")</f>
        <v>#REF!</v>
      </c>
      <c r="ID198" t="e">
        <f>AND(#REF!,"AAAAAGc/l+0=")</f>
        <v>#REF!</v>
      </c>
      <c r="IE198" t="e">
        <f>AND(#REF!,"AAAAAGc/l+4=")</f>
        <v>#REF!</v>
      </c>
      <c r="IF198" t="e">
        <f>AND(#REF!,"AAAAAGc/l+8=")</f>
        <v>#REF!</v>
      </c>
      <c r="IG198" t="e">
        <f>AND(#REF!,"AAAAAGc/l/A=")</f>
        <v>#REF!</v>
      </c>
      <c r="IH198" t="e">
        <f>AND(#REF!,"AAAAAGc/l/E=")</f>
        <v>#REF!</v>
      </c>
      <c r="II198" t="e">
        <f>AND(#REF!,"AAAAAGc/l/I=")</f>
        <v>#REF!</v>
      </c>
      <c r="IJ198" t="e">
        <f>AND(#REF!,"AAAAAGc/l/M=")</f>
        <v>#REF!</v>
      </c>
      <c r="IK198" t="e">
        <f>AND(#REF!,"AAAAAGc/l/Q=")</f>
        <v>#REF!</v>
      </c>
      <c r="IL198" t="e">
        <f>AND(#REF!,"AAAAAGc/l/U=")</f>
        <v>#REF!</v>
      </c>
      <c r="IM198" t="e">
        <f>AND(#REF!,"AAAAAGc/l/Y=")</f>
        <v>#REF!</v>
      </c>
      <c r="IN198" t="e">
        <f>AND(#REF!,"AAAAAGc/l/c=")</f>
        <v>#REF!</v>
      </c>
      <c r="IO198" t="e">
        <f>AND(#REF!,"AAAAAGc/l/g=")</f>
        <v>#REF!</v>
      </c>
      <c r="IP198" t="e">
        <f>AND(#REF!,"AAAAAGc/l/k=")</f>
        <v>#REF!</v>
      </c>
      <c r="IQ198" t="e">
        <f>AND(#REF!,"AAAAAGc/l/o=")</f>
        <v>#REF!</v>
      </c>
      <c r="IR198" t="e">
        <f>AND(#REF!,"AAAAAGc/l/s=")</f>
        <v>#REF!</v>
      </c>
      <c r="IS198" t="e">
        <f>AND(#REF!,"AAAAAGc/l/w=")</f>
        <v>#REF!</v>
      </c>
      <c r="IT198" t="e">
        <f>AND(#REF!,"AAAAAGc/l/0=")</f>
        <v>#REF!</v>
      </c>
      <c r="IU198" t="e">
        <f>AND(#REF!,"AAAAAGc/l/4=")</f>
        <v>#REF!</v>
      </c>
      <c r="IV198" t="e">
        <f>AND(#REF!,"AAAAAGc/l/8=")</f>
        <v>#REF!</v>
      </c>
    </row>
    <row r="199" spans="1:256" x14ac:dyDescent="0.25">
      <c r="A199" t="e">
        <f>AND(#REF!,"AAAAAD8d3gA=")</f>
        <v>#REF!</v>
      </c>
      <c r="B199" t="e">
        <f>AND(#REF!,"AAAAAD8d3gE=")</f>
        <v>#REF!</v>
      </c>
      <c r="C199" t="e">
        <f>AND(#REF!,"AAAAAD8d3gI=")</f>
        <v>#REF!</v>
      </c>
      <c r="D199" t="e">
        <f>AND(#REF!,"AAAAAD8d3gM=")</f>
        <v>#REF!</v>
      </c>
      <c r="E199" t="e">
        <f>AND(#REF!,"AAAAAD8d3gQ=")</f>
        <v>#REF!</v>
      </c>
      <c r="F199" t="e">
        <f>AND(#REF!,"AAAAAD8d3gU=")</f>
        <v>#REF!</v>
      </c>
      <c r="G199" t="e">
        <f>AND(#REF!,"AAAAAD8d3gY=")</f>
        <v>#REF!</v>
      </c>
      <c r="H199" t="e">
        <f>AND(#REF!,"AAAAAD8d3gc=")</f>
        <v>#REF!</v>
      </c>
      <c r="I199" t="e">
        <f>AND(#REF!,"AAAAAD8d3gg=")</f>
        <v>#REF!</v>
      </c>
      <c r="J199" t="e">
        <f>AND(#REF!,"AAAAAD8d3gk=")</f>
        <v>#REF!</v>
      </c>
      <c r="K199" t="e">
        <f>AND(#REF!,"AAAAAD8d3go=")</f>
        <v>#REF!</v>
      </c>
      <c r="L199" t="e">
        <f>AND(#REF!,"AAAAAD8d3gs=")</f>
        <v>#REF!</v>
      </c>
      <c r="M199" t="e">
        <f>AND(#REF!,"AAAAAD8d3gw=")</f>
        <v>#REF!</v>
      </c>
      <c r="N199" t="e">
        <f>AND(#REF!,"AAAAAD8d3g0=")</f>
        <v>#REF!</v>
      </c>
      <c r="O199" t="e">
        <f>AND(#REF!,"AAAAAD8d3g4=")</f>
        <v>#REF!</v>
      </c>
      <c r="P199" t="e">
        <f>AND(#REF!,"AAAAAD8d3g8=")</f>
        <v>#REF!</v>
      </c>
      <c r="Q199" t="e">
        <f>AND(#REF!,"AAAAAD8d3hA=")</f>
        <v>#REF!</v>
      </c>
      <c r="R199" t="e">
        <f>AND(#REF!,"AAAAAD8d3hE=")</f>
        <v>#REF!</v>
      </c>
      <c r="S199" t="e">
        <f>AND(#REF!,"AAAAAD8d3hI=")</f>
        <v>#REF!</v>
      </c>
      <c r="T199" t="e">
        <f>AND(#REF!,"AAAAAD8d3hM=")</f>
        <v>#REF!</v>
      </c>
      <c r="U199" t="e">
        <f>AND(#REF!,"AAAAAD8d3hQ=")</f>
        <v>#REF!</v>
      </c>
      <c r="V199" t="e">
        <f>AND(#REF!,"AAAAAD8d3hU=")</f>
        <v>#REF!</v>
      </c>
      <c r="W199" t="e">
        <f>AND(#REF!,"AAAAAD8d3hY=")</f>
        <v>#REF!</v>
      </c>
      <c r="X199" t="e">
        <f>AND(#REF!,"AAAAAD8d3hc=")</f>
        <v>#REF!</v>
      </c>
      <c r="Y199" t="e">
        <f>AND(#REF!,"AAAAAD8d3hg=")</f>
        <v>#REF!</v>
      </c>
      <c r="Z199" t="e">
        <f>AND(#REF!,"AAAAAD8d3hk=")</f>
        <v>#REF!</v>
      </c>
      <c r="AA199" t="e">
        <f>AND(#REF!,"AAAAAD8d3ho=")</f>
        <v>#REF!</v>
      </c>
      <c r="AB199" t="e">
        <f>AND(#REF!,"AAAAAD8d3hs=")</f>
        <v>#REF!</v>
      </c>
      <c r="AC199" t="e">
        <f>AND(#REF!,"AAAAAD8d3hw=")</f>
        <v>#REF!</v>
      </c>
      <c r="AD199" t="e">
        <f>AND(#REF!,"AAAAAD8d3h0=")</f>
        <v>#REF!</v>
      </c>
      <c r="AE199" t="e">
        <f>AND(#REF!,"AAAAAD8d3h4=")</f>
        <v>#REF!</v>
      </c>
      <c r="AF199" t="e">
        <f>AND(#REF!,"AAAAAD8d3h8=")</f>
        <v>#REF!</v>
      </c>
      <c r="AG199" t="e">
        <f>AND(#REF!,"AAAAAD8d3iA=")</f>
        <v>#REF!</v>
      </c>
      <c r="AH199" t="e">
        <f>AND(#REF!,"AAAAAD8d3iE=")</f>
        <v>#REF!</v>
      </c>
      <c r="AI199" t="e">
        <f>AND(#REF!,"AAAAAD8d3iI=")</f>
        <v>#REF!</v>
      </c>
      <c r="AJ199" t="e">
        <f>AND(#REF!,"AAAAAD8d3iM=")</f>
        <v>#REF!</v>
      </c>
      <c r="AK199" t="e">
        <f>AND(#REF!,"AAAAAD8d3iQ=")</f>
        <v>#REF!</v>
      </c>
      <c r="AL199" t="e">
        <f>AND(#REF!,"AAAAAD8d3iU=")</f>
        <v>#REF!</v>
      </c>
      <c r="AM199" t="e">
        <f>AND(#REF!,"AAAAAD8d3iY=")</f>
        <v>#REF!</v>
      </c>
      <c r="AN199" t="e">
        <f>AND(#REF!,"AAAAAD8d3ic=")</f>
        <v>#REF!</v>
      </c>
      <c r="AO199" t="e">
        <f>AND(#REF!,"AAAAAD8d3ig=")</f>
        <v>#REF!</v>
      </c>
      <c r="AP199" t="e">
        <f>AND(#REF!,"AAAAAD8d3ik=")</f>
        <v>#REF!</v>
      </c>
      <c r="AQ199" t="e">
        <f>AND(#REF!,"AAAAAD8d3io=")</f>
        <v>#REF!</v>
      </c>
      <c r="AR199" t="e">
        <f>AND(#REF!,"AAAAAD8d3is=")</f>
        <v>#REF!</v>
      </c>
      <c r="AS199" t="e">
        <f>AND(#REF!,"AAAAAD8d3iw=")</f>
        <v>#REF!</v>
      </c>
      <c r="AT199" t="e">
        <f>AND(#REF!,"AAAAAD8d3i0=")</f>
        <v>#REF!</v>
      </c>
      <c r="AU199" t="e">
        <f>AND(#REF!,"AAAAAD8d3i4=")</f>
        <v>#REF!</v>
      </c>
      <c r="AV199" t="e">
        <f>AND(#REF!,"AAAAAD8d3i8=")</f>
        <v>#REF!</v>
      </c>
      <c r="AW199" t="e">
        <f>AND(#REF!,"AAAAAD8d3jA=")</f>
        <v>#REF!</v>
      </c>
      <c r="AX199" t="e">
        <f>AND(#REF!,"AAAAAD8d3jE=")</f>
        <v>#REF!</v>
      </c>
      <c r="AY199" t="e">
        <f>AND(#REF!,"AAAAAD8d3jI=")</f>
        <v>#REF!</v>
      </c>
      <c r="AZ199" t="e">
        <f>AND(#REF!,"AAAAAD8d3jM=")</f>
        <v>#REF!</v>
      </c>
      <c r="BA199" t="e">
        <f>AND(#REF!,"AAAAAD8d3jQ=")</f>
        <v>#REF!</v>
      </c>
      <c r="BB199" t="e">
        <f>AND(#REF!,"AAAAAD8d3jU=")</f>
        <v>#REF!</v>
      </c>
      <c r="BC199" t="e">
        <f>AND(#REF!,"AAAAAD8d3jY=")</f>
        <v>#REF!</v>
      </c>
      <c r="BD199" t="e">
        <f>AND(#REF!,"AAAAAD8d3jc=")</f>
        <v>#REF!</v>
      </c>
      <c r="BE199" t="e">
        <f>AND(#REF!,"AAAAAD8d3jg=")</f>
        <v>#REF!</v>
      </c>
      <c r="BF199" t="e">
        <f>AND(#REF!,"AAAAAD8d3jk=")</f>
        <v>#REF!</v>
      </c>
      <c r="BG199" t="e">
        <f>AND(#REF!,"AAAAAD8d3jo=")</f>
        <v>#REF!</v>
      </c>
      <c r="BH199" t="e">
        <f>AND(#REF!,"AAAAAD8d3js=")</f>
        <v>#REF!</v>
      </c>
      <c r="BI199" t="e">
        <f>AND(#REF!,"AAAAAD8d3jw=")</f>
        <v>#REF!</v>
      </c>
      <c r="BJ199" t="e">
        <f>AND(#REF!,"AAAAAD8d3j0=")</f>
        <v>#REF!</v>
      </c>
      <c r="BK199" t="e">
        <f>AND(#REF!,"AAAAAD8d3j4=")</f>
        <v>#REF!</v>
      </c>
      <c r="BL199" t="e">
        <f>AND(#REF!,"AAAAAD8d3j8=")</f>
        <v>#REF!</v>
      </c>
      <c r="BM199" t="e">
        <f>AND(#REF!,"AAAAAD8d3kA=")</f>
        <v>#REF!</v>
      </c>
      <c r="BN199" t="e">
        <f>AND(#REF!,"AAAAAD8d3kE=")</f>
        <v>#REF!</v>
      </c>
      <c r="BO199" t="e">
        <f>AND(#REF!,"AAAAAD8d3kI=")</f>
        <v>#REF!</v>
      </c>
      <c r="BP199" t="e">
        <f>AND(#REF!,"AAAAAD8d3kM=")</f>
        <v>#REF!</v>
      </c>
      <c r="BQ199" t="e">
        <f>AND(#REF!,"AAAAAD8d3kQ=")</f>
        <v>#REF!</v>
      </c>
      <c r="BR199" t="e">
        <f>AND(#REF!,"AAAAAD8d3kU=")</f>
        <v>#REF!</v>
      </c>
      <c r="BS199" t="e">
        <f>AND(#REF!,"AAAAAD8d3kY=")</f>
        <v>#REF!</v>
      </c>
      <c r="BT199" t="e">
        <f>AND(#REF!,"AAAAAD8d3kc=")</f>
        <v>#REF!</v>
      </c>
      <c r="BU199" t="e">
        <f>AND(#REF!,"AAAAAD8d3kg=")</f>
        <v>#REF!</v>
      </c>
      <c r="BV199" t="e">
        <f>AND(#REF!,"AAAAAD8d3kk=")</f>
        <v>#REF!</v>
      </c>
      <c r="BW199" t="e">
        <f>AND(#REF!,"AAAAAD8d3ko=")</f>
        <v>#REF!</v>
      </c>
      <c r="BX199" t="e">
        <f>AND(#REF!,"AAAAAD8d3ks=")</f>
        <v>#REF!</v>
      </c>
      <c r="BY199" t="e">
        <f>AND(#REF!,"AAAAAD8d3kw=")</f>
        <v>#REF!</v>
      </c>
      <c r="BZ199" t="e">
        <f>AND(#REF!,"AAAAAD8d3k0=")</f>
        <v>#REF!</v>
      </c>
      <c r="CA199" t="e">
        <f>AND(#REF!,"AAAAAD8d3k4=")</f>
        <v>#REF!</v>
      </c>
      <c r="CB199" t="e">
        <f>AND(#REF!,"AAAAAD8d3k8=")</f>
        <v>#REF!</v>
      </c>
      <c r="CC199" t="e">
        <f>AND(#REF!,"AAAAAD8d3lA=")</f>
        <v>#REF!</v>
      </c>
      <c r="CD199" t="e">
        <f>AND(#REF!,"AAAAAD8d3lE=")</f>
        <v>#REF!</v>
      </c>
      <c r="CE199" t="e">
        <f>AND(#REF!,"AAAAAD8d3lI=")</f>
        <v>#REF!</v>
      </c>
      <c r="CF199" t="e">
        <f>AND(#REF!,"AAAAAD8d3lM=")</f>
        <v>#REF!</v>
      </c>
      <c r="CG199" t="e">
        <f>AND(#REF!,"AAAAAD8d3lQ=")</f>
        <v>#REF!</v>
      </c>
      <c r="CH199" t="e">
        <f>AND(#REF!,"AAAAAD8d3lU=")</f>
        <v>#REF!</v>
      </c>
      <c r="CI199" t="e">
        <f>AND(#REF!,"AAAAAD8d3lY=")</f>
        <v>#REF!</v>
      </c>
      <c r="CJ199" t="e">
        <f>AND(#REF!,"AAAAAD8d3lc=")</f>
        <v>#REF!</v>
      </c>
      <c r="CK199" t="e">
        <f>AND(#REF!,"AAAAAD8d3lg=")</f>
        <v>#REF!</v>
      </c>
      <c r="CL199" t="e">
        <f>AND(#REF!,"AAAAAD8d3lk=")</f>
        <v>#REF!</v>
      </c>
      <c r="CM199" t="e">
        <f>AND(#REF!,"AAAAAD8d3lo=")</f>
        <v>#REF!</v>
      </c>
      <c r="CN199" t="e">
        <f>AND(#REF!,"AAAAAD8d3ls=")</f>
        <v>#REF!</v>
      </c>
      <c r="CO199" t="e">
        <f>AND(#REF!,"AAAAAD8d3lw=")</f>
        <v>#REF!</v>
      </c>
      <c r="CP199" t="e">
        <f>AND(#REF!,"AAAAAD8d3l0=")</f>
        <v>#REF!</v>
      </c>
      <c r="CQ199" t="e">
        <f>AND(#REF!,"AAAAAD8d3l4=")</f>
        <v>#REF!</v>
      </c>
      <c r="CR199" t="e">
        <f>AND(#REF!,"AAAAAD8d3l8=")</f>
        <v>#REF!</v>
      </c>
      <c r="CS199" t="e">
        <f>AND(#REF!,"AAAAAD8d3mA=")</f>
        <v>#REF!</v>
      </c>
      <c r="CT199" t="e">
        <f>AND(#REF!,"AAAAAD8d3mE=")</f>
        <v>#REF!</v>
      </c>
      <c r="CU199" t="e">
        <f>AND(#REF!,"AAAAAD8d3mI=")</f>
        <v>#REF!</v>
      </c>
      <c r="CV199" t="e">
        <f>AND(#REF!,"AAAAAD8d3mM=")</f>
        <v>#REF!</v>
      </c>
      <c r="CW199" t="e">
        <f>AND(#REF!,"AAAAAD8d3mQ=")</f>
        <v>#REF!</v>
      </c>
      <c r="CX199" t="e">
        <f>AND(#REF!,"AAAAAD8d3mU=")</f>
        <v>#REF!</v>
      </c>
      <c r="CY199" t="e">
        <f>AND(#REF!,"AAAAAD8d3mY=")</f>
        <v>#REF!</v>
      </c>
      <c r="CZ199" t="e">
        <f>AND(#REF!,"AAAAAD8d3mc=")</f>
        <v>#REF!</v>
      </c>
      <c r="DA199" t="e">
        <f>AND(#REF!,"AAAAAD8d3mg=")</f>
        <v>#REF!</v>
      </c>
      <c r="DB199" t="e">
        <f>AND(#REF!,"AAAAAD8d3mk=")</f>
        <v>#REF!</v>
      </c>
      <c r="DC199" t="e">
        <f>AND(#REF!,"AAAAAD8d3mo=")</f>
        <v>#REF!</v>
      </c>
      <c r="DD199" t="e">
        <f>AND(#REF!,"AAAAAD8d3ms=")</f>
        <v>#REF!</v>
      </c>
      <c r="DE199" t="e">
        <f>AND(#REF!,"AAAAAD8d3mw=")</f>
        <v>#REF!</v>
      </c>
      <c r="DF199" t="e">
        <f>IF(#REF!,"AAAAAD8d3m0=",0)</f>
        <v>#REF!</v>
      </c>
      <c r="DG199" t="e">
        <f>AND(#REF!,"AAAAAD8d3m4=")</f>
        <v>#REF!</v>
      </c>
      <c r="DH199" t="e">
        <f>AND(#REF!,"AAAAAD8d3m8=")</f>
        <v>#REF!</v>
      </c>
      <c r="DI199" t="e">
        <f>AND(#REF!,"AAAAAD8d3nA=")</f>
        <v>#REF!</v>
      </c>
      <c r="DJ199" t="e">
        <f>AND(#REF!,"AAAAAD8d3nE=")</f>
        <v>#REF!</v>
      </c>
      <c r="DK199" t="e">
        <f>AND(#REF!,"AAAAAD8d3nI=")</f>
        <v>#REF!</v>
      </c>
      <c r="DL199" t="e">
        <f>AND(#REF!,"AAAAAD8d3nM=")</f>
        <v>#REF!</v>
      </c>
      <c r="DM199" t="e">
        <f>AND(#REF!,"AAAAAD8d3nQ=")</f>
        <v>#REF!</v>
      </c>
      <c r="DN199" t="e">
        <f>AND(#REF!,"AAAAAD8d3nU=")</f>
        <v>#REF!</v>
      </c>
      <c r="DO199" t="e">
        <f>AND(#REF!,"AAAAAD8d3nY=")</f>
        <v>#REF!</v>
      </c>
      <c r="DP199" t="e">
        <f>AND(#REF!,"AAAAAD8d3nc=")</f>
        <v>#REF!</v>
      </c>
      <c r="DQ199" t="e">
        <f>AND(#REF!,"AAAAAD8d3ng=")</f>
        <v>#REF!</v>
      </c>
      <c r="DR199" t="e">
        <f>AND(#REF!,"AAAAAD8d3nk=")</f>
        <v>#REF!</v>
      </c>
      <c r="DS199" t="e">
        <f>AND(#REF!,"AAAAAD8d3no=")</f>
        <v>#REF!</v>
      </c>
      <c r="DT199" t="e">
        <f>AND(#REF!,"AAAAAD8d3ns=")</f>
        <v>#REF!</v>
      </c>
      <c r="DU199" t="e">
        <f>AND(#REF!,"AAAAAD8d3nw=")</f>
        <v>#REF!</v>
      </c>
      <c r="DV199" t="e">
        <f>AND(#REF!,"AAAAAD8d3n0=")</f>
        <v>#REF!</v>
      </c>
      <c r="DW199" t="e">
        <f>AND(#REF!,"AAAAAD8d3n4=")</f>
        <v>#REF!</v>
      </c>
      <c r="DX199" t="e">
        <f>AND(#REF!,"AAAAAD8d3n8=")</f>
        <v>#REF!</v>
      </c>
      <c r="DY199" t="e">
        <f>AND(#REF!,"AAAAAD8d3oA=")</f>
        <v>#REF!</v>
      </c>
      <c r="DZ199" t="e">
        <f>AND(#REF!,"AAAAAD8d3oE=")</f>
        <v>#REF!</v>
      </c>
      <c r="EA199" t="e">
        <f>AND(#REF!,"AAAAAD8d3oI=")</f>
        <v>#REF!</v>
      </c>
      <c r="EB199" t="e">
        <f>AND(#REF!,"AAAAAD8d3oM=")</f>
        <v>#REF!</v>
      </c>
      <c r="EC199" t="e">
        <f>AND(#REF!,"AAAAAD8d3oQ=")</f>
        <v>#REF!</v>
      </c>
      <c r="ED199" t="e">
        <f>AND(#REF!,"AAAAAD8d3oU=")</f>
        <v>#REF!</v>
      </c>
      <c r="EE199" t="e">
        <f>AND(#REF!,"AAAAAD8d3oY=")</f>
        <v>#REF!</v>
      </c>
      <c r="EF199" t="e">
        <f>AND(#REF!,"AAAAAD8d3oc=")</f>
        <v>#REF!</v>
      </c>
      <c r="EG199" t="e">
        <f>AND(#REF!,"AAAAAD8d3og=")</f>
        <v>#REF!</v>
      </c>
      <c r="EH199" t="e">
        <f>AND(#REF!,"AAAAAD8d3ok=")</f>
        <v>#REF!</v>
      </c>
      <c r="EI199" t="e">
        <f>AND(#REF!,"AAAAAD8d3oo=")</f>
        <v>#REF!</v>
      </c>
      <c r="EJ199" t="e">
        <f>AND(#REF!,"AAAAAD8d3os=")</f>
        <v>#REF!</v>
      </c>
      <c r="EK199" t="e">
        <f>AND(#REF!,"AAAAAD8d3ow=")</f>
        <v>#REF!</v>
      </c>
      <c r="EL199" t="e">
        <f>AND(#REF!,"AAAAAD8d3o0=")</f>
        <v>#REF!</v>
      </c>
      <c r="EM199" t="e">
        <f>AND(#REF!,"AAAAAD8d3o4=")</f>
        <v>#REF!</v>
      </c>
      <c r="EN199" t="e">
        <f>AND(#REF!,"AAAAAD8d3o8=")</f>
        <v>#REF!</v>
      </c>
      <c r="EO199" t="e">
        <f>AND(#REF!,"AAAAAD8d3pA=")</f>
        <v>#REF!</v>
      </c>
      <c r="EP199" t="e">
        <f>AND(#REF!,"AAAAAD8d3pE=")</f>
        <v>#REF!</v>
      </c>
      <c r="EQ199" t="e">
        <f>AND(#REF!,"AAAAAD8d3pI=")</f>
        <v>#REF!</v>
      </c>
      <c r="ER199" t="e">
        <f>AND(#REF!,"AAAAAD8d3pM=")</f>
        <v>#REF!</v>
      </c>
      <c r="ES199" t="e">
        <f>AND(#REF!,"AAAAAD8d3pQ=")</f>
        <v>#REF!</v>
      </c>
      <c r="ET199" t="e">
        <f>AND(#REF!,"AAAAAD8d3pU=")</f>
        <v>#REF!</v>
      </c>
      <c r="EU199" t="e">
        <f>AND(#REF!,"AAAAAD8d3pY=")</f>
        <v>#REF!</v>
      </c>
      <c r="EV199" t="e">
        <f>AND(#REF!,"AAAAAD8d3pc=")</f>
        <v>#REF!</v>
      </c>
      <c r="EW199" t="e">
        <f>AND(#REF!,"AAAAAD8d3pg=")</f>
        <v>#REF!</v>
      </c>
      <c r="EX199" t="e">
        <f>AND(#REF!,"AAAAAD8d3pk=")</f>
        <v>#REF!</v>
      </c>
      <c r="EY199" t="e">
        <f>AND(#REF!,"AAAAAD8d3po=")</f>
        <v>#REF!</v>
      </c>
      <c r="EZ199" t="e">
        <f>AND(#REF!,"AAAAAD8d3ps=")</f>
        <v>#REF!</v>
      </c>
      <c r="FA199" t="e">
        <f>AND(#REF!,"AAAAAD8d3pw=")</f>
        <v>#REF!</v>
      </c>
      <c r="FB199" t="e">
        <f>AND(#REF!,"AAAAAD8d3p0=")</f>
        <v>#REF!</v>
      </c>
      <c r="FC199" t="e">
        <f>AND(#REF!,"AAAAAD8d3p4=")</f>
        <v>#REF!</v>
      </c>
      <c r="FD199" t="e">
        <f>AND(#REF!,"AAAAAD8d3p8=")</f>
        <v>#REF!</v>
      </c>
      <c r="FE199" t="e">
        <f>AND(#REF!,"AAAAAD8d3qA=")</f>
        <v>#REF!</v>
      </c>
      <c r="FF199" t="e">
        <f>AND(#REF!,"AAAAAD8d3qE=")</f>
        <v>#REF!</v>
      </c>
      <c r="FG199" t="e">
        <f>AND(#REF!,"AAAAAD8d3qI=")</f>
        <v>#REF!</v>
      </c>
      <c r="FH199" t="e">
        <f>AND(#REF!,"AAAAAD8d3qM=")</f>
        <v>#REF!</v>
      </c>
      <c r="FI199" t="e">
        <f>AND(#REF!,"AAAAAD8d3qQ=")</f>
        <v>#REF!</v>
      </c>
      <c r="FJ199" t="e">
        <f>AND(#REF!,"AAAAAD8d3qU=")</f>
        <v>#REF!</v>
      </c>
      <c r="FK199" t="e">
        <f>AND(#REF!,"AAAAAD8d3qY=")</f>
        <v>#REF!</v>
      </c>
      <c r="FL199" t="e">
        <f>AND(#REF!,"AAAAAD8d3qc=")</f>
        <v>#REF!</v>
      </c>
      <c r="FM199" t="e">
        <f>AND(#REF!,"AAAAAD8d3qg=")</f>
        <v>#REF!</v>
      </c>
      <c r="FN199" t="e">
        <f>AND(#REF!,"AAAAAD8d3qk=")</f>
        <v>#REF!</v>
      </c>
      <c r="FO199" t="e">
        <f>AND(#REF!,"AAAAAD8d3qo=")</f>
        <v>#REF!</v>
      </c>
      <c r="FP199" t="e">
        <f>AND(#REF!,"AAAAAD8d3qs=")</f>
        <v>#REF!</v>
      </c>
      <c r="FQ199" t="e">
        <f>AND(#REF!,"AAAAAD8d3qw=")</f>
        <v>#REF!</v>
      </c>
      <c r="FR199" t="e">
        <f>AND(#REF!,"AAAAAD8d3q0=")</f>
        <v>#REF!</v>
      </c>
      <c r="FS199" t="e">
        <f>AND(#REF!,"AAAAAD8d3q4=")</f>
        <v>#REF!</v>
      </c>
      <c r="FT199" t="e">
        <f>AND(#REF!,"AAAAAD8d3q8=")</f>
        <v>#REF!</v>
      </c>
      <c r="FU199" t="e">
        <f>AND(#REF!,"AAAAAD8d3rA=")</f>
        <v>#REF!</v>
      </c>
      <c r="FV199" t="e">
        <f>AND(#REF!,"AAAAAD8d3rE=")</f>
        <v>#REF!</v>
      </c>
      <c r="FW199" t="e">
        <f>AND(#REF!,"AAAAAD8d3rI=")</f>
        <v>#REF!</v>
      </c>
      <c r="FX199" t="e">
        <f>AND(#REF!,"AAAAAD8d3rM=")</f>
        <v>#REF!</v>
      </c>
      <c r="FY199" t="e">
        <f>AND(#REF!,"AAAAAD8d3rQ=")</f>
        <v>#REF!</v>
      </c>
      <c r="FZ199" t="e">
        <f>AND(#REF!,"AAAAAD8d3rU=")</f>
        <v>#REF!</v>
      </c>
      <c r="GA199" t="e">
        <f>AND(#REF!,"AAAAAD8d3rY=")</f>
        <v>#REF!</v>
      </c>
      <c r="GB199" t="e">
        <f>AND(#REF!,"AAAAAD8d3rc=")</f>
        <v>#REF!</v>
      </c>
      <c r="GC199" t="e">
        <f>AND(#REF!,"AAAAAD8d3rg=")</f>
        <v>#REF!</v>
      </c>
      <c r="GD199" t="e">
        <f>AND(#REF!,"AAAAAD8d3rk=")</f>
        <v>#REF!</v>
      </c>
      <c r="GE199" t="e">
        <f>AND(#REF!,"AAAAAD8d3ro=")</f>
        <v>#REF!</v>
      </c>
      <c r="GF199" t="e">
        <f>AND(#REF!,"AAAAAD8d3rs=")</f>
        <v>#REF!</v>
      </c>
      <c r="GG199" t="e">
        <f>AND(#REF!,"AAAAAD8d3rw=")</f>
        <v>#REF!</v>
      </c>
      <c r="GH199" t="e">
        <f>AND(#REF!,"AAAAAD8d3r0=")</f>
        <v>#REF!</v>
      </c>
      <c r="GI199" t="e">
        <f>AND(#REF!,"AAAAAD8d3r4=")</f>
        <v>#REF!</v>
      </c>
      <c r="GJ199" t="e">
        <f>AND(#REF!,"AAAAAD8d3r8=")</f>
        <v>#REF!</v>
      </c>
      <c r="GK199" t="e">
        <f>AND(#REF!,"AAAAAD8d3sA=")</f>
        <v>#REF!</v>
      </c>
      <c r="GL199" t="e">
        <f>AND(#REF!,"AAAAAD8d3sE=")</f>
        <v>#REF!</v>
      </c>
      <c r="GM199" t="e">
        <f>AND(#REF!,"AAAAAD8d3sI=")</f>
        <v>#REF!</v>
      </c>
      <c r="GN199" t="e">
        <f>AND(#REF!,"AAAAAD8d3sM=")</f>
        <v>#REF!</v>
      </c>
      <c r="GO199" t="e">
        <f>AND(#REF!,"AAAAAD8d3sQ=")</f>
        <v>#REF!</v>
      </c>
      <c r="GP199" t="e">
        <f>AND(#REF!,"AAAAAD8d3sU=")</f>
        <v>#REF!</v>
      </c>
      <c r="GQ199" t="e">
        <f>AND(#REF!,"AAAAAD8d3sY=")</f>
        <v>#REF!</v>
      </c>
      <c r="GR199" t="e">
        <f>AND(#REF!,"AAAAAD8d3sc=")</f>
        <v>#REF!</v>
      </c>
      <c r="GS199" t="e">
        <f>AND(#REF!,"AAAAAD8d3sg=")</f>
        <v>#REF!</v>
      </c>
      <c r="GT199" t="e">
        <f>AND(#REF!,"AAAAAD8d3sk=")</f>
        <v>#REF!</v>
      </c>
      <c r="GU199" t="e">
        <f>AND(#REF!,"AAAAAD8d3so=")</f>
        <v>#REF!</v>
      </c>
      <c r="GV199" t="e">
        <f>AND(#REF!,"AAAAAD8d3ss=")</f>
        <v>#REF!</v>
      </c>
      <c r="GW199" t="e">
        <f>AND(#REF!,"AAAAAD8d3sw=")</f>
        <v>#REF!</v>
      </c>
      <c r="GX199" t="e">
        <f>AND(#REF!,"AAAAAD8d3s0=")</f>
        <v>#REF!</v>
      </c>
      <c r="GY199" t="e">
        <f>AND(#REF!,"AAAAAD8d3s4=")</f>
        <v>#REF!</v>
      </c>
      <c r="GZ199" t="e">
        <f>AND(#REF!,"AAAAAD8d3s8=")</f>
        <v>#REF!</v>
      </c>
      <c r="HA199" t="e">
        <f>AND(#REF!,"AAAAAD8d3tA=")</f>
        <v>#REF!</v>
      </c>
      <c r="HB199" t="e">
        <f>AND(#REF!,"AAAAAD8d3tE=")</f>
        <v>#REF!</v>
      </c>
      <c r="HC199" t="e">
        <f>AND(#REF!,"AAAAAD8d3tI=")</f>
        <v>#REF!</v>
      </c>
      <c r="HD199" t="e">
        <f>AND(#REF!,"AAAAAD8d3tM=")</f>
        <v>#REF!</v>
      </c>
      <c r="HE199" t="e">
        <f>AND(#REF!,"AAAAAD8d3tQ=")</f>
        <v>#REF!</v>
      </c>
      <c r="HF199" t="e">
        <f>AND(#REF!,"AAAAAD8d3tU=")</f>
        <v>#REF!</v>
      </c>
      <c r="HG199" t="e">
        <f>AND(#REF!,"AAAAAD8d3tY=")</f>
        <v>#REF!</v>
      </c>
      <c r="HH199" t="e">
        <f>AND(#REF!,"AAAAAD8d3tc=")</f>
        <v>#REF!</v>
      </c>
      <c r="HI199" t="e">
        <f>AND(#REF!,"AAAAAD8d3tg=")</f>
        <v>#REF!</v>
      </c>
      <c r="HJ199" t="e">
        <f>AND(#REF!,"AAAAAD8d3tk=")</f>
        <v>#REF!</v>
      </c>
      <c r="HK199" t="e">
        <f>AND(#REF!,"AAAAAD8d3to=")</f>
        <v>#REF!</v>
      </c>
      <c r="HL199" t="e">
        <f>AND(#REF!,"AAAAAD8d3ts=")</f>
        <v>#REF!</v>
      </c>
      <c r="HM199" t="e">
        <f>AND(#REF!,"AAAAAD8d3tw=")</f>
        <v>#REF!</v>
      </c>
      <c r="HN199" t="e">
        <f>AND(#REF!,"AAAAAD8d3t0=")</f>
        <v>#REF!</v>
      </c>
      <c r="HO199" t="e">
        <f>AND(#REF!,"AAAAAD8d3t4=")</f>
        <v>#REF!</v>
      </c>
      <c r="HP199" t="e">
        <f>AND(#REF!,"AAAAAD8d3t8=")</f>
        <v>#REF!</v>
      </c>
      <c r="HQ199" t="e">
        <f>AND(#REF!,"AAAAAD8d3uA=")</f>
        <v>#REF!</v>
      </c>
      <c r="HR199" t="e">
        <f>AND(#REF!,"AAAAAD8d3uE=")</f>
        <v>#REF!</v>
      </c>
      <c r="HS199" t="e">
        <f>AND(#REF!,"AAAAAD8d3uI=")</f>
        <v>#REF!</v>
      </c>
      <c r="HT199" t="e">
        <f>AND(#REF!,"AAAAAD8d3uM=")</f>
        <v>#REF!</v>
      </c>
      <c r="HU199" t="e">
        <f>AND(#REF!,"AAAAAD8d3uQ=")</f>
        <v>#REF!</v>
      </c>
      <c r="HV199" t="e">
        <f>AND(#REF!,"AAAAAD8d3uU=")</f>
        <v>#REF!</v>
      </c>
      <c r="HW199" t="e">
        <f>AND(#REF!,"AAAAAD8d3uY=")</f>
        <v>#REF!</v>
      </c>
      <c r="HX199" t="e">
        <f>AND(#REF!,"AAAAAD8d3uc=")</f>
        <v>#REF!</v>
      </c>
      <c r="HY199" t="e">
        <f>AND(#REF!,"AAAAAD8d3ug=")</f>
        <v>#REF!</v>
      </c>
      <c r="HZ199" t="e">
        <f>AND(#REF!,"AAAAAD8d3uk=")</f>
        <v>#REF!</v>
      </c>
      <c r="IA199" t="e">
        <f>AND(#REF!,"AAAAAD8d3uo=")</f>
        <v>#REF!</v>
      </c>
      <c r="IB199" t="e">
        <f>AND(#REF!,"AAAAAD8d3us=")</f>
        <v>#REF!</v>
      </c>
      <c r="IC199" t="e">
        <f>AND(#REF!,"AAAAAD8d3uw=")</f>
        <v>#REF!</v>
      </c>
      <c r="ID199" t="e">
        <f>AND(#REF!,"AAAAAD8d3u0=")</f>
        <v>#REF!</v>
      </c>
      <c r="IE199" t="e">
        <f>AND(#REF!,"AAAAAD8d3u4=")</f>
        <v>#REF!</v>
      </c>
      <c r="IF199" t="e">
        <f>AND(#REF!,"AAAAAD8d3u8=")</f>
        <v>#REF!</v>
      </c>
      <c r="IG199" t="e">
        <f>AND(#REF!,"AAAAAD8d3vA=")</f>
        <v>#REF!</v>
      </c>
      <c r="IH199" t="e">
        <f>AND(#REF!,"AAAAAD8d3vE=")</f>
        <v>#REF!</v>
      </c>
      <c r="II199" t="e">
        <f>AND(#REF!,"AAAAAD8d3vI=")</f>
        <v>#REF!</v>
      </c>
      <c r="IJ199" t="e">
        <f>AND(#REF!,"AAAAAD8d3vM=")</f>
        <v>#REF!</v>
      </c>
      <c r="IK199" t="e">
        <f>AND(#REF!,"AAAAAD8d3vQ=")</f>
        <v>#REF!</v>
      </c>
      <c r="IL199" t="e">
        <f>AND(#REF!,"AAAAAD8d3vU=")</f>
        <v>#REF!</v>
      </c>
      <c r="IM199" t="e">
        <f>AND(#REF!,"AAAAAD8d3vY=")</f>
        <v>#REF!</v>
      </c>
      <c r="IN199" t="e">
        <f>AND(#REF!,"AAAAAD8d3vc=")</f>
        <v>#REF!</v>
      </c>
      <c r="IO199" t="e">
        <f>AND(#REF!,"AAAAAD8d3vg=")</f>
        <v>#REF!</v>
      </c>
      <c r="IP199" t="e">
        <f>AND(#REF!,"AAAAAD8d3vk=")</f>
        <v>#REF!</v>
      </c>
      <c r="IQ199" t="e">
        <f>AND(#REF!,"AAAAAD8d3vo=")</f>
        <v>#REF!</v>
      </c>
      <c r="IR199" t="e">
        <f>AND(#REF!,"AAAAAD8d3vs=")</f>
        <v>#REF!</v>
      </c>
      <c r="IS199" t="e">
        <f>AND(#REF!,"AAAAAD8d3vw=")</f>
        <v>#REF!</v>
      </c>
      <c r="IT199" t="e">
        <f>AND(#REF!,"AAAAAD8d3v0=")</f>
        <v>#REF!</v>
      </c>
      <c r="IU199" t="e">
        <f>AND(#REF!,"AAAAAD8d3v4=")</f>
        <v>#REF!</v>
      </c>
      <c r="IV199" t="e">
        <f>AND(#REF!,"AAAAAD8d3v8=")</f>
        <v>#REF!</v>
      </c>
    </row>
    <row r="200" spans="1:256" x14ac:dyDescent="0.25">
      <c r="A200" t="e">
        <f>AND(#REF!,"AAAAAGfz3QA=")</f>
        <v>#REF!</v>
      </c>
      <c r="B200" t="e">
        <f>AND(#REF!,"AAAAAGfz3QE=")</f>
        <v>#REF!</v>
      </c>
      <c r="C200" t="e">
        <f>AND(#REF!,"AAAAAGfz3QI=")</f>
        <v>#REF!</v>
      </c>
      <c r="D200" t="e">
        <f>AND(#REF!,"AAAAAGfz3QM=")</f>
        <v>#REF!</v>
      </c>
      <c r="E200" t="e">
        <f>AND(#REF!,"AAAAAGfz3QQ=")</f>
        <v>#REF!</v>
      </c>
      <c r="F200" t="e">
        <f>AND(#REF!,"AAAAAGfz3QU=")</f>
        <v>#REF!</v>
      </c>
      <c r="G200" t="e">
        <f>AND(#REF!,"AAAAAGfz3QY=")</f>
        <v>#REF!</v>
      </c>
      <c r="H200" t="e">
        <f>AND(#REF!,"AAAAAGfz3Qc=")</f>
        <v>#REF!</v>
      </c>
      <c r="I200" t="e">
        <f>AND(#REF!,"AAAAAGfz3Qg=")</f>
        <v>#REF!</v>
      </c>
      <c r="J200" t="e">
        <f>AND(#REF!,"AAAAAGfz3Qk=")</f>
        <v>#REF!</v>
      </c>
      <c r="K200" t="e">
        <f>AND(#REF!,"AAAAAGfz3Qo=")</f>
        <v>#REF!</v>
      </c>
      <c r="L200" t="e">
        <f>AND(#REF!,"AAAAAGfz3Qs=")</f>
        <v>#REF!</v>
      </c>
      <c r="M200" t="e">
        <f>AND(#REF!,"AAAAAGfz3Qw=")</f>
        <v>#REF!</v>
      </c>
      <c r="N200" t="e">
        <f>AND(#REF!,"AAAAAGfz3Q0=")</f>
        <v>#REF!</v>
      </c>
      <c r="O200" t="e">
        <f>AND(#REF!,"AAAAAGfz3Q4=")</f>
        <v>#REF!</v>
      </c>
      <c r="P200" t="e">
        <f>AND(#REF!,"AAAAAGfz3Q8=")</f>
        <v>#REF!</v>
      </c>
      <c r="Q200" t="e">
        <f>AND(#REF!,"AAAAAGfz3RA=")</f>
        <v>#REF!</v>
      </c>
      <c r="R200" t="e">
        <f>AND(#REF!,"AAAAAGfz3RE=")</f>
        <v>#REF!</v>
      </c>
      <c r="S200" t="e">
        <f>AND(#REF!,"AAAAAGfz3RI=")</f>
        <v>#REF!</v>
      </c>
      <c r="T200" t="e">
        <f>AND(#REF!,"AAAAAGfz3RM=")</f>
        <v>#REF!</v>
      </c>
      <c r="U200" t="e">
        <f>AND(#REF!,"AAAAAGfz3RQ=")</f>
        <v>#REF!</v>
      </c>
      <c r="V200" t="e">
        <f>AND(#REF!,"AAAAAGfz3RU=")</f>
        <v>#REF!</v>
      </c>
      <c r="W200" t="e">
        <f>AND(#REF!,"AAAAAGfz3RY=")</f>
        <v>#REF!</v>
      </c>
      <c r="X200" t="e">
        <f>AND(#REF!,"AAAAAGfz3Rc=")</f>
        <v>#REF!</v>
      </c>
      <c r="Y200" t="e">
        <f>AND(#REF!,"AAAAAGfz3Rg=")</f>
        <v>#REF!</v>
      </c>
      <c r="Z200" t="e">
        <f>AND(#REF!,"AAAAAGfz3Rk=")</f>
        <v>#REF!</v>
      </c>
      <c r="AA200" t="e">
        <f>AND(#REF!,"AAAAAGfz3Ro=")</f>
        <v>#REF!</v>
      </c>
      <c r="AB200" t="e">
        <f>AND(#REF!,"AAAAAGfz3Rs=")</f>
        <v>#REF!</v>
      </c>
      <c r="AC200" t="e">
        <f>AND(#REF!,"AAAAAGfz3Rw=")</f>
        <v>#REF!</v>
      </c>
      <c r="AD200" t="e">
        <f>AND(#REF!,"AAAAAGfz3R0=")</f>
        <v>#REF!</v>
      </c>
      <c r="AE200" t="e">
        <f>AND(#REF!,"AAAAAGfz3R4=")</f>
        <v>#REF!</v>
      </c>
      <c r="AF200" t="e">
        <f>AND(#REF!,"AAAAAGfz3R8=")</f>
        <v>#REF!</v>
      </c>
      <c r="AG200" t="e">
        <f>AND(#REF!,"AAAAAGfz3SA=")</f>
        <v>#REF!</v>
      </c>
      <c r="AH200" t="e">
        <f>AND(#REF!,"AAAAAGfz3SE=")</f>
        <v>#REF!</v>
      </c>
      <c r="AI200" t="e">
        <f>AND(#REF!,"AAAAAGfz3SI=")</f>
        <v>#REF!</v>
      </c>
      <c r="AJ200" t="e">
        <f>AND(#REF!,"AAAAAGfz3SM=")</f>
        <v>#REF!</v>
      </c>
      <c r="AK200" t="e">
        <f>AND(#REF!,"AAAAAGfz3SQ=")</f>
        <v>#REF!</v>
      </c>
      <c r="AL200" t="e">
        <f>AND(#REF!,"AAAAAGfz3SU=")</f>
        <v>#REF!</v>
      </c>
      <c r="AM200" t="e">
        <f>AND(#REF!,"AAAAAGfz3SY=")</f>
        <v>#REF!</v>
      </c>
      <c r="AN200" t="e">
        <f>AND(#REF!,"AAAAAGfz3Sc=")</f>
        <v>#REF!</v>
      </c>
      <c r="AO200" t="e">
        <f>AND(#REF!,"AAAAAGfz3Sg=")</f>
        <v>#REF!</v>
      </c>
      <c r="AP200" t="e">
        <f>AND(#REF!,"AAAAAGfz3Sk=")</f>
        <v>#REF!</v>
      </c>
      <c r="AQ200" t="e">
        <f>IF(#REF!,"AAAAAGfz3So=",0)</f>
        <v>#REF!</v>
      </c>
      <c r="AR200" t="e">
        <f>AND(#REF!,"AAAAAGfz3Ss=")</f>
        <v>#REF!</v>
      </c>
      <c r="AS200" t="e">
        <f>AND(#REF!,"AAAAAGfz3Sw=")</f>
        <v>#REF!</v>
      </c>
      <c r="AT200" t="e">
        <f>AND(#REF!,"AAAAAGfz3S0=")</f>
        <v>#REF!</v>
      </c>
      <c r="AU200" t="e">
        <f>AND(#REF!,"AAAAAGfz3S4=")</f>
        <v>#REF!</v>
      </c>
      <c r="AV200" t="e">
        <f>AND(#REF!,"AAAAAGfz3S8=")</f>
        <v>#REF!</v>
      </c>
      <c r="AW200" t="e">
        <f>AND(#REF!,"AAAAAGfz3TA=")</f>
        <v>#REF!</v>
      </c>
      <c r="AX200" t="e">
        <f>AND(#REF!,"AAAAAGfz3TE=")</f>
        <v>#REF!</v>
      </c>
      <c r="AY200" t="e">
        <f>AND(#REF!,"AAAAAGfz3TI=")</f>
        <v>#REF!</v>
      </c>
      <c r="AZ200" t="e">
        <f>AND(#REF!,"AAAAAGfz3TM=")</f>
        <v>#REF!</v>
      </c>
      <c r="BA200" t="e">
        <f>AND(#REF!,"AAAAAGfz3TQ=")</f>
        <v>#REF!</v>
      </c>
      <c r="BB200" t="e">
        <f>AND(#REF!,"AAAAAGfz3TU=")</f>
        <v>#REF!</v>
      </c>
      <c r="BC200" t="e">
        <f>IF(#REF!,"AAAAAGfz3TY=",0)</f>
        <v>#REF!</v>
      </c>
      <c r="BD200" t="e">
        <f>AND(#REF!,"AAAAAGfz3Tc=")</f>
        <v>#REF!</v>
      </c>
      <c r="BE200" t="e">
        <f>AND(#REF!,"AAAAAGfz3Tg=")</f>
        <v>#REF!</v>
      </c>
      <c r="BF200" t="e">
        <f>AND(#REF!,"AAAAAGfz3Tk=")</f>
        <v>#REF!</v>
      </c>
      <c r="BG200" t="e">
        <f>AND(#REF!,"AAAAAGfz3To=")</f>
        <v>#REF!</v>
      </c>
      <c r="BH200" t="e">
        <f>AND(#REF!,"AAAAAGfz3Ts=")</f>
        <v>#REF!</v>
      </c>
      <c r="BI200" t="e">
        <f>AND(#REF!,"AAAAAGfz3Tw=")</f>
        <v>#REF!</v>
      </c>
      <c r="BJ200" t="e">
        <f>AND(#REF!,"AAAAAGfz3T0=")</f>
        <v>#REF!</v>
      </c>
      <c r="BK200" t="e">
        <f>AND(#REF!,"AAAAAGfz3T4=")</f>
        <v>#REF!</v>
      </c>
      <c r="BL200" t="e">
        <f>AND(#REF!,"AAAAAGfz3T8=")</f>
        <v>#REF!</v>
      </c>
      <c r="BM200" t="e">
        <f>AND(#REF!,"AAAAAGfz3UA=")</f>
        <v>#REF!</v>
      </c>
      <c r="BN200" t="e">
        <f>AND(#REF!,"AAAAAGfz3UE=")</f>
        <v>#REF!</v>
      </c>
      <c r="BO200" t="e">
        <f>IF(#REF!,"AAAAAGfz3UI=",0)</f>
        <v>#REF!</v>
      </c>
      <c r="BP200" t="e">
        <f>AND(#REF!,"AAAAAGfz3UM=")</f>
        <v>#REF!</v>
      </c>
      <c r="BQ200" t="e">
        <f>AND(#REF!,"AAAAAGfz3UQ=")</f>
        <v>#REF!</v>
      </c>
      <c r="BR200" t="e">
        <f>AND(#REF!,"AAAAAGfz3UU=")</f>
        <v>#REF!</v>
      </c>
      <c r="BS200" t="e">
        <f>AND(#REF!,"AAAAAGfz3UY=")</f>
        <v>#REF!</v>
      </c>
      <c r="BT200" t="e">
        <f>AND(#REF!,"AAAAAGfz3Uc=")</f>
        <v>#REF!</v>
      </c>
      <c r="BU200" t="e">
        <f>AND(#REF!,"AAAAAGfz3Ug=")</f>
        <v>#REF!</v>
      </c>
      <c r="BV200" t="e">
        <f>AND(#REF!,"AAAAAGfz3Uk=")</f>
        <v>#REF!</v>
      </c>
      <c r="BW200" t="e">
        <f>AND(#REF!,"AAAAAGfz3Uo=")</f>
        <v>#REF!</v>
      </c>
      <c r="BX200" t="e">
        <f>AND(#REF!,"AAAAAGfz3Us=")</f>
        <v>#REF!</v>
      </c>
      <c r="BY200" t="e">
        <f>AND(#REF!,"AAAAAGfz3Uw=")</f>
        <v>#REF!</v>
      </c>
      <c r="BZ200" t="e">
        <f>AND(#REF!,"AAAAAGfz3U0=")</f>
        <v>#REF!</v>
      </c>
      <c r="CA200" t="e">
        <f>IF(#REF!,"AAAAAGfz3U4=",0)</f>
        <v>#REF!</v>
      </c>
      <c r="CB200" t="e">
        <f>AND(#REF!,"AAAAAGfz3U8=")</f>
        <v>#REF!</v>
      </c>
      <c r="CC200" t="e">
        <f>AND(#REF!,"AAAAAGfz3VA=")</f>
        <v>#REF!</v>
      </c>
      <c r="CD200" t="e">
        <f>AND(#REF!,"AAAAAGfz3VE=")</f>
        <v>#REF!</v>
      </c>
      <c r="CE200" t="e">
        <f>AND(#REF!,"AAAAAGfz3VI=")</f>
        <v>#REF!</v>
      </c>
      <c r="CF200" t="e">
        <f>AND(#REF!,"AAAAAGfz3VM=")</f>
        <v>#REF!</v>
      </c>
      <c r="CG200" t="e">
        <f>AND(#REF!,"AAAAAGfz3VQ=")</f>
        <v>#REF!</v>
      </c>
      <c r="CH200" t="e">
        <f>AND(#REF!,"AAAAAGfz3VU=")</f>
        <v>#REF!</v>
      </c>
      <c r="CI200" t="e">
        <f>AND(#REF!,"AAAAAGfz3VY=")</f>
        <v>#REF!</v>
      </c>
      <c r="CJ200" t="e">
        <f>AND(#REF!,"AAAAAGfz3Vc=")</f>
        <v>#REF!</v>
      </c>
      <c r="CK200" t="e">
        <f>AND(#REF!,"AAAAAGfz3Vg=")</f>
        <v>#REF!</v>
      </c>
      <c r="CL200" t="e">
        <f>AND(#REF!,"AAAAAGfz3Vk=")</f>
        <v>#REF!</v>
      </c>
      <c r="CM200" t="e">
        <f>AND(#REF!,"AAAAAGfz3Vo=")</f>
        <v>#REF!</v>
      </c>
      <c r="CN200" t="e">
        <f>AND(#REF!,"AAAAAGfz3Vs=")</f>
        <v>#REF!</v>
      </c>
      <c r="CO200" t="e">
        <f>AND(#REF!,"AAAAAGfz3Vw=")</f>
        <v>#REF!</v>
      </c>
      <c r="CP200" t="e">
        <f>AND(#REF!,"AAAAAGfz3V0=")</f>
        <v>#REF!</v>
      </c>
      <c r="CQ200" t="e">
        <f>AND(#REF!,"AAAAAGfz3V4=")</f>
        <v>#REF!</v>
      </c>
      <c r="CR200" t="e">
        <f>AND(#REF!,"AAAAAGfz3V8=")</f>
        <v>#REF!</v>
      </c>
      <c r="CS200" t="e">
        <f>AND(#REF!,"AAAAAGfz3WA=")</f>
        <v>#REF!</v>
      </c>
      <c r="CT200" t="e">
        <f>AND(#REF!,"AAAAAGfz3WE=")</f>
        <v>#REF!</v>
      </c>
      <c r="CU200" t="e">
        <f>AND(#REF!,"AAAAAGfz3WI=")</f>
        <v>#REF!</v>
      </c>
      <c r="CV200" t="e">
        <f>AND(#REF!,"AAAAAGfz3WM=")</f>
        <v>#REF!</v>
      </c>
      <c r="CW200" t="e">
        <f>AND(#REF!,"AAAAAGfz3WQ=")</f>
        <v>#REF!</v>
      </c>
      <c r="CX200" t="e">
        <f>AND(#REF!,"AAAAAGfz3WU=")</f>
        <v>#REF!</v>
      </c>
      <c r="CY200" t="e">
        <f>AND(#REF!,"AAAAAGfz3WY=")</f>
        <v>#REF!</v>
      </c>
      <c r="CZ200" t="e">
        <f>AND(#REF!,"AAAAAGfz3Wc=")</f>
        <v>#REF!</v>
      </c>
      <c r="DA200" t="e">
        <f>AND(#REF!,"AAAAAGfz3Wg=")</f>
        <v>#REF!</v>
      </c>
      <c r="DB200" t="e">
        <f>AND(#REF!,"AAAAAGfz3Wk=")</f>
        <v>#REF!</v>
      </c>
      <c r="DC200" t="e">
        <f>AND(#REF!,"AAAAAGfz3Wo=")</f>
        <v>#REF!</v>
      </c>
      <c r="DD200" t="e">
        <f>AND(#REF!,"AAAAAGfz3Ws=")</f>
        <v>#REF!</v>
      </c>
      <c r="DE200" t="e">
        <f>AND(#REF!,"AAAAAGfz3Ww=")</f>
        <v>#REF!</v>
      </c>
      <c r="DF200" t="e">
        <f>AND(#REF!,"AAAAAGfz3W0=")</f>
        <v>#REF!</v>
      </c>
      <c r="DG200" t="e">
        <f>AND(#REF!,"AAAAAGfz3W4=")</f>
        <v>#REF!</v>
      </c>
      <c r="DH200" t="e">
        <f>AND(#REF!,"AAAAAGfz3W8=")</f>
        <v>#REF!</v>
      </c>
      <c r="DI200" t="e">
        <f>AND(#REF!,"AAAAAGfz3XA=")</f>
        <v>#REF!</v>
      </c>
      <c r="DJ200" t="e">
        <f>AND(#REF!,"AAAAAGfz3XE=")</f>
        <v>#REF!</v>
      </c>
      <c r="DK200" t="e">
        <f>AND(#REF!,"AAAAAGfz3XI=")</f>
        <v>#REF!</v>
      </c>
      <c r="DL200" t="e">
        <f>AND(#REF!,"AAAAAGfz3XM=")</f>
        <v>#REF!</v>
      </c>
      <c r="DM200" t="e">
        <f>AND(#REF!,"AAAAAGfz3XQ=")</f>
        <v>#REF!</v>
      </c>
      <c r="DN200" t="e">
        <f>AND(#REF!,"AAAAAGfz3XU=")</f>
        <v>#REF!</v>
      </c>
      <c r="DO200" t="e">
        <f>AND(#REF!,"AAAAAGfz3XY=")</f>
        <v>#REF!</v>
      </c>
      <c r="DP200" t="e">
        <f>AND(#REF!,"AAAAAGfz3Xc=")</f>
        <v>#REF!</v>
      </c>
      <c r="DQ200" t="e">
        <f>AND(#REF!,"AAAAAGfz3Xg=")</f>
        <v>#REF!</v>
      </c>
      <c r="DR200" t="e">
        <f>AND(#REF!,"AAAAAGfz3Xk=")</f>
        <v>#REF!</v>
      </c>
      <c r="DS200" t="e">
        <f>AND(#REF!,"AAAAAGfz3Xo=")</f>
        <v>#REF!</v>
      </c>
      <c r="DT200" t="e">
        <f>AND(#REF!,"AAAAAGfz3Xs=")</f>
        <v>#REF!</v>
      </c>
      <c r="DU200" t="e">
        <f>AND(#REF!,"AAAAAGfz3Xw=")</f>
        <v>#REF!</v>
      </c>
      <c r="DV200" t="e">
        <f>AND(#REF!,"AAAAAGfz3X0=")</f>
        <v>#REF!</v>
      </c>
      <c r="DW200" t="e">
        <f>AND(#REF!,"AAAAAGfz3X4=")</f>
        <v>#REF!</v>
      </c>
      <c r="DX200" t="e">
        <f>AND(#REF!,"AAAAAGfz3X8=")</f>
        <v>#REF!</v>
      </c>
      <c r="DY200" t="e">
        <f>AND(#REF!,"AAAAAGfz3YA=")</f>
        <v>#REF!</v>
      </c>
      <c r="DZ200" t="e">
        <f>AND(#REF!,"AAAAAGfz3YE=")</f>
        <v>#REF!</v>
      </c>
      <c r="EA200" t="e">
        <f>AND(#REF!,"AAAAAGfz3YI=")</f>
        <v>#REF!</v>
      </c>
      <c r="EB200" t="e">
        <f>AND(#REF!,"AAAAAGfz3YM=")</f>
        <v>#REF!</v>
      </c>
      <c r="EC200" t="e">
        <f>AND(#REF!,"AAAAAGfz3YQ=")</f>
        <v>#REF!</v>
      </c>
      <c r="ED200" t="e">
        <f>AND(#REF!,"AAAAAGfz3YU=")</f>
        <v>#REF!</v>
      </c>
      <c r="EE200" t="e">
        <f>AND(#REF!,"AAAAAGfz3YY=")</f>
        <v>#REF!</v>
      </c>
      <c r="EF200" t="e">
        <f>AND(#REF!,"AAAAAGfz3Yc=")</f>
        <v>#REF!</v>
      </c>
      <c r="EG200" t="e">
        <f>AND(#REF!,"AAAAAGfz3Yg=")</f>
        <v>#REF!</v>
      </c>
      <c r="EH200" t="e">
        <f>AND(#REF!,"AAAAAGfz3Yk=")</f>
        <v>#REF!</v>
      </c>
      <c r="EI200" t="e">
        <f>AND(#REF!,"AAAAAGfz3Yo=")</f>
        <v>#REF!</v>
      </c>
      <c r="EJ200" t="e">
        <f>AND(#REF!,"AAAAAGfz3Ys=")</f>
        <v>#REF!</v>
      </c>
      <c r="EK200" t="e">
        <f>AND(#REF!,"AAAAAGfz3Yw=")</f>
        <v>#REF!</v>
      </c>
      <c r="EL200" t="e">
        <f>AND(#REF!,"AAAAAGfz3Y0=")</f>
        <v>#REF!</v>
      </c>
      <c r="EM200" t="e">
        <f>AND(#REF!,"AAAAAGfz3Y4=")</f>
        <v>#REF!</v>
      </c>
      <c r="EN200" t="e">
        <f>AND(#REF!,"AAAAAGfz3Y8=")</f>
        <v>#REF!</v>
      </c>
      <c r="EO200" t="e">
        <f>AND(#REF!,"AAAAAGfz3ZA=")</f>
        <v>#REF!</v>
      </c>
      <c r="EP200" t="e">
        <f>AND(#REF!,"AAAAAGfz3ZE=")</f>
        <v>#REF!</v>
      </c>
      <c r="EQ200" t="e">
        <f>AND(#REF!,"AAAAAGfz3ZI=")</f>
        <v>#REF!</v>
      </c>
      <c r="ER200" t="e">
        <f>AND(#REF!,"AAAAAGfz3ZM=")</f>
        <v>#REF!</v>
      </c>
      <c r="ES200" t="e">
        <f>AND(#REF!,"AAAAAGfz3ZQ=")</f>
        <v>#REF!</v>
      </c>
      <c r="ET200" t="e">
        <f>AND(#REF!,"AAAAAGfz3ZU=")</f>
        <v>#REF!</v>
      </c>
      <c r="EU200" t="e">
        <f>AND(#REF!,"AAAAAGfz3ZY=")</f>
        <v>#REF!</v>
      </c>
      <c r="EV200" t="e">
        <f>AND(#REF!,"AAAAAGfz3Zc=")</f>
        <v>#REF!</v>
      </c>
      <c r="EW200" t="e">
        <f>AND(#REF!,"AAAAAGfz3Zg=")</f>
        <v>#REF!</v>
      </c>
      <c r="EX200" t="e">
        <f>AND(#REF!,"AAAAAGfz3Zk=")</f>
        <v>#REF!</v>
      </c>
      <c r="EY200" t="e">
        <f>AND(#REF!,"AAAAAGfz3Zo=")</f>
        <v>#REF!</v>
      </c>
      <c r="EZ200" t="e">
        <f>AND(#REF!,"AAAAAGfz3Zs=")</f>
        <v>#REF!</v>
      </c>
      <c r="FA200" t="e">
        <f>AND(#REF!,"AAAAAGfz3Zw=")</f>
        <v>#REF!</v>
      </c>
      <c r="FB200" t="e">
        <f>AND(#REF!,"AAAAAGfz3Z0=")</f>
        <v>#REF!</v>
      </c>
      <c r="FC200" t="e">
        <f>AND(#REF!,"AAAAAGfz3Z4=")</f>
        <v>#REF!</v>
      </c>
      <c r="FD200" t="e">
        <f>AND(#REF!,"AAAAAGfz3Z8=")</f>
        <v>#REF!</v>
      </c>
      <c r="FE200" t="e">
        <f>AND(#REF!,"AAAAAGfz3aA=")</f>
        <v>#REF!</v>
      </c>
      <c r="FF200" t="e">
        <f>AND(#REF!,"AAAAAGfz3aE=")</f>
        <v>#REF!</v>
      </c>
      <c r="FG200" t="e">
        <f>AND(#REF!,"AAAAAGfz3aI=")</f>
        <v>#REF!</v>
      </c>
      <c r="FH200" t="e">
        <f>AND(#REF!,"AAAAAGfz3aM=")</f>
        <v>#REF!</v>
      </c>
      <c r="FI200" t="e">
        <f>AND(#REF!,"AAAAAGfz3aQ=")</f>
        <v>#REF!</v>
      </c>
      <c r="FJ200" t="e">
        <f>AND(#REF!,"AAAAAGfz3aU=")</f>
        <v>#REF!</v>
      </c>
      <c r="FK200" t="e">
        <f>AND(#REF!,"AAAAAGfz3aY=")</f>
        <v>#REF!</v>
      </c>
      <c r="FL200" t="e">
        <f>AND(#REF!,"AAAAAGfz3ac=")</f>
        <v>#REF!</v>
      </c>
      <c r="FM200" t="e">
        <f>AND(#REF!,"AAAAAGfz3ag=")</f>
        <v>#REF!</v>
      </c>
      <c r="FN200" t="e">
        <f>AND(#REF!,"AAAAAGfz3ak=")</f>
        <v>#REF!</v>
      </c>
      <c r="FO200" t="e">
        <f>AND(#REF!,"AAAAAGfz3ao=")</f>
        <v>#REF!</v>
      </c>
      <c r="FP200" t="e">
        <f>AND(#REF!,"AAAAAGfz3as=")</f>
        <v>#REF!</v>
      </c>
      <c r="FQ200" t="e">
        <f>AND(#REF!,"AAAAAGfz3aw=")</f>
        <v>#REF!</v>
      </c>
      <c r="FR200" t="e">
        <f>AND(#REF!,"AAAAAGfz3a0=")</f>
        <v>#REF!</v>
      </c>
      <c r="FS200" t="e">
        <f>AND(#REF!,"AAAAAGfz3a4=")</f>
        <v>#REF!</v>
      </c>
      <c r="FT200" t="e">
        <f>AND(#REF!,"AAAAAGfz3a8=")</f>
        <v>#REF!</v>
      </c>
      <c r="FU200" t="e">
        <f>AND(#REF!,"AAAAAGfz3bA=")</f>
        <v>#REF!</v>
      </c>
      <c r="FV200" t="e">
        <f>AND(#REF!,"AAAAAGfz3bE=")</f>
        <v>#REF!</v>
      </c>
      <c r="FW200" t="e">
        <f>AND(#REF!,"AAAAAGfz3bI=")</f>
        <v>#REF!</v>
      </c>
      <c r="FX200" t="e">
        <f>AND(#REF!,"AAAAAGfz3bM=")</f>
        <v>#REF!</v>
      </c>
      <c r="FY200" t="e">
        <f>AND(#REF!,"AAAAAGfz3bQ=")</f>
        <v>#REF!</v>
      </c>
      <c r="FZ200" t="e">
        <f>AND(#REF!,"AAAAAGfz3bU=")</f>
        <v>#REF!</v>
      </c>
      <c r="GA200" t="e">
        <f>AND(#REF!,"AAAAAGfz3bY=")</f>
        <v>#REF!</v>
      </c>
      <c r="GB200" t="e">
        <f>AND(#REF!,"AAAAAGfz3bc=")</f>
        <v>#REF!</v>
      </c>
      <c r="GC200" t="e">
        <f>AND(#REF!,"AAAAAGfz3bg=")</f>
        <v>#REF!</v>
      </c>
      <c r="GD200" t="e">
        <f>AND(#REF!,"AAAAAGfz3bk=")</f>
        <v>#REF!</v>
      </c>
      <c r="GE200" t="e">
        <f>AND(#REF!,"AAAAAGfz3bo=")</f>
        <v>#REF!</v>
      </c>
      <c r="GF200" t="e">
        <f>AND(#REF!,"AAAAAGfz3bs=")</f>
        <v>#REF!</v>
      </c>
      <c r="GG200" t="e">
        <f>AND(#REF!,"AAAAAGfz3bw=")</f>
        <v>#REF!</v>
      </c>
      <c r="GH200" t="e">
        <f>AND(#REF!,"AAAAAGfz3b0=")</f>
        <v>#REF!</v>
      </c>
      <c r="GI200" t="e">
        <f>AND(#REF!,"AAAAAGfz3b4=")</f>
        <v>#REF!</v>
      </c>
      <c r="GJ200" t="e">
        <f>AND(#REF!,"AAAAAGfz3b8=")</f>
        <v>#REF!</v>
      </c>
      <c r="GK200" t="e">
        <f>AND(#REF!,"AAAAAGfz3cA=")</f>
        <v>#REF!</v>
      </c>
      <c r="GL200" t="e">
        <f>AND(#REF!,"AAAAAGfz3cE=")</f>
        <v>#REF!</v>
      </c>
      <c r="GM200" t="e">
        <f>AND(#REF!,"AAAAAGfz3cI=")</f>
        <v>#REF!</v>
      </c>
      <c r="GN200" t="e">
        <f>AND(#REF!,"AAAAAGfz3cM=")</f>
        <v>#REF!</v>
      </c>
      <c r="GO200" t="e">
        <f>AND(#REF!,"AAAAAGfz3cQ=")</f>
        <v>#REF!</v>
      </c>
      <c r="GP200" t="e">
        <f>AND(#REF!,"AAAAAGfz3cU=")</f>
        <v>#REF!</v>
      </c>
      <c r="GQ200" t="e">
        <f>AND(#REF!,"AAAAAGfz3cY=")</f>
        <v>#REF!</v>
      </c>
      <c r="GR200" t="e">
        <f>AND(#REF!,"AAAAAGfz3cc=")</f>
        <v>#REF!</v>
      </c>
      <c r="GS200" t="e">
        <f>AND(#REF!,"AAAAAGfz3cg=")</f>
        <v>#REF!</v>
      </c>
      <c r="GT200" t="e">
        <f>AND(#REF!,"AAAAAGfz3ck=")</f>
        <v>#REF!</v>
      </c>
      <c r="GU200" t="e">
        <f>AND(#REF!,"AAAAAGfz3co=")</f>
        <v>#REF!</v>
      </c>
      <c r="GV200" t="e">
        <f>AND(#REF!,"AAAAAGfz3cs=")</f>
        <v>#REF!</v>
      </c>
      <c r="GW200" t="e">
        <f>AND(#REF!,"AAAAAGfz3cw=")</f>
        <v>#REF!</v>
      </c>
      <c r="GX200" t="e">
        <f>AND(#REF!,"AAAAAGfz3c0=")</f>
        <v>#REF!</v>
      </c>
      <c r="GY200" t="e">
        <f>AND(#REF!,"AAAAAGfz3c4=")</f>
        <v>#REF!</v>
      </c>
      <c r="GZ200" t="e">
        <f>AND(#REF!,"AAAAAGfz3c8=")</f>
        <v>#REF!</v>
      </c>
      <c r="HA200" t="e">
        <f>AND(#REF!,"AAAAAGfz3dA=")</f>
        <v>#REF!</v>
      </c>
      <c r="HB200" t="e">
        <f>AND(#REF!,"AAAAAGfz3dE=")</f>
        <v>#REF!</v>
      </c>
      <c r="HC200" t="e">
        <f>AND(#REF!,"AAAAAGfz3dI=")</f>
        <v>#REF!</v>
      </c>
      <c r="HD200" t="e">
        <f>AND(#REF!,"AAAAAGfz3dM=")</f>
        <v>#REF!</v>
      </c>
      <c r="HE200" t="e">
        <f>AND(#REF!,"AAAAAGfz3dQ=")</f>
        <v>#REF!</v>
      </c>
      <c r="HF200" t="e">
        <f>AND(#REF!,"AAAAAGfz3dU=")</f>
        <v>#REF!</v>
      </c>
      <c r="HG200" t="e">
        <f>AND(#REF!,"AAAAAGfz3dY=")</f>
        <v>#REF!</v>
      </c>
      <c r="HH200" t="e">
        <f>AND(#REF!,"AAAAAGfz3dc=")</f>
        <v>#REF!</v>
      </c>
      <c r="HI200" t="e">
        <f>AND(#REF!,"AAAAAGfz3dg=")</f>
        <v>#REF!</v>
      </c>
      <c r="HJ200" t="e">
        <f>AND(#REF!,"AAAAAGfz3dk=")</f>
        <v>#REF!</v>
      </c>
      <c r="HK200" t="e">
        <f>AND(#REF!,"AAAAAGfz3do=")</f>
        <v>#REF!</v>
      </c>
      <c r="HL200" t="e">
        <f>AND(#REF!,"AAAAAGfz3ds=")</f>
        <v>#REF!</v>
      </c>
      <c r="HM200" t="e">
        <f>AND(#REF!,"AAAAAGfz3dw=")</f>
        <v>#REF!</v>
      </c>
      <c r="HN200" t="e">
        <f>AND(#REF!,"AAAAAGfz3d0=")</f>
        <v>#REF!</v>
      </c>
      <c r="HO200" t="e">
        <f>AND(#REF!,"AAAAAGfz3d4=")</f>
        <v>#REF!</v>
      </c>
      <c r="HP200" t="e">
        <f>AND(#REF!,"AAAAAGfz3d8=")</f>
        <v>#REF!</v>
      </c>
      <c r="HQ200" t="e">
        <f>AND(#REF!,"AAAAAGfz3eA=")</f>
        <v>#REF!</v>
      </c>
      <c r="HR200" t="e">
        <f>AND(#REF!,"AAAAAGfz3eE=")</f>
        <v>#REF!</v>
      </c>
      <c r="HS200" t="e">
        <f>AND(#REF!,"AAAAAGfz3eI=")</f>
        <v>#REF!</v>
      </c>
      <c r="HT200" t="e">
        <f>AND(#REF!,"AAAAAGfz3eM=")</f>
        <v>#REF!</v>
      </c>
      <c r="HU200" t="e">
        <f>AND(#REF!,"AAAAAGfz3eQ=")</f>
        <v>#REF!</v>
      </c>
      <c r="HV200" t="e">
        <f>AND(#REF!,"AAAAAGfz3eU=")</f>
        <v>#REF!</v>
      </c>
      <c r="HW200" t="e">
        <f>AND(#REF!,"AAAAAGfz3eY=")</f>
        <v>#REF!</v>
      </c>
      <c r="HX200" t="e">
        <f>AND(#REF!,"AAAAAGfz3ec=")</f>
        <v>#REF!</v>
      </c>
      <c r="HY200" t="e">
        <f>AND(#REF!,"AAAAAGfz3eg=")</f>
        <v>#REF!</v>
      </c>
      <c r="HZ200" t="e">
        <f>AND(#REF!,"AAAAAGfz3ek=")</f>
        <v>#REF!</v>
      </c>
      <c r="IA200" t="e">
        <f>AND(#REF!,"AAAAAGfz3eo=")</f>
        <v>#REF!</v>
      </c>
      <c r="IB200" t="e">
        <f>AND(#REF!,"AAAAAGfz3es=")</f>
        <v>#REF!</v>
      </c>
      <c r="IC200" t="e">
        <f>AND(#REF!,"AAAAAGfz3ew=")</f>
        <v>#REF!</v>
      </c>
      <c r="ID200" t="e">
        <f>AND(#REF!,"AAAAAGfz3e0=")</f>
        <v>#REF!</v>
      </c>
      <c r="IE200" t="e">
        <f>AND(#REF!,"AAAAAGfz3e4=")</f>
        <v>#REF!</v>
      </c>
      <c r="IF200" t="e">
        <f>AND(#REF!,"AAAAAGfz3e8=")</f>
        <v>#REF!</v>
      </c>
      <c r="IG200" t="e">
        <f>AND(#REF!,"AAAAAGfz3fA=")</f>
        <v>#REF!</v>
      </c>
      <c r="IH200" t="e">
        <f>AND(#REF!,"AAAAAGfz3fE=")</f>
        <v>#REF!</v>
      </c>
      <c r="II200" t="e">
        <f>AND(#REF!,"AAAAAGfz3fI=")</f>
        <v>#REF!</v>
      </c>
      <c r="IJ200" t="e">
        <f>AND(#REF!,"AAAAAGfz3fM=")</f>
        <v>#REF!</v>
      </c>
      <c r="IK200" t="e">
        <f>AND(#REF!,"AAAAAGfz3fQ=")</f>
        <v>#REF!</v>
      </c>
      <c r="IL200" t="e">
        <f>AND(#REF!,"AAAAAGfz3fU=")</f>
        <v>#REF!</v>
      </c>
      <c r="IM200" t="e">
        <f>AND(#REF!,"AAAAAGfz3fY=")</f>
        <v>#REF!</v>
      </c>
      <c r="IN200" t="e">
        <f>AND(#REF!,"AAAAAGfz3fc=")</f>
        <v>#REF!</v>
      </c>
      <c r="IO200" t="e">
        <f>AND(#REF!,"AAAAAGfz3fg=")</f>
        <v>#REF!</v>
      </c>
      <c r="IP200" t="e">
        <f>AND(#REF!,"AAAAAGfz3fk=")</f>
        <v>#REF!</v>
      </c>
      <c r="IQ200" t="e">
        <f>AND(#REF!,"AAAAAGfz3fo=")</f>
        <v>#REF!</v>
      </c>
      <c r="IR200" t="e">
        <f>AND(#REF!,"AAAAAGfz3fs=")</f>
        <v>#REF!</v>
      </c>
      <c r="IS200" t="e">
        <f>AND(#REF!,"AAAAAGfz3fw=")</f>
        <v>#REF!</v>
      </c>
      <c r="IT200" t="e">
        <f>AND(#REF!,"AAAAAGfz3f0=")</f>
        <v>#REF!</v>
      </c>
      <c r="IU200" t="e">
        <f>AND(#REF!,"AAAAAGfz3f4=")</f>
        <v>#REF!</v>
      </c>
      <c r="IV200" t="e">
        <f>AND(#REF!,"AAAAAGfz3f8=")</f>
        <v>#REF!</v>
      </c>
    </row>
    <row r="201" spans="1:256" x14ac:dyDescent="0.25">
      <c r="A201" t="e">
        <f>AND(#REF!,"AAAAADve/gA=")</f>
        <v>#REF!</v>
      </c>
      <c r="B201" t="e">
        <f>AND(#REF!,"AAAAADve/gE=")</f>
        <v>#REF!</v>
      </c>
      <c r="C201" t="e">
        <f>AND(#REF!,"AAAAADve/gI=")</f>
        <v>#REF!</v>
      </c>
      <c r="D201" t="e">
        <f>AND(#REF!,"AAAAADve/gM=")</f>
        <v>#REF!</v>
      </c>
      <c r="E201" t="e">
        <f>AND(#REF!,"AAAAADve/gQ=")</f>
        <v>#REF!</v>
      </c>
      <c r="F201" t="e">
        <f>AND(#REF!,"AAAAADve/gU=")</f>
        <v>#REF!</v>
      </c>
      <c r="G201" t="e">
        <f>AND(#REF!,"AAAAADve/gY=")</f>
        <v>#REF!</v>
      </c>
      <c r="H201" t="e">
        <f>AND(#REF!,"AAAAADve/gc=")</f>
        <v>#REF!</v>
      </c>
      <c r="I201" t="e">
        <f>AND(#REF!,"AAAAADve/gg=")</f>
        <v>#REF!</v>
      </c>
      <c r="J201" t="e">
        <f>AND(#REF!,"AAAAADve/gk=")</f>
        <v>#REF!</v>
      </c>
      <c r="K201" t="e">
        <f>AND(#REF!,"AAAAADve/go=")</f>
        <v>#REF!</v>
      </c>
      <c r="L201" t="e">
        <f>IF(#REF!,"AAAAADve/gs=",0)</f>
        <v>#REF!</v>
      </c>
      <c r="M201" t="e">
        <f>AND(#REF!,"AAAAADve/gw=")</f>
        <v>#REF!</v>
      </c>
      <c r="N201" t="e">
        <f>AND(#REF!,"AAAAADve/g0=")</f>
        <v>#REF!</v>
      </c>
      <c r="O201" t="e">
        <f>AND(#REF!,"AAAAADve/g4=")</f>
        <v>#REF!</v>
      </c>
      <c r="P201" t="e">
        <f>AND(#REF!,"AAAAADve/g8=")</f>
        <v>#REF!</v>
      </c>
      <c r="Q201" t="e">
        <f>AND(#REF!,"AAAAADve/hA=")</f>
        <v>#REF!</v>
      </c>
      <c r="R201" t="e">
        <f>AND(#REF!,"AAAAADve/hE=")</f>
        <v>#REF!</v>
      </c>
      <c r="S201" t="e">
        <f>AND(#REF!,"AAAAADve/hI=")</f>
        <v>#REF!</v>
      </c>
      <c r="T201" t="e">
        <f>AND(#REF!,"AAAAADve/hM=")</f>
        <v>#REF!</v>
      </c>
      <c r="U201" t="e">
        <f>AND(#REF!,"AAAAADve/hQ=")</f>
        <v>#REF!</v>
      </c>
      <c r="V201" t="e">
        <f>AND(#REF!,"AAAAADve/hU=")</f>
        <v>#REF!</v>
      </c>
      <c r="W201" t="e">
        <f>AND(#REF!,"AAAAADve/hY=")</f>
        <v>#REF!</v>
      </c>
      <c r="X201" t="e">
        <f>AND(#REF!,"AAAAADve/hc=")</f>
        <v>#REF!</v>
      </c>
      <c r="Y201" t="e">
        <f>AND(#REF!,"AAAAADve/hg=")</f>
        <v>#REF!</v>
      </c>
      <c r="Z201" t="e">
        <f>AND(#REF!,"AAAAADve/hk=")</f>
        <v>#REF!</v>
      </c>
      <c r="AA201" t="e">
        <f>AND(#REF!,"AAAAADve/ho=")</f>
        <v>#REF!</v>
      </c>
      <c r="AB201" t="e">
        <f>AND(#REF!,"AAAAADve/hs=")</f>
        <v>#REF!</v>
      </c>
      <c r="AC201" t="e">
        <f>AND(#REF!,"AAAAADve/hw=")</f>
        <v>#REF!</v>
      </c>
      <c r="AD201" t="e">
        <f>AND(#REF!,"AAAAADve/h0=")</f>
        <v>#REF!</v>
      </c>
      <c r="AE201" t="e">
        <f>AND(#REF!,"AAAAADve/h4=")</f>
        <v>#REF!</v>
      </c>
      <c r="AF201" t="e">
        <f>AND(#REF!,"AAAAADve/h8=")</f>
        <v>#REF!</v>
      </c>
      <c r="AG201" t="e">
        <f>AND(#REF!,"AAAAADve/iA=")</f>
        <v>#REF!</v>
      </c>
      <c r="AH201" t="e">
        <f>AND(#REF!,"AAAAADve/iE=")</f>
        <v>#REF!</v>
      </c>
      <c r="AI201" t="e">
        <f>AND(#REF!,"AAAAADve/iI=")</f>
        <v>#REF!</v>
      </c>
      <c r="AJ201" t="e">
        <f>AND(#REF!,"AAAAADve/iM=")</f>
        <v>#REF!</v>
      </c>
      <c r="AK201" t="e">
        <f>AND(#REF!,"AAAAADve/iQ=")</f>
        <v>#REF!</v>
      </c>
      <c r="AL201" t="e">
        <f>AND(#REF!,"AAAAADve/iU=")</f>
        <v>#REF!</v>
      </c>
      <c r="AM201" t="e">
        <f>AND(#REF!,"AAAAADve/iY=")</f>
        <v>#REF!</v>
      </c>
      <c r="AN201" t="e">
        <f>AND(#REF!,"AAAAADve/ic=")</f>
        <v>#REF!</v>
      </c>
      <c r="AO201" t="e">
        <f>AND(#REF!,"AAAAADve/ig=")</f>
        <v>#REF!</v>
      </c>
      <c r="AP201" t="e">
        <f>AND(#REF!,"AAAAADve/ik=")</f>
        <v>#REF!</v>
      </c>
      <c r="AQ201" t="e">
        <f>AND(#REF!,"AAAAADve/io=")</f>
        <v>#REF!</v>
      </c>
      <c r="AR201" t="e">
        <f>AND(#REF!,"AAAAADve/is=")</f>
        <v>#REF!</v>
      </c>
      <c r="AS201" t="e">
        <f>AND(#REF!,"AAAAADve/iw=")</f>
        <v>#REF!</v>
      </c>
      <c r="AT201" t="e">
        <f>AND(#REF!,"AAAAADve/i0=")</f>
        <v>#REF!</v>
      </c>
      <c r="AU201" t="e">
        <f>AND(#REF!,"AAAAADve/i4=")</f>
        <v>#REF!</v>
      </c>
      <c r="AV201" t="e">
        <f>AND(#REF!,"AAAAADve/i8=")</f>
        <v>#REF!</v>
      </c>
      <c r="AW201" t="e">
        <f>AND(#REF!,"AAAAADve/jA=")</f>
        <v>#REF!</v>
      </c>
      <c r="AX201" t="e">
        <f>AND(#REF!,"AAAAADve/jE=")</f>
        <v>#REF!</v>
      </c>
      <c r="AY201" t="e">
        <f>AND(#REF!,"AAAAADve/jI=")</f>
        <v>#REF!</v>
      </c>
      <c r="AZ201" t="e">
        <f>AND(#REF!,"AAAAADve/jM=")</f>
        <v>#REF!</v>
      </c>
      <c r="BA201" t="e">
        <f>AND(#REF!,"AAAAADve/jQ=")</f>
        <v>#REF!</v>
      </c>
      <c r="BB201" t="e">
        <f>AND(#REF!,"AAAAADve/jU=")</f>
        <v>#REF!</v>
      </c>
      <c r="BC201" t="e">
        <f>AND(#REF!,"AAAAADve/jY=")</f>
        <v>#REF!</v>
      </c>
      <c r="BD201" t="e">
        <f>AND(#REF!,"AAAAADve/jc=")</f>
        <v>#REF!</v>
      </c>
      <c r="BE201" t="e">
        <f>AND(#REF!,"AAAAADve/jg=")</f>
        <v>#REF!</v>
      </c>
      <c r="BF201" t="e">
        <f>AND(#REF!,"AAAAADve/jk=")</f>
        <v>#REF!</v>
      </c>
      <c r="BG201" t="e">
        <f>AND(#REF!,"AAAAADve/jo=")</f>
        <v>#REF!</v>
      </c>
      <c r="BH201" t="e">
        <f>AND(#REF!,"AAAAADve/js=")</f>
        <v>#REF!</v>
      </c>
      <c r="BI201" t="e">
        <f>AND(#REF!,"AAAAADve/jw=")</f>
        <v>#REF!</v>
      </c>
      <c r="BJ201" t="e">
        <f>AND(#REF!,"AAAAADve/j0=")</f>
        <v>#REF!</v>
      </c>
      <c r="BK201" t="e">
        <f>AND(#REF!,"AAAAADve/j4=")</f>
        <v>#REF!</v>
      </c>
      <c r="BL201" t="e">
        <f>AND(#REF!,"AAAAADve/j8=")</f>
        <v>#REF!</v>
      </c>
      <c r="BM201" t="e">
        <f>AND(#REF!,"AAAAADve/kA=")</f>
        <v>#REF!</v>
      </c>
      <c r="BN201" t="e">
        <f>AND(#REF!,"AAAAADve/kE=")</f>
        <v>#REF!</v>
      </c>
      <c r="BO201" t="e">
        <f>AND(#REF!,"AAAAADve/kI=")</f>
        <v>#REF!</v>
      </c>
      <c r="BP201" t="e">
        <f>AND(#REF!,"AAAAADve/kM=")</f>
        <v>#REF!</v>
      </c>
      <c r="BQ201" t="e">
        <f>AND(#REF!,"AAAAADve/kQ=")</f>
        <v>#REF!</v>
      </c>
      <c r="BR201" t="e">
        <f>AND(#REF!,"AAAAADve/kU=")</f>
        <v>#REF!</v>
      </c>
      <c r="BS201" t="e">
        <f>AND(#REF!,"AAAAADve/kY=")</f>
        <v>#REF!</v>
      </c>
      <c r="BT201" t="e">
        <f>AND(#REF!,"AAAAADve/kc=")</f>
        <v>#REF!</v>
      </c>
      <c r="BU201" t="e">
        <f>AND(#REF!,"AAAAADve/kg=")</f>
        <v>#REF!</v>
      </c>
      <c r="BV201" t="e">
        <f>AND(#REF!,"AAAAADve/kk=")</f>
        <v>#REF!</v>
      </c>
      <c r="BW201" t="e">
        <f>AND(#REF!,"AAAAADve/ko=")</f>
        <v>#REF!</v>
      </c>
      <c r="BX201" t="e">
        <f>AND(#REF!,"AAAAADve/ks=")</f>
        <v>#REF!</v>
      </c>
      <c r="BY201" t="e">
        <f>AND(#REF!,"AAAAADve/kw=")</f>
        <v>#REF!</v>
      </c>
      <c r="BZ201" t="e">
        <f>AND(#REF!,"AAAAADve/k0=")</f>
        <v>#REF!</v>
      </c>
      <c r="CA201" t="e">
        <f>AND(#REF!,"AAAAADve/k4=")</f>
        <v>#REF!</v>
      </c>
      <c r="CB201" t="e">
        <f>AND(#REF!,"AAAAADve/k8=")</f>
        <v>#REF!</v>
      </c>
      <c r="CC201" t="e">
        <f>AND(#REF!,"AAAAADve/lA=")</f>
        <v>#REF!</v>
      </c>
      <c r="CD201" t="e">
        <f>AND(#REF!,"AAAAADve/lE=")</f>
        <v>#REF!</v>
      </c>
      <c r="CE201" t="e">
        <f>AND(#REF!,"AAAAADve/lI=")</f>
        <v>#REF!</v>
      </c>
      <c r="CF201" t="e">
        <f>AND(#REF!,"AAAAADve/lM=")</f>
        <v>#REF!</v>
      </c>
      <c r="CG201" t="e">
        <f>AND(#REF!,"AAAAADve/lQ=")</f>
        <v>#REF!</v>
      </c>
      <c r="CH201" t="e">
        <f>AND(#REF!,"AAAAADve/lU=")</f>
        <v>#REF!</v>
      </c>
      <c r="CI201" t="e">
        <f>AND(#REF!,"AAAAADve/lY=")</f>
        <v>#REF!</v>
      </c>
      <c r="CJ201" t="e">
        <f>AND(#REF!,"AAAAADve/lc=")</f>
        <v>#REF!</v>
      </c>
      <c r="CK201" t="e">
        <f>AND(#REF!,"AAAAADve/lg=")</f>
        <v>#REF!</v>
      </c>
      <c r="CL201" t="e">
        <f>AND(#REF!,"AAAAADve/lk=")</f>
        <v>#REF!</v>
      </c>
      <c r="CM201" t="e">
        <f>AND(#REF!,"AAAAADve/lo=")</f>
        <v>#REF!</v>
      </c>
      <c r="CN201" t="e">
        <f>AND(#REF!,"AAAAADve/ls=")</f>
        <v>#REF!</v>
      </c>
      <c r="CO201" t="e">
        <f>AND(#REF!,"AAAAADve/lw=")</f>
        <v>#REF!</v>
      </c>
      <c r="CP201" t="e">
        <f>AND(#REF!,"AAAAADve/l0=")</f>
        <v>#REF!</v>
      </c>
      <c r="CQ201" t="e">
        <f>AND(#REF!,"AAAAADve/l4=")</f>
        <v>#REF!</v>
      </c>
      <c r="CR201" t="e">
        <f>AND(#REF!,"AAAAADve/l8=")</f>
        <v>#REF!</v>
      </c>
      <c r="CS201" t="e">
        <f>AND(#REF!,"AAAAADve/mA=")</f>
        <v>#REF!</v>
      </c>
      <c r="CT201" t="e">
        <f>AND(#REF!,"AAAAADve/mE=")</f>
        <v>#REF!</v>
      </c>
      <c r="CU201" t="e">
        <f>AND(#REF!,"AAAAADve/mI=")</f>
        <v>#REF!</v>
      </c>
      <c r="CV201" t="e">
        <f>AND(#REF!,"AAAAADve/mM=")</f>
        <v>#REF!</v>
      </c>
      <c r="CW201" t="e">
        <f>AND(#REF!,"AAAAADve/mQ=")</f>
        <v>#REF!</v>
      </c>
      <c r="CX201" t="e">
        <f>AND(#REF!,"AAAAADve/mU=")</f>
        <v>#REF!</v>
      </c>
      <c r="CY201" t="e">
        <f>AND(#REF!,"AAAAADve/mY=")</f>
        <v>#REF!</v>
      </c>
      <c r="CZ201" t="e">
        <f>AND(#REF!,"AAAAADve/mc=")</f>
        <v>#REF!</v>
      </c>
      <c r="DA201" t="e">
        <f>AND(#REF!,"AAAAADve/mg=")</f>
        <v>#REF!</v>
      </c>
      <c r="DB201" t="e">
        <f>AND(#REF!,"AAAAADve/mk=")</f>
        <v>#REF!</v>
      </c>
      <c r="DC201" t="e">
        <f>AND(#REF!,"AAAAADve/mo=")</f>
        <v>#REF!</v>
      </c>
      <c r="DD201" t="e">
        <f>AND(#REF!,"AAAAADve/ms=")</f>
        <v>#REF!</v>
      </c>
      <c r="DE201" t="e">
        <f>AND(#REF!,"AAAAADve/mw=")</f>
        <v>#REF!</v>
      </c>
      <c r="DF201" t="e">
        <f>AND(#REF!,"AAAAADve/m0=")</f>
        <v>#REF!</v>
      </c>
      <c r="DG201" t="e">
        <f>AND(#REF!,"AAAAADve/m4=")</f>
        <v>#REF!</v>
      </c>
      <c r="DH201" t="e">
        <f>AND(#REF!,"AAAAADve/m8=")</f>
        <v>#REF!</v>
      </c>
      <c r="DI201" t="e">
        <f>AND(#REF!,"AAAAADve/nA=")</f>
        <v>#REF!</v>
      </c>
      <c r="DJ201" t="e">
        <f>AND(#REF!,"AAAAADve/nE=")</f>
        <v>#REF!</v>
      </c>
      <c r="DK201" t="e">
        <f>AND(#REF!,"AAAAADve/nI=")</f>
        <v>#REF!</v>
      </c>
      <c r="DL201" t="e">
        <f>AND(#REF!,"AAAAADve/nM=")</f>
        <v>#REF!</v>
      </c>
      <c r="DM201" t="e">
        <f>AND(#REF!,"AAAAADve/nQ=")</f>
        <v>#REF!</v>
      </c>
      <c r="DN201" t="e">
        <f>AND(#REF!,"AAAAADve/nU=")</f>
        <v>#REF!</v>
      </c>
      <c r="DO201" t="e">
        <f>AND(#REF!,"AAAAADve/nY=")</f>
        <v>#REF!</v>
      </c>
      <c r="DP201" t="e">
        <f>AND(#REF!,"AAAAADve/nc=")</f>
        <v>#REF!</v>
      </c>
      <c r="DQ201" t="e">
        <f>AND(#REF!,"AAAAADve/ng=")</f>
        <v>#REF!</v>
      </c>
      <c r="DR201" t="e">
        <f>AND(#REF!,"AAAAADve/nk=")</f>
        <v>#REF!</v>
      </c>
      <c r="DS201" t="e">
        <f>AND(#REF!,"AAAAADve/no=")</f>
        <v>#REF!</v>
      </c>
      <c r="DT201" t="e">
        <f>AND(#REF!,"AAAAADve/ns=")</f>
        <v>#REF!</v>
      </c>
      <c r="DU201" t="e">
        <f>AND(#REF!,"AAAAADve/nw=")</f>
        <v>#REF!</v>
      </c>
      <c r="DV201" t="e">
        <f>AND(#REF!,"AAAAADve/n0=")</f>
        <v>#REF!</v>
      </c>
      <c r="DW201" t="e">
        <f>AND(#REF!,"AAAAADve/n4=")</f>
        <v>#REF!</v>
      </c>
      <c r="DX201" t="e">
        <f>AND(#REF!,"AAAAADve/n8=")</f>
        <v>#REF!</v>
      </c>
      <c r="DY201" t="e">
        <f>AND(#REF!,"AAAAADve/oA=")</f>
        <v>#REF!</v>
      </c>
      <c r="DZ201" t="e">
        <f>AND(#REF!,"AAAAADve/oE=")</f>
        <v>#REF!</v>
      </c>
      <c r="EA201" t="e">
        <f>AND(#REF!,"AAAAADve/oI=")</f>
        <v>#REF!</v>
      </c>
      <c r="EB201" t="e">
        <f>AND(#REF!,"AAAAADve/oM=")</f>
        <v>#REF!</v>
      </c>
      <c r="EC201" t="e">
        <f>AND(#REF!,"AAAAADve/oQ=")</f>
        <v>#REF!</v>
      </c>
      <c r="ED201" t="e">
        <f>AND(#REF!,"AAAAADve/oU=")</f>
        <v>#REF!</v>
      </c>
      <c r="EE201" t="e">
        <f>AND(#REF!,"AAAAADve/oY=")</f>
        <v>#REF!</v>
      </c>
      <c r="EF201" t="e">
        <f>AND(#REF!,"AAAAADve/oc=")</f>
        <v>#REF!</v>
      </c>
      <c r="EG201" t="e">
        <f>AND(#REF!,"AAAAADve/og=")</f>
        <v>#REF!</v>
      </c>
      <c r="EH201" t="e">
        <f>AND(#REF!,"AAAAADve/ok=")</f>
        <v>#REF!</v>
      </c>
      <c r="EI201" t="e">
        <f>AND(#REF!,"AAAAADve/oo=")</f>
        <v>#REF!</v>
      </c>
      <c r="EJ201" t="e">
        <f>AND(#REF!,"AAAAADve/os=")</f>
        <v>#REF!</v>
      </c>
      <c r="EK201" t="e">
        <f>AND(#REF!,"AAAAADve/ow=")</f>
        <v>#REF!</v>
      </c>
      <c r="EL201" t="e">
        <f>AND(#REF!,"AAAAADve/o0=")</f>
        <v>#REF!</v>
      </c>
      <c r="EM201" t="e">
        <f>AND(#REF!,"AAAAADve/o4=")</f>
        <v>#REF!</v>
      </c>
      <c r="EN201" t="e">
        <f>AND(#REF!,"AAAAADve/o8=")</f>
        <v>#REF!</v>
      </c>
      <c r="EO201" t="e">
        <f>AND(#REF!,"AAAAADve/pA=")</f>
        <v>#REF!</v>
      </c>
      <c r="EP201" t="e">
        <f>AND(#REF!,"AAAAADve/pE=")</f>
        <v>#REF!</v>
      </c>
      <c r="EQ201" t="e">
        <f>AND(#REF!,"AAAAADve/pI=")</f>
        <v>#REF!</v>
      </c>
      <c r="ER201" t="e">
        <f>AND(#REF!,"AAAAADve/pM=")</f>
        <v>#REF!</v>
      </c>
      <c r="ES201" t="e">
        <f>AND(#REF!,"AAAAADve/pQ=")</f>
        <v>#REF!</v>
      </c>
      <c r="ET201" t="e">
        <f>AND(#REF!,"AAAAADve/pU=")</f>
        <v>#REF!</v>
      </c>
      <c r="EU201" t="e">
        <f>AND(#REF!,"AAAAADve/pY=")</f>
        <v>#REF!</v>
      </c>
      <c r="EV201" t="e">
        <f>AND(#REF!,"AAAAADve/pc=")</f>
        <v>#REF!</v>
      </c>
      <c r="EW201" t="e">
        <f>AND(#REF!,"AAAAADve/pg=")</f>
        <v>#REF!</v>
      </c>
      <c r="EX201" t="e">
        <f>AND(#REF!,"AAAAADve/pk=")</f>
        <v>#REF!</v>
      </c>
      <c r="EY201" t="e">
        <f>AND(#REF!,"AAAAADve/po=")</f>
        <v>#REF!</v>
      </c>
      <c r="EZ201" t="e">
        <f>AND(#REF!,"AAAAADve/ps=")</f>
        <v>#REF!</v>
      </c>
      <c r="FA201" t="e">
        <f>AND(#REF!,"AAAAADve/pw=")</f>
        <v>#REF!</v>
      </c>
      <c r="FB201" t="e">
        <f>AND(#REF!,"AAAAADve/p0=")</f>
        <v>#REF!</v>
      </c>
      <c r="FC201" t="e">
        <f>AND(#REF!,"AAAAADve/p4=")</f>
        <v>#REF!</v>
      </c>
      <c r="FD201" t="e">
        <f>AND(#REF!,"AAAAADve/p8=")</f>
        <v>#REF!</v>
      </c>
      <c r="FE201" t="e">
        <f>AND(#REF!,"AAAAADve/qA=")</f>
        <v>#REF!</v>
      </c>
      <c r="FF201" t="e">
        <f>AND(#REF!,"AAAAADve/qE=")</f>
        <v>#REF!</v>
      </c>
      <c r="FG201" t="e">
        <f>AND(#REF!,"AAAAADve/qI=")</f>
        <v>#REF!</v>
      </c>
      <c r="FH201" t="e">
        <f>AND(#REF!,"AAAAADve/qM=")</f>
        <v>#REF!</v>
      </c>
      <c r="FI201" t="e">
        <f>AND(#REF!,"AAAAADve/qQ=")</f>
        <v>#REF!</v>
      </c>
      <c r="FJ201" t="e">
        <f>AND(#REF!,"AAAAADve/qU=")</f>
        <v>#REF!</v>
      </c>
      <c r="FK201" t="e">
        <f>AND(#REF!,"AAAAADve/qY=")</f>
        <v>#REF!</v>
      </c>
      <c r="FL201" t="e">
        <f>AND(#REF!,"AAAAADve/qc=")</f>
        <v>#REF!</v>
      </c>
      <c r="FM201" t="e">
        <f>AND(#REF!,"AAAAADve/qg=")</f>
        <v>#REF!</v>
      </c>
      <c r="FN201" t="e">
        <f>AND(#REF!,"AAAAADve/qk=")</f>
        <v>#REF!</v>
      </c>
      <c r="FO201" t="e">
        <f>AND(#REF!,"AAAAADve/qo=")</f>
        <v>#REF!</v>
      </c>
      <c r="FP201" t="e">
        <f>AND(#REF!,"AAAAADve/qs=")</f>
        <v>#REF!</v>
      </c>
      <c r="FQ201" t="e">
        <f>AND(#REF!,"AAAAADve/qw=")</f>
        <v>#REF!</v>
      </c>
      <c r="FR201" t="e">
        <f>AND(#REF!,"AAAAADve/q0=")</f>
        <v>#REF!</v>
      </c>
      <c r="FS201" t="e">
        <f>AND(#REF!,"AAAAADve/q4=")</f>
        <v>#REF!</v>
      </c>
      <c r="FT201" t="e">
        <f>AND(#REF!,"AAAAADve/q8=")</f>
        <v>#REF!</v>
      </c>
      <c r="FU201" t="e">
        <f>AND(#REF!,"AAAAADve/rA=")</f>
        <v>#REF!</v>
      </c>
      <c r="FV201" t="e">
        <f>AND(#REF!,"AAAAADve/rE=")</f>
        <v>#REF!</v>
      </c>
      <c r="FW201" t="e">
        <f>AND(#REF!,"AAAAADve/rI=")</f>
        <v>#REF!</v>
      </c>
      <c r="FX201" t="e">
        <f>AND(#REF!,"AAAAADve/rM=")</f>
        <v>#REF!</v>
      </c>
      <c r="FY201" t="e">
        <f>AND(#REF!,"AAAAADve/rQ=")</f>
        <v>#REF!</v>
      </c>
      <c r="FZ201" t="e">
        <f>AND(#REF!,"AAAAADve/rU=")</f>
        <v>#REF!</v>
      </c>
      <c r="GA201" t="e">
        <f>AND(#REF!,"AAAAADve/rY=")</f>
        <v>#REF!</v>
      </c>
      <c r="GB201" t="e">
        <f>AND(#REF!,"AAAAADve/rc=")</f>
        <v>#REF!</v>
      </c>
      <c r="GC201" t="e">
        <f>AND(#REF!,"AAAAADve/rg=")</f>
        <v>#REF!</v>
      </c>
      <c r="GD201" t="e">
        <f>AND(#REF!,"AAAAADve/rk=")</f>
        <v>#REF!</v>
      </c>
      <c r="GE201" t="e">
        <f>AND(#REF!,"AAAAADve/ro=")</f>
        <v>#REF!</v>
      </c>
      <c r="GF201" t="e">
        <f>AND(#REF!,"AAAAADve/rs=")</f>
        <v>#REF!</v>
      </c>
      <c r="GG201" t="e">
        <f>AND(#REF!,"AAAAADve/rw=")</f>
        <v>#REF!</v>
      </c>
      <c r="GH201" t="e">
        <f>AND(#REF!,"AAAAADve/r0=")</f>
        <v>#REF!</v>
      </c>
      <c r="GI201" t="e">
        <f>AND(#REF!,"AAAAADve/r4=")</f>
        <v>#REF!</v>
      </c>
      <c r="GJ201" t="e">
        <f>AND(#REF!,"AAAAADve/r8=")</f>
        <v>#REF!</v>
      </c>
      <c r="GK201" t="e">
        <f>AND(#REF!,"AAAAADve/sA=")</f>
        <v>#REF!</v>
      </c>
      <c r="GL201" t="e">
        <f>AND(#REF!,"AAAAADve/sE=")</f>
        <v>#REF!</v>
      </c>
      <c r="GM201" t="e">
        <f>AND(#REF!,"AAAAADve/sI=")</f>
        <v>#REF!</v>
      </c>
      <c r="GN201" t="e">
        <f>AND(#REF!,"AAAAADve/sM=")</f>
        <v>#REF!</v>
      </c>
      <c r="GO201" t="e">
        <f>AND(#REF!,"AAAAADve/sQ=")</f>
        <v>#REF!</v>
      </c>
      <c r="GP201" t="e">
        <f>AND(#REF!,"AAAAADve/sU=")</f>
        <v>#REF!</v>
      </c>
      <c r="GQ201" t="e">
        <f>AND(#REF!,"AAAAADve/sY=")</f>
        <v>#REF!</v>
      </c>
      <c r="GR201" t="e">
        <f>AND(#REF!,"AAAAADve/sc=")</f>
        <v>#REF!</v>
      </c>
      <c r="GS201" t="e">
        <f>IF(#REF!,"AAAAADve/sg=",0)</f>
        <v>#REF!</v>
      </c>
      <c r="GT201" t="e">
        <f>AND(#REF!,"AAAAADve/sk=")</f>
        <v>#REF!</v>
      </c>
      <c r="GU201" t="e">
        <f>AND(#REF!,"AAAAADve/so=")</f>
        <v>#REF!</v>
      </c>
      <c r="GV201" t="e">
        <f>AND(#REF!,"AAAAADve/ss=")</f>
        <v>#REF!</v>
      </c>
      <c r="GW201" t="e">
        <f>AND(#REF!,"AAAAADve/sw=")</f>
        <v>#REF!</v>
      </c>
      <c r="GX201" t="e">
        <f>AND(#REF!,"AAAAADve/s0=")</f>
        <v>#REF!</v>
      </c>
      <c r="GY201" t="e">
        <f>AND(#REF!,"AAAAADve/s4=")</f>
        <v>#REF!</v>
      </c>
      <c r="GZ201" t="e">
        <f>AND(#REF!,"AAAAADve/s8=")</f>
        <v>#REF!</v>
      </c>
      <c r="HA201" t="e">
        <f>AND(#REF!,"AAAAADve/tA=")</f>
        <v>#REF!</v>
      </c>
      <c r="HB201" t="e">
        <f>AND(#REF!,"AAAAADve/tE=")</f>
        <v>#REF!</v>
      </c>
      <c r="HC201" t="e">
        <f>AND(#REF!,"AAAAADve/tI=")</f>
        <v>#REF!</v>
      </c>
      <c r="HD201" t="e">
        <f>AND(#REF!,"AAAAADve/tM=")</f>
        <v>#REF!</v>
      </c>
      <c r="HE201" t="e">
        <f>AND(#REF!,"AAAAADve/tQ=")</f>
        <v>#REF!</v>
      </c>
      <c r="HF201" t="e">
        <f>AND(#REF!,"AAAAADve/tU=")</f>
        <v>#REF!</v>
      </c>
      <c r="HG201" t="e">
        <f>AND(#REF!,"AAAAADve/tY=")</f>
        <v>#REF!</v>
      </c>
      <c r="HH201" t="e">
        <f>AND(#REF!,"AAAAADve/tc=")</f>
        <v>#REF!</v>
      </c>
      <c r="HI201" t="e">
        <f>AND(#REF!,"AAAAADve/tg=")</f>
        <v>#REF!</v>
      </c>
      <c r="HJ201" t="e">
        <f>AND(#REF!,"AAAAADve/tk=")</f>
        <v>#REF!</v>
      </c>
      <c r="HK201" t="e">
        <f>AND(#REF!,"AAAAADve/to=")</f>
        <v>#REF!</v>
      </c>
      <c r="HL201" t="e">
        <f>AND(#REF!,"AAAAADve/ts=")</f>
        <v>#REF!</v>
      </c>
      <c r="HM201" t="e">
        <f>AND(#REF!,"AAAAADve/tw=")</f>
        <v>#REF!</v>
      </c>
      <c r="HN201" t="e">
        <f>AND(#REF!,"AAAAADve/t0=")</f>
        <v>#REF!</v>
      </c>
      <c r="HO201" t="e">
        <f>AND(#REF!,"AAAAADve/t4=")</f>
        <v>#REF!</v>
      </c>
      <c r="HP201" t="e">
        <f>AND(#REF!,"AAAAADve/t8=")</f>
        <v>#REF!</v>
      </c>
      <c r="HQ201" t="e">
        <f>AND(#REF!,"AAAAADve/uA=")</f>
        <v>#REF!</v>
      </c>
      <c r="HR201" t="e">
        <f>AND(#REF!,"AAAAADve/uE=")</f>
        <v>#REF!</v>
      </c>
      <c r="HS201" t="e">
        <f>AND(#REF!,"AAAAADve/uI=")</f>
        <v>#REF!</v>
      </c>
      <c r="HT201" t="e">
        <f>AND(#REF!,"AAAAADve/uM=")</f>
        <v>#REF!</v>
      </c>
      <c r="HU201" t="e">
        <f>AND(#REF!,"AAAAADve/uQ=")</f>
        <v>#REF!</v>
      </c>
      <c r="HV201" t="e">
        <f>AND(#REF!,"AAAAADve/uU=")</f>
        <v>#REF!</v>
      </c>
      <c r="HW201" t="e">
        <f>AND(#REF!,"AAAAADve/uY=")</f>
        <v>#REF!</v>
      </c>
      <c r="HX201" t="e">
        <f>AND(#REF!,"AAAAADve/uc=")</f>
        <v>#REF!</v>
      </c>
      <c r="HY201" t="e">
        <f>AND(#REF!,"AAAAADve/ug=")</f>
        <v>#REF!</v>
      </c>
      <c r="HZ201" t="e">
        <f>AND(#REF!,"AAAAADve/uk=")</f>
        <v>#REF!</v>
      </c>
      <c r="IA201" t="e">
        <f>AND(#REF!,"AAAAADve/uo=")</f>
        <v>#REF!</v>
      </c>
      <c r="IB201" t="e">
        <f>AND(#REF!,"AAAAADve/us=")</f>
        <v>#REF!</v>
      </c>
      <c r="IC201" t="e">
        <f>AND(#REF!,"AAAAADve/uw=")</f>
        <v>#REF!</v>
      </c>
      <c r="ID201" t="e">
        <f>AND(#REF!,"AAAAADve/u0=")</f>
        <v>#REF!</v>
      </c>
      <c r="IE201" t="e">
        <f>AND(#REF!,"AAAAADve/u4=")</f>
        <v>#REF!</v>
      </c>
      <c r="IF201" t="e">
        <f>AND(#REF!,"AAAAADve/u8=")</f>
        <v>#REF!</v>
      </c>
      <c r="IG201" t="e">
        <f>AND(#REF!,"AAAAADve/vA=")</f>
        <v>#REF!</v>
      </c>
      <c r="IH201" t="e">
        <f>AND(#REF!,"AAAAADve/vE=")</f>
        <v>#REF!</v>
      </c>
      <c r="II201" t="e">
        <f>AND(#REF!,"AAAAADve/vI=")</f>
        <v>#REF!</v>
      </c>
      <c r="IJ201" t="e">
        <f>AND(#REF!,"AAAAADve/vM=")</f>
        <v>#REF!</v>
      </c>
      <c r="IK201" t="e">
        <f>AND(#REF!,"AAAAADve/vQ=")</f>
        <v>#REF!</v>
      </c>
      <c r="IL201" t="e">
        <f>AND(#REF!,"AAAAADve/vU=")</f>
        <v>#REF!</v>
      </c>
      <c r="IM201" t="e">
        <f>AND(#REF!,"AAAAADve/vY=")</f>
        <v>#REF!</v>
      </c>
      <c r="IN201" t="e">
        <f>AND(#REF!,"AAAAADve/vc=")</f>
        <v>#REF!</v>
      </c>
      <c r="IO201" t="e">
        <f>AND(#REF!,"AAAAADve/vg=")</f>
        <v>#REF!</v>
      </c>
      <c r="IP201" t="e">
        <f>AND(#REF!,"AAAAADve/vk=")</f>
        <v>#REF!</v>
      </c>
      <c r="IQ201" t="e">
        <f>AND(#REF!,"AAAAADve/vo=")</f>
        <v>#REF!</v>
      </c>
      <c r="IR201" t="e">
        <f>AND(#REF!,"AAAAADve/vs=")</f>
        <v>#REF!</v>
      </c>
      <c r="IS201" t="e">
        <f>AND(#REF!,"AAAAADve/vw=")</f>
        <v>#REF!</v>
      </c>
      <c r="IT201" t="e">
        <f>AND(#REF!,"AAAAADve/v0=")</f>
        <v>#REF!</v>
      </c>
      <c r="IU201" t="e">
        <f>AND(#REF!,"AAAAADve/v4=")</f>
        <v>#REF!</v>
      </c>
      <c r="IV201" t="e">
        <f>AND(#REF!,"AAAAADve/v8=")</f>
        <v>#REF!</v>
      </c>
    </row>
    <row r="202" spans="1:256" x14ac:dyDescent="0.25">
      <c r="A202" t="e">
        <f>AND(#REF!,"AAAAAC3mTwA=")</f>
        <v>#REF!</v>
      </c>
      <c r="B202" t="e">
        <f>AND(#REF!,"AAAAAC3mTwE=")</f>
        <v>#REF!</v>
      </c>
      <c r="C202" t="e">
        <f>AND(#REF!,"AAAAAC3mTwI=")</f>
        <v>#REF!</v>
      </c>
      <c r="D202" t="e">
        <f>AND(#REF!,"AAAAAC3mTwM=")</f>
        <v>#REF!</v>
      </c>
      <c r="E202" t="e">
        <f>AND(#REF!,"AAAAAC3mTwQ=")</f>
        <v>#REF!</v>
      </c>
      <c r="F202" t="e">
        <f>AND(#REF!,"AAAAAC3mTwU=")</f>
        <v>#REF!</v>
      </c>
      <c r="G202" t="e">
        <f>AND(#REF!,"AAAAAC3mTwY=")</f>
        <v>#REF!</v>
      </c>
      <c r="H202" t="e">
        <f>AND(#REF!,"AAAAAC3mTwc=")</f>
        <v>#REF!</v>
      </c>
      <c r="I202" t="e">
        <f>AND(#REF!,"AAAAAC3mTwg=")</f>
        <v>#REF!</v>
      </c>
      <c r="J202" t="e">
        <f>AND(#REF!,"AAAAAC3mTwk=")</f>
        <v>#REF!</v>
      </c>
      <c r="K202" t="e">
        <f>AND(#REF!,"AAAAAC3mTwo=")</f>
        <v>#REF!</v>
      </c>
      <c r="L202" t="e">
        <f>AND(#REF!,"AAAAAC3mTws=")</f>
        <v>#REF!</v>
      </c>
      <c r="M202" t="e">
        <f>AND(#REF!,"AAAAAC3mTww=")</f>
        <v>#REF!</v>
      </c>
      <c r="N202" t="e">
        <f>AND(#REF!,"AAAAAC3mTw0=")</f>
        <v>#REF!</v>
      </c>
      <c r="O202" t="e">
        <f>AND(#REF!,"AAAAAC3mTw4=")</f>
        <v>#REF!</v>
      </c>
      <c r="P202" t="e">
        <f>AND(#REF!,"AAAAAC3mTw8=")</f>
        <v>#REF!</v>
      </c>
      <c r="Q202" t="e">
        <f>AND(#REF!,"AAAAAC3mTxA=")</f>
        <v>#REF!</v>
      </c>
      <c r="R202" t="e">
        <f>AND(#REF!,"AAAAAC3mTxE=")</f>
        <v>#REF!</v>
      </c>
      <c r="S202" t="e">
        <f>AND(#REF!,"AAAAAC3mTxI=")</f>
        <v>#REF!</v>
      </c>
      <c r="T202" t="e">
        <f>AND(#REF!,"AAAAAC3mTxM=")</f>
        <v>#REF!</v>
      </c>
      <c r="U202" t="e">
        <f>AND(#REF!,"AAAAAC3mTxQ=")</f>
        <v>#REF!</v>
      </c>
      <c r="V202" t="e">
        <f>AND(#REF!,"AAAAAC3mTxU=")</f>
        <v>#REF!</v>
      </c>
      <c r="W202" t="e">
        <f>AND(#REF!,"AAAAAC3mTxY=")</f>
        <v>#REF!</v>
      </c>
      <c r="X202" t="e">
        <f>AND(#REF!,"AAAAAC3mTxc=")</f>
        <v>#REF!</v>
      </c>
      <c r="Y202" t="e">
        <f>AND(#REF!,"AAAAAC3mTxg=")</f>
        <v>#REF!</v>
      </c>
      <c r="Z202" t="e">
        <f>AND(#REF!,"AAAAAC3mTxk=")</f>
        <v>#REF!</v>
      </c>
      <c r="AA202" t="e">
        <f>AND(#REF!,"AAAAAC3mTxo=")</f>
        <v>#REF!</v>
      </c>
      <c r="AB202" t="e">
        <f>AND(#REF!,"AAAAAC3mTxs=")</f>
        <v>#REF!</v>
      </c>
      <c r="AC202" t="e">
        <f>AND(#REF!,"AAAAAC3mTxw=")</f>
        <v>#REF!</v>
      </c>
      <c r="AD202" t="e">
        <f>AND(#REF!,"AAAAAC3mTx0=")</f>
        <v>#REF!</v>
      </c>
      <c r="AE202" t="e">
        <f>AND(#REF!,"AAAAAC3mTx4=")</f>
        <v>#REF!</v>
      </c>
      <c r="AF202" t="e">
        <f>AND(#REF!,"AAAAAC3mTx8=")</f>
        <v>#REF!</v>
      </c>
      <c r="AG202" t="e">
        <f>AND(#REF!,"AAAAAC3mTyA=")</f>
        <v>#REF!</v>
      </c>
      <c r="AH202" t="e">
        <f>AND(#REF!,"AAAAAC3mTyE=")</f>
        <v>#REF!</v>
      </c>
      <c r="AI202" t="e">
        <f>AND(#REF!,"AAAAAC3mTyI=")</f>
        <v>#REF!</v>
      </c>
      <c r="AJ202" t="e">
        <f>AND(#REF!,"AAAAAC3mTyM=")</f>
        <v>#REF!</v>
      </c>
      <c r="AK202" t="e">
        <f>AND(#REF!,"AAAAAC3mTyQ=")</f>
        <v>#REF!</v>
      </c>
      <c r="AL202" t="e">
        <f>AND(#REF!,"AAAAAC3mTyU=")</f>
        <v>#REF!</v>
      </c>
      <c r="AM202" t="e">
        <f>AND(#REF!,"AAAAAC3mTyY=")</f>
        <v>#REF!</v>
      </c>
      <c r="AN202" t="e">
        <f>AND(#REF!,"AAAAAC3mTyc=")</f>
        <v>#REF!</v>
      </c>
      <c r="AO202" t="e">
        <f>AND(#REF!,"AAAAAC3mTyg=")</f>
        <v>#REF!</v>
      </c>
      <c r="AP202" t="e">
        <f>AND(#REF!,"AAAAAC3mTyk=")</f>
        <v>#REF!</v>
      </c>
      <c r="AQ202" t="e">
        <f>AND(#REF!,"AAAAAC3mTyo=")</f>
        <v>#REF!</v>
      </c>
      <c r="AR202" t="e">
        <f>AND(#REF!,"AAAAAC3mTys=")</f>
        <v>#REF!</v>
      </c>
      <c r="AS202" t="e">
        <f>AND(#REF!,"AAAAAC3mTyw=")</f>
        <v>#REF!</v>
      </c>
      <c r="AT202" t="e">
        <f>AND(#REF!,"AAAAAC3mTy0=")</f>
        <v>#REF!</v>
      </c>
      <c r="AU202" t="e">
        <f>AND(#REF!,"AAAAAC3mTy4=")</f>
        <v>#REF!</v>
      </c>
      <c r="AV202" t="e">
        <f>AND(#REF!,"AAAAAC3mTy8=")</f>
        <v>#REF!</v>
      </c>
      <c r="AW202" t="e">
        <f>AND(#REF!,"AAAAAC3mTzA=")</f>
        <v>#REF!</v>
      </c>
      <c r="AX202" t="e">
        <f>AND(#REF!,"AAAAAC3mTzE=")</f>
        <v>#REF!</v>
      </c>
      <c r="AY202" t="e">
        <f>AND(#REF!,"AAAAAC3mTzI=")</f>
        <v>#REF!</v>
      </c>
      <c r="AZ202" t="e">
        <f>AND(#REF!,"AAAAAC3mTzM=")</f>
        <v>#REF!</v>
      </c>
      <c r="BA202" t="e">
        <f>AND(#REF!,"AAAAAC3mTzQ=")</f>
        <v>#REF!</v>
      </c>
      <c r="BB202" t="e">
        <f>AND(#REF!,"AAAAAC3mTzU=")</f>
        <v>#REF!</v>
      </c>
      <c r="BC202" t="e">
        <f>AND(#REF!,"AAAAAC3mTzY=")</f>
        <v>#REF!</v>
      </c>
      <c r="BD202" t="e">
        <f>AND(#REF!,"AAAAAC3mTzc=")</f>
        <v>#REF!</v>
      </c>
      <c r="BE202" t="e">
        <f>AND(#REF!,"AAAAAC3mTzg=")</f>
        <v>#REF!</v>
      </c>
      <c r="BF202" t="e">
        <f>AND(#REF!,"AAAAAC3mTzk=")</f>
        <v>#REF!</v>
      </c>
      <c r="BG202" t="e">
        <f>AND(#REF!,"AAAAAC3mTzo=")</f>
        <v>#REF!</v>
      </c>
      <c r="BH202" t="e">
        <f>AND(#REF!,"AAAAAC3mTzs=")</f>
        <v>#REF!</v>
      </c>
      <c r="BI202" t="e">
        <f>AND(#REF!,"AAAAAC3mTzw=")</f>
        <v>#REF!</v>
      </c>
      <c r="BJ202" t="e">
        <f>AND(#REF!,"AAAAAC3mTz0=")</f>
        <v>#REF!</v>
      </c>
      <c r="BK202" t="e">
        <f>AND(#REF!,"AAAAAC3mTz4=")</f>
        <v>#REF!</v>
      </c>
      <c r="BL202" t="e">
        <f>AND(#REF!,"AAAAAC3mTz8=")</f>
        <v>#REF!</v>
      </c>
      <c r="BM202" t="e">
        <f>AND(#REF!,"AAAAAC3mT0A=")</f>
        <v>#REF!</v>
      </c>
      <c r="BN202" t="e">
        <f>AND(#REF!,"AAAAAC3mT0E=")</f>
        <v>#REF!</v>
      </c>
      <c r="BO202" t="e">
        <f>AND(#REF!,"AAAAAC3mT0I=")</f>
        <v>#REF!</v>
      </c>
      <c r="BP202" t="e">
        <f>AND(#REF!,"AAAAAC3mT0M=")</f>
        <v>#REF!</v>
      </c>
      <c r="BQ202" t="e">
        <f>AND(#REF!,"AAAAAC3mT0Q=")</f>
        <v>#REF!</v>
      </c>
      <c r="BR202" t="e">
        <f>AND(#REF!,"AAAAAC3mT0U=")</f>
        <v>#REF!</v>
      </c>
      <c r="BS202" t="e">
        <f>AND(#REF!,"AAAAAC3mT0Y=")</f>
        <v>#REF!</v>
      </c>
      <c r="BT202" t="e">
        <f>AND(#REF!,"AAAAAC3mT0c=")</f>
        <v>#REF!</v>
      </c>
      <c r="BU202" t="e">
        <f>AND(#REF!,"AAAAAC3mT0g=")</f>
        <v>#REF!</v>
      </c>
      <c r="BV202" t="e">
        <f>AND(#REF!,"AAAAAC3mT0k=")</f>
        <v>#REF!</v>
      </c>
      <c r="BW202" t="e">
        <f>AND(#REF!,"AAAAAC3mT0o=")</f>
        <v>#REF!</v>
      </c>
      <c r="BX202" t="e">
        <f>AND(#REF!,"AAAAAC3mT0s=")</f>
        <v>#REF!</v>
      </c>
      <c r="BY202" t="e">
        <f>AND(#REF!,"AAAAAC3mT0w=")</f>
        <v>#REF!</v>
      </c>
      <c r="BZ202" t="e">
        <f>AND(#REF!,"AAAAAC3mT00=")</f>
        <v>#REF!</v>
      </c>
      <c r="CA202" t="e">
        <f>AND(#REF!,"AAAAAC3mT04=")</f>
        <v>#REF!</v>
      </c>
      <c r="CB202" t="e">
        <f>AND(#REF!,"AAAAAC3mT08=")</f>
        <v>#REF!</v>
      </c>
      <c r="CC202" t="e">
        <f>AND(#REF!,"AAAAAC3mT1A=")</f>
        <v>#REF!</v>
      </c>
      <c r="CD202" t="e">
        <f>AND(#REF!,"AAAAAC3mT1E=")</f>
        <v>#REF!</v>
      </c>
      <c r="CE202" t="e">
        <f>AND(#REF!,"AAAAAC3mT1I=")</f>
        <v>#REF!</v>
      </c>
      <c r="CF202" t="e">
        <f>AND(#REF!,"AAAAAC3mT1M=")</f>
        <v>#REF!</v>
      </c>
      <c r="CG202" t="e">
        <f>AND(#REF!,"AAAAAC3mT1Q=")</f>
        <v>#REF!</v>
      </c>
      <c r="CH202" t="e">
        <f>AND(#REF!,"AAAAAC3mT1U=")</f>
        <v>#REF!</v>
      </c>
      <c r="CI202" t="e">
        <f>AND(#REF!,"AAAAAC3mT1Y=")</f>
        <v>#REF!</v>
      </c>
      <c r="CJ202" t="e">
        <f>AND(#REF!,"AAAAAC3mT1c=")</f>
        <v>#REF!</v>
      </c>
      <c r="CK202" t="e">
        <f>AND(#REF!,"AAAAAC3mT1g=")</f>
        <v>#REF!</v>
      </c>
      <c r="CL202" t="e">
        <f>AND(#REF!,"AAAAAC3mT1k=")</f>
        <v>#REF!</v>
      </c>
      <c r="CM202" t="e">
        <f>AND(#REF!,"AAAAAC3mT1o=")</f>
        <v>#REF!</v>
      </c>
      <c r="CN202" t="e">
        <f>AND(#REF!,"AAAAAC3mT1s=")</f>
        <v>#REF!</v>
      </c>
      <c r="CO202" t="e">
        <f>AND(#REF!,"AAAAAC3mT1w=")</f>
        <v>#REF!</v>
      </c>
      <c r="CP202" t="e">
        <f>AND(#REF!,"AAAAAC3mT10=")</f>
        <v>#REF!</v>
      </c>
      <c r="CQ202" t="e">
        <f>AND(#REF!,"AAAAAC3mT14=")</f>
        <v>#REF!</v>
      </c>
      <c r="CR202" t="e">
        <f>AND(#REF!,"AAAAAC3mT18=")</f>
        <v>#REF!</v>
      </c>
      <c r="CS202" t="e">
        <f>AND(#REF!,"AAAAAC3mT2A=")</f>
        <v>#REF!</v>
      </c>
      <c r="CT202" t="e">
        <f>AND(#REF!,"AAAAAC3mT2E=")</f>
        <v>#REF!</v>
      </c>
      <c r="CU202" t="e">
        <f>AND(#REF!,"AAAAAC3mT2I=")</f>
        <v>#REF!</v>
      </c>
      <c r="CV202" t="e">
        <f>AND(#REF!,"AAAAAC3mT2M=")</f>
        <v>#REF!</v>
      </c>
      <c r="CW202" t="e">
        <f>AND(#REF!,"AAAAAC3mT2Q=")</f>
        <v>#REF!</v>
      </c>
      <c r="CX202" t="e">
        <f>AND(#REF!,"AAAAAC3mT2U=")</f>
        <v>#REF!</v>
      </c>
      <c r="CY202" t="e">
        <f>AND(#REF!,"AAAAAC3mT2Y=")</f>
        <v>#REF!</v>
      </c>
      <c r="CZ202" t="e">
        <f>AND(#REF!,"AAAAAC3mT2c=")</f>
        <v>#REF!</v>
      </c>
      <c r="DA202" t="e">
        <f>AND(#REF!,"AAAAAC3mT2g=")</f>
        <v>#REF!</v>
      </c>
      <c r="DB202" t="e">
        <f>AND(#REF!,"AAAAAC3mT2k=")</f>
        <v>#REF!</v>
      </c>
      <c r="DC202" t="e">
        <f>AND(#REF!,"AAAAAC3mT2o=")</f>
        <v>#REF!</v>
      </c>
      <c r="DD202" t="e">
        <f>AND(#REF!,"AAAAAC3mT2s=")</f>
        <v>#REF!</v>
      </c>
      <c r="DE202" t="e">
        <f>AND(#REF!,"AAAAAC3mT2w=")</f>
        <v>#REF!</v>
      </c>
      <c r="DF202" t="e">
        <f>AND(#REF!,"AAAAAC3mT20=")</f>
        <v>#REF!</v>
      </c>
      <c r="DG202" t="e">
        <f>AND(#REF!,"AAAAAC3mT24=")</f>
        <v>#REF!</v>
      </c>
      <c r="DH202" t="e">
        <f>AND(#REF!,"AAAAAC3mT28=")</f>
        <v>#REF!</v>
      </c>
      <c r="DI202" t="e">
        <f>AND(#REF!,"AAAAAC3mT3A=")</f>
        <v>#REF!</v>
      </c>
      <c r="DJ202" t="e">
        <f>AND(#REF!,"AAAAAC3mT3E=")</f>
        <v>#REF!</v>
      </c>
      <c r="DK202" t="e">
        <f>AND(#REF!,"AAAAAC3mT3I=")</f>
        <v>#REF!</v>
      </c>
      <c r="DL202" t="e">
        <f>AND(#REF!,"AAAAAC3mT3M=")</f>
        <v>#REF!</v>
      </c>
      <c r="DM202" t="e">
        <f>AND(#REF!,"AAAAAC3mT3Q=")</f>
        <v>#REF!</v>
      </c>
      <c r="DN202" t="e">
        <f>AND(#REF!,"AAAAAC3mT3U=")</f>
        <v>#REF!</v>
      </c>
      <c r="DO202" t="e">
        <f>AND(#REF!,"AAAAAC3mT3Y=")</f>
        <v>#REF!</v>
      </c>
      <c r="DP202" t="e">
        <f>AND(#REF!,"AAAAAC3mT3c=")</f>
        <v>#REF!</v>
      </c>
      <c r="DQ202" t="e">
        <f>AND(#REF!,"AAAAAC3mT3g=")</f>
        <v>#REF!</v>
      </c>
      <c r="DR202" t="e">
        <f>AND(#REF!,"AAAAAC3mT3k=")</f>
        <v>#REF!</v>
      </c>
      <c r="DS202" t="e">
        <f>AND(#REF!,"AAAAAC3mT3o=")</f>
        <v>#REF!</v>
      </c>
      <c r="DT202" t="e">
        <f>AND(#REF!,"AAAAAC3mT3s=")</f>
        <v>#REF!</v>
      </c>
      <c r="DU202" t="e">
        <f>AND(#REF!,"AAAAAC3mT3w=")</f>
        <v>#REF!</v>
      </c>
      <c r="DV202" t="e">
        <f>AND(#REF!,"AAAAAC3mT30=")</f>
        <v>#REF!</v>
      </c>
      <c r="DW202" t="e">
        <f>AND(#REF!,"AAAAAC3mT34=")</f>
        <v>#REF!</v>
      </c>
      <c r="DX202" t="e">
        <f>AND(#REF!,"AAAAAC3mT38=")</f>
        <v>#REF!</v>
      </c>
      <c r="DY202" t="e">
        <f>AND(#REF!,"AAAAAC3mT4A=")</f>
        <v>#REF!</v>
      </c>
      <c r="DZ202" t="e">
        <f>AND(#REF!,"AAAAAC3mT4E=")</f>
        <v>#REF!</v>
      </c>
      <c r="EA202" t="e">
        <f>AND(#REF!,"AAAAAC3mT4I=")</f>
        <v>#REF!</v>
      </c>
      <c r="EB202" t="e">
        <f>AND(#REF!,"AAAAAC3mT4M=")</f>
        <v>#REF!</v>
      </c>
      <c r="EC202" t="e">
        <f>AND(#REF!,"AAAAAC3mT4Q=")</f>
        <v>#REF!</v>
      </c>
      <c r="ED202" t="e">
        <f>IF(#REF!,"AAAAAC3mT4U=",0)</f>
        <v>#REF!</v>
      </c>
      <c r="EE202" t="e">
        <f>AND(#REF!,"AAAAAC3mT4Y=")</f>
        <v>#REF!</v>
      </c>
      <c r="EF202" t="e">
        <f>AND(#REF!,"AAAAAC3mT4c=")</f>
        <v>#REF!</v>
      </c>
      <c r="EG202" t="e">
        <f>AND(#REF!,"AAAAAC3mT4g=")</f>
        <v>#REF!</v>
      </c>
      <c r="EH202" t="e">
        <f>AND(#REF!,"AAAAAC3mT4k=")</f>
        <v>#REF!</v>
      </c>
      <c r="EI202" t="e">
        <f>AND(#REF!,"AAAAAC3mT4o=")</f>
        <v>#REF!</v>
      </c>
      <c r="EJ202" t="e">
        <f>AND(#REF!,"AAAAAC3mT4s=")</f>
        <v>#REF!</v>
      </c>
      <c r="EK202" t="e">
        <f>AND(#REF!,"AAAAAC3mT4w=")</f>
        <v>#REF!</v>
      </c>
      <c r="EL202" t="e">
        <f>AND(#REF!,"AAAAAC3mT40=")</f>
        <v>#REF!</v>
      </c>
      <c r="EM202" t="e">
        <f>AND(#REF!,"AAAAAC3mT44=")</f>
        <v>#REF!</v>
      </c>
      <c r="EN202" t="e">
        <f>AND(#REF!,"AAAAAC3mT48=")</f>
        <v>#REF!</v>
      </c>
      <c r="EO202" t="e">
        <f>AND(#REF!,"AAAAAC3mT5A=")</f>
        <v>#REF!</v>
      </c>
      <c r="EP202" t="e">
        <f>AND(#REF!,"AAAAAC3mT5E=")</f>
        <v>#REF!</v>
      </c>
      <c r="EQ202" t="e">
        <f>AND(#REF!,"AAAAAC3mT5I=")</f>
        <v>#REF!</v>
      </c>
      <c r="ER202" t="e">
        <f>AND(#REF!,"AAAAAC3mT5M=")</f>
        <v>#REF!</v>
      </c>
      <c r="ES202" t="e">
        <f>AND(#REF!,"AAAAAC3mT5Q=")</f>
        <v>#REF!</v>
      </c>
      <c r="ET202" t="e">
        <f>AND(#REF!,"AAAAAC3mT5U=")</f>
        <v>#REF!</v>
      </c>
      <c r="EU202" t="e">
        <f>AND(#REF!,"AAAAAC3mT5Y=")</f>
        <v>#REF!</v>
      </c>
      <c r="EV202" t="e">
        <f>AND(#REF!,"AAAAAC3mT5c=")</f>
        <v>#REF!</v>
      </c>
      <c r="EW202" t="e">
        <f>AND(#REF!,"AAAAAC3mT5g=")</f>
        <v>#REF!</v>
      </c>
      <c r="EX202" t="e">
        <f>AND(#REF!,"AAAAAC3mT5k=")</f>
        <v>#REF!</v>
      </c>
      <c r="EY202" t="e">
        <f>AND(#REF!,"AAAAAC3mT5o=")</f>
        <v>#REF!</v>
      </c>
      <c r="EZ202" t="e">
        <f>AND(#REF!,"AAAAAC3mT5s=")</f>
        <v>#REF!</v>
      </c>
      <c r="FA202" t="e">
        <f>AND(#REF!,"AAAAAC3mT5w=")</f>
        <v>#REF!</v>
      </c>
      <c r="FB202" t="e">
        <f>AND(#REF!,"AAAAAC3mT50=")</f>
        <v>#REF!</v>
      </c>
      <c r="FC202" t="e">
        <f>AND(#REF!,"AAAAAC3mT54=")</f>
        <v>#REF!</v>
      </c>
      <c r="FD202" t="e">
        <f>AND(#REF!,"AAAAAC3mT58=")</f>
        <v>#REF!</v>
      </c>
      <c r="FE202" t="e">
        <f>AND(#REF!,"AAAAAC3mT6A=")</f>
        <v>#REF!</v>
      </c>
      <c r="FF202" t="e">
        <f>AND(#REF!,"AAAAAC3mT6E=")</f>
        <v>#REF!</v>
      </c>
      <c r="FG202" t="e">
        <f>AND(#REF!,"AAAAAC3mT6I=")</f>
        <v>#REF!</v>
      </c>
      <c r="FH202" t="e">
        <f>AND(#REF!,"AAAAAC3mT6M=")</f>
        <v>#REF!</v>
      </c>
      <c r="FI202" t="e">
        <f>AND(#REF!,"AAAAAC3mT6Q=")</f>
        <v>#REF!</v>
      </c>
      <c r="FJ202" t="e">
        <f>AND(#REF!,"AAAAAC3mT6U=")</f>
        <v>#REF!</v>
      </c>
      <c r="FK202" t="e">
        <f>AND(#REF!,"AAAAAC3mT6Y=")</f>
        <v>#REF!</v>
      </c>
      <c r="FL202" t="e">
        <f>AND(#REF!,"AAAAAC3mT6c=")</f>
        <v>#REF!</v>
      </c>
      <c r="FM202" t="e">
        <f>AND(#REF!,"AAAAAC3mT6g=")</f>
        <v>#REF!</v>
      </c>
      <c r="FN202" t="e">
        <f>AND(#REF!,"AAAAAC3mT6k=")</f>
        <v>#REF!</v>
      </c>
      <c r="FO202" t="e">
        <f>AND(#REF!,"AAAAAC3mT6o=")</f>
        <v>#REF!</v>
      </c>
      <c r="FP202" t="e">
        <f>AND(#REF!,"AAAAAC3mT6s=")</f>
        <v>#REF!</v>
      </c>
      <c r="FQ202" t="e">
        <f>AND(#REF!,"AAAAAC3mT6w=")</f>
        <v>#REF!</v>
      </c>
      <c r="FR202" t="e">
        <f>AND(#REF!,"AAAAAC3mT60=")</f>
        <v>#REF!</v>
      </c>
      <c r="FS202" t="e">
        <f>AND(#REF!,"AAAAAC3mT64=")</f>
        <v>#REF!</v>
      </c>
      <c r="FT202" t="e">
        <f>AND(#REF!,"AAAAAC3mT68=")</f>
        <v>#REF!</v>
      </c>
      <c r="FU202" t="e">
        <f>AND(#REF!,"AAAAAC3mT7A=")</f>
        <v>#REF!</v>
      </c>
      <c r="FV202" t="e">
        <f>AND(#REF!,"AAAAAC3mT7E=")</f>
        <v>#REF!</v>
      </c>
      <c r="FW202" t="e">
        <f>AND(#REF!,"AAAAAC3mT7I=")</f>
        <v>#REF!</v>
      </c>
      <c r="FX202" t="e">
        <f>AND(#REF!,"AAAAAC3mT7M=")</f>
        <v>#REF!</v>
      </c>
      <c r="FY202" t="e">
        <f>AND(#REF!,"AAAAAC3mT7Q=")</f>
        <v>#REF!</v>
      </c>
      <c r="FZ202" t="e">
        <f>AND(#REF!,"AAAAAC3mT7U=")</f>
        <v>#REF!</v>
      </c>
      <c r="GA202" t="e">
        <f>AND(#REF!,"AAAAAC3mT7Y=")</f>
        <v>#REF!</v>
      </c>
      <c r="GB202" t="e">
        <f>AND(#REF!,"AAAAAC3mT7c=")</f>
        <v>#REF!</v>
      </c>
      <c r="GC202" t="e">
        <f>AND(#REF!,"AAAAAC3mT7g=")</f>
        <v>#REF!</v>
      </c>
      <c r="GD202" t="e">
        <f>AND(#REF!,"AAAAAC3mT7k=")</f>
        <v>#REF!</v>
      </c>
      <c r="GE202" t="e">
        <f>AND(#REF!,"AAAAAC3mT7o=")</f>
        <v>#REF!</v>
      </c>
      <c r="GF202" t="e">
        <f>AND(#REF!,"AAAAAC3mT7s=")</f>
        <v>#REF!</v>
      </c>
      <c r="GG202" t="e">
        <f>AND(#REF!,"AAAAAC3mT7w=")</f>
        <v>#REF!</v>
      </c>
      <c r="GH202" t="e">
        <f>AND(#REF!,"AAAAAC3mT70=")</f>
        <v>#REF!</v>
      </c>
      <c r="GI202" t="e">
        <f>AND(#REF!,"AAAAAC3mT74=")</f>
        <v>#REF!</v>
      </c>
      <c r="GJ202" t="e">
        <f>AND(#REF!,"AAAAAC3mT78=")</f>
        <v>#REF!</v>
      </c>
      <c r="GK202" t="e">
        <f>AND(#REF!,"AAAAAC3mT8A=")</f>
        <v>#REF!</v>
      </c>
      <c r="GL202" t="e">
        <f>AND(#REF!,"AAAAAC3mT8E=")</f>
        <v>#REF!</v>
      </c>
      <c r="GM202" t="e">
        <f>AND(#REF!,"AAAAAC3mT8I=")</f>
        <v>#REF!</v>
      </c>
      <c r="GN202" t="e">
        <f>AND(#REF!,"AAAAAC3mT8M=")</f>
        <v>#REF!</v>
      </c>
      <c r="GO202" t="e">
        <f>AND(#REF!,"AAAAAC3mT8Q=")</f>
        <v>#REF!</v>
      </c>
      <c r="GP202" t="e">
        <f>AND(#REF!,"AAAAAC3mT8U=")</f>
        <v>#REF!</v>
      </c>
      <c r="GQ202" t="e">
        <f>AND(#REF!,"AAAAAC3mT8Y=")</f>
        <v>#REF!</v>
      </c>
      <c r="GR202" t="e">
        <f>AND(#REF!,"AAAAAC3mT8c=")</f>
        <v>#REF!</v>
      </c>
      <c r="GS202" t="e">
        <f>AND(#REF!,"AAAAAC3mT8g=")</f>
        <v>#REF!</v>
      </c>
      <c r="GT202" t="e">
        <f>AND(#REF!,"AAAAAC3mT8k=")</f>
        <v>#REF!</v>
      </c>
      <c r="GU202" t="e">
        <f>AND(#REF!,"AAAAAC3mT8o=")</f>
        <v>#REF!</v>
      </c>
      <c r="GV202" t="e">
        <f>AND(#REF!,"AAAAAC3mT8s=")</f>
        <v>#REF!</v>
      </c>
      <c r="GW202" t="e">
        <f>AND(#REF!,"AAAAAC3mT8w=")</f>
        <v>#REF!</v>
      </c>
      <c r="GX202" t="e">
        <f>AND(#REF!,"AAAAAC3mT80=")</f>
        <v>#REF!</v>
      </c>
      <c r="GY202" t="e">
        <f>AND(#REF!,"AAAAAC3mT84=")</f>
        <v>#REF!</v>
      </c>
      <c r="GZ202" t="e">
        <f>AND(#REF!,"AAAAAC3mT88=")</f>
        <v>#REF!</v>
      </c>
      <c r="HA202" t="e">
        <f>AND(#REF!,"AAAAAC3mT9A=")</f>
        <v>#REF!</v>
      </c>
      <c r="HB202" t="e">
        <f>AND(#REF!,"AAAAAC3mT9E=")</f>
        <v>#REF!</v>
      </c>
      <c r="HC202" t="e">
        <f>AND(#REF!,"AAAAAC3mT9I=")</f>
        <v>#REF!</v>
      </c>
      <c r="HD202" t="e">
        <f>AND(#REF!,"AAAAAC3mT9M=")</f>
        <v>#REF!</v>
      </c>
      <c r="HE202" t="e">
        <f>AND(#REF!,"AAAAAC3mT9Q=")</f>
        <v>#REF!</v>
      </c>
      <c r="HF202" t="e">
        <f>AND(#REF!,"AAAAAC3mT9U=")</f>
        <v>#REF!</v>
      </c>
      <c r="HG202" t="e">
        <f>AND(#REF!,"AAAAAC3mT9Y=")</f>
        <v>#REF!</v>
      </c>
      <c r="HH202" t="e">
        <f>AND(#REF!,"AAAAAC3mT9c=")</f>
        <v>#REF!</v>
      </c>
      <c r="HI202" t="e">
        <f>AND(#REF!,"AAAAAC3mT9g=")</f>
        <v>#REF!</v>
      </c>
      <c r="HJ202" t="e">
        <f>AND(#REF!,"AAAAAC3mT9k=")</f>
        <v>#REF!</v>
      </c>
      <c r="HK202" t="e">
        <f>AND(#REF!,"AAAAAC3mT9o=")</f>
        <v>#REF!</v>
      </c>
      <c r="HL202" t="e">
        <f>AND(#REF!,"AAAAAC3mT9s=")</f>
        <v>#REF!</v>
      </c>
      <c r="HM202" t="e">
        <f>AND(#REF!,"AAAAAC3mT9w=")</f>
        <v>#REF!</v>
      </c>
      <c r="HN202" t="e">
        <f>AND(#REF!,"AAAAAC3mT90=")</f>
        <v>#REF!</v>
      </c>
      <c r="HO202" t="e">
        <f>AND(#REF!,"AAAAAC3mT94=")</f>
        <v>#REF!</v>
      </c>
      <c r="HP202" t="e">
        <f>AND(#REF!,"AAAAAC3mT98=")</f>
        <v>#REF!</v>
      </c>
      <c r="HQ202" t="e">
        <f>AND(#REF!,"AAAAAC3mT+A=")</f>
        <v>#REF!</v>
      </c>
      <c r="HR202" t="e">
        <f>AND(#REF!,"AAAAAC3mT+E=")</f>
        <v>#REF!</v>
      </c>
      <c r="HS202" t="e">
        <f>AND(#REF!,"AAAAAC3mT+I=")</f>
        <v>#REF!</v>
      </c>
      <c r="HT202" t="e">
        <f>AND(#REF!,"AAAAAC3mT+M=")</f>
        <v>#REF!</v>
      </c>
      <c r="HU202" t="e">
        <f>AND(#REF!,"AAAAAC3mT+Q=")</f>
        <v>#REF!</v>
      </c>
      <c r="HV202" t="e">
        <f>AND(#REF!,"AAAAAC3mT+U=")</f>
        <v>#REF!</v>
      </c>
      <c r="HW202" t="e">
        <f>AND(#REF!,"AAAAAC3mT+Y=")</f>
        <v>#REF!</v>
      </c>
      <c r="HX202" t="e">
        <f>AND(#REF!,"AAAAAC3mT+c=")</f>
        <v>#REF!</v>
      </c>
      <c r="HY202" t="e">
        <f>AND(#REF!,"AAAAAC3mT+g=")</f>
        <v>#REF!</v>
      </c>
      <c r="HZ202" t="e">
        <f>AND(#REF!,"AAAAAC3mT+k=")</f>
        <v>#REF!</v>
      </c>
      <c r="IA202" t="e">
        <f>AND(#REF!,"AAAAAC3mT+o=")</f>
        <v>#REF!</v>
      </c>
      <c r="IB202" t="e">
        <f>AND(#REF!,"AAAAAC3mT+s=")</f>
        <v>#REF!</v>
      </c>
      <c r="IC202" t="e">
        <f>AND(#REF!,"AAAAAC3mT+w=")</f>
        <v>#REF!</v>
      </c>
      <c r="ID202" t="e">
        <f>AND(#REF!,"AAAAAC3mT+0=")</f>
        <v>#REF!</v>
      </c>
      <c r="IE202" t="e">
        <f>AND(#REF!,"AAAAAC3mT+4=")</f>
        <v>#REF!</v>
      </c>
      <c r="IF202" t="e">
        <f>AND(#REF!,"AAAAAC3mT+8=")</f>
        <v>#REF!</v>
      </c>
      <c r="IG202" t="e">
        <f>AND(#REF!,"AAAAAC3mT/A=")</f>
        <v>#REF!</v>
      </c>
      <c r="IH202" t="e">
        <f>AND(#REF!,"AAAAAC3mT/E=")</f>
        <v>#REF!</v>
      </c>
      <c r="II202" t="e">
        <f>AND(#REF!,"AAAAAC3mT/I=")</f>
        <v>#REF!</v>
      </c>
      <c r="IJ202" t="e">
        <f>AND(#REF!,"AAAAAC3mT/M=")</f>
        <v>#REF!</v>
      </c>
      <c r="IK202" t="e">
        <f>AND(#REF!,"AAAAAC3mT/Q=")</f>
        <v>#REF!</v>
      </c>
      <c r="IL202" t="e">
        <f>AND(#REF!,"AAAAAC3mT/U=")</f>
        <v>#REF!</v>
      </c>
      <c r="IM202" t="e">
        <f>AND(#REF!,"AAAAAC3mT/Y=")</f>
        <v>#REF!</v>
      </c>
      <c r="IN202" t="e">
        <f>AND(#REF!,"AAAAAC3mT/c=")</f>
        <v>#REF!</v>
      </c>
      <c r="IO202" t="e">
        <f>AND(#REF!,"AAAAAC3mT/g=")</f>
        <v>#REF!</v>
      </c>
      <c r="IP202" t="e">
        <f>AND(#REF!,"AAAAAC3mT/k=")</f>
        <v>#REF!</v>
      </c>
      <c r="IQ202" t="e">
        <f>AND(#REF!,"AAAAAC3mT/o=")</f>
        <v>#REF!</v>
      </c>
      <c r="IR202" t="e">
        <f>AND(#REF!,"AAAAAC3mT/s=")</f>
        <v>#REF!</v>
      </c>
      <c r="IS202" t="e">
        <f>AND(#REF!,"AAAAAC3mT/w=")</f>
        <v>#REF!</v>
      </c>
      <c r="IT202" t="e">
        <f>AND(#REF!,"AAAAAC3mT/0=")</f>
        <v>#REF!</v>
      </c>
      <c r="IU202" t="e">
        <f>AND(#REF!,"AAAAAC3mT/4=")</f>
        <v>#REF!</v>
      </c>
      <c r="IV202" t="e">
        <f>AND(#REF!,"AAAAAC3mT/8=")</f>
        <v>#REF!</v>
      </c>
    </row>
    <row r="203" spans="1:256" x14ac:dyDescent="0.25">
      <c r="A203" t="e">
        <f>AND(#REF!,"AAAAAG3/3gA=")</f>
        <v>#REF!</v>
      </c>
      <c r="B203" t="e">
        <f>AND(#REF!,"AAAAAG3/3gE=")</f>
        <v>#REF!</v>
      </c>
      <c r="C203" t="e">
        <f>AND(#REF!,"AAAAAG3/3gI=")</f>
        <v>#REF!</v>
      </c>
      <c r="D203" t="e">
        <f>AND(#REF!,"AAAAAG3/3gM=")</f>
        <v>#REF!</v>
      </c>
      <c r="E203" t="e">
        <f>AND(#REF!,"AAAAAG3/3gQ=")</f>
        <v>#REF!</v>
      </c>
      <c r="F203" t="e">
        <f>AND(#REF!,"AAAAAG3/3gU=")</f>
        <v>#REF!</v>
      </c>
      <c r="G203" t="e">
        <f>AND(#REF!,"AAAAAG3/3gY=")</f>
        <v>#REF!</v>
      </c>
      <c r="H203" t="e">
        <f>AND(#REF!,"AAAAAG3/3gc=")</f>
        <v>#REF!</v>
      </c>
      <c r="I203" t="e">
        <f>AND(#REF!,"AAAAAG3/3gg=")</f>
        <v>#REF!</v>
      </c>
      <c r="J203" t="e">
        <f>AND(#REF!,"AAAAAG3/3gk=")</f>
        <v>#REF!</v>
      </c>
      <c r="K203" t="e">
        <f>AND(#REF!,"AAAAAG3/3go=")</f>
        <v>#REF!</v>
      </c>
      <c r="L203" t="e">
        <f>AND(#REF!,"AAAAAG3/3gs=")</f>
        <v>#REF!</v>
      </c>
      <c r="M203" t="e">
        <f>AND(#REF!,"AAAAAG3/3gw=")</f>
        <v>#REF!</v>
      </c>
      <c r="N203" t="e">
        <f>AND(#REF!,"AAAAAG3/3g0=")</f>
        <v>#REF!</v>
      </c>
      <c r="O203" t="e">
        <f>AND(#REF!,"AAAAAG3/3g4=")</f>
        <v>#REF!</v>
      </c>
      <c r="P203" t="e">
        <f>AND(#REF!,"AAAAAG3/3g8=")</f>
        <v>#REF!</v>
      </c>
      <c r="Q203" t="e">
        <f>AND(#REF!,"AAAAAG3/3hA=")</f>
        <v>#REF!</v>
      </c>
      <c r="R203" t="e">
        <f>AND(#REF!,"AAAAAG3/3hE=")</f>
        <v>#REF!</v>
      </c>
      <c r="S203" t="e">
        <f>AND(#REF!,"AAAAAG3/3hI=")</f>
        <v>#REF!</v>
      </c>
      <c r="T203" t="e">
        <f>AND(#REF!,"AAAAAG3/3hM=")</f>
        <v>#REF!</v>
      </c>
      <c r="U203" t="e">
        <f>AND(#REF!,"AAAAAG3/3hQ=")</f>
        <v>#REF!</v>
      </c>
      <c r="V203" t="e">
        <f>AND(#REF!,"AAAAAG3/3hU=")</f>
        <v>#REF!</v>
      </c>
      <c r="W203" t="e">
        <f>AND(#REF!,"AAAAAG3/3hY=")</f>
        <v>#REF!</v>
      </c>
      <c r="X203" t="e">
        <f>AND(#REF!,"AAAAAG3/3hc=")</f>
        <v>#REF!</v>
      </c>
      <c r="Y203" t="e">
        <f>AND(#REF!,"AAAAAG3/3hg=")</f>
        <v>#REF!</v>
      </c>
      <c r="Z203" t="e">
        <f>AND(#REF!,"AAAAAG3/3hk=")</f>
        <v>#REF!</v>
      </c>
      <c r="AA203" t="e">
        <f>AND(#REF!,"AAAAAG3/3ho=")</f>
        <v>#REF!</v>
      </c>
      <c r="AB203" t="e">
        <f>AND(#REF!,"AAAAAG3/3hs=")</f>
        <v>#REF!</v>
      </c>
      <c r="AC203" t="e">
        <f>AND(#REF!,"AAAAAG3/3hw=")</f>
        <v>#REF!</v>
      </c>
      <c r="AD203" t="e">
        <f>AND(#REF!,"AAAAAG3/3h0=")</f>
        <v>#REF!</v>
      </c>
      <c r="AE203" t="e">
        <f>AND(#REF!,"AAAAAG3/3h4=")</f>
        <v>#REF!</v>
      </c>
      <c r="AF203" t="e">
        <f>AND(#REF!,"AAAAAG3/3h8=")</f>
        <v>#REF!</v>
      </c>
      <c r="AG203" t="e">
        <f>AND(#REF!,"AAAAAG3/3iA=")</f>
        <v>#REF!</v>
      </c>
      <c r="AH203" t="e">
        <f>AND(#REF!,"AAAAAG3/3iE=")</f>
        <v>#REF!</v>
      </c>
      <c r="AI203" t="e">
        <f>AND(#REF!,"AAAAAG3/3iI=")</f>
        <v>#REF!</v>
      </c>
      <c r="AJ203" t="e">
        <f>AND(#REF!,"AAAAAG3/3iM=")</f>
        <v>#REF!</v>
      </c>
      <c r="AK203" t="e">
        <f>AND(#REF!,"AAAAAG3/3iQ=")</f>
        <v>#REF!</v>
      </c>
      <c r="AL203" t="e">
        <f>AND(#REF!,"AAAAAG3/3iU=")</f>
        <v>#REF!</v>
      </c>
      <c r="AM203" t="e">
        <f>AND(#REF!,"AAAAAG3/3iY=")</f>
        <v>#REF!</v>
      </c>
      <c r="AN203" t="e">
        <f>AND(#REF!,"AAAAAG3/3ic=")</f>
        <v>#REF!</v>
      </c>
      <c r="AO203" t="e">
        <f>AND(#REF!,"AAAAAG3/3ig=")</f>
        <v>#REF!</v>
      </c>
      <c r="AP203" t="e">
        <f>AND(#REF!,"AAAAAG3/3ik=")</f>
        <v>#REF!</v>
      </c>
      <c r="AQ203" t="e">
        <f>AND(#REF!,"AAAAAG3/3io=")</f>
        <v>#REF!</v>
      </c>
      <c r="AR203" t="e">
        <f>AND(#REF!,"AAAAAG3/3is=")</f>
        <v>#REF!</v>
      </c>
      <c r="AS203" t="e">
        <f>AND(#REF!,"AAAAAG3/3iw=")</f>
        <v>#REF!</v>
      </c>
      <c r="AT203" t="e">
        <f>AND(#REF!,"AAAAAG3/3i0=")</f>
        <v>#REF!</v>
      </c>
      <c r="AU203" t="e">
        <f>AND(#REF!,"AAAAAG3/3i4=")</f>
        <v>#REF!</v>
      </c>
      <c r="AV203" t="e">
        <f>AND(#REF!,"AAAAAG3/3i8=")</f>
        <v>#REF!</v>
      </c>
      <c r="AW203" t="e">
        <f>AND(#REF!,"AAAAAG3/3jA=")</f>
        <v>#REF!</v>
      </c>
      <c r="AX203" t="e">
        <f>AND(#REF!,"AAAAAG3/3jE=")</f>
        <v>#REF!</v>
      </c>
      <c r="AY203" t="e">
        <f>AND(#REF!,"AAAAAG3/3jI=")</f>
        <v>#REF!</v>
      </c>
      <c r="AZ203" t="e">
        <f>AND(#REF!,"AAAAAG3/3jM=")</f>
        <v>#REF!</v>
      </c>
      <c r="BA203" t="e">
        <f>AND(#REF!,"AAAAAG3/3jQ=")</f>
        <v>#REF!</v>
      </c>
      <c r="BB203" t="e">
        <f>AND(#REF!,"AAAAAG3/3jU=")</f>
        <v>#REF!</v>
      </c>
      <c r="BC203" t="e">
        <f>AND(#REF!,"AAAAAG3/3jY=")</f>
        <v>#REF!</v>
      </c>
      <c r="BD203" t="e">
        <f>AND(#REF!,"AAAAAG3/3jc=")</f>
        <v>#REF!</v>
      </c>
      <c r="BE203" t="e">
        <f>AND(#REF!,"AAAAAG3/3jg=")</f>
        <v>#REF!</v>
      </c>
      <c r="BF203" t="e">
        <f>AND(#REF!,"AAAAAG3/3jk=")</f>
        <v>#REF!</v>
      </c>
      <c r="BG203" t="e">
        <f>AND(#REF!,"AAAAAG3/3jo=")</f>
        <v>#REF!</v>
      </c>
      <c r="BH203" t="e">
        <f>AND(#REF!,"AAAAAG3/3js=")</f>
        <v>#REF!</v>
      </c>
      <c r="BI203" t="e">
        <f>AND(#REF!,"AAAAAG3/3jw=")</f>
        <v>#REF!</v>
      </c>
      <c r="BJ203" t="e">
        <f>AND(#REF!,"AAAAAG3/3j0=")</f>
        <v>#REF!</v>
      </c>
      <c r="BK203" t="e">
        <f>AND(#REF!,"AAAAAG3/3j4=")</f>
        <v>#REF!</v>
      </c>
      <c r="BL203" t="e">
        <f>AND(#REF!,"AAAAAG3/3j8=")</f>
        <v>#REF!</v>
      </c>
      <c r="BM203" t="e">
        <f>AND(#REF!,"AAAAAG3/3kA=")</f>
        <v>#REF!</v>
      </c>
      <c r="BN203" t="e">
        <f>AND(#REF!,"AAAAAG3/3kE=")</f>
        <v>#REF!</v>
      </c>
      <c r="BO203" t="e">
        <f>IF(#REF!,"AAAAAG3/3kI=",0)</f>
        <v>#REF!</v>
      </c>
      <c r="BP203" t="e">
        <f>AND(#REF!,"AAAAAG3/3kM=")</f>
        <v>#REF!</v>
      </c>
      <c r="BQ203" t="e">
        <f>AND(#REF!,"AAAAAG3/3kQ=")</f>
        <v>#REF!</v>
      </c>
      <c r="BR203" t="e">
        <f>AND(#REF!,"AAAAAG3/3kU=")</f>
        <v>#REF!</v>
      </c>
      <c r="BS203" t="e">
        <f>AND(#REF!,"AAAAAG3/3kY=")</f>
        <v>#REF!</v>
      </c>
      <c r="BT203" t="e">
        <f>AND(#REF!,"AAAAAG3/3kc=")</f>
        <v>#REF!</v>
      </c>
      <c r="BU203" t="e">
        <f>AND(#REF!,"AAAAAG3/3kg=")</f>
        <v>#REF!</v>
      </c>
      <c r="BV203" t="e">
        <f>AND(#REF!,"AAAAAG3/3kk=")</f>
        <v>#REF!</v>
      </c>
      <c r="BW203" t="e">
        <f>AND(#REF!,"AAAAAG3/3ko=")</f>
        <v>#REF!</v>
      </c>
      <c r="BX203" t="e">
        <f>AND(#REF!,"AAAAAG3/3ks=")</f>
        <v>#REF!</v>
      </c>
      <c r="BY203" t="e">
        <f>AND(#REF!,"AAAAAG3/3kw=")</f>
        <v>#REF!</v>
      </c>
      <c r="BZ203" t="e">
        <f>AND(#REF!,"AAAAAG3/3k0=")</f>
        <v>#REF!</v>
      </c>
      <c r="CA203" t="e">
        <f>AND(#REF!,"AAAAAG3/3k4=")</f>
        <v>#REF!</v>
      </c>
      <c r="CB203" t="e">
        <f>AND(#REF!,"AAAAAG3/3k8=")</f>
        <v>#REF!</v>
      </c>
      <c r="CC203" t="e">
        <f>AND(#REF!,"AAAAAG3/3lA=")</f>
        <v>#REF!</v>
      </c>
      <c r="CD203" t="e">
        <f>AND(#REF!,"AAAAAG3/3lE=")</f>
        <v>#REF!</v>
      </c>
      <c r="CE203" t="e">
        <f>AND(#REF!,"AAAAAG3/3lI=")</f>
        <v>#REF!</v>
      </c>
      <c r="CF203" t="e">
        <f>AND(#REF!,"AAAAAG3/3lM=")</f>
        <v>#REF!</v>
      </c>
      <c r="CG203" t="e">
        <f>AND(#REF!,"AAAAAG3/3lQ=")</f>
        <v>#REF!</v>
      </c>
      <c r="CH203" t="e">
        <f>AND(#REF!,"AAAAAG3/3lU=")</f>
        <v>#REF!</v>
      </c>
      <c r="CI203" t="e">
        <f>AND(#REF!,"AAAAAG3/3lY=")</f>
        <v>#REF!</v>
      </c>
      <c r="CJ203" t="e">
        <f>AND(#REF!,"AAAAAG3/3lc=")</f>
        <v>#REF!</v>
      </c>
      <c r="CK203" t="e">
        <f>AND(#REF!,"AAAAAG3/3lg=")</f>
        <v>#REF!</v>
      </c>
      <c r="CL203" t="e">
        <f>AND(#REF!,"AAAAAG3/3lk=")</f>
        <v>#REF!</v>
      </c>
      <c r="CM203" t="e">
        <f>AND(#REF!,"AAAAAG3/3lo=")</f>
        <v>#REF!</v>
      </c>
      <c r="CN203" t="e">
        <f>AND(#REF!,"AAAAAG3/3ls=")</f>
        <v>#REF!</v>
      </c>
      <c r="CO203" t="e">
        <f>AND(#REF!,"AAAAAG3/3lw=")</f>
        <v>#REF!</v>
      </c>
      <c r="CP203" t="e">
        <f>AND(#REF!,"AAAAAG3/3l0=")</f>
        <v>#REF!</v>
      </c>
      <c r="CQ203" t="e">
        <f>AND(#REF!,"AAAAAG3/3l4=")</f>
        <v>#REF!</v>
      </c>
      <c r="CR203" t="e">
        <f>AND(#REF!,"AAAAAG3/3l8=")</f>
        <v>#REF!</v>
      </c>
      <c r="CS203" t="e">
        <f>AND(#REF!,"AAAAAG3/3mA=")</f>
        <v>#REF!</v>
      </c>
      <c r="CT203" t="e">
        <f>AND(#REF!,"AAAAAG3/3mE=")</f>
        <v>#REF!</v>
      </c>
      <c r="CU203" t="e">
        <f>AND(#REF!,"AAAAAG3/3mI=")</f>
        <v>#REF!</v>
      </c>
      <c r="CV203" t="e">
        <f>AND(#REF!,"AAAAAG3/3mM=")</f>
        <v>#REF!</v>
      </c>
      <c r="CW203" t="e">
        <f>AND(#REF!,"AAAAAG3/3mQ=")</f>
        <v>#REF!</v>
      </c>
      <c r="CX203" t="e">
        <f>AND(#REF!,"AAAAAG3/3mU=")</f>
        <v>#REF!</v>
      </c>
      <c r="CY203" t="e">
        <f>AND(#REF!,"AAAAAG3/3mY=")</f>
        <v>#REF!</v>
      </c>
      <c r="CZ203" t="e">
        <f>AND(#REF!,"AAAAAG3/3mc=")</f>
        <v>#REF!</v>
      </c>
      <c r="DA203" t="e">
        <f>AND(#REF!,"AAAAAG3/3mg=")</f>
        <v>#REF!</v>
      </c>
      <c r="DB203" t="e">
        <f>AND(#REF!,"AAAAAG3/3mk=")</f>
        <v>#REF!</v>
      </c>
      <c r="DC203" t="e">
        <f>AND(#REF!,"AAAAAG3/3mo=")</f>
        <v>#REF!</v>
      </c>
      <c r="DD203" t="e">
        <f>AND(#REF!,"AAAAAG3/3ms=")</f>
        <v>#REF!</v>
      </c>
      <c r="DE203" t="e">
        <f>AND(#REF!,"AAAAAG3/3mw=")</f>
        <v>#REF!</v>
      </c>
      <c r="DF203" t="e">
        <f>AND(#REF!,"AAAAAG3/3m0=")</f>
        <v>#REF!</v>
      </c>
      <c r="DG203" t="e">
        <f>AND(#REF!,"AAAAAG3/3m4=")</f>
        <v>#REF!</v>
      </c>
      <c r="DH203" t="e">
        <f>AND(#REF!,"AAAAAG3/3m8=")</f>
        <v>#REF!</v>
      </c>
      <c r="DI203" t="e">
        <f>AND(#REF!,"AAAAAG3/3nA=")</f>
        <v>#REF!</v>
      </c>
      <c r="DJ203" t="e">
        <f>AND(#REF!,"AAAAAG3/3nE=")</f>
        <v>#REF!</v>
      </c>
      <c r="DK203" t="e">
        <f>AND(#REF!,"AAAAAG3/3nI=")</f>
        <v>#REF!</v>
      </c>
      <c r="DL203" t="e">
        <f>AND(#REF!,"AAAAAG3/3nM=")</f>
        <v>#REF!</v>
      </c>
      <c r="DM203" t="e">
        <f>AND(#REF!,"AAAAAG3/3nQ=")</f>
        <v>#REF!</v>
      </c>
      <c r="DN203" t="e">
        <f>AND(#REF!,"AAAAAG3/3nU=")</f>
        <v>#REF!</v>
      </c>
      <c r="DO203" t="e">
        <f>AND(#REF!,"AAAAAG3/3nY=")</f>
        <v>#REF!</v>
      </c>
      <c r="DP203" t="e">
        <f>AND(#REF!,"AAAAAG3/3nc=")</f>
        <v>#REF!</v>
      </c>
      <c r="DQ203" t="e">
        <f>AND(#REF!,"AAAAAG3/3ng=")</f>
        <v>#REF!</v>
      </c>
      <c r="DR203" t="e">
        <f>AND(#REF!,"AAAAAG3/3nk=")</f>
        <v>#REF!</v>
      </c>
      <c r="DS203" t="e">
        <f>AND(#REF!,"AAAAAG3/3no=")</f>
        <v>#REF!</v>
      </c>
      <c r="DT203" t="e">
        <f>AND(#REF!,"AAAAAG3/3ns=")</f>
        <v>#REF!</v>
      </c>
      <c r="DU203" t="e">
        <f>AND(#REF!,"AAAAAG3/3nw=")</f>
        <v>#REF!</v>
      </c>
      <c r="DV203" t="e">
        <f>AND(#REF!,"AAAAAG3/3n0=")</f>
        <v>#REF!</v>
      </c>
      <c r="DW203" t="e">
        <f>AND(#REF!,"AAAAAG3/3n4=")</f>
        <v>#REF!</v>
      </c>
      <c r="DX203" t="e">
        <f>AND(#REF!,"AAAAAG3/3n8=")</f>
        <v>#REF!</v>
      </c>
      <c r="DY203" t="e">
        <f>AND(#REF!,"AAAAAG3/3oA=")</f>
        <v>#REF!</v>
      </c>
      <c r="DZ203" t="e">
        <f>AND(#REF!,"AAAAAG3/3oE=")</f>
        <v>#REF!</v>
      </c>
      <c r="EA203" t="e">
        <f>AND(#REF!,"AAAAAG3/3oI=")</f>
        <v>#REF!</v>
      </c>
      <c r="EB203" t="e">
        <f>AND(#REF!,"AAAAAG3/3oM=")</f>
        <v>#REF!</v>
      </c>
      <c r="EC203" t="e">
        <f>AND(#REF!,"AAAAAG3/3oQ=")</f>
        <v>#REF!</v>
      </c>
      <c r="ED203" t="e">
        <f>AND(#REF!,"AAAAAG3/3oU=")</f>
        <v>#REF!</v>
      </c>
      <c r="EE203" t="e">
        <f>AND(#REF!,"AAAAAG3/3oY=")</f>
        <v>#REF!</v>
      </c>
      <c r="EF203" t="e">
        <f>AND(#REF!,"AAAAAG3/3oc=")</f>
        <v>#REF!</v>
      </c>
      <c r="EG203" t="e">
        <f>AND(#REF!,"AAAAAG3/3og=")</f>
        <v>#REF!</v>
      </c>
      <c r="EH203" t="e">
        <f>AND(#REF!,"AAAAAG3/3ok=")</f>
        <v>#REF!</v>
      </c>
      <c r="EI203" t="e">
        <f>AND(#REF!,"AAAAAG3/3oo=")</f>
        <v>#REF!</v>
      </c>
      <c r="EJ203" t="e">
        <f>AND(#REF!,"AAAAAG3/3os=")</f>
        <v>#REF!</v>
      </c>
      <c r="EK203" t="e">
        <f>AND(#REF!,"AAAAAG3/3ow=")</f>
        <v>#REF!</v>
      </c>
      <c r="EL203" t="e">
        <f>AND(#REF!,"AAAAAG3/3o0=")</f>
        <v>#REF!</v>
      </c>
      <c r="EM203" t="e">
        <f>AND(#REF!,"AAAAAG3/3o4=")</f>
        <v>#REF!</v>
      </c>
      <c r="EN203" t="e">
        <f>AND(#REF!,"AAAAAG3/3o8=")</f>
        <v>#REF!</v>
      </c>
      <c r="EO203" t="e">
        <f>AND(#REF!,"AAAAAG3/3pA=")</f>
        <v>#REF!</v>
      </c>
      <c r="EP203" t="e">
        <f>AND(#REF!,"AAAAAG3/3pE=")</f>
        <v>#REF!</v>
      </c>
      <c r="EQ203" t="e">
        <f>AND(#REF!,"AAAAAG3/3pI=")</f>
        <v>#REF!</v>
      </c>
      <c r="ER203" t="e">
        <f>AND(#REF!,"AAAAAG3/3pM=")</f>
        <v>#REF!</v>
      </c>
      <c r="ES203" t="e">
        <f>AND(#REF!,"AAAAAG3/3pQ=")</f>
        <v>#REF!</v>
      </c>
      <c r="ET203" t="e">
        <f>AND(#REF!,"AAAAAG3/3pU=")</f>
        <v>#REF!</v>
      </c>
      <c r="EU203" t="e">
        <f>AND(#REF!,"AAAAAG3/3pY=")</f>
        <v>#REF!</v>
      </c>
      <c r="EV203" t="e">
        <f>AND(#REF!,"AAAAAG3/3pc=")</f>
        <v>#REF!</v>
      </c>
      <c r="EW203" t="e">
        <f>AND(#REF!,"AAAAAG3/3pg=")</f>
        <v>#REF!</v>
      </c>
      <c r="EX203" t="e">
        <f>AND(#REF!,"AAAAAG3/3pk=")</f>
        <v>#REF!</v>
      </c>
      <c r="EY203" t="e">
        <f>AND(#REF!,"AAAAAG3/3po=")</f>
        <v>#REF!</v>
      </c>
      <c r="EZ203" t="e">
        <f>AND(#REF!,"AAAAAG3/3ps=")</f>
        <v>#REF!</v>
      </c>
      <c r="FA203" t="e">
        <f>AND(#REF!,"AAAAAG3/3pw=")</f>
        <v>#REF!</v>
      </c>
      <c r="FB203" t="e">
        <f>AND(#REF!,"AAAAAG3/3p0=")</f>
        <v>#REF!</v>
      </c>
      <c r="FC203" t="e">
        <f>AND(#REF!,"AAAAAG3/3p4=")</f>
        <v>#REF!</v>
      </c>
      <c r="FD203" t="e">
        <f>AND(#REF!,"AAAAAG3/3p8=")</f>
        <v>#REF!</v>
      </c>
      <c r="FE203" t="e">
        <f>AND(#REF!,"AAAAAG3/3qA=")</f>
        <v>#REF!</v>
      </c>
      <c r="FF203" t="e">
        <f>AND(#REF!,"AAAAAG3/3qE=")</f>
        <v>#REF!</v>
      </c>
      <c r="FG203" t="e">
        <f>AND(#REF!,"AAAAAG3/3qI=")</f>
        <v>#REF!</v>
      </c>
      <c r="FH203" t="e">
        <f>AND(#REF!,"AAAAAG3/3qM=")</f>
        <v>#REF!</v>
      </c>
      <c r="FI203" t="e">
        <f>AND(#REF!,"AAAAAG3/3qQ=")</f>
        <v>#REF!</v>
      </c>
      <c r="FJ203" t="e">
        <f>AND(#REF!,"AAAAAG3/3qU=")</f>
        <v>#REF!</v>
      </c>
      <c r="FK203" t="e">
        <f>AND(#REF!,"AAAAAG3/3qY=")</f>
        <v>#REF!</v>
      </c>
      <c r="FL203" t="e">
        <f>AND(#REF!,"AAAAAG3/3qc=")</f>
        <v>#REF!</v>
      </c>
      <c r="FM203" t="e">
        <f>AND(#REF!,"AAAAAG3/3qg=")</f>
        <v>#REF!</v>
      </c>
      <c r="FN203" t="e">
        <f>AND(#REF!,"AAAAAG3/3qk=")</f>
        <v>#REF!</v>
      </c>
      <c r="FO203" t="e">
        <f>AND(#REF!,"AAAAAG3/3qo=")</f>
        <v>#REF!</v>
      </c>
      <c r="FP203" t="e">
        <f>AND(#REF!,"AAAAAG3/3qs=")</f>
        <v>#REF!</v>
      </c>
      <c r="FQ203" t="e">
        <f>AND(#REF!,"AAAAAG3/3qw=")</f>
        <v>#REF!</v>
      </c>
      <c r="FR203" t="e">
        <f>AND(#REF!,"AAAAAG3/3q0=")</f>
        <v>#REF!</v>
      </c>
      <c r="FS203" t="e">
        <f>AND(#REF!,"AAAAAG3/3q4=")</f>
        <v>#REF!</v>
      </c>
      <c r="FT203" t="e">
        <f>AND(#REF!,"AAAAAG3/3q8=")</f>
        <v>#REF!</v>
      </c>
      <c r="FU203" t="e">
        <f>AND(#REF!,"AAAAAG3/3rA=")</f>
        <v>#REF!</v>
      </c>
      <c r="FV203" t="e">
        <f>AND(#REF!,"AAAAAG3/3rE=")</f>
        <v>#REF!</v>
      </c>
      <c r="FW203" t="e">
        <f>AND(#REF!,"AAAAAG3/3rI=")</f>
        <v>#REF!</v>
      </c>
      <c r="FX203" t="e">
        <f>AND(#REF!,"AAAAAG3/3rM=")</f>
        <v>#REF!</v>
      </c>
      <c r="FY203" t="e">
        <f>AND(#REF!,"AAAAAG3/3rQ=")</f>
        <v>#REF!</v>
      </c>
      <c r="FZ203" t="e">
        <f>AND(#REF!,"AAAAAG3/3rU=")</f>
        <v>#REF!</v>
      </c>
      <c r="GA203" t="e">
        <f>AND(#REF!,"AAAAAG3/3rY=")</f>
        <v>#REF!</v>
      </c>
      <c r="GB203" t="e">
        <f>AND(#REF!,"AAAAAG3/3rc=")</f>
        <v>#REF!</v>
      </c>
      <c r="GC203" t="e">
        <f>AND(#REF!,"AAAAAG3/3rg=")</f>
        <v>#REF!</v>
      </c>
      <c r="GD203" t="e">
        <f>AND(#REF!,"AAAAAG3/3rk=")</f>
        <v>#REF!</v>
      </c>
      <c r="GE203" t="e">
        <f>AND(#REF!,"AAAAAG3/3ro=")</f>
        <v>#REF!</v>
      </c>
      <c r="GF203" t="e">
        <f>AND(#REF!,"AAAAAG3/3rs=")</f>
        <v>#REF!</v>
      </c>
      <c r="GG203" t="e">
        <f>AND(#REF!,"AAAAAG3/3rw=")</f>
        <v>#REF!</v>
      </c>
      <c r="GH203" t="e">
        <f>AND(#REF!,"AAAAAG3/3r0=")</f>
        <v>#REF!</v>
      </c>
      <c r="GI203" t="e">
        <f>AND(#REF!,"AAAAAG3/3r4=")</f>
        <v>#REF!</v>
      </c>
      <c r="GJ203" t="e">
        <f>AND(#REF!,"AAAAAG3/3r8=")</f>
        <v>#REF!</v>
      </c>
      <c r="GK203" t="e">
        <f>AND(#REF!,"AAAAAG3/3sA=")</f>
        <v>#REF!</v>
      </c>
      <c r="GL203" t="e">
        <f>AND(#REF!,"AAAAAG3/3sE=")</f>
        <v>#REF!</v>
      </c>
      <c r="GM203" t="e">
        <f>AND(#REF!,"AAAAAG3/3sI=")</f>
        <v>#REF!</v>
      </c>
      <c r="GN203" t="e">
        <f>AND(#REF!,"AAAAAG3/3sM=")</f>
        <v>#REF!</v>
      </c>
      <c r="GO203" t="e">
        <f>AND(#REF!,"AAAAAG3/3sQ=")</f>
        <v>#REF!</v>
      </c>
      <c r="GP203" t="e">
        <f>AND(#REF!,"AAAAAG3/3sU=")</f>
        <v>#REF!</v>
      </c>
      <c r="GQ203" t="e">
        <f>AND(#REF!,"AAAAAG3/3sY=")</f>
        <v>#REF!</v>
      </c>
      <c r="GR203" t="e">
        <f>AND(#REF!,"AAAAAG3/3sc=")</f>
        <v>#REF!</v>
      </c>
      <c r="GS203" t="e">
        <f>AND(#REF!,"AAAAAG3/3sg=")</f>
        <v>#REF!</v>
      </c>
      <c r="GT203" t="e">
        <f>AND(#REF!,"AAAAAG3/3sk=")</f>
        <v>#REF!</v>
      </c>
      <c r="GU203" t="e">
        <f>AND(#REF!,"AAAAAG3/3so=")</f>
        <v>#REF!</v>
      </c>
      <c r="GV203" t="e">
        <f>AND(#REF!,"AAAAAG3/3ss=")</f>
        <v>#REF!</v>
      </c>
      <c r="GW203" t="e">
        <f>AND(#REF!,"AAAAAG3/3sw=")</f>
        <v>#REF!</v>
      </c>
      <c r="GX203" t="e">
        <f>AND(#REF!,"AAAAAG3/3s0=")</f>
        <v>#REF!</v>
      </c>
      <c r="GY203" t="e">
        <f>AND(#REF!,"AAAAAG3/3s4=")</f>
        <v>#REF!</v>
      </c>
      <c r="GZ203" t="e">
        <f>AND(#REF!,"AAAAAG3/3s8=")</f>
        <v>#REF!</v>
      </c>
      <c r="HA203" t="e">
        <f>AND(#REF!,"AAAAAG3/3tA=")</f>
        <v>#REF!</v>
      </c>
      <c r="HB203" t="e">
        <f>AND(#REF!,"AAAAAG3/3tE=")</f>
        <v>#REF!</v>
      </c>
      <c r="HC203" t="e">
        <f>AND(#REF!,"AAAAAG3/3tI=")</f>
        <v>#REF!</v>
      </c>
      <c r="HD203" t="e">
        <f>AND(#REF!,"AAAAAG3/3tM=")</f>
        <v>#REF!</v>
      </c>
      <c r="HE203" t="e">
        <f>AND(#REF!,"AAAAAG3/3tQ=")</f>
        <v>#REF!</v>
      </c>
      <c r="HF203" t="e">
        <f>AND(#REF!,"AAAAAG3/3tU=")</f>
        <v>#REF!</v>
      </c>
      <c r="HG203" t="e">
        <f>AND(#REF!,"AAAAAG3/3tY=")</f>
        <v>#REF!</v>
      </c>
      <c r="HH203" t="e">
        <f>AND(#REF!,"AAAAAG3/3tc=")</f>
        <v>#REF!</v>
      </c>
      <c r="HI203" t="e">
        <f>AND(#REF!,"AAAAAG3/3tg=")</f>
        <v>#REF!</v>
      </c>
      <c r="HJ203" t="e">
        <f>AND(#REF!,"AAAAAG3/3tk=")</f>
        <v>#REF!</v>
      </c>
      <c r="HK203" t="e">
        <f>AND(#REF!,"AAAAAG3/3to=")</f>
        <v>#REF!</v>
      </c>
      <c r="HL203" t="e">
        <f>AND(#REF!,"AAAAAG3/3ts=")</f>
        <v>#REF!</v>
      </c>
      <c r="HM203" t="e">
        <f>AND(#REF!,"AAAAAG3/3tw=")</f>
        <v>#REF!</v>
      </c>
      <c r="HN203" t="e">
        <f>AND(#REF!,"AAAAAG3/3t0=")</f>
        <v>#REF!</v>
      </c>
      <c r="HO203" t="e">
        <f>AND(#REF!,"AAAAAG3/3t4=")</f>
        <v>#REF!</v>
      </c>
      <c r="HP203" t="e">
        <f>AND(#REF!,"AAAAAG3/3t8=")</f>
        <v>#REF!</v>
      </c>
      <c r="HQ203" t="e">
        <f>AND(#REF!,"AAAAAG3/3uA=")</f>
        <v>#REF!</v>
      </c>
      <c r="HR203" t="e">
        <f>AND(#REF!,"AAAAAG3/3uE=")</f>
        <v>#REF!</v>
      </c>
      <c r="HS203" t="e">
        <f>AND(#REF!,"AAAAAG3/3uI=")</f>
        <v>#REF!</v>
      </c>
      <c r="HT203" t="e">
        <f>AND(#REF!,"AAAAAG3/3uM=")</f>
        <v>#REF!</v>
      </c>
      <c r="HU203" t="e">
        <f>AND(#REF!,"AAAAAG3/3uQ=")</f>
        <v>#REF!</v>
      </c>
      <c r="HV203" t="e">
        <f>AND(#REF!,"AAAAAG3/3uU=")</f>
        <v>#REF!</v>
      </c>
      <c r="HW203" t="e">
        <f>AND(#REF!,"AAAAAG3/3uY=")</f>
        <v>#REF!</v>
      </c>
      <c r="HX203" t="e">
        <f>AND(#REF!,"AAAAAG3/3uc=")</f>
        <v>#REF!</v>
      </c>
      <c r="HY203" t="e">
        <f>AND(#REF!,"AAAAAG3/3ug=")</f>
        <v>#REF!</v>
      </c>
      <c r="HZ203" t="e">
        <f>AND(#REF!,"AAAAAG3/3uk=")</f>
        <v>#REF!</v>
      </c>
      <c r="IA203" t="e">
        <f>AND(#REF!,"AAAAAG3/3uo=")</f>
        <v>#REF!</v>
      </c>
      <c r="IB203" t="e">
        <f>AND(#REF!,"AAAAAG3/3us=")</f>
        <v>#REF!</v>
      </c>
      <c r="IC203" t="e">
        <f>AND(#REF!,"AAAAAG3/3uw=")</f>
        <v>#REF!</v>
      </c>
      <c r="ID203" t="e">
        <f>AND(#REF!,"AAAAAG3/3u0=")</f>
        <v>#REF!</v>
      </c>
      <c r="IE203" t="e">
        <f>AND(#REF!,"AAAAAG3/3u4=")</f>
        <v>#REF!</v>
      </c>
      <c r="IF203" t="e">
        <f>AND(#REF!,"AAAAAG3/3u8=")</f>
        <v>#REF!</v>
      </c>
      <c r="IG203" t="e">
        <f>AND(#REF!,"AAAAAG3/3vA=")</f>
        <v>#REF!</v>
      </c>
      <c r="IH203" t="e">
        <f>AND(#REF!,"AAAAAG3/3vE=")</f>
        <v>#REF!</v>
      </c>
      <c r="II203" t="e">
        <f>AND(#REF!,"AAAAAG3/3vI=")</f>
        <v>#REF!</v>
      </c>
      <c r="IJ203" t="e">
        <f>AND(#REF!,"AAAAAG3/3vM=")</f>
        <v>#REF!</v>
      </c>
      <c r="IK203" t="e">
        <f>AND(#REF!,"AAAAAG3/3vQ=")</f>
        <v>#REF!</v>
      </c>
      <c r="IL203" t="e">
        <f>AND(#REF!,"AAAAAG3/3vU=")</f>
        <v>#REF!</v>
      </c>
      <c r="IM203" t="e">
        <f>AND(#REF!,"AAAAAG3/3vY=")</f>
        <v>#REF!</v>
      </c>
      <c r="IN203" t="e">
        <f>AND(#REF!,"AAAAAG3/3vc=")</f>
        <v>#REF!</v>
      </c>
      <c r="IO203" t="e">
        <f>AND(#REF!,"AAAAAG3/3vg=")</f>
        <v>#REF!</v>
      </c>
      <c r="IP203" t="e">
        <f>AND(#REF!,"AAAAAG3/3vk=")</f>
        <v>#REF!</v>
      </c>
      <c r="IQ203" t="e">
        <f>AND(#REF!,"AAAAAG3/3vo=")</f>
        <v>#REF!</v>
      </c>
      <c r="IR203" t="e">
        <f>AND(#REF!,"AAAAAG3/3vs=")</f>
        <v>#REF!</v>
      </c>
      <c r="IS203" t="e">
        <f>AND(#REF!,"AAAAAG3/3vw=")</f>
        <v>#REF!</v>
      </c>
      <c r="IT203" t="e">
        <f>AND(#REF!,"AAAAAG3/3v0=")</f>
        <v>#REF!</v>
      </c>
      <c r="IU203" t="e">
        <f>AND(#REF!,"AAAAAG3/3v4=")</f>
        <v>#REF!</v>
      </c>
      <c r="IV203" t="e">
        <f>IF(#REF!,"AAAAAG3/3v8=",0)</f>
        <v>#REF!</v>
      </c>
    </row>
    <row r="204" spans="1:256" x14ac:dyDescent="0.25">
      <c r="A204" t="e">
        <f>AND(#REF!,"AAAAAH/xbgA=")</f>
        <v>#REF!</v>
      </c>
      <c r="B204" t="e">
        <f>AND(#REF!,"AAAAAH/xbgE=")</f>
        <v>#REF!</v>
      </c>
      <c r="C204" t="e">
        <f>AND(#REF!,"AAAAAH/xbgI=")</f>
        <v>#REF!</v>
      </c>
      <c r="D204" t="e">
        <f>AND(#REF!,"AAAAAH/xbgM=")</f>
        <v>#REF!</v>
      </c>
      <c r="E204" t="e">
        <f>AND(#REF!,"AAAAAH/xbgQ=")</f>
        <v>#REF!</v>
      </c>
      <c r="F204" t="e">
        <f>AND(#REF!,"AAAAAH/xbgU=")</f>
        <v>#REF!</v>
      </c>
      <c r="G204" t="e">
        <f>AND(#REF!,"AAAAAH/xbgY=")</f>
        <v>#REF!</v>
      </c>
      <c r="H204" t="e">
        <f>AND(#REF!,"AAAAAH/xbgc=")</f>
        <v>#REF!</v>
      </c>
      <c r="I204" t="e">
        <f>AND(#REF!,"AAAAAH/xbgg=")</f>
        <v>#REF!</v>
      </c>
      <c r="J204" t="e">
        <f>AND(#REF!,"AAAAAH/xbgk=")</f>
        <v>#REF!</v>
      </c>
      <c r="K204" t="e">
        <f>AND(#REF!,"AAAAAH/xbgo=")</f>
        <v>#REF!</v>
      </c>
      <c r="L204" t="e">
        <f>AND(#REF!,"AAAAAH/xbgs=")</f>
        <v>#REF!</v>
      </c>
      <c r="M204" t="e">
        <f>AND(#REF!,"AAAAAH/xbgw=")</f>
        <v>#REF!</v>
      </c>
      <c r="N204" t="e">
        <f>AND(#REF!,"AAAAAH/xbg0=")</f>
        <v>#REF!</v>
      </c>
      <c r="O204" t="e">
        <f>AND(#REF!,"AAAAAH/xbg4=")</f>
        <v>#REF!</v>
      </c>
      <c r="P204" t="e">
        <f>AND(#REF!,"AAAAAH/xbg8=")</f>
        <v>#REF!</v>
      </c>
      <c r="Q204" t="e">
        <f>AND(#REF!,"AAAAAH/xbhA=")</f>
        <v>#REF!</v>
      </c>
      <c r="R204" t="e">
        <f>AND(#REF!,"AAAAAH/xbhE=")</f>
        <v>#REF!</v>
      </c>
      <c r="S204" t="e">
        <f>AND(#REF!,"AAAAAH/xbhI=")</f>
        <v>#REF!</v>
      </c>
      <c r="T204" t="e">
        <f>AND(#REF!,"AAAAAH/xbhM=")</f>
        <v>#REF!</v>
      </c>
      <c r="U204" t="e">
        <f>AND(#REF!,"AAAAAH/xbhQ=")</f>
        <v>#REF!</v>
      </c>
      <c r="V204" t="e">
        <f>AND(#REF!,"AAAAAH/xbhU=")</f>
        <v>#REF!</v>
      </c>
      <c r="W204" t="e">
        <f>AND(#REF!,"AAAAAH/xbhY=")</f>
        <v>#REF!</v>
      </c>
      <c r="X204" t="e">
        <f>AND(#REF!,"AAAAAH/xbhc=")</f>
        <v>#REF!</v>
      </c>
      <c r="Y204" t="e">
        <f>AND(#REF!,"AAAAAH/xbhg=")</f>
        <v>#REF!</v>
      </c>
      <c r="Z204" t="e">
        <f>AND(#REF!,"AAAAAH/xbhk=")</f>
        <v>#REF!</v>
      </c>
      <c r="AA204" t="e">
        <f>AND(#REF!,"AAAAAH/xbho=")</f>
        <v>#REF!</v>
      </c>
      <c r="AB204" t="e">
        <f>AND(#REF!,"AAAAAH/xbhs=")</f>
        <v>#REF!</v>
      </c>
      <c r="AC204" t="e">
        <f>AND(#REF!,"AAAAAH/xbhw=")</f>
        <v>#REF!</v>
      </c>
      <c r="AD204" t="e">
        <f>AND(#REF!,"AAAAAH/xbh0=")</f>
        <v>#REF!</v>
      </c>
      <c r="AE204" t="e">
        <f>AND(#REF!,"AAAAAH/xbh4=")</f>
        <v>#REF!</v>
      </c>
      <c r="AF204" t="e">
        <f>AND(#REF!,"AAAAAH/xbh8=")</f>
        <v>#REF!</v>
      </c>
      <c r="AG204" t="e">
        <f>AND(#REF!,"AAAAAH/xbiA=")</f>
        <v>#REF!</v>
      </c>
      <c r="AH204" t="e">
        <f>AND(#REF!,"AAAAAH/xbiE=")</f>
        <v>#REF!</v>
      </c>
      <c r="AI204" t="e">
        <f>AND(#REF!,"AAAAAH/xbiI=")</f>
        <v>#REF!</v>
      </c>
      <c r="AJ204" t="e">
        <f>AND(#REF!,"AAAAAH/xbiM=")</f>
        <v>#REF!</v>
      </c>
      <c r="AK204" t="e">
        <f>AND(#REF!,"AAAAAH/xbiQ=")</f>
        <v>#REF!</v>
      </c>
      <c r="AL204" t="e">
        <f>AND(#REF!,"AAAAAH/xbiU=")</f>
        <v>#REF!</v>
      </c>
      <c r="AM204" t="e">
        <f>AND(#REF!,"AAAAAH/xbiY=")</f>
        <v>#REF!</v>
      </c>
      <c r="AN204" t="e">
        <f>AND(#REF!,"AAAAAH/xbic=")</f>
        <v>#REF!</v>
      </c>
      <c r="AO204" t="e">
        <f>AND(#REF!,"AAAAAH/xbig=")</f>
        <v>#REF!</v>
      </c>
      <c r="AP204" t="e">
        <f>AND(#REF!,"AAAAAH/xbik=")</f>
        <v>#REF!</v>
      </c>
      <c r="AQ204" t="e">
        <f>AND(#REF!,"AAAAAH/xbio=")</f>
        <v>#REF!</v>
      </c>
      <c r="AR204" t="e">
        <f>AND(#REF!,"AAAAAH/xbis=")</f>
        <v>#REF!</v>
      </c>
      <c r="AS204" t="e">
        <f>AND(#REF!,"AAAAAH/xbiw=")</f>
        <v>#REF!</v>
      </c>
      <c r="AT204" t="e">
        <f>AND(#REF!,"AAAAAH/xbi0=")</f>
        <v>#REF!</v>
      </c>
      <c r="AU204" t="e">
        <f>AND(#REF!,"AAAAAH/xbi4=")</f>
        <v>#REF!</v>
      </c>
      <c r="AV204" t="e">
        <f>AND(#REF!,"AAAAAH/xbi8=")</f>
        <v>#REF!</v>
      </c>
      <c r="AW204" t="e">
        <f>AND(#REF!,"AAAAAH/xbjA=")</f>
        <v>#REF!</v>
      </c>
      <c r="AX204" t="e">
        <f>AND(#REF!,"AAAAAH/xbjE=")</f>
        <v>#REF!</v>
      </c>
      <c r="AY204" t="e">
        <f>AND(#REF!,"AAAAAH/xbjI=")</f>
        <v>#REF!</v>
      </c>
      <c r="AZ204" t="e">
        <f>AND(#REF!,"AAAAAH/xbjM=")</f>
        <v>#REF!</v>
      </c>
      <c r="BA204" t="e">
        <f>AND(#REF!,"AAAAAH/xbjQ=")</f>
        <v>#REF!</v>
      </c>
      <c r="BB204" t="e">
        <f>AND(#REF!,"AAAAAH/xbjU=")</f>
        <v>#REF!</v>
      </c>
      <c r="BC204" t="e">
        <f>AND(#REF!,"AAAAAH/xbjY=")</f>
        <v>#REF!</v>
      </c>
      <c r="BD204" t="e">
        <f>AND(#REF!,"AAAAAH/xbjc=")</f>
        <v>#REF!</v>
      </c>
      <c r="BE204" t="e">
        <f>AND(#REF!,"AAAAAH/xbjg=")</f>
        <v>#REF!</v>
      </c>
      <c r="BF204" t="e">
        <f>AND(#REF!,"AAAAAH/xbjk=")</f>
        <v>#REF!</v>
      </c>
      <c r="BG204" t="e">
        <f>AND(#REF!,"AAAAAH/xbjo=")</f>
        <v>#REF!</v>
      </c>
      <c r="BH204" t="e">
        <f>AND(#REF!,"AAAAAH/xbjs=")</f>
        <v>#REF!</v>
      </c>
      <c r="BI204" t="e">
        <f>AND(#REF!,"AAAAAH/xbjw=")</f>
        <v>#REF!</v>
      </c>
      <c r="BJ204" t="e">
        <f>AND(#REF!,"AAAAAH/xbj0=")</f>
        <v>#REF!</v>
      </c>
      <c r="BK204" t="e">
        <f>AND(#REF!,"AAAAAH/xbj4=")</f>
        <v>#REF!</v>
      </c>
      <c r="BL204" t="e">
        <f>AND(#REF!,"AAAAAH/xbj8=")</f>
        <v>#REF!</v>
      </c>
      <c r="BM204" t="e">
        <f>AND(#REF!,"AAAAAH/xbkA=")</f>
        <v>#REF!</v>
      </c>
      <c r="BN204" t="e">
        <f>AND(#REF!,"AAAAAH/xbkE=")</f>
        <v>#REF!</v>
      </c>
      <c r="BO204" t="e">
        <f>AND(#REF!,"AAAAAH/xbkI=")</f>
        <v>#REF!</v>
      </c>
      <c r="BP204" t="e">
        <f>AND(#REF!,"AAAAAH/xbkM=")</f>
        <v>#REF!</v>
      </c>
      <c r="BQ204" t="e">
        <f>AND(#REF!,"AAAAAH/xbkQ=")</f>
        <v>#REF!</v>
      </c>
      <c r="BR204" t="e">
        <f>AND(#REF!,"AAAAAH/xbkU=")</f>
        <v>#REF!</v>
      </c>
      <c r="BS204" t="e">
        <f>AND(#REF!,"AAAAAH/xbkY=")</f>
        <v>#REF!</v>
      </c>
      <c r="BT204" t="e">
        <f>AND(#REF!,"AAAAAH/xbkc=")</f>
        <v>#REF!</v>
      </c>
      <c r="BU204" t="e">
        <f>AND(#REF!,"AAAAAH/xbkg=")</f>
        <v>#REF!</v>
      </c>
      <c r="BV204" t="e">
        <f>AND(#REF!,"AAAAAH/xbkk=")</f>
        <v>#REF!</v>
      </c>
      <c r="BW204" t="e">
        <f>AND(#REF!,"AAAAAH/xbko=")</f>
        <v>#REF!</v>
      </c>
      <c r="BX204" t="e">
        <f>AND(#REF!,"AAAAAH/xbks=")</f>
        <v>#REF!</v>
      </c>
      <c r="BY204" t="e">
        <f>AND(#REF!,"AAAAAH/xbkw=")</f>
        <v>#REF!</v>
      </c>
      <c r="BZ204" t="e">
        <f>AND(#REF!,"AAAAAH/xbk0=")</f>
        <v>#REF!</v>
      </c>
      <c r="CA204" t="e">
        <f>AND(#REF!,"AAAAAH/xbk4=")</f>
        <v>#REF!</v>
      </c>
      <c r="CB204" t="e">
        <f>AND(#REF!,"AAAAAH/xbk8=")</f>
        <v>#REF!</v>
      </c>
      <c r="CC204" t="e">
        <f>AND(#REF!,"AAAAAH/xblA=")</f>
        <v>#REF!</v>
      </c>
      <c r="CD204" t="e">
        <f>AND(#REF!,"AAAAAH/xblE=")</f>
        <v>#REF!</v>
      </c>
      <c r="CE204" t="e">
        <f>AND(#REF!,"AAAAAH/xblI=")</f>
        <v>#REF!</v>
      </c>
      <c r="CF204" t="e">
        <f>AND(#REF!,"AAAAAH/xblM=")</f>
        <v>#REF!</v>
      </c>
      <c r="CG204" t="e">
        <f>AND(#REF!,"AAAAAH/xblQ=")</f>
        <v>#REF!</v>
      </c>
      <c r="CH204" t="e">
        <f>AND(#REF!,"AAAAAH/xblU=")</f>
        <v>#REF!</v>
      </c>
      <c r="CI204" t="e">
        <f>AND(#REF!,"AAAAAH/xblY=")</f>
        <v>#REF!</v>
      </c>
      <c r="CJ204" t="e">
        <f>AND(#REF!,"AAAAAH/xblc=")</f>
        <v>#REF!</v>
      </c>
      <c r="CK204" t="e">
        <f>AND(#REF!,"AAAAAH/xblg=")</f>
        <v>#REF!</v>
      </c>
      <c r="CL204" t="e">
        <f>AND(#REF!,"AAAAAH/xblk=")</f>
        <v>#REF!</v>
      </c>
      <c r="CM204" t="e">
        <f>AND(#REF!,"AAAAAH/xblo=")</f>
        <v>#REF!</v>
      </c>
      <c r="CN204" t="e">
        <f>AND(#REF!,"AAAAAH/xbls=")</f>
        <v>#REF!</v>
      </c>
      <c r="CO204" t="e">
        <f>AND(#REF!,"AAAAAH/xblw=")</f>
        <v>#REF!</v>
      </c>
      <c r="CP204" t="e">
        <f>AND(#REF!,"AAAAAH/xbl0=")</f>
        <v>#REF!</v>
      </c>
      <c r="CQ204" t="e">
        <f>AND(#REF!,"AAAAAH/xbl4=")</f>
        <v>#REF!</v>
      </c>
      <c r="CR204" t="e">
        <f>AND(#REF!,"AAAAAH/xbl8=")</f>
        <v>#REF!</v>
      </c>
      <c r="CS204" t="e">
        <f>AND(#REF!,"AAAAAH/xbmA=")</f>
        <v>#REF!</v>
      </c>
      <c r="CT204" t="e">
        <f>AND(#REF!,"AAAAAH/xbmE=")</f>
        <v>#REF!</v>
      </c>
      <c r="CU204" t="e">
        <f>AND(#REF!,"AAAAAH/xbmI=")</f>
        <v>#REF!</v>
      </c>
      <c r="CV204" t="e">
        <f>AND(#REF!,"AAAAAH/xbmM=")</f>
        <v>#REF!</v>
      </c>
      <c r="CW204" t="e">
        <f>AND(#REF!,"AAAAAH/xbmQ=")</f>
        <v>#REF!</v>
      </c>
      <c r="CX204" t="e">
        <f>AND(#REF!,"AAAAAH/xbmU=")</f>
        <v>#REF!</v>
      </c>
      <c r="CY204" t="e">
        <f>AND(#REF!,"AAAAAH/xbmY=")</f>
        <v>#REF!</v>
      </c>
      <c r="CZ204" t="e">
        <f>AND(#REF!,"AAAAAH/xbmc=")</f>
        <v>#REF!</v>
      </c>
      <c r="DA204" t="e">
        <f>AND(#REF!,"AAAAAH/xbmg=")</f>
        <v>#REF!</v>
      </c>
      <c r="DB204" t="e">
        <f>AND(#REF!,"AAAAAH/xbmk=")</f>
        <v>#REF!</v>
      </c>
      <c r="DC204" t="e">
        <f>AND(#REF!,"AAAAAH/xbmo=")</f>
        <v>#REF!</v>
      </c>
      <c r="DD204" t="e">
        <f>AND(#REF!,"AAAAAH/xbms=")</f>
        <v>#REF!</v>
      </c>
      <c r="DE204" t="e">
        <f>AND(#REF!,"AAAAAH/xbmw=")</f>
        <v>#REF!</v>
      </c>
      <c r="DF204" t="e">
        <f>AND(#REF!,"AAAAAH/xbm0=")</f>
        <v>#REF!</v>
      </c>
      <c r="DG204" t="e">
        <f>AND(#REF!,"AAAAAH/xbm4=")</f>
        <v>#REF!</v>
      </c>
      <c r="DH204" t="e">
        <f>AND(#REF!,"AAAAAH/xbm8=")</f>
        <v>#REF!</v>
      </c>
      <c r="DI204" t="e">
        <f>AND(#REF!,"AAAAAH/xbnA=")</f>
        <v>#REF!</v>
      </c>
      <c r="DJ204" t="e">
        <f>AND(#REF!,"AAAAAH/xbnE=")</f>
        <v>#REF!</v>
      </c>
      <c r="DK204" t="e">
        <f>AND(#REF!,"AAAAAH/xbnI=")</f>
        <v>#REF!</v>
      </c>
      <c r="DL204" t="e">
        <f>AND(#REF!,"AAAAAH/xbnM=")</f>
        <v>#REF!</v>
      </c>
      <c r="DM204" t="e">
        <f>AND(#REF!,"AAAAAH/xbnQ=")</f>
        <v>#REF!</v>
      </c>
      <c r="DN204" t="e">
        <f>AND(#REF!,"AAAAAH/xbnU=")</f>
        <v>#REF!</v>
      </c>
      <c r="DO204" t="e">
        <f>AND(#REF!,"AAAAAH/xbnY=")</f>
        <v>#REF!</v>
      </c>
      <c r="DP204" t="e">
        <f>AND(#REF!,"AAAAAH/xbnc=")</f>
        <v>#REF!</v>
      </c>
      <c r="DQ204" t="e">
        <f>AND(#REF!,"AAAAAH/xbng=")</f>
        <v>#REF!</v>
      </c>
      <c r="DR204" t="e">
        <f>AND(#REF!,"AAAAAH/xbnk=")</f>
        <v>#REF!</v>
      </c>
      <c r="DS204" t="e">
        <f>AND(#REF!,"AAAAAH/xbno=")</f>
        <v>#REF!</v>
      </c>
      <c r="DT204" t="e">
        <f>AND(#REF!,"AAAAAH/xbns=")</f>
        <v>#REF!</v>
      </c>
      <c r="DU204" t="e">
        <f>AND(#REF!,"AAAAAH/xbnw=")</f>
        <v>#REF!</v>
      </c>
      <c r="DV204" t="e">
        <f>AND(#REF!,"AAAAAH/xbn0=")</f>
        <v>#REF!</v>
      </c>
      <c r="DW204" t="e">
        <f>AND(#REF!,"AAAAAH/xbn4=")</f>
        <v>#REF!</v>
      </c>
      <c r="DX204" t="e">
        <f>AND(#REF!,"AAAAAH/xbn8=")</f>
        <v>#REF!</v>
      </c>
      <c r="DY204" t="e">
        <f>AND(#REF!,"AAAAAH/xboA=")</f>
        <v>#REF!</v>
      </c>
      <c r="DZ204" t="e">
        <f>AND(#REF!,"AAAAAH/xboE=")</f>
        <v>#REF!</v>
      </c>
      <c r="EA204" t="e">
        <f>AND(#REF!,"AAAAAH/xboI=")</f>
        <v>#REF!</v>
      </c>
      <c r="EB204" t="e">
        <f>AND(#REF!,"AAAAAH/xboM=")</f>
        <v>#REF!</v>
      </c>
      <c r="EC204" t="e">
        <f>AND(#REF!,"AAAAAH/xboQ=")</f>
        <v>#REF!</v>
      </c>
      <c r="ED204" t="e">
        <f>AND(#REF!,"AAAAAH/xboU=")</f>
        <v>#REF!</v>
      </c>
      <c r="EE204" t="e">
        <f>AND(#REF!,"AAAAAH/xboY=")</f>
        <v>#REF!</v>
      </c>
      <c r="EF204" t="e">
        <f>AND(#REF!,"AAAAAH/xboc=")</f>
        <v>#REF!</v>
      </c>
      <c r="EG204" t="e">
        <f>AND(#REF!,"AAAAAH/xbog=")</f>
        <v>#REF!</v>
      </c>
      <c r="EH204" t="e">
        <f>AND(#REF!,"AAAAAH/xbok=")</f>
        <v>#REF!</v>
      </c>
      <c r="EI204" t="e">
        <f>AND(#REF!,"AAAAAH/xboo=")</f>
        <v>#REF!</v>
      </c>
      <c r="EJ204" t="e">
        <f>AND(#REF!,"AAAAAH/xbos=")</f>
        <v>#REF!</v>
      </c>
      <c r="EK204" t="e">
        <f>AND(#REF!,"AAAAAH/xbow=")</f>
        <v>#REF!</v>
      </c>
      <c r="EL204" t="e">
        <f>AND(#REF!,"AAAAAH/xbo0=")</f>
        <v>#REF!</v>
      </c>
      <c r="EM204" t="e">
        <f>AND(#REF!,"AAAAAH/xbo4=")</f>
        <v>#REF!</v>
      </c>
      <c r="EN204" t="e">
        <f>AND(#REF!,"AAAAAH/xbo8=")</f>
        <v>#REF!</v>
      </c>
      <c r="EO204" t="e">
        <f>AND(#REF!,"AAAAAH/xbpA=")</f>
        <v>#REF!</v>
      </c>
      <c r="EP204" t="e">
        <f>AND(#REF!,"AAAAAH/xbpE=")</f>
        <v>#REF!</v>
      </c>
      <c r="EQ204" t="e">
        <f>AND(#REF!,"AAAAAH/xbpI=")</f>
        <v>#REF!</v>
      </c>
      <c r="ER204" t="e">
        <f>AND(#REF!,"AAAAAH/xbpM=")</f>
        <v>#REF!</v>
      </c>
      <c r="ES204" t="e">
        <f>AND(#REF!,"AAAAAH/xbpQ=")</f>
        <v>#REF!</v>
      </c>
      <c r="ET204" t="e">
        <f>AND(#REF!,"AAAAAH/xbpU=")</f>
        <v>#REF!</v>
      </c>
      <c r="EU204" t="e">
        <f>AND(#REF!,"AAAAAH/xbpY=")</f>
        <v>#REF!</v>
      </c>
      <c r="EV204" t="e">
        <f>AND(#REF!,"AAAAAH/xbpc=")</f>
        <v>#REF!</v>
      </c>
      <c r="EW204" t="e">
        <f>AND(#REF!,"AAAAAH/xbpg=")</f>
        <v>#REF!</v>
      </c>
      <c r="EX204" t="e">
        <f>AND(#REF!,"AAAAAH/xbpk=")</f>
        <v>#REF!</v>
      </c>
      <c r="EY204" t="e">
        <f>AND(#REF!,"AAAAAH/xbpo=")</f>
        <v>#REF!</v>
      </c>
      <c r="EZ204" t="e">
        <f>AND(#REF!,"AAAAAH/xbps=")</f>
        <v>#REF!</v>
      </c>
      <c r="FA204" t="e">
        <f>AND(#REF!,"AAAAAH/xbpw=")</f>
        <v>#REF!</v>
      </c>
      <c r="FB204" t="e">
        <f>AND(#REF!,"AAAAAH/xbp0=")</f>
        <v>#REF!</v>
      </c>
      <c r="FC204" t="e">
        <f>AND(#REF!,"AAAAAH/xbp4=")</f>
        <v>#REF!</v>
      </c>
      <c r="FD204" t="e">
        <f>AND(#REF!,"AAAAAH/xbp8=")</f>
        <v>#REF!</v>
      </c>
      <c r="FE204" t="e">
        <f>AND(#REF!,"AAAAAH/xbqA=")</f>
        <v>#REF!</v>
      </c>
      <c r="FF204" t="e">
        <f>AND(#REF!,"AAAAAH/xbqE=")</f>
        <v>#REF!</v>
      </c>
      <c r="FG204" t="e">
        <f>AND(#REF!,"AAAAAH/xbqI=")</f>
        <v>#REF!</v>
      </c>
      <c r="FH204" t="e">
        <f>AND(#REF!,"AAAAAH/xbqM=")</f>
        <v>#REF!</v>
      </c>
      <c r="FI204" t="e">
        <f>AND(#REF!,"AAAAAH/xbqQ=")</f>
        <v>#REF!</v>
      </c>
      <c r="FJ204" t="e">
        <f>AND(#REF!,"AAAAAH/xbqU=")</f>
        <v>#REF!</v>
      </c>
      <c r="FK204" t="e">
        <f>AND(#REF!,"AAAAAH/xbqY=")</f>
        <v>#REF!</v>
      </c>
      <c r="FL204" t="e">
        <f>AND(#REF!,"AAAAAH/xbqc=")</f>
        <v>#REF!</v>
      </c>
      <c r="FM204" t="e">
        <f>AND(#REF!,"AAAAAH/xbqg=")</f>
        <v>#REF!</v>
      </c>
      <c r="FN204" t="e">
        <f>AND(#REF!,"AAAAAH/xbqk=")</f>
        <v>#REF!</v>
      </c>
      <c r="FO204" t="e">
        <f>AND(#REF!,"AAAAAH/xbqo=")</f>
        <v>#REF!</v>
      </c>
      <c r="FP204" t="e">
        <f>AND(#REF!,"AAAAAH/xbqs=")</f>
        <v>#REF!</v>
      </c>
      <c r="FQ204" t="e">
        <f>AND(#REF!,"AAAAAH/xbqw=")</f>
        <v>#REF!</v>
      </c>
      <c r="FR204" t="e">
        <f>AND(#REF!,"AAAAAH/xbq0=")</f>
        <v>#REF!</v>
      </c>
      <c r="FS204" t="e">
        <f>AND(#REF!,"AAAAAH/xbq4=")</f>
        <v>#REF!</v>
      </c>
      <c r="FT204" t="e">
        <f>AND(#REF!,"AAAAAH/xbq8=")</f>
        <v>#REF!</v>
      </c>
      <c r="FU204" t="e">
        <f>AND(#REF!,"AAAAAH/xbrA=")</f>
        <v>#REF!</v>
      </c>
      <c r="FV204" t="e">
        <f>AND(#REF!,"AAAAAH/xbrE=")</f>
        <v>#REF!</v>
      </c>
      <c r="FW204" t="e">
        <f>AND(#REF!,"AAAAAH/xbrI=")</f>
        <v>#REF!</v>
      </c>
      <c r="FX204" t="e">
        <f>AND(#REF!,"AAAAAH/xbrM=")</f>
        <v>#REF!</v>
      </c>
      <c r="FY204" t="e">
        <f>AND(#REF!,"AAAAAH/xbrQ=")</f>
        <v>#REF!</v>
      </c>
      <c r="FZ204" t="e">
        <f>AND(#REF!,"AAAAAH/xbrU=")</f>
        <v>#REF!</v>
      </c>
      <c r="GA204" t="e">
        <f>AND(#REF!,"AAAAAH/xbrY=")</f>
        <v>#REF!</v>
      </c>
      <c r="GB204" t="e">
        <f>AND(#REF!,"AAAAAH/xbrc=")</f>
        <v>#REF!</v>
      </c>
      <c r="GC204" t="e">
        <f>AND(#REF!,"AAAAAH/xbrg=")</f>
        <v>#REF!</v>
      </c>
      <c r="GD204" t="e">
        <f>AND(#REF!,"AAAAAH/xbrk=")</f>
        <v>#REF!</v>
      </c>
      <c r="GE204" t="e">
        <f>AND(#REF!,"AAAAAH/xbro=")</f>
        <v>#REF!</v>
      </c>
      <c r="GF204" t="e">
        <f>AND(#REF!,"AAAAAH/xbrs=")</f>
        <v>#REF!</v>
      </c>
      <c r="GG204" t="e">
        <f>IF(#REF!,"AAAAAH/xbrw=",0)</f>
        <v>#REF!</v>
      </c>
      <c r="GH204" t="e">
        <f>AND(#REF!,"AAAAAH/xbr0=")</f>
        <v>#REF!</v>
      </c>
      <c r="GI204" t="e">
        <f>AND(#REF!,"AAAAAH/xbr4=")</f>
        <v>#REF!</v>
      </c>
      <c r="GJ204" t="e">
        <f>AND(#REF!,"AAAAAH/xbr8=")</f>
        <v>#REF!</v>
      </c>
      <c r="GK204" t="e">
        <f>AND(#REF!,"AAAAAH/xbsA=")</f>
        <v>#REF!</v>
      </c>
      <c r="GL204" t="e">
        <f>AND(#REF!,"AAAAAH/xbsE=")</f>
        <v>#REF!</v>
      </c>
      <c r="GM204" t="e">
        <f>AND(#REF!,"AAAAAH/xbsI=")</f>
        <v>#REF!</v>
      </c>
      <c r="GN204" t="e">
        <f>AND(#REF!,"AAAAAH/xbsM=")</f>
        <v>#REF!</v>
      </c>
      <c r="GO204" t="e">
        <f>AND(#REF!,"AAAAAH/xbsQ=")</f>
        <v>#REF!</v>
      </c>
      <c r="GP204" t="e">
        <f>AND(#REF!,"AAAAAH/xbsU=")</f>
        <v>#REF!</v>
      </c>
      <c r="GQ204" t="e">
        <f>AND(#REF!,"AAAAAH/xbsY=")</f>
        <v>#REF!</v>
      </c>
      <c r="GR204" t="e">
        <f>AND(#REF!,"AAAAAH/xbsc=")</f>
        <v>#REF!</v>
      </c>
      <c r="GS204" t="e">
        <f>AND(#REF!,"AAAAAH/xbsg=")</f>
        <v>#REF!</v>
      </c>
      <c r="GT204" t="e">
        <f>AND(#REF!,"AAAAAH/xbsk=")</f>
        <v>#REF!</v>
      </c>
      <c r="GU204" t="e">
        <f>AND(#REF!,"AAAAAH/xbso=")</f>
        <v>#REF!</v>
      </c>
      <c r="GV204" t="e">
        <f>AND(#REF!,"AAAAAH/xbss=")</f>
        <v>#REF!</v>
      </c>
      <c r="GW204" t="e">
        <f>AND(#REF!,"AAAAAH/xbsw=")</f>
        <v>#REF!</v>
      </c>
      <c r="GX204" t="e">
        <f>AND(#REF!,"AAAAAH/xbs0=")</f>
        <v>#REF!</v>
      </c>
      <c r="GY204" t="e">
        <f>AND(#REF!,"AAAAAH/xbs4=")</f>
        <v>#REF!</v>
      </c>
      <c r="GZ204" t="e">
        <f>AND(#REF!,"AAAAAH/xbs8=")</f>
        <v>#REF!</v>
      </c>
      <c r="HA204" t="e">
        <f>AND(#REF!,"AAAAAH/xbtA=")</f>
        <v>#REF!</v>
      </c>
      <c r="HB204" t="e">
        <f>AND(#REF!,"AAAAAH/xbtE=")</f>
        <v>#REF!</v>
      </c>
      <c r="HC204" t="e">
        <f>AND(#REF!,"AAAAAH/xbtI=")</f>
        <v>#REF!</v>
      </c>
      <c r="HD204" t="e">
        <f>AND(#REF!,"AAAAAH/xbtM=")</f>
        <v>#REF!</v>
      </c>
      <c r="HE204" t="e">
        <f>AND(#REF!,"AAAAAH/xbtQ=")</f>
        <v>#REF!</v>
      </c>
      <c r="HF204" t="e">
        <f>AND(#REF!,"AAAAAH/xbtU=")</f>
        <v>#REF!</v>
      </c>
      <c r="HG204" t="e">
        <f>AND(#REF!,"AAAAAH/xbtY=")</f>
        <v>#REF!</v>
      </c>
      <c r="HH204" t="e">
        <f>AND(#REF!,"AAAAAH/xbtc=")</f>
        <v>#REF!</v>
      </c>
      <c r="HI204" t="e">
        <f>AND(#REF!,"AAAAAH/xbtg=")</f>
        <v>#REF!</v>
      </c>
      <c r="HJ204" t="e">
        <f>AND(#REF!,"AAAAAH/xbtk=")</f>
        <v>#REF!</v>
      </c>
      <c r="HK204" t="e">
        <f>AND(#REF!,"AAAAAH/xbto=")</f>
        <v>#REF!</v>
      </c>
      <c r="HL204" t="e">
        <f>AND(#REF!,"AAAAAH/xbts=")</f>
        <v>#REF!</v>
      </c>
      <c r="HM204" t="e">
        <f>AND(#REF!,"AAAAAH/xbtw=")</f>
        <v>#REF!</v>
      </c>
      <c r="HN204" t="e">
        <f>AND(#REF!,"AAAAAH/xbt0=")</f>
        <v>#REF!</v>
      </c>
      <c r="HO204" t="e">
        <f>AND(#REF!,"AAAAAH/xbt4=")</f>
        <v>#REF!</v>
      </c>
      <c r="HP204" t="e">
        <f>AND(#REF!,"AAAAAH/xbt8=")</f>
        <v>#REF!</v>
      </c>
      <c r="HQ204" t="e">
        <f>AND(#REF!,"AAAAAH/xbuA=")</f>
        <v>#REF!</v>
      </c>
      <c r="HR204" t="e">
        <f>AND(#REF!,"AAAAAH/xbuE=")</f>
        <v>#REF!</v>
      </c>
      <c r="HS204" t="e">
        <f>AND(#REF!,"AAAAAH/xbuI=")</f>
        <v>#REF!</v>
      </c>
      <c r="HT204" t="e">
        <f>AND(#REF!,"AAAAAH/xbuM=")</f>
        <v>#REF!</v>
      </c>
      <c r="HU204" t="e">
        <f>AND(#REF!,"AAAAAH/xbuQ=")</f>
        <v>#REF!</v>
      </c>
      <c r="HV204" t="e">
        <f>AND(#REF!,"AAAAAH/xbuU=")</f>
        <v>#REF!</v>
      </c>
      <c r="HW204" t="e">
        <f>AND(#REF!,"AAAAAH/xbuY=")</f>
        <v>#REF!</v>
      </c>
      <c r="HX204" t="e">
        <f>AND(#REF!,"AAAAAH/xbuc=")</f>
        <v>#REF!</v>
      </c>
      <c r="HY204" t="e">
        <f>AND(#REF!,"AAAAAH/xbug=")</f>
        <v>#REF!</v>
      </c>
      <c r="HZ204" t="e">
        <f>AND(#REF!,"AAAAAH/xbuk=")</f>
        <v>#REF!</v>
      </c>
      <c r="IA204" t="e">
        <f>AND(#REF!,"AAAAAH/xbuo=")</f>
        <v>#REF!</v>
      </c>
      <c r="IB204" t="e">
        <f>AND(#REF!,"AAAAAH/xbus=")</f>
        <v>#REF!</v>
      </c>
      <c r="IC204" t="e">
        <f>AND(#REF!,"AAAAAH/xbuw=")</f>
        <v>#REF!</v>
      </c>
      <c r="ID204" t="e">
        <f>AND(#REF!,"AAAAAH/xbu0=")</f>
        <v>#REF!</v>
      </c>
      <c r="IE204" t="e">
        <f>AND(#REF!,"AAAAAH/xbu4=")</f>
        <v>#REF!</v>
      </c>
      <c r="IF204" t="e">
        <f>AND(#REF!,"AAAAAH/xbu8=")</f>
        <v>#REF!</v>
      </c>
      <c r="IG204" t="e">
        <f>AND(#REF!,"AAAAAH/xbvA=")</f>
        <v>#REF!</v>
      </c>
      <c r="IH204" t="e">
        <f>AND(#REF!,"AAAAAH/xbvE=")</f>
        <v>#REF!</v>
      </c>
      <c r="II204" t="e">
        <f>AND(#REF!,"AAAAAH/xbvI=")</f>
        <v>#REF!</v>
      </c>
      <c r="IJ204" t="e">
        <f>AND(#REF!,"AAAAAH/xbvM=")</f>
        <v>#REF!</v>
      </c>
      <c r="IK204" t="e">
        <f>AND(#REF!,"AAAAAH/xbvQ=")</f>
        <v>#REF!</v>
      </c>
      <c r="IL204" t="e">
        <f>AND(#REF!,"AAAAAH/xbvU=")</f>
        <v>#REF!</v>
      </c>
      <c r="IM204" t="e">
        <f>AND(#REF!,"AAAAAH/xbvY=")</f>
        <v>#REF!</v>
      </c>
      <c r="IN204" t="e">
        <f>AND(#REF!,"AAAAAH/xbvc=")</f>
        <v>#REF!</v>
      </c>
      <c r="IO204" t="e">
        <f>AND(#REF!,"AAAAAH/xbvg=")</f>
        <v>#REF!</v>
      </c>
      <c r="IP204" t="e">
        <f>AND(#REF!,"AAAAAH/xbvk=")</f>
        <v>#REF!</v>
      </c>
      <c r="IQ204" t="e">
        <f>AND(#REF!,"AAAAAH/xbvo=")</f>
        <v>#REF!</v>
      </c>
      <c r="IR204" t="e">
        <f>AND(#REF!,"AAAAAH/xbvs=")</f>
        <v>#REF!</v>
      </c>
      <c r="IS204" t="e">
        <f>AND(#REF!,"AAAAAH/xbvw=")</f>
        <v>#REF!</v>
      </c>
      <c r="IT204" t="e">
        <f>AND(#REF!,"AAAAAH/xbv0=")</f>
        <v>#REF!</v>
      </c>
      <c r="IU204" t="e">
        <f>AND(#REF!,"AAAAAH/xbv4=")</f>
        <v>#REF!</v>
      </c>
      <c r="IV204" t="e">
        <f>AND(#REF!,"AAAAAH/xbv8=")</f>
        <v>#REF!</v>
      </c>
    </row>
    <row r="205" spans="1:256" x14ac:dyDescent="0.25">
      <c r="A205" t="e">
        <f>AND(#REF!,"AAAAAFvvnwA=")</f>
        <v>#REF!</v>
      </c>
      <c r="B205" t="e">
        <f>AND(#REF!,"AAAAAFvvnwE=")</f>
        <v>#REF!</v>
      </c>
      <c r="C205" t="e">
        <f>AND(#REF!,"AAAAAFvvnwI=")</f>
        <v>#REF!</v>
      </c>
      <c r="D205" t="e">
        <f>AND(#REF!,"AAAAAFvvnwM=")</f>
        <v>#REF!</v>
      </c>
      <c r="E205" t="e">
        <f>AND(#REF!,"AAAAAFvvnwQ=")</f>
        <v>#REF!</v>
      </c>
      <c r="F205" t="e">
        <f>AND(#REF!,"AAAAAFvvnwU=")</f>
        <v>#REF!</v>
      </c>
      <c r="G205" t="e">
        <f>AND(#REF!,"AAAAAFvvnwY=")</f>
        <v>#REF!</v>
      </c>
      <c r="H205" t="e">
        <f>AND(#REF!,"AAAAAFvvnwc=")</f>
        <v>#REF!</v>
      </c>
      <c r="I205" t="e">
        <f>AND(#REF!,"AAAAAFvvnwg=")</f>
        <v>#REF!</v>
      </c>
      <c r="J205" t="e">
        <f>AND(#REF!,"AAAAAFvvnwk=")</f>
        <v>#REF!</v>
      </c>
      <c r="K205" t="e">
        <f>AND(#REF!,"AAAAAFvvnwo=")</f>
        <v>#REF!</v>
      </c>
      <c r="L205" t="e">
        <f>AND(#REF!,"AAAAAFvvnws=")</f>
        <v>#REF!</v>
      </c>
      <c r="M205" t="e">
        <f>AND(#REF!,"AAAAAFvvnww=")</f>
        <v>#REF!</v>
      </c>
      <c r="N205" t="e">
        <f>AND(#REF!,"AAAAAFvvnw0=")</f>
        <v>#REF!</v>
      </c>
      <c r="O205" t="e">
        <f>AND(#REF!,"AAAAAFvvnw4=")</f>
        <v>#REF!</v>
      </c>
      <c r="P205" t="e">
        <f>AND(#REF!,"AAAAAFvvnw8=")</f>
        <v>#REF!</v>
      </c>
      <c r="Q205" t="e">
        <f>AND(#REF!,"AAAAAFvvnxA=")</f>
        <v>#REF!</v>
      </c>
      <c r="R205" t="e">
        <f>AND(#REF!,"AAAAAFvvnxE=")</f>
        <v>#REF!</v>
      </c>
      <c r="S205" t="e">
        <f>AND(#REF!,"AAAAAFvvnxI=")</f>
        <v>#REF!</v>
      </c>
      <c r="T205" t="e">
        <f>AND(#REF!,"AAAAAFvvnxM=")</f>
        <v>#REF!</v>
      </c>
      <c r="U205" t="e">
        <f>AND(#REF!,"AAAAAFvvnxQ=")</f>
        <v>#REF!</v>
      </c>
      <c r="V205" t="e">
        <f>AND(#REF!,"AAAAAFvvnxU=")</f>
        <v>#REF!</v>
      </c>
      <c r="W205" t="e">
        <f>AND(#REF!,"AAAAAFvvnxY=")</f>
        <v>#REF!</v>
      </c>
      <c r="X205" t="e">
        <f>AND(#REF!,"AAAAAFvvnxc=")</f>
        <v>#REF!</v>
      </c>
      <c r="Y205" t="e">
        <f>AND(#REF!,"AAAAAFvvnxg=")</f>
        <v>#REF!</v>
      </c>
      <c r="Z205" t="e">
        <f>AND(#REF!,"AAAAAFvvnxk=")</f>
        <v>#REF!</v>
      </c>
      <c r="AA205" t="e">
        <f>AND(#REF!,"AAAAAFvvnxo=")</f>
        <v>#REF!</v>
      </c>
      <c r="AB205" t="e">
        <f>AND(#REF!,"AAAAAFvvnxs=")</f>
        <v>#REF!</v>
      </c>
      <c r="AC205" t="e">
        <f>AND(#REF!,"AAAAAFvvnxw=")</f>
        <v>#REF!</v>
      </c>
      <c r="AD205" t="e">
        <f>AND(#REF!,"AAAAAFvvnx0=")</f>
        <v>#REF!</v>
      </c>
      <c r="AE205" t="e">
        <f>AND(#REF!,"AAAAAFvvnx4=")</f>
        <v>#REF!</v>
      </c>
      <c r="AF205" t="e">
        <f>AND(#REF!,"AAAAAFvvnx8=")</f>
        <v>#REF!</v>
      </c>
      <c r="AG205" t="e">
        <f>AND(#REF!,"AAAAAFvvnyA=")</f>
        <v>#REF!</v>
      </c>
      <c r="AH205" t="e">
        <f>AND(#REF!,"AAAAAFvvnyE=")</f>
        <v>#REF!</v>
      </c>
      <c r="AI205" t="e">
        <f>AND(#REF!,"AAAAAFvvnyI=")</f>
        <v>#REF!</v>
      </c>
      <c r="AJ205" t="e">
        <f>AND(#REF!,"AAAAAFvvnyM=")</f>
        <v>#REF!</v>
      </c>
      <c r="AK205" t="e">
        <f>AND(#REF!,"AAAAAFvvnyQ=")</f>
        <v>#REF!</v>
      </c>
      <c r="AL205" t="e">
        <f>AND(#REF!,"AAAAAFvvnyU=")</f>
        <v>#REF!</v>
      </c>
      <c r="AM205" t="e">
        <f>AND(#REF!,"AAAAAFvvnyY=")</f>
        <v>#REF!</v>
      </c>
      <c r="AN205" t="e">
        <f>AND(#REF!,"AAAAAFvvnyc=")</f>
        <v>#REF!</v>
      </c>
      <c r="AO205" t="e">
        <f>AND(#REF!,"AAAAAFvvnyg=")</f>
        <v>#REF!</v>
      </c>
      <c r="AP205" t="e">
        <f>AND(#REF!,"AAAAAFvvnyk=")</f>
        <v>#REF!</v>
      </c>
      <c r="AQ205" t="e">
        <f>AND(#REF!,"AAAAAFvvnyo=")</f>
        <v>#REF!</v>
      </c>
      <c r="AR205" t="e">
        <f>AND(#REF!,"AAAAAFvvnys=")</f>
        <v>#REF!</v>
      </c>
      <c r="AS205" t="e">
        <f>AND(#REF!,"AAAAAFvvnyw=")</f>
        <v>#REF!</v>
      </c>
      <c r="AT205" t="e">
        <f>AND(#REF!,"AAAAAFvvny0=")</f>
        <v>#REF!</v>
      </c>
      <c r="AU205" t="e">
        <f>AND(#REF!,"AAAAAFvvny4=")</f>
        <v>#REF!</v>
      </c>
      <c r="AV205" t="e">
        <f>AND(#REF!,"AAAAAFvvny8=")</f>
        <v>#REF!</v>
      </c>
      <c r="AW205" t="e">
        <f>AND(#REF!,"AAAAAFvvnzA=")</f>
        <v>#REF!</v>
      </c>
      <c r="AX205" t="e">
        <f>AND(#REF!,"AAAAAFvvnzE=")</f>
        <v>#REF!</v>
      </c>
      <c r="AY205" t="e">
        <f>AND(#REF!,"AAAAAFvvnzI=")</f>
        <v>#REF!</v>
      </c>
      <c r="AZ205" t="e">
        <f>AND(#REF!,"AAAAAFvvnzM=")</f>
        <v>#REF!</v>
      </c>
      <c r="BA205" t="e">
        <f>AND(#REF!,"AAAAAFvvnzQ=")</f>
        <v>#REF!</v>
      </c>
      <c r="BB205" t="e">
        <f>AND(#REF!,"AAAAAFvvnzU=")</f>
        <v>#REF!</v>
      </c>
      <c r="BC205" t="e">
        <f>AND(#REF!,"AAAAAFvvnzY=")</f>
        <v>#REF!</v>
      </c>
      <c r="BD205" t="e">
        <f>AND(#REF!,"AAAAAFvvnzc=")</f>
        <v>#REF!</v>
      </c>
      <c r="BE205" t="e">
        <f>AND(#REF!,"AAAAAFvvnzg=")</f>
        <v>#REF!</v>
      </c>
      <c r="BF205" t="e">
        <f>AND(#REF!,"AAAAAFvvnzk=")</f>
        <v>#REF!</v>
      </c>
      <c r="BG205" t="e">
        <f>AND(#REF!,"AAAAAFvvnzo=")</f>
        <v>#REF!</v>
      </c>
      <c r="BH205" t="e">
        <f>AND(#REF!,"AAAAAFvvnzs=")</f>
        <v>#REF!</v>
      </c>
      <c r="BI205" t="e">
        <f>AND(#REF!,"AAAAAFvvnzw=")</f>
        <v>#REF!</v>
      </c>
      <c r="BJ205" t="e">
        <f>AND(#REF!,"AAAAAFvvnz0=")</f>
        <v>#REF!</v>
      </c>
      <c r="BK205" t="e">
        <f>AND(#REF!,"AAAAAFvvnz4=")</f>
        <v>#REF!</v>
      </c>
      <c r="BL205" t="e">
        <f>AND(#REF!,"AAAAAFvvnz8=")</f>
        <v>#REF!</v>
      </c>
      <c r="BM205" t="e">
        <f>AND(#REF!,"AAAAAFvvn0A=")</f>
        <v>#REF!</v>
      </c>
      <c r="BN205" t="e">
        <f>AND(#REF!,"AAAAAFvvn0E=")</f>
        <v>#REF!</v>
      </c>
      <c r="BO205" t="e">
        <f>AND(#REF!,"AAAAAFvvn0I=")</f>
        <v>#REF!</v>
      </c>
      <c r="BP205" t="e">
        <f>AND(#REF!,"AAAAAFvvn0M=")</f>
        <v>#REF!</v>
      </c>
      <c r="BQ205" t="e">
        <f>AND(#REF!,"AAAAAFvvn0Q=")</f>
        <v>#REF!</v>
      </c>
      <c r="BR205" t="e">
        <f>AND(#REF!,"AAAAAFvvn0U=")</f>
        <v>#REF!</v>
      </c>
      <c r="BS205" t="e">
        <f>AND(#REF!,"AAAAAFvvn0Y=")</f>
        <v>#REF!</v>
      </c>
      <c r="BT205" t="e">
        <f>AND(#REF!,"AAAAAFvvn0c=")</f>
        <v>#REF!</v>
      </c>
      <c r="BU205" t="e">
        <f>AND(#REF!,"AAAAAFvvn0g=")</f>
        <v>#REF!</v>
      </c>
      <c r="BV205" t="e">
        <f>AND(#REF!,"AAAAAFvvn0k=")</f>
        <v>#REF!</v>
      </c>
      <c r="BW205" t="e">
        <f>AND(#REF!,"AAAAAFvvn0o=")</f>
        <v>#REF!</v>
      </c>
      <c r="BX205" t="e">
        <f>AND(#REF!,"AAAAAFvvn0s=")</f>
        <v>#REF!</v>
      </c>
      <c r="BY205" t="e">
        <f>AND(#REF!,"AAAAAFvvn0w=")</f>
        <v>#REF!</v>
      </c>
      <c r="BZ205" t="e">
        <f>AND(#REF!,"AAAAAFvvn00=")</f>
        <v>#REF!</v>
      </c>
      <c r="CA205" t="e">
        <f>AND(#REF!,"AAAAAFvvn04=")</f>
        <v>#REF!</v>
      </c>
      <c r="CB205" t="e">
        <f>AND(#REF!,"AAAAAFvvn08=")</f>
        <v>#REF!</v>
      </c>
      <c r="CC205" t="e">
        <f>AND(#REF!,"AAAAAFvvn1A=")</f>
        <v>#REF!</v>
      </c>
      <c r="CD205" t="e">
        <f>AND(#REF!,"AAAAAFvvn1E=")</f>
        <v>#REF!</v>
      </c>
      <c r="CE205" t="e">
        <f>AND(#REF!,"AAAAAFvvn1I=")</f>
        <v>#REF!</v>
      </c>
      <c r="CF205" t="e">
        <f>AND(#REF!,"AAAAAFvvn1M=")</f>
        <v>#REF!</v>
      </c>
      <c r="CG205" t="e">
        <f>AND(#REF!,"AAAAAFvvn1Q=")</f>
        <v>#REF!</v>
      </c>
      <c r="CH205" t="e">
        <f>AND(#REF!,"AAAAAFvvn1U=")</f>
        <v>#REF!</v>
      </c>
      <c r="CI205" t="e">
        <f>AND(#REF!,"AAAAAFvvn1Y=")</f>
        <v>#REF!</v>
      </c>
      <c r="CJ205" t="e">
        <f>AND(#REF!,"AAAAAFvvn1c=")</f>
        <v>#REF!</v>
      </c>
      <c r="CK205" t="e">
        <f>AND(#REF!,"AAAAAFvvn1g=")</f>
        <v>#REF!</v>
      </c>
      <c r="CL205" t="e">
        <f>AND(#REF!,"AAAAAFvvn1k=")</f>
        <v>#REF!</v>
      </c>
      <c r="CM205" t="e">
        <f>AND(#REF!,"AAAAAFvvn1o=")</f>
        <v>#REF!</v>
      </c>
      <c r="CN205" t="e">
        <f>AND(#REF!,"AAAAAFvvn1s=")</f>
        <v>#REF!</v>
      </c>
      <c r="CO205" t="e">
        <f>AND(#REF!,"AAAAAFvvn1w=")</f>
        <v>#REF!</v>
      </c>
      <c r="CP205" t="e">
        <f>AND(#REF!,"AAAAAFvvn10=")</f>
        <v>#REF!</v>
      </c>
      <c r="CQ205" t="e">
        <f>AND(#REF!,"AAAAAFvvn14=")</f>
        <v>#REF!</v>
      </c>
      <c r="CR205" t="e">
        <f>AND(#REF!,"AAAAAFvvn18=")</f>
        <v>#REF!</v>
      </c>
      <c r="CS205" t="e">
        <f>AND(#REF!,"AAAAAFvvn2A=")</f>
        <v>#REF!</v>
      </c>
      <c r="CT205" t="e">
        <f>AND(#REF!,"AAAAAFvvn2E=")</f>
        <v>#REF!</v>
      </c>
      <c r="CU205" t="e">
        <f>AND(#REF!,"AAAAAFvvn2I=")</f>
        <v>#REF!</v>
      </c>
      <c r="CV205" t="e">
        <f>AND(#REF!,"AAAAAFvvn2M=")</f>
        <v>#REF!</v>
      </c>
      <c r="CW205" t="e">
        <f>AND(#REF!,"AAAAAFvvn2Q=")</f>
        <v>#REF!</v>
      </c>
      <c r="CX205" t="e">
        <f>AND(#REF!,"AAAAAFvvn2U=")</f>
        <v>#REF!</v>
      </c>
      <c r="CY205" t="e">
        <f>AND(#REF!,"AAAAAFvvn2Y=")</f>
        <v>#REF!</v>
      </c>
      <c r="CZ205" t="e">
        <f>AND(#REF!,"AAAAAFvvn2c=")</f>
        <v>#REF!</v>
      </c>
      <c r="DA205" t="e">
        <f>AND(#REF!,"AAAAAFvvn2g=")</f>
        <v>#REF!</v>
      </c>
      <c r="DB205" t="e">
        <f>AND(#REF!,"AAAAAFvvn2k=")</f>
        <v>#REF!</v>
      </c>
      <c r="DC205" t="e">
        <f>AND(#REF!,"AAAAAFvvn2o=")</f>
        <v>#REF!</v>
      </c>
      <c r="DD205" t="e">
        <f>AND(#REF!,"AAAAAFvvn2s=")</f>
        <v>#REF!</v>
      </c>
      <c r="DE205" t="e">
        <f>AND(#REF!,"AAAAAFvvn2w=")</f>
        <v>#REF!</v>
      </c>
      <c r="DF205" t="e">
        <f>AND(#REF!,"AAAAAFvvn20=")</f>
        <v>#REF!</v>
      </c>
      <c r="DG205" t="e">
        <f>AND(#REF!,"AAAAAFvvn24=")</f>
        <v>#REF!</v>
      </c>
      <c r="DH205" t="e">
        <f>AND(#REF!,"AAAAAFvvn28=")</f>
        <v>#REF!</v>
      </c>
      <c r="DI205" t="e">
        <f>AND(#REF!,"AAAAAFvvn3A=")</f>
        <v>#REF!</v>
      </c>
      <c r="DJ205" t="e">
        <f>AND(#REF!,"AAAAAFvvn3E=")</f>
        <v>#REF!</v>
      </c>
      <c r="DK205" t="e">
        <f>AND(#REF!,"AAAAAFvvn3I=")</f>
        <v>#REF!</v>
      </c>
      <c r="DL205" t="e">
        <f>AND(#REF!,"AAAAAFvvn3M=")</f>
        <v>#REF!</v>
      </c>
      <c r="DM205" t="e">
        <f>AND(#REF!,"AAAAAFvvn3Q=")</f>
        <v>#REF!</v>
      </c>
      <c r="DN205" t="e">
        <f>AND(#REF!,"AAAAAFvvn3U=")</f>
        <v>#REF!</v>
      </c>
      <c r="DO205" t="e">
        <f>AND(#REF!,"AAAAAFvvn3Y=")</f>
        <v>#REF!</v>
      </c>
      <c r="DP205" t="e">
        <f>AND(#REF!,"AAAAAFvvn3c=")</f>
        <v>#REF!</v>
      </c>
      <c r="DQ205" t="e">
        <f>AND(#REF!,"AAAAAFvvn3g=")</f>
        <v>#REF!</v>
      </c>
      <c r="DR205" t="e">
        <f>IF(#REF!,"AAAAAFvvn3k=",0)</f>
        <v>#REF!</v>
      </c>
      <c r="DS205" t="e">
        <f>AND(#REF!,"AAAAAFvvn3o=")</f>
        <v>#REF!</v>
      </c>
      <c r="DT205" t="e">
        <f>AND(#REF!,"AAAAAFvvn3s=")</f>
        <v>#REF!</v>
      </c>
      <c r="DU205" t="e">
        <f>AND(#REF!,"AAAAAFvvn3w=")</f>
        <v>#REF!</v>
      </c>
      <c r="DV205" t="e">
        <f>AND(#REF!,"AAAAAFvvn30=")</f>
        <v>#REF!</v>
      </c>
      <c r="DW205" t="e">
        <f>AND(#REF!,"AAAAAFvvn34=")</f>
        <v>#REF!</v>
      </c>
      <c r="DX205" t="e">
        <f>AND(#REF!,"AAAAAFvvn38=")</f>
        <v>#REF!</v>
      </c>
      <c r="DY205" t="e">
        <f>AND(#REF!,"AAAAAFvvn4A=")</f>
        <v>#REF!</v>
      </c>
      <c r="DZ205" t="e">
        <f>AND(#REF!,"AAAAAFvvn4E=")</f>
        <v>#REF!</v>
      </c>
      <c r="EA205" t="e">
        <f>AND(#REF!,"AAAAAFvvn4I=")</f>
        <v>#REF!</v>
      </c>
      <c r="EB205" t="e">
        <f>AND(#REF!,"AAAAAFvvn4M=")</f>
        <v>#REF!</v>
      </c>
      <c r="EC205" t="e">
        <f>AND(#REF!,"AAAAAFvvn4Q=")</f>
        <v>#REF!</v>
      </c>
      <c r="ED205" t="e">
        <f>AND(#REF!,"AAAAAFvvn4U=")</f>
        <v>#REF!</v>
      </c>
      <c r="EE205" t="e">
        <f>AND(#REF!,"AAAAAFvvn4Y=")</f>
        <v>#REF!</v>
      </c>
      <c r="EF205" t="e">
        <f>AND(#REF!,"AAAAAFvvn4c=")</f>
        <v>#REF!</v>
      </c>
      <c r="EG205" t="e">
        <f>AND(#REF!,"AAAAAFvvn4g=")</f>
        <v>#REF!</v>
      </c>
      <c r="EH205" t="e">
        <f>AND(#REF!,"AAAAAFvvn4k=")</f>
        <v>#REF!</v>
      </c>
      <c r="EI205" t="e">
        <f>AND(#REF!,"AAAAAFvvn4o=")</f>
        <v>#REF!</v>
      </c>
      <c r="EJ205" t="e">
        <f>AND(#REF!,"AAAAAFvvn4s=")</f>
        <v>#REF!</v>
      </c>
      <c r="EK205" t="e">
        <f>AND(#REF!,"AAAAAFvvn4w=")</f>
        <v>#REF!</v>
      </c>
      <c r="EL205" t="e">
        <f>AND(#REF!,"AAAAAFvvn40=")</f>
        <v>#REF!</v>
      </c>
      <c r="EM205" t="e">
        <f>AND(#REF!,"AAAAAFvvn44=")</f>
        <v>#REF!</v>
      </c>
      <c r="EN205" t="e">
        <f>AND(#REF!,"AAAAAFvvn48=")</f>
        <v>#REF!</v>
      </c>
      <c r="EO205" t="e">
        <f>AND(#REF!,"AAAAAFvvn5A=")</f>
        <v>#REF!</v>
      </c>
      <c r="EP205" t="e">
        <f>AND(#REF!,"AAAAAFvvn5E=")</f>
        <v>#REF!</v>
      </c>
      <c r="EQ205" t="e">
        <f>AND(#REF!,"AAAAAFvvn5I=")</f>
        <v>#REF!</v>
      </c>
      <c r="ER205" t="e">
        <f>AND(#REF!,"AAAAAFvvn5M=")</f>
        <v>#REF!</v>
      </c>
      <c r="ES205" t="e">
        <f>AND(#REF!,"AAAAAFvvn5Q=")</f>
        <v>#REF!</v>
      </c>
      <c r="ET205" t="e">
        <f>AND(#REF!,"AAAAAFvvn5U=")</f>
        <v>#REF!</v>
      </c>
      <c r="EU205" t="e">
        <f>AND(#REF!,"AAAAAFvvn5Y=")</f>
        <v>#REF!</v>
      </c>
      <c r="EV205" t="e">
        <f>AND(#REF!,"AAAAAFvvn5c=")</f>
        <v>#REF!</v>
      </c>
      <c r="EW205" t="e">
        <f>AND(#REF!,"AAAAAFvvn5g=")</f>
        <v>#REF!</v>
      </c>
      <c r="EX205" t="e">
        <f>AND(#REF!,"AAAAAFvvn5k=")</f>
        <v>#REF!</v>
      </c>
      <c r="EY205" t="e">
        <f>AND(#REF!,"AAAAAFvvn5o=")</f>
        <v>#REF!</v>
      </c>
      <c r="EZ205" t="e">
        <f>AND(#REF!,"AAAAAFvvn5s=")</f>
        <v>#REF!</v>
      </c>
      <c r="FA205" t="e">
        <f>AND(#REF!,"AAAAAFvvn5w=")</f>
        <v>#REF!</v>
      </c>
      <c r="FB205" t="e">
        <f>AND(#REF!,"AAAAAFvvn50=")</f>
        <v>#REF!</v>
      </c>
      <c r="FC205" t="e">
        <f>AND(#REF!,"AAAAAFvvn54=")</f>
        <v>#REF!</v>
      </c>
      <c r="FD205" t="e">
        <f>AND(#REF!,"AAAAAFvvn58=")</f>
        <v>#REF!</v>
      </c>
      <c r="FE205" t="e">
        <f>AND(#REF!,"AAAAAFvvn6A=")</f>
        <v>#REF!</v>
      </c>
      <c r="FF205" t="e">
        <f>AND(#REF!,"AAAAAFvvn6E=")</f>
        <v>#REF!</v>
      </c>
      <c r="FG205" t="e">
        <f>AND(#REF!,"AAAAAFvvn6I=")</f>
        <v>#REF!</v>
      </c>
      <c r="FH205" t="e">
        <f>AND(#REF!,"AAAAAFvvn6M=")</f>
        <v>#REF!</v>
      </c>
      <c r="FI205" t="e">
        <f>AND(#REF!,"AAAAAFvvn6Q=")</f>
        <v>#REF!</v>
      </c>
      <c r="FJ205" t="e">
        <f>AND(#REF!,"AAAAAFvvn6U=")</f>
        <v>#REF!</v>
      </c>
      <c r="FK205" t="e">
        <f>AND(#REF!,"AAAAAFvvn6Y=")</f>
        <v>#REF!</v>
      </c>
      <c r="FL205" t="e">
        <f>AND(#REF!,"AAAAAFvvn6c=")</f>
        <v>#REF!</v>
      </c>
      <c r="FM205" t="e">
        <f>AND(#REF!,"AAAAAFvvn6g=")</f>
        <v>#REF!</v>
      </c>
      <c r="FN205" t="e">
        <f>AND(#REF!,"AAAAAFvvn6k=")</f>
        <v>#REF!</v>
      </c>
      <c r="FO205" t="e">
        <f>AND(#REF!,"AAAAAFvvn6o=")</f>
        <v>#REF!</v>
      </c>
      <c r="FP205" t="e">
        <f>AND(#REF!,"AAAAAFvvn6s=")</f>
        <v>#REF!</v>
      </c>
      <c r="FQ205" t="e">
        <f>AND(#REF!,"AAAAAFvvn6w=")</f>
        <v>#REF!</v>
      </c>
      <c r="FR205" t="e">
        <f>AND(#REF!,"AAAAAFvvn60=")</f>
        <v>#REF!</v>
      </c>
      <c r="FS205" t="e">
        <f>AND(#REF!,"AAAAAFvvn64=")</f>
        <v>#REF!</v>
      </c>
      <c r="FT205" t="e">
        <f>AND(#REF!,"AAAAAFvvn68=")</f>
        <v>#REF!</v>
      </c>
      <c r="FU205" t="e">
        <f>AND(#REF!,"AAAAAFvvn7A=")</f>
        <v>#REF!</v>
      </c>
      <c r="FV205" t="e">
        <f>AND(#REF!,"AAAAAFvvn7E=")</f>
        <v>#REF!</v>
      </c>
      <c r="FW205" t="e">
        <f>AND(#REF!,"AAAAAFvvn7I=")</f>
        <v>#REF!</v>
      </c>
      <c r="FX205" t="e">
        <f>AND(#REF!,"AAAAAFvvn7M=")</f>
        <v>#REF!</v>
      </c>
      <c r="FY205" t="e">
        <f>AND(#REF!,"AAAAAFvvn7Q=")</f>
        <v>#REF!</v>
      </c>
      <c r="FZ205" t="e">
        <f>AND(#REF!,"AAAAAFvvn7U=")</f>
        <v>#REF!</v>
      </c>
      <c r="GA205" t="e">
        <f>AND(#REF!,"AAAAAFvvn7Y=")</f>
        <v>#REF!</v>
      </c>
      <c r="GB205" t="e">
        <f>AND(#REF!,"AAAAAFvvn7c=")</f>
        <v>#REF!</v>
      </c>
      <c r="GC205" t="e">
        <f>AND(#REF!,"AAAAAFvvn7g=")</f>
        <v>#REF!</v>
      </c>
      <c r="GD205" t="e">
        <f>AND(#REF!,"AAAAAFvvn7k=")</f>
        <v>#REF!</v>
      </c>
      <c r="GE205" t="e">
        <f>AND(#REF!,"AAAAAFvvn7o=")</f>
        <v>#REF!</v>
      </c>
      <c r="GF205" t="e">
        <f>AND(#REF!,"AAAAAFvvn7s=")</f>
        <v>#REF!</v>
      </c>
      <c r="GG205" t="e">
        <f>AND(#REF!,"AAAAAFvvn7w=")</f>
        <v>#REF!</v>
      </c>
      <c r="GH205" t="e">
        <f>AND(#REF!,"AAAAAFvvn70=")</f>
        <v>#REF!</v>
      </c>
      <c r="GI205" t="e">
        <f>AND(#REF!,"AAAAAFvvn74=")</f>
        <v>#REF!</v>
      </c>
      <c r="GJ205" t="e">
        <f>AND(#REF!,"AAAAAFvvn78=")</f>
        <v>#REF!</v>
      </c>
      <c r="GK205" t="e">
        <f>AND(#REF!,"AAAAAFvvn8A=")</f>
        <v>#REF!</v>
      </c>
      <c r="GL205" t="e">
        <f>AND(#REF!,"AAAAAFvvn8E=")</f>
        <v>#REF!</v>
      </c>
      <c r="GM205" t="e">
        <f>AND(#REF!,"AAAAAFvvn8I=")</f>
        <v>#REF!</v>
      </c>
      <c r="GN205" t="e">
        <f>AND(#REF!,"AAAAAFvvn8M=")</f>
        <v>#REF!</v>
      </c>
      <c r="GO205" t="e">
        <f>AND(#REF!,"AAAAAFvvn8Q=")</f>
        <v>#REF!</v>
      </c>
      <c r="GP205" t="e">
        <f>AND(#REF!,"AAAAAFvvn8U=")</f>
        <v>#REF!</v>
      </c>
      <c r="GQ205" t="e">
        <f>AND(#REF!,"AAAAAFvvn8Y=")</f>
        <v>#REF!</v>
      </c>
      <c r="GR205" t="e">
        <f>AND(#REF!,"AAAAAFvvn8c=")</f>
        <v>#REF!</v>
      </c>
      <c r="GS205" t="e">
        <f>AND(#REF!,"AAAAAFvvn8g=")</f>
        <v>#REF!</v>
      </c>
      <c r="GT205" t="e">
        <f>AND(#REF!,"AAAAAFvvn8k=")</f>
        <v>#REF!</v>
      </c>
      <c r="GU205" t="e">
        <f>AND(#REF!,"AAAAAFvvn8o=")</f>
        <v>#REF!</v>
      </c>
      <c r="GV205" t="e">
        <f>AND(#REF!,"AAAAAFvvn8s=")</f>
        <v>#REF!</v>
      </c>
      <c r="GW205" t="e">
        <f>AND(#REF!,"AAAAAFvvn8w=")</f>
        <v>#REF!</v>
      </c>
      <c r="GX205" t="e">
        <f>AND(#REF!,"AAAAAFvvn80=")</f>
        <v>#REF!</v>
      </c>
      <c r="GY205" t="e">
        <f>AND(#REF!,"AAAAAFvvn84=")</f>
        <v>#REF!</v>
      </c>
      <c r="GZ205" t="e">
        <f>AND(#REF!,"AAAAAFvvn88=")</f>
        <v>#REF!</v>
      </c>
      <c r="HA205" t="e">
        <f>AND(#REF!,"AAAAAFvvn9A=")</f>
        <v>#REF!</v>
      </c>
      <c r="HB205" t="e">
        <f>AND(#REF!,"AAAAAFvvn9E=")</f>
        <v>#REF!</v>
      </c>
      <c r="HC205" t="e">
        <f>AND(#REF!,"AAAAAFvvn9I=")</f>
        <v>#REF!</v>
      </c>
      <c r="HD205" t="e">
        <f>AND(#REF!,"AAAAAFvvn9M=")</f>
        <v>#REF!</v>
      </c>
      <c r="HE205" t="e">
        <f>AND(#REF!,"AAAAAFvvn9Q=")</f>
        <v>#REF!</v>
      </c>
      <c r="HF205" t="e">
        <f>AND(#REF!,"AAAAAFvvn9U=")</f>
        <v>#REF!</v>
      </c>
      <c r="HG205" t="e">
        <f>AND(#REF!,"AAAAAFvvn9Y=")</f>
        <v>#REF!</v>
      </c>
      <c r="HH205" t="e">
        <f>AND(#REF!,"AAAAAFvvn9c=")</f>
        <v>#REF!</v>
      </c>
      <c r="HI205" t="e">
        <f>AND(#REF!,"AAAAAFvvn9g=")</f>
        <v>#REF!</v>
      </c>
      <c r="HJ205" t="e">
        <f>AND(#REF!,"AAAAAFvvn9k=")</f>
        <v>#REF!</v>
      </c>
      <c r="HK205" t="e">
        <f>AND(#REF!,"AAAAAFvvn9o=")</f>
        <v>#REF!</v>
      </c>
      <c r="HL205" t="e">
        <f>AND(#REF!,"AAAAAFvvn9s=")</f>
        <v>#REF!</v>
      </c>
      <c r="HM205" t="e">
        <f>AND(#REF!,"AAAAAFvvn9w=")</f>
        <v>#REF!</v>
      </c>
      <c r="HN205" t="e">
        <f>AND(#REF!,"AAAAAFvvn90=")</f>
        <v>#REF!</v>
      </c>
      <c r="HO205" t="e">
        <f>AND(#REF!,"AAAAAFvvn94=")</f>
        <v>#REF!</v>
      </c>
      <c r="HP205" t="e">
        <f>AND(#REF!,"AAAAAFvvn98=")</f>
        <v>#REF!</v>
      </c>
      <c r="HQ205" t="e">
        <f>AND(#REF!,"AAAAAFvvn+A=")</f>
        <v>#REF!</v>
      </c>
      <c r="HR205" t="e">
        <f>AND(#REF!,"AAAAAFvvn+E=")</f>
        <v>#REF!</v>
      </c>
      <c r="HS205" t="e">
        <f>AND(#REF!,"AAAAAFvvn+I=")</f>
        <v>#REF!</v>
      </c>
      <c r="HT205" t="e">
        <f>AND(#REF!,"AAAAAFvvn+M=")</f>
        <v>#REF!</v>
      </c>
      <c r="HU205" t="e">
        <f>AND(#REF!,"AAAAAFvvn+Q=")</f>
        <v>#REF!</v>
      </c>
      <c r="HV205" t="e">
        <f>AND(#REF!,"AAAAAFvvn+U=")</f>
        <v>#REF!</v>
      </c>
      <c r="HW205" t="e">
        <f>AND(#REF!,"AAAAAFvvn+Y=")</f>
        <v>#REF!</v>
      </c>
      <c r="HX205" t="e">
        <f>AND(#REF!,"AAAAAFvvn+c=")</f>
        <v>#REF!</v>
      </c>
      <c r="HY205" t="e">
        <f>AND(#REF!,"AAAAAFvvn+g=")</f>
        <v>#REF!</v>
      </c>
      <c r="HZ205" t="e">
        <f>AND(#REF!,"AAAAAFvvn+k=")</f>
        <v>#REF!</v>
      </c>
      <c r="IA205" t="e">
        <f>AND(#REF!,"AAAAAFvvn+o=")</f>
        <v>#REF!</v>
      </c>
      <c r="IB205" t="e">
        <f>AND(#REF!,"AAAAAFvvn+s=")</f>
        <v>#REF!</v>
      </c>
      <c r="IC205" t="e">
        <f>AND(#REF!,"AAAAAFvvn+w=")</f>
        <v>#REF!</v>
      </c>
      <c r="ID205" t="e">
        <f>AND(#REF!,"AAAAAFvvn+0=")</f>
        <v>#REF!</v>
      </c>
      <c r="IE205" t="e">
        <f>AND(#REF!,"AAAAAFvvn+4=")</f>
        <v>#REF!</v>
      </c>
      <c r="IF205" t="e">
        <f>AND(#REF!,"AAAAAFvvn+8=")</f>
        <v>#REF!</v>
      </c>
      <c r="IG205" t="e">
        <f>AND(#REF!,"AAAAAFvvn/A=")</f>
        <v>#REF!</v>
      </c>
      <c r="IH205" t="e">
        <f>AND(#REF!,"AAAAAFvvn/E=")</f>
        <v>#REF!</v>
      </c>
      <c r="II205" t="e">
        <f>AND(#REF!,"AAAAAFvvn/I=")</f>
        <v>#REF!</v>
      </c>
      <c r="IJ205" t="e">
        <f>AND(#REF!,"AAAAAFvvn/M=")</f>
        <v>#REF!</v>
      </c>
      <c r="IK205" t="e">
        <f>AND(#REF!,"AAAAAFvvn/Q=")</f>
        <v>#REF!</v>
      </c>
      <c r="IL205" t="e">
        <f>AND(#REF!,"AAAAAFvvn/U=")</f>
        <v>#REF!</v>
      </c>
      <c r="IM205" t="e">
        <f>AND(#REF!,"AAAAAFvvn/Y=")</f>
        <v>#REF!</v>
      </c>
      <c r="IN205" t="e">
        <f>AND(#REF!,"AAAAAFvvn/c=")</f>
        <v>#REF!</v>
      </c>
      <c r="IO205" t="e">
        <f>AND(#REF!,"AAAAAFvvn/g=")</f>
        <v>#REF!</v>
      </c>
      <c r="IP205" t="e">
        <f>AND(#REF!,"AAAAAFvvn/k=")</f>
        <v>#REF!</v>
      </c>
      <c r="IQ205" t="e">
        <f>AND(#REF!,"AAAAAFvvn/o=")</f>
        <v>#REF!</v>
      </c>
      <c r="IR205" t="e">
        <f>AND(#REF!,"AAAAAFvvn/s=")</f>
        <v>#REF!</v>
      </c>
      <c r="IS205" t="e">
        <f>AND(#REF!,"AAAAAFvvn/w=")</f>
        <v>#REF!</v>
      </c>
      <c r="IT205" t="e">
        <f>AND(#REF!,"AAAAAFvvn/0=")</f>
        <v>#REF!</v>
      </c>
      <c r="IU205" t="e">
        <f>AND(#REF!,"AAAAAFvvn/4=")</f>
        <v>#REF!</v>
      </c>
      <c r="IV205" t="e">
        <f>AND(#REF!,"AAAAAFvvn/8=")</f>
        <v>#REF!</v>
      </c>
    </row>
    <row r="206" spans="1:256" x14ac:dyDescent="0.25">
      <c r="A206" t="e">
        <f>AND(#REF!,"AAAAAGu//QA=")</f>
        <v>#REF!</v>
      </c>
      <c r="B206" t="e">
        <f>AND(#REF!,"AAAAAGu//QE=")</f>
        <v>#REF!</v>
      </c>
      <c r="C206" t="e">
        <f>AND(#REF!,"AAAAAGu//QI=")</f>
        <v>#REF!</v>
      </c>
      <c r="D206" t="e">
        <f>AND(#REF!,"AAAAAGu//QM=")</f>
        <v>#REF!</v>
      </c>
      <c r="E206" t="e">
        <f>AND(#REF!,"AAAAAGu//QQ=")</f>
        <v>#REF!</v>
      </c>
      <c r="F206" t="e">
        <f>AND(#REF!,"AAAAAGu//QU=")</f>
        <v>#REF!</v>
      </c>
      <c r="G206" t="e">
        <f>AND(#REF!,"AAAAAGu//QY=")</f>
        <v>#REF!</v>
      </c>
      <c r="H206" t="e">
        <f>AND(#REF!,"AAAAAGu//Qc=")</f>
        <v>#REF!</v>
      </c>
      <c r="I206" t="e">
        <f>AND(#REF!,"AAAAAGu//Qg=")</f>
        <v>#REF!</v>
      </c>
      <c r="J206" t="e">
        <f>AND(#REF!,"AAAAAGu//Qk=")</f>
        <v>#REF!</v>
      </c>
      <c r="K206" t="e">
        <f>AND(#REF!,"AAAAAGu//Qo=")</f>
        <v>#REF!</v>
      </c>
      <c r="L206" t="e">
        <f>AND(#REF!,"AAAAAGu//Qs=")</f>
        <v>#REF!</v>
      </c>
      <c r="M206" t="e">
        <f>AND(#REF!,"AAAAAGu//Qw=")</f>
        <v>#REF!</v>
      </c>
      <c r="N206" t="e">
        <f>AND(#REF!,"AAAAAGu//Q0=")</f>
        <v>#REF!</v>
      </c>
      <c r="O206" t="e">
        <f>AND(#REF!,"AAAAAGu//Q4=")</f>
        <v>#REF!</v>
      </c>
      <c r="P206" t="e">
        <f>AND(#REF!,"AAAAAGu//Q8=")</f>
        <v>#REF!</v>
      </c>
      <c r="Q206" t="e">
        <f>AND(#REF!,"AAAAAGu//RA=")</f>
        <v>#REF!</v>
      </c>
      <c r="R206" t="e">
        <f>AND(#REF!,"AAAAAGu//RE=")</f>
        <v>#REF!</v>
      </c>
      <c r="S206" t="e">
        <f>AND(#REF!,"AAAAAGu//RI=")</f>
        <v>#REF!</v>
      </c>
      <c r="T206" t="e">
        <f>AND(#REF!,"AAAAAGu//RM=")</f>
        <v>#REF!</v>
      </c>
      <c r="U206" t="e">
        <f>AND(#REF!,"AAAAAGu//RQ=")</f>
        <v>#REF!</v>
      </c>
      <c r="V206" t="e">
        <f>AND(#REF!,"AAAAAGu//RU=")</f>
        <v>#REF!</v>
      </c>
      <c r="W206" t="e">
        <f>AND(#REF!,"AAAAAGu//RY=")</f>
        <v>#REF!</v>
      </c>
      <c r="X206" t="e">
        <f>AND(#REF!,"AAAAAGu//Rc=")</f>
        <v>#REF!</v>
      </c>
      <c r="Y206" t="e">
        <f>AND(#REF!,"AAAAAGu//Rg=")</f>
        <v>#REF!</v>
      </c>
      <c r="Z206" t="e">
        <f>AND(#REF!,"AAAAAGu//Rk=")</f>
        <v>#REF!</v>
      </c>
      <c r="AA206" t="e">
        <f>AND(#REF!,"AAAAAGu//Ro=")</f>
        <v>#REF!</v>
      </c>
      <c r="AB206" t="e">
        <f>AND(#REF!,"AAAAAGu//Rs=")</f>
        <v>#REF!</v>
      </c>
      <c r="AC206" t="e">
        <f>AND(#REF!,"AAAAAGu//Rw=")</f>
        <v>#REF!</v>
      </c>
      <c r="AD206" t="e">
        <f>AND(#REF!,"AAAAAGu//R0=")</f>
        <v>#REF!</v>
      </c>
      <c r="AE206" t="e">
        <f>AND(#REF!,"AAAAAGu//R4=")</f>
        <v>#REF!</v>
      </c>
      <c r="AF206" t="e">
        <f>AND(#REF!,"AAAAAGu//R8=")</f>
        <v>#REF!</v>
      </c>
      <c r="AG206" t="e">
        <f>AND(#REF!,"AAAAAGu//SA=")</f>
        <v>#REF!</v>
      </c>
      <c r="AH206" t="e">
        <f>AND(#REF!,"AAAAAGu//SE=")</f>
        <v>#REF!</v>
      </c>
      <c r="AI206" t="e">
        <f>AND(#REF!,"AAAAAGu//SI=")</f>
        <v>#REF!</v>
      </c>
      <c r="AJ206" t="e">
        <f>AND(#REF!,"AAAAAGu//SM=")</f>
        <v>#REF!</v>
      </c>
      <c r="AK206" t="e">
        <f>AND(#REF!,"AAAAAGu//SQ=")</f>
        <v>#REF!</v>
      </c>
      <c r="AL206" t="e">
        <f>AND(#REF!,"AAAAAGu//SU=")</f>
        <v>#REF!</v>
      </c>
      <c r="AM206" t="e">
        <f>AND(#REF!,"AAAAAGu//SY=")</f>
        <v>#REF!</v>
      </c>
      <c r="AN206" t="e">
        <f>AND(#REF!,"AAAAAGu//Sc=")</f>
        <v>#REF!</v>
      </c>
      <c r="AO206" t="e">
        <f>AND(#REF!,"AAAAAGu//Sg=")</f>
        <v>#REF!</v>
      </c>
      <c r="AP206" t="e">
        <f>AND(#REF!,"AAAAAGu//Sk=")</f>
        <v>#REF!</v>
      </c>
      <c r="AQ206" t="e">
        <f>AND(#REF!,"AAAAAGu//So=")</f>
        <v>#REF!</v>
      </c>
      <c r="AR206" t="e">
        <f>AND(#REF!,"AAAAAGu//Ss=")</f>
        <v>#REF!</v>
      </c>
      <c r="AS206" t="e">
        <f>AND(#REF!,"AAAAAGu//Sw=")</f>
        <v>#REF!</v>
      </c>
      <c r="AT206" t="e">
        <f>AND(#REF!,"AAAAAGu//S0=")</f>
        <v>#REF!</v>
      </c>
      <c r="AU206" t="e">
        <f>AND(#REF!,"AAAAAGu//S4=")</f>
        <v>#REF!</v>
      </c>
      <c r="AV206" t="e">
        <f>AND(#REF!,"AAAAAGu//S8=")</f>
        <v>#REF!</v>
      </c>
      <c r="AW206" t="e">
        <f>AND(#REF!,"AAAAAGu//TA=")</f>
        <v>#REF!</v>
      </c>
      <c r="AX206" t="e">
        <f>AND(#REF!,"AAAAAGu//TE=")</f>
        <v>#REF!</v>
      </c>
      <c r="AY206" t="e">
        <f>AND(#REF!,"AAAAAGu//TI=")</f>
        <v>#REF!</v>
      </c>
      <c r="AZ206" t="e">
        <f>AND(#REF!,"AAAAAGu//TM=")</f>
        <v>#REF!</v>
      </c>
      <c r="BA206" t="e">
        <f>AND(#REF!,"AAAAAGu//TQ=")</f>
        <v>#REF!</v>
      </c>
      <c r="BB206" t="e">
        <f>AND(#REF!,"AAAAAGu//TU=")</f>
        <v>#REF!</v>
      </c>
      <c r="BC206" t="e">
        <f>IF(#REF!,"AAAAAGu//TY=",0)</f>
        <v>#REF!</v>
      </c>
      <c r="BD206" t="e">
        <f>AND(#REF!,"AAAAAGu//Tc=")</f>
        <v>#REF!</v>
      </c>
      <c r="BE206" t="e">
        <f>AND(#REF!,"AAAAAGu//Tg=")</f>
        <v>#REF!</v>
      </c>
      <c r="BF206" t="e">
        <f>AND(#REF!,"AAAAAGu//Tk=")</f>
        <v>#REF!</v>
      </c>
      <c r="BG206" t="e">
        <f>AND(#REF!,"AAAAAGu//To=")</f>
        <v>#REF!</v>
      </c>
      <c r="BH206" t="e">
        <f>AND(#REF!,"AAAAAGu//Ts=")</f>
        <v>#REF!</v>
      </c>
      <c r="BI206" t="e">
        <f>AND(#REF!,"AAAAAGu//Tw=")</f>
        <v>#REF!</v>
      </c>
      <c r="BJ206" t="e">
        <f>AND(#REF!,"AAAAAGu//T0=")</f>
        <v>#REF!</v>
      </c>
      <c r="BK206" t="e">
        <f>AND(#REF!,"AAAAAGu//T4=")</f>
        <v>#REF!</v>
      </c>
      <c r="BL206" t="e">
        <f>AND(#REF!,"AAAAAGu//T8=")</f>
        <v>#REF!</v>
      </c>
      <c r="BM206" t="e">
        <f>AND(#REF!,"AAAAAGu//UA=")</f>
        <v>#REF!</v>
      </c>
      <c r="BN206" t="e">
        <f>AND(#REF!,"AAAAAGu//UE=")</f>
        <v>#REF!</v>
      </c>
      <c r="BO206" t="e">
        <f>AND(#REF!,"AAAAAGu//UI=")</f>
        <v>#REF!</v>
      </c>
      <c r="BP206" t="e">
        <f>AND(#REF!,"AAAAAGu//UM=")</f>
        <v>#REF!</v>
      </c>
      <c r="BQ206" t="e">
        <f>AND(#REF!,"AAAAAGu//UQ=")</f>
        <v>#REF!</v>
      </c>
      <c r="BR206" t="e">
        <f>AND(#REF!,"AAAAAGu//UU=")</f>
        <v>#REF!</v>
      </c>
      <c r="BS206" t="e">
        <f>AND(#REF!,"AAAAAGu//UY=")</f>
        <v>#REF!</v>
      </c>
      <c r="BT206" t="e">
        <f>AND(#REF!,"AAAAAGu//Uc=")</f>
        <v>#REF!</v>
      </c>
      <c r="BU206" t="e">
        <f>AND(#REF!,"AAAAAGu//Ug=")</f>
        <v>#REF!</v>
      </c>
      <c r="BV206" t="e">
        <f>AND(#REF!,"AAAAAGu//Uk=")</f>
        <v>#REF!</v>
      </c>
      <c r="BW206" t="e">
        <f>AND(#REF!,"AAAAAGu//Uo=")</f>
        <v>#REF!</v>
      </c>
      <c r="BX206" t="e">
        <f>AND(#REF!,"AAAAAGu//Us=")</f>
        <v>#REF!</v>
      </c>
      <c r="BY206" t="e">
        <f>AND(#REF!,"AAAAAGu//Uw=")</f>
        <v>#REF!</v>
      </c>
      <c r="BZ206" t="e">
        <f>AND(#REF!,"AAAAAGu//U0=")</f>
        <v>#REF!</v>
      </c>
      <c r="CA206" t="e">
        <f>AND(#REF!,"AAAAAGu//U4=")</f>
        <v>#REF!</v>
      </c>
      <c r="CB206" t="e">
        <f>AND(#REF!,"AAAAAGu//U8=")</f>
        <v>#REF!</v>
      </c>
      <c r="CC206" t="e">
        <f>AND(#REF!,"AAAAAGu//VA=")</f>
        <v>#REF!</v>
      </c>
      <c r="CD206" t="e">
        <f>AND(#REF!,"AAAAAGu//VE=")</f>
        <v>#REF!</v>
      </c>
      <c r="CE206" t="e">
        <f>AND(#REF!,"AAAAAGu//VI=")</f>
        <v>#REF!</v>
      </c>
      <c r="CF206" t="e">
        <f>AND(#REF!,"AAAAAGu//VM=")</f>
        <v>#REF!</v>
      </c>
      <c r="CG206" t="e">
        <f>AND(#REF!,"AAAAAGu//VQ=")</f>
        <v>#REF!</v>
      </c>
      <c r="CH206" t="e">
        <f>AND(#REF!,"AAAAAGu//VU=")</f>
        <v>#REF!</v>
      </c>
      <c r="CI206" t="e">
        <f>AND(#REF!,"AAAAAGu//VY=")</f>
        <v>#REF!</v>
      </c>
      <c r="CJ206" t="e">
        <f>AND(#REF!,"AAAAAGu//Vc=")</f>
        <v>#REF!</v>
      </c>
      <c r="CK206" t="e">
        <f>AND(#REF!,"AAAAAGu//Vg=")</f>
        <v>#REF!</v>
      </c>
      <c r="CL206" t="e">
        <f>AND(#REF!,"AAAAAGu//Vk=")</f>
        <v>#REF!</v>
      </c>
      <c r="CM206" t="e">
        <f>AND(#REF!,"AAAAAGu//Vo=")</f>
        <v>#REF!</v>
      </c>
      <c r="CN206" t="e">
        <f>AND(#REF!,"AAAAAGu//Vs=")</f>
        <v>#REF!</v>
      </c>
      <c r="CO206" t="e">
        <f>AND(#REF!,"AAAAAGu//Vw=")</f>
        <v>#REF!</v>
      </c>
      <c r="CP206" t="e">
        <f>AND(#REF!,"AAAAAGu//V0=")</f>
        <v>#REF!</v>
      </c>
      <c r="CQ206" t="e">
        <f>AND(#REF!,"AAAAAGu//V4=")</f>
        <v>#REF!</v>
      </c>
      <c r="CR206" t="e">
        <f>AND(#REF!,"AAAAAGu//V8=")</f>
        <v>#REF!</v>
      </c>
      <c r="CS206" t="e">
        <f>AND(#REF!,"AAAAAGu//WA=")</f>
        <v>#REF!</v>
      </c>
      <c r="CT206" t="e">
        <f>AND(#REF!,"AAAAAGu//WE=")</f>
        <v>#REF!</v>
      </c>
      <c r="CU206" t="e">
        <f>AND(#REF!,"AAAAAGu//WI=")</f>
        <v>#REF!</v>
      </c>
      <c r="CV206" t="e">
        <f>AND(#REF!,"AAAAAGu//WM=")</f>
        <v>#REF!</v>
      </c>
      <c r="CW206" t="e">
        <f>AND(#REF!,"AAAAAGu//WQ=")</f>
        <v>#REF!</v>
      </c>
      <c r="CX206" t="e">
        <f>AND(#REF!,"AAAAAGu//WU=")</f>
        <v>#REF!</v>
      </c>
      <c r="CY206" t="e">
        <f>AND(#REF!,"AAAAAGu//WY=")</f>
        <v>#REF!</v>
      </c>
      <c r="CZ206" t="e">
        <f>AND(#REF!,"AAAAAGu//Wc=")</f>
        <v>#REF!</v>
      </c>
      <c r="DA206" t="e">
        <f>AND(#REF!,"AAAAAGu//Wg=")</f>
        <v>#REF!</v>
      </c>
      <c r="DB206" t="e">
        <f>AND(#REF!,"AAAAAGu//Wk=")</f>
        <v>#REF!</v>
      </c>
      <c r="DC206" t="e">
        <f>AND(#REF!,"AAAAAGu//Wo=")</f>
        <v>#REF!</v>
      </c>
      <c r="DD206" t="e">
        <f>AND(#REF!,"AAAAAGu//Ws=")</f>
        <v>#REF!</v>
      </c>
      <c r="DE206" t="e">
        <f>AND(#REF!,"AAAAAGu//Ww=")</f>
        <v>#REF!</v>
      </c>
      <c r="DF206" t="e">
        <f>AND(#REF!,"AAAAAGu//W0=")</f>
        <v>#REF!</v>
      </c>
      <c r="DG206" t="e">
        <f>AND(#REF!,"AAAAAGu//W4=")</f>
        <v>#REF!</v>
      </c>
      <c r="DH206" t="e">
        <f>AND(#REF!,"AAAAAGu//W8=")</f>
        <v>#REF!</v>
      </c>
      <c r="DI206" t="e">
        <f>AND(#REF!,"AAAAAGu//XA=")</f>
        <v>#REF!</v>
      </c>
      <c r="DJ206" t="e">
        <f>AND(#REF!,"AAAAAGu//XE=")</f>
        <v>#REF!</v>
      </c>
      <c r="DK206" t="e">
        <f>AND(#REF!,"AAAAAGu//XI=")</f>
        <v>#REF!</v>
      </c>
      <c r="DL206" t="e">
        <f>AND(#REF!,"AAAAAGu//XM=")</f>
        <v>#REF!</v>
      </c>
      <c r="DM206" t="e">
        <f>AND(#REF!,"AAAAAGu//XQ=")</f>
        <v>#REF!</v>
      </c>
      <c r="DN206" t="e">
        <f>AND(#REF!,"AAAAAGu//XU=")</f>
        <v>#REF!</v>
      </c>
      <c r="DO206" t="e">
        <f>AND(#REF!,"AAAAAGu//XY=")</f>
        <v>#REF!</v>
      </c>
      <c r="DP206" t="e">
        <f>AND(#REF!,"AAAAAGu//Xc=")</f>
        <v>#REF!</v>
      </c>
      <c r="DQ206" t="e">
        <f>AND(#REF!,"AAAAAGu//Xg=")</f>
        <v>#REF!</v>
      </c>
      <c r="DR206" t="e">
        <f>AND(#REF!,"AAAAAGu//Xk=")</f>
        <v>#REF!</v>
      </c>
      <c r="DS206" t="e">
        <f>AND(#REF!,"AAAAAGu//Xo=")</f>
        <v>#REF!</v>
      </c>
      <c r="DT206" t="e">
        <f>AND(#REF!,"AAAAAGu//Xs=")</f>
        <v>#REF!</v>
      </c>
      <c r="DU206" t="e">
        <f>AND(#REF!,"AAAAAGu//Xw=")</f>
        <v>#REF!</v>
      </c>
      <c r="DV206" t="e">
        <f>AND(#REF!,"AAAAAGu//X0=")</f>
        <v>#REF!</v>
      </c>
      <c r="DW206" t="e">
        <f>AND(#REF!,"AAAAAGu//X4=")</f>
        <v>#REF!</v>
      </c>
      <c r="DX206" t="e">
        <f>AND(#REF!,"AAAAAGu//X8=")</f>
        <v>#REF!</v>
      </c>
      <c r="DY206" t="e">
        <f>AND(#REF!,"AAAAAGu//YA=")</f>
        <v>#REF!</v>
      </c>
      <c r="DZ206" t="e">
        <f>AND(#REF!,"AAAAAGu//YE=")</f>
        <v>#REF!</v>
      </c>
      <c r="EA206" t="e">
        <f>AND(#REF!,"AAAAAGu//YI=")</f>
        <v>#REF!</v>
      </c>
      <c r="EB206" t="e">
        <f>AND(#REF!,"AAAAAGu//YM=")</f>
        <v>#REF!</v>
      </c>
      <c r="EC206" t="e">
        <f>AND(#REF!,"AAAAAGu//YQ=")</f>
        <v>#REF!</v>
      </c>
      <c r="ED206" t="e">
        <f>AND(#REF!,"AAAAAGu//YU=")</f>
        <v>#REF!</v>
      </c>
      <c r="EE206" t="e">
        <f>AND(#REF!,"AAAAAGu//YY=")</f>
        <v>#REF!</v>
      </c>
      <c r="EF206" t="e">
        <f>AND(#REF!,"AAAAAGu//Yc=")</f>
        <v>#REF!</v>
      </c>
      <c r="EG206" t="e">
        <f>AND(#REF!,"AAAAAGu//Yg=")</f>
        <v>#REF!</v>
      </c>
      <c r="EH206" t="e">
        <f>AND(#REF!,"AAAAAGu//Yk=")</f>
        <v>#REF!</v>
      </c>
      <c r="EI206" t="e">
        <f>AND(#REF!,"AAAAAGu//Yo=")</f>
        <v>#REF!</v>
      </c>
      <c r="EJ206" t="e">
        <f>AND(#REF!,"AAAAAGu//Ys=")</f>
        <v>#REF!</v>
      </c>
      <c r="EK206" t="e">
        <f>AND(#REF!,"AAAAAGu//Yw=")</f>
        <v>#REF!</v>
      </c>
      <c r="EL206" t="e">
        <f>AND(#REF!,"AAAAAGu//Y0=")</f>
        <v>#REF!</v>
      </c>
      <c r="EM206" t="e">
        <f>AND(#REF!,"AAAAAGu//Y4=")</f>
        <v>#REF!</v>
      </c>
      <c r="EN206" t="e">
        <f>AND(#REF!,"AAAAAGu//Y8=")</f>
        <v>#REF!</v>
      </c>
      <c r="EO206" t="e">
        <f>AND(#REF!,"AAAAAGu//ZA=")</f>
        <v>#REF!</v>
      </c>
      <c r="EP206" t="e">
        <f>AND(#REF!,"AAAAAGu//ZE=")</f>
        <v>#REF!</v>
      </c>
      <c r="EQ206" t="e">
        <f>AND(#REF!,"AAAAAGu//ZI=")</f>
        <v>#REF!</v>
      </c>
      <c r="ER206" t="e">
        <f>AND(#REF!,"AAAAAGu//ZM=")</f>
        <v>#REF!</v>
      </c>
      <c r="ES206" t="e">
        <f>AND(#REF!,"AAAAAGu//ZQ=")</f>
        <v>#REF!</v>
      </c>
      <c r="ET206" t="e">
        <f>AND(#REF!,"AAAAAGu//ZU=")</f>
        <v>#REF!</v>
      </c>
      <c r="EU206" t="e">
        <f>AND(#REF!,"AAAAAGu//ZY=")</f>
        <v>#REF!</v>
      </c>
      <c r="EV206" t="e">
        <f>AND(#REF!,"AAAAAGu//Zc=")</f>
        <v>#REF!</v>
      </c>
      <c r="EW206" t="e">
        <f>AND(#REF!,"AAAAAGu//Zg=")</f>
        <v>#REF!</v>
      </c>
      <c r="EX206" t="e">
        <f>AND(#REF!,"AAAAAGu//Zk=")</f>
        <v>#REF!</v>
      </c>
      <c r="EY206" t="e">
        <f>AND(#REF!,"AAAAAGu//Zo=")</f>
        <v>#REF!</v>
      </c>
      <c r="EZ206" t="e">
        <f>AND(#REF!,"AAAAAGu//Zs=")</f>
        <v>#REF!</v>
      </c>
      <c r="FA206" t="e">
        <f>AND(#REF!,"AAAAAGu//Zw=")</f>
        <v>#REF!</v>
      </c>
      <c r="FB206" t="e">
        <f>AND(#REF!,"AAAAAGu//Z0=")</f>
        <v>#REF!</v>
      </c>
      <c r="FC206" t="e">
        <f>AND(#REF!,"AAAAAGu//Z4=")</f>
        <v>#REF!</v>
      </c>
      <c r="FD206" t="e">
        <f>AND(#REF!,"AAAAAGu//Z8=")</f>
        <v>#REF!</v>
      </c>
      <c r="FE206" t="e">
        <f>AND(#REF!,"AAAAAGu//aA=")</f>
        <v>#REF!</v>
      </c>
      <c r="FF206" t="e">
        <f>AND(#REF!,"AAAAAGu//aE=")</f>
        <v>#REF!</v>
      </c>
      <c r="FG206" t="e">
        <f>AND(#REF!,"AAAAAGu//aI=")</f>
        <v>#REF!</v>
      </c>
      <c r="FH206" t="e">
        <f>AND(#REF!,"AAAAAGu//aM=")</f>
        <v>#REF!</v>
      </c>
      <c r="FI206" t="e">
        <f>AND(#REF!,"AAAAAGu//aQ=")</f>
        <v>#REF!</v>
      </c>
      <c r="FJ206" t="e">
        <f>AND(#REF!,"AAAAAGu//aU=")</f>
        <v>#REF!</v>
      </c>
      <c r="FK206" t="e">
        <f>AND(#REF!,"AAAAAGu//aY=")</f>
        <v>#REF!</v>
      </c>
      <c r="FL206" t="e">
        <f>AND(#REF!,"AAAAAGu//ac=")</f>
        <v>#REF!</v>
      </c>
      <c r="FM206" t="e">
        <f>AND(#REF!,"AAAAAGu//ag=")</f>
        <v>#REF!</v>
      </c>
      <c r="FN206" t="e">
        <f>AND(#REF!,"AAAAAGu//ak=")</f>
        <v>#REF!</v>
      </c>
      <c r="FO206" t="e">
        <f>AND(#REF!,"AAAAAGu//ao=")</f>
        <v>#REF!</v>
      </c>
      <c r="FP206" t="e">
        <f>AND(#REF!,"AAAAAGu//as=")</f>
        <v>#REF!</v>
      </c>
      <c r="FQ206" t="e">
        <f>AND(#REF!,"AAAAAGu//aw=")</f>
        <v>#REF!</v>
      </c>
      <c r="FR206" t="e">
        <f>AND(#REF!,"AAAAAGu//a0=")</f>
        <v>#REF!</v>
      </c>
      <c r="FS206" t="e">
        <f>AND(#REF!,"AAAAAGu//a4=")</f>
        <v>#REF!</v>
      </c>
      <c r="FT206" t="e">
        <f>AND(#REF!,"AAAAAGu//a8=")</f>
        <v>#REF!</v>
      </c>
      <c r="FU206" t="e">
        <f>AND(#REF!,"AAAAAGu//bA=")</f>
        <v>#REF!</v>
      </c>
      <c r="FV206" t="e">
        <f>AND(#REF!,"AAAAAGu//bE=")</f>
        <v>#REF!</v>
      </c>
      <c r="FW206" t="e">
        <f>AND(#REF!,"AAAAAGu//bI=")</f>
        <v>#REF!</v>
      </c>
      <c r="FX206" t="e">
        <f>AND(#REF!,"AAAAAGu//bM=")</f>
        <v>#REF!</v>
      </c>
      <c r="FY206" t="e">
        <f>AND(#REF!,"AAAAAGu//bQ=")</f>
        <v>#REF!</v>
      </c>
      <c r="FZ206" t="e">
        <f>AND(#REF!,"AAAAAGu//bU=")</f>
        <v>#REF!</v>
      </c>
      <c r="GA206" t="e">
        <f>AND(#REF!,"AAAAAGu//bY=")</f>
        <v>#REF!</v>
      </c>
      <c r="GB206" t="e">
        <f>AND(#REF!,"AAAAAGu//bc=")</f>
        <v>#REF!</v>
      </c>
      <c r="GC206" t="e">
        <f>AND(#REF!,"AAAAAGu//bg=")</f>
        <v>#REF!</v>
      </c>
      <c r="GD206" t="e">
        <f>AND(#REF!,"AAAAAGu//bk=")</f>
        <v>#REF!</v>
      </c>
      <c r="GE206" t="e">
        <f>AND(#REF!,"AAAAAGu//bo=")</f>
        <v>#REF!</v>
      </c>
      <c r="GF206" t="e">
        <f>AND(#REF!,"AAAAAGu//bs=")</f>
        <v>#REF!</v>
      </c>
      <c r="GG206" t="e">
        <f>AND(#REF!,"AAAAAGu//bw=")</f>
        <v>#REF!</v>
      </c>
      <c r="GH206" t="e">
        <f>AND(#REF!,"AAAAAGu//b0=")</f>
        <v>#REF!</v>
      </c>
      <c r="GI206" t="e">
        <f>AND(#REF!,"AAAAAGu//b4=")</f>
        <v>#REF!</v>
      </c>
      <c r="GJ206" t="e">
        <f>AND(#REF!,"AAAAAGu//b8=")</f>
        <v>#REF!</v>
      </c>
      <c r="GK206" t="e">
        <f>AND(#REF!,"AAAAAGu//cA=")</f>
        <v>#REF!</v>
      </c>
      <c r="GL206" t="e">
        <f>AND(#REF!,"AAAAAGu//cE=")</f>
        <v>#REF!</v>
      </c>
      <c r="GM206" t="e">
        <f>AND(#REF!,"AAAAAGu//cI=")</f>
        <v>#REF!</v>
      </c>
      <c r="GN206" t="e">
        <f>AND(#REF!,"AAAAAGu//cM=")</f>
        <v>#REF!</v>
      </c>
      <c r="GO206" t="e">
        <f>AND(#REF!,"AAAAAGu//cQ=")</f>
        <v>#REF!</v>
      </c>
      <c r="GP206" t="e">
        <f>AND(#REF!,"AAAAAGu//cU=")</f>
        <v>#REF!</v>
      </c>
      <c r="GQ206" t="e">
        <f>AND(#REF!,"AAAAAGu//cY=")</f>
        <v>#REF!</v>
      </c>
      <c r="GR206" t="e">
        <f>AND(#REF!,"AAAAAGu//cc=")</f>
        <v>#REF!</v>
      </c>
      <c r="GS206" t="e">
        <f>AND(#REF!,"AAAAAGu//cg=")</f>
        <v>#REF!</v>
      </c>
      <c r="GT206" t="e">
        <f>AND(#REF!,"AAAAAGu//ck=")</f>
        <v>#REF!</v>
      </c>
      <c r="GU206" t="e">
        <f>AND(#REF!,"AAAAAGu//co=")</f>
        <v>#REF!</v>
      </c>
      <c r="GV206" t="e">
        <f>AND(#REF!,"AAAAAGu//cs=")</f>
        <v>#REF!</v>
      </c>
      <c r="GW206" t="e">
        <f>AND(#REF!,"AAAAAGu//cw=")</f>
        <v>#REF!</v>
      </c>
      <c r="GX206" t="e">
        <f>AND(#REF!,"AAAAAGu//c0=")</f>
        <v>#REF!</v>
      </c>
      <c r="GY206" t="e">
        <f>AND(#REF!,"AAAAAGu//c4=")</f>
        <v>#REF!</v>
      </c>
      <c r="GZ206" t="e">
        <f>AND(#REF!,"AAAAAGu//c8=")</f>
        <v>#REF!</v>
      </c>
      <c r="HA206" t="e">
        <f>AND(#REF!,"AAAAAGu//dA=")</f>
        <v>#REF!</v>
      </c>
      <c r="HB206" t="e">
        <f>AND(#REF!,"AAAAAGu//dE=")</f>
        <v>#REF!</v>
      </c>
      <c r="HC206" t="e">
        <f>AND(#REF!,"AAAAAGu//dI=")</f>
        <v>#REF!</v>
      </c>
      <c r="HD206" t="e">
        <f>AND(#REF!,"AAAAAGu//dM=")</f>
        <v>#REF!</v>
      </c>
      <c r="HE206" t="e">
        <f>AND(#REF!,"AAAAAGu//dQ=")</f>
        <v>#REF!</v>
      </c>
      <c r="HF206" t="e">
        <f>AND(#REF!,"AAAAAGu//dU=")</f>
        <v>#REF!</v>
      </c>
      <c r="HG206" t="e">
        <f>AND(#REF!,"AAAAAGu//dY=")</f>
        <v>#REF!</v>
      </c>
      <c r="HH206" t="e">
        <f>AND(#REF!,"AAAAAGu//dc=")</f>
        <v>#REF!</v>
      </c>
      <c r="HI206" t="e">
        <f>AND(#REF!,"AAAAAGu//dg=")</f>
        <v>#REF!</v>
      </c>
      <c r="HJ206" t="e">
        <f>AND(#REF!,"AAAAAGu//dk=")</f>
        <v>#REF!</v>
      </c>
      <c r="HK206" t="e">
        <f>AND(#REF!,"AAAAAGu//do=")</f>
        <v>#REF!</v>
      </c>
      <c r="HL206" t="e">
        <f>AND(#REF!,"AAAAAGu//ds=")</f>
        <v>#REF!</v>
      </c>
      <c r="HM206" t="e">
        <f>AND(#REF!,"AAAAAGu//dw=")</f>
        <v>#REF!</v>
      </c>
      <c r="HN206" t="e">
        <f>AND(#REF!,"AAAAAGu//d0=")</f>
        <v>#REF!</v>
      </c>
      <c r="HO206" t="e">
        <f>AND(#REF!,"AAAAAGu//d4=")</f>
        <v>#REF!</v>
      </c>
      <c r="HP206" t="e">
        <f>AND(#REF!,"AAAAAGu//d8=")</f>
        <v>#REF!</v>
      </c>
      <c r="HQ206" t="e">
        <f>AND(#REF!,"AAAAAGu//eA=")</f>
        <v>#REF!</v>
      </c>
      <c r="HR206" t="e">
        <f>AND(#REF!,"AAAAAGu//eE=")</f>
        <v>#REF!</v>
      </c>
      <c r="HS206" t="e">
        <f>AND(#REF!,"AAAAAGu//eI=")</f>
        <v>#REF!</v>
      </c>
      <c r="HT206" t="e">
        <f>AND(#REF!,"AAAAAGu//eM=")</f>
        <v>#REF!</v>
      </c>
      <c r="HU206" t="e">
        <f>AND(#REF!,"AAAAAGu//eQ=")</f>
        <v>#REF!</v>
      </c>
      <c r="HV206" t="e">
        <f>AND(#REF!,"AAAAAGu//eU=")</f>
        <v>#REF!</v>
      </c>
      <c r="HW206" t="e">
        <f>AND(#REF!,"AAAAAGu//eY=")</f>
        <v>#REF!</v>
      </c>
      <c r="HX206" t="e">
        <f>AND(#REF!,"AAAAAGu//ec=")</f>
        <v>#REF!</v>
      </c>
      <c r="HY206" t="e">
        <f>AND(#REF!,"AAAAAGu//eg=")</f>
        <v>#REF!</v>
      </c>
      <c r="HZ206" t="e">
        <f>AND(#REF!,"AAAAAGu//ek=")</f>
        <v>#REF!</v>
      </c>
      <c r="IA206" t="e">
        <f>AND(#REF!,"AAAAAGu//eo=")</f>
        <v>#REF!</v>
      </c>
      <c r="IB206" t="e">
        <f>AND(#REF!,"AAAAAGu//es=")</f>
        <v>#REF!</v>
      </c>
      <c r="IC206" t="e">
        <f>AND(#REF!,"AAAAAGu//ew=")</f>
        <v>#REF!</v>
      </c>
      <c r="ID206" t="e">
        <f>AND(#REF!,"AAAAAGu//e0=")</f>
        <v>#REF!</v>
      </c>
      <c r="IE206" t="e">
        <f>AND(#REF!,"AAAAAGu//e4=")</f>
        <v>#REF!</v>
      </c>
      <c r="IF206" t="e">
        <f>AND(#REF!,"AAAAAGu//e8=")</f>
        <v>#REF!</v>
      </c>
      <c r="IG206" t="e">
        <f>AND(#REF!,"AAAAAGu//fA=")</f>
        <v>#REF!</v>
      </c>
      <c r="IH206" t="e">
        <f>AND(#REF!,"AAAAAGu//fE=")</f>
        <v>#REF!</v>
      </c>
      <c r="II206" t="e">
        <f>AND(#REF!,"AAAAAGu//fI=")</f>
        <v>#REF!</v>
      </c>
      <c r="IJ206" t="e">
        <f>IF(#REF!,"AAAAAGu//fM=",0)</f>
        <v>#REF!</v>
      </c>
      <c r="IK206" t="e">
        <f>AND(#REF!,"AAAAAGu//fQ=")</f>
        <v>#REF!</v>
      </c>
      <c r="IL206" t="e">
        <f>AND(#REF!,"AAAAAGu//fU=")</f>
        <v>#REF!</v>
      </c>
      <c r="IM206" t="e">
        <f>AND(#REF!,"AAAAAGu//fY=")</f>
        <v>#REF!</v>
      </c>
      <c r="IN206" t="e">
        <f>AND(#REF!,"AAAAAGu//fc=")</f>
        <v>#REF!</v>
      </c>
      <c r="IO206" t="e">
        <f>AND(#REF!,"AAAAAGu//fg=")</f>
        <v>#REF!</v>
      </c>
      <c r="IP206" t="e">
        <f>AND(#REF!,"AAAAAGu//fk=")</f>
        <v>#REF!</v>
      </c>
      <c r="IQ206" t="e">
        <f>AND(#REF!,"AAAAAGu//fo=")</f>
        <v>#REF!</v>
      </c>
      <c r="IR206" t="e">
        <f>AND(#REF!,"AAAAAGu//fs=")</f>
        <v>#REF!</v>
      </c>
      <c r="IS206" t="e">
        <f>AND(#REF!,"AAAAAGu//fw=")</f>
        <v>#REF!</v>
      </c>
      <c r="IT206" t="e">
        <f>AND(#REF!,"AAAAAGu//f0=")</f>
        <v>#REF!</v>
      </c>
      <c r="IU206" t="e">
        <f>AND(#REF!,"AAAAAGu//f4=")</f>
        <v>#REF!</v>
      </c>
      <c r="IV206" t="e">
        <f>AND(#REF!,"AAAAAGu//f8=")</f>
        <v>#REF!</v>
      </c>
    </row>
    <row r="207" spans="1:256" x14ac:dyDescent="0.25">
      <c r="A207" t="e">
        <f>AND(#REF!,"AAAAAD+/pwA=")</f>
        <v>#REF!</v>
      </c>
      <c r="B207" t="e">
        <f>AND(#REF!,"AAAAAD+/pwE=")</f>
        <v>#REF!</v>
      </c>
      <c r="C207" t="e">
        <f>AND(#REF!,"AAAAAD+/pwI=")</f>
        <v>#REF!</v>
      </c>
      <c r="D207" t="e">
        <f>AND(#REF!,"AAAAAD+/pwM=")</f>
        <v>#REF!</v>
      </c>
      <c r="E207" t="e">
        <f>AND(#REF!,"AAAAAD+/pwQ=")</f>
        <v>#REF!</v>
      </c>
      <c r="F207" t="e">
        <f>AND(#REF!,"AAAAAD+/pwU=")</f>
        <v>#REF!</v>
      </c>
      <c r="G207" t="e">
        <f>AND(#REF!,"AAAAAD+/pwY=")</f>
        <v>#REF!</v>
      </c>
      <c r="H207" t="e">
        <f>AND(#REF!,"AAAAAD+/pwc=")</f>
        <v>#REF!</v>
      </c>
      <c r="I207" t="e">
        <f>AND(#REF!,"AAAAAD+/pwg=")</f>
        <v>#REF!</v>
      </c>
      <c r="J207" t="e">
        <f>AND(#REF!,"AAAAAD+/pwk=")</f>
        <v>#REF!</v>
      </c>
      <c r="K207" t="e">
        <f>AND(#REF!,"AAAAAD+/pwo=")</f>
        <v>#REF!</v>
      </c>
      <c r="L207" t="e">
        <f>AND(#REF!,"AAAAAD+/pws=")</f>
        <v>#REF!</v>
      </c>
      <c r="M207" t="e">
        <f>AND(#REF!,"AAAAAD+/pww=")</f>
        <v>#REF!</v>
      </c>
      <c r="N207" t="e">
        <f>AND(#REF!,"AAAAAD+/pw0=")</f>
        <v>#REF!</v>
      </c>
      <c r="O207" t="e">
        <f>AND(#REF!,"AAAAAD+/pw4=")</f>
        <v>#REF!</v>
      </c>
      <c r="P207" t="e">
        <f>AND(#REF!,"AAAAAD+/pw8=")</f>
        <v>#REF!</v>
      </c>
      <c r="Q207" t="e">
        <f>AND(#REF!,"AAAAAD+/pxA=")</f>
        <v>#REF!</v>
      </c>
      <c r="R207" t="e">
        <f>AND(#REF!,"AAAAAD+/pxE=")</f>
        <v>#REF!</v>
      </c>
      <c r="S207" t="e">
        <f>AND(#REF!,"AAAAAD+/pxI=")</f>
        <v>#REF!</v>
      </c>
      <c r="T207" t="e">
        <f>AND(#REF!,"AAAAAD+/pxM=")</f>
        <v>#REF!</v>
      </c>
      <c r="U207" t="e">
        <f>AND(#REF!,"AAAAAD+/pxQ=")</f>
        <v>#REF!</v>
      </c>
      <c r="V207" t="e">
        <f>AND(#REF!,"AAAAAD+/pxU=")</f>
        <v>#REF!</v>
      </c>
      <c r="W207" t="e">
        <f>AND(#REF!,"AAAAAD+/pxY=")</f>
        <v>#REF!</v>
      </c>
      <c r="X207" t="e">
        <f>AND(#REF!,"AAAAAD+/pxc=")</f>
        <v>#REF!</v>
      </c>
      <c r="Y207" t="e">
        <f>AND(#REF!,"AAAAAD+/pxg=")</f>
        <v>#REF!</v>
      </c>
      <c r="Z207" t="e">
        <f>AND(#REF!,"AAAAAD+/pxk=")</f>
        <v>#REF!</v>
      </c>
      <c r="AA207" t="e">
        <f>AND(#REF!,"AAAAAD+/pxo=")</f>
        <v>#REF!</v>
      </c>
      <c r="AB207" t="e">
        <f>AND(#REF!,"AAAAAD+/pxs=")</f>
        <v>#REF!</v>
      </c>
      <c r="AC207" t="e">
        <f>AND(#REF!,"AAAAAD+/pxw=")</f>
        <v>#REF!</v>
      </c>
      <c r="AD207" t="e">
        <f>AND(#REF!,"AAAAAD+/px0=")</f>
        <v>#REF!</v>
      </c>
      <c r="AE207" t="e">
        <f>AND(#REF!,"AAAAAD+/px4=")</f>
        <v>#REF!</v>
      </c>
      <c r="AF207" t="e">
        <f>AND(#REF!,"AAAAAD+/px8=")</f>
        <v>#REF!</v>
      </c>
      <c r="AG207" t="e">
        <f>AND(#REF!,"AAAAAD+/pyA=")</f>
        <v>#REF!</v>
      </c>
      <c r="AH207" t="e">
        <f>AND(#REF!,"AAAAAD+/pyE=")</f>
        <v>#REF!</v>
      </c>
      <c r="AI207" t="e">
        <f>AND(#REF!,"AAAAAD+/pyI=")</f>
        <v>#REF!</v>
      </c>
      <c r="AJ207" t="e">
        <f>AND(#REF!,"AAAAAD+/pyM=")</f>
        <v>#REF!</v>
      </c>
      <c r="AK207" t="e">
        <f>AND(#REF!,"AAAAAD+/pyQ=")</f>
        <v>#REF!</v>
      </c>
      <c r="AL207" t="e">
        <f>AND(#REF!,"AAAAAD+/pyU=")</f>
        <v>#REF!</v>
      </c>
      <c r="AM207" t="e">
        <f>AND(#REF!,"AAAAAD+/pyY=")</f>
        <v>#REF!</v>
      </c>
      <c r="AN207" t="e">
        <f>AND(#REF!,"AAAAAD+/pyc=")</f>
        <v>#REF!</v>
      </c>
      <c r="AO207" t="e">
        <f>AND(#REF!,"AAAAAD+/pyg=")</f>
        <v>#REF!</v>
      </c>
      <c r="AP207" t="e">
        <f>AND(#REF!,"AAAAAD+/pyk=")</f>
        <v>#REF!</v>
      </c>
      <c r="AQ207" t="e">
        <f>AND(#REF!,"AAAAAD+/pyo=")</f>
        <v>#REF!</v>
      </c>
      <c r="AR207" t="e">
        <f>AND(#REF!,"AAAAAD+/pys=")</f>
        <v>#REF!</v>
      </c>
      <c r="AS207" t="e">
        <f>AND(#REF!,"AAAAAD+/pyw=")</f>
        <v>#REF!</v>
      </c>
      <c r="AT207" t="e">
        <f>AND(#REF!,"AAAAAD+/py0=")</f>
        <v>#REF!</v>
      </c>
      <c r="AU207" t="e">
        <f>AND(#REF!,"AAAAAD+/py4=")</f>
        <v>#REF!</v>
      </c>
      <c r="AV207" t="e">
        <f>AND(#REF!,"AAAAAD+/py8=")</f>
        <v>#REF!</v>
      </c>
      <c r="AW207" t="e">
        <f>AND(#REF!,"AAAAAD+/pzA=")</f>
        <v>#REF!</v>
      </c>
      <c r="AX207" t="e">
        <f>AND(#REF!,"AAAAAD+/pzE=")</f>
        <v>#REF!</v>
      </c>
      <c r="AY207" t="e">
        <f>AND(#REF!,"AAAAAD+/pzI=")</f>
        <v>#REF!</v>
      </c>
      <c r="AZ207" t="e">
        <f>AND(#REF!,"AAAAAD+/pzM=")</f>
        <v>#REF!</v>
      </c>
      <c r="BA207" t="e">
        <f>AND(#REF!,"AAAAAD+/pzQ=")</f>
        <v>#REF!</v>
      </c>
      <c r="BB207" t="e">
        <f>AND(#REF!,"AAAAAD+/pzU=")</f>
        <v>#REF!</v>
      </c>
      <c r="BC207" t="e">
        <f>AND(#REF!,"AAAAAD+/pzY=")</f>
        <v>#REF!</v>
      </c>
      <c r="BD207" t="e">
        <f>AND(#REF!,"AAAAAD+/pzc=")</f>
        <v>#REF!</v>
      </c>
      <c r="BE207" t="e">
        <f>AND(#REF!,"AAAAAD+/pzg=")</f>
        <v>#REF!</v>
      </c>
      <c r="BF207" t="e">
        <f>AND(#REF!,"AAAAAD+/pzk=")</f>
        <v>#REF!</v>
      </c>
      <c r="BG207" t="e">
        <f>AND(#REF!,"AAAAAD+/pzo=")</f>
        <v>#REF!</v>
      </c>
      <c r="BH207" t="e">
        <f>AND(#REF!,"AAAAAD+/pzs=")</f>
        <v>#REF!</v>
      </c>
      <c r="BI207" t="e">
        <f>AND(#REF!,"AAAAAD+/pzw=")</f>
        <v>#REF!</v>
      </c>
      <c r="BJ207" t="e">
        <f>AND(#REF!,"AAAAAD+/pz0=")</f>
        <v>#REF!</v>
      </c>
      <c r="BK207" t="e">
        <f>AND(#REF!,"AAAAAD+/pz4=")</f>
        <v>#REF!</v>
      </c>
      <c r="BL207" t="e">
        <f>AND(#REF!,"AAAAAD+/pz8=")</f>
        <v>#REF!</v>
      </c>
      <c r="BM207" t="e">
        <f>AND(#REF!,"AAAAAD+/p0A=")</f>
        <v>#REF!</v>
      </c>
      <c r="BN207" t="e">
        <f>AND(#REF!,"AAAAAD+/p0E=")</f>
        <v>#REF!</v>
      </c>
      <c r="BO207" t="e">
        <f>AND(#REF!,"AAAAAD+/p0I=")</f>
        <v>#REF!</v>
      </c>
      <c r="BP207" t="e">
        <f>AND(#REF!,"AAAAAD+/p0M=")</f>
        <v>#REF!</v>
      </c>
      <c r="BQ207" t="e">
        <f>AND(#REF!,"AAAAAD+/p0Q=")</f>
        <v>#REF!</v>
      </c>
      <c r="BR207" t="e">
        <f>AND(#REF!,"AAAAAD+/p0U=")</f>
        <v>#REF!</v>
      </c>
      <c r="BS207" t="e">
        <f>AND(#REF!,"AAAAAD+/p0Y=")</f>
        <v>#REF!</v>
      </c>
      <c r="BT207" t="e">
        <f>AND(#REF!,"AAAAAD+/p0c=")</f>
        <v>#REF!</v>
      </c>
      <c r="BU207" t="e">
        <f>AND(#REF!,"AAAAAD+/p0g=")</f>
        <v>#REF!</v>
      </c>
      <c r="BV207" t="e">
        <f>AND(#REF!,"AAAAAD+/p0k=")</f>
        <v>#REF!</v>
      </c>
      <c r="BW207" t="e">
        <f>AND(#REF!,"AAAAAD+/p0o=")</f>
        <v>#REF!</v>
      </c>
      <c r="BX207" t="e">
        <f>AND(#REF!,"AAAAAD+/p0s=")</f>
        <v>#REF!</v>
      </c>
      <c r="BY207" t="e">
        <f>AND(#REF!,"AAAAAD+/p0w=")</f>
        <v>#REF!</v>
      </c>
      <c r="BZ207" t="e">
        <f>AND(#REF!,"AAAAAD+/p00=")</f>
        <v>#REF!</v>
      </c>
      <c r="CA207" t="e">
        <f>AND(#REF!,"AAAAAD+/p04=")</f>
        <v>#REF!</v>
      </c>
      <c r="CB207" t="e">
        <f>AND(#REF!,"AAAAAD+/p08=")</f>
        <v>#REF!</v>
      </c>
      <c r="CC207" t="e">
        <f>AND(#REF!,"AAAAAD+/p1A=")</f>
        <v>#REF!</v>
      </c>
      <c r="CD207" t="e">
        <f>AND(#REF!,"AAAAAD+/p1E=")</f>
        <v>#REF!</v>
      </c>
      <c r="CE207" t="e">
        <f>AND(#REF!,"AAAAAD+/p1I=")</f>
        <v>#REF!</v>
      </c>
      <c r="CF207" t="e">
        <f>AND(#REF!,"AAAAAD+/p1M=")</f>
        <v>#REF!</v>
      </c>
      <c r="CG207" t="e">
        <f>AND(#REF!,"AAAAAD+/p1Q=")</f>
        <v>#REF!</v>
      </c>
      <c r="CH207" t="e">
        <f>AND(#REF!,"AAAAAD+/p1U=")</f>
        <v>#REF!</v>
      </c>
      <c r="CI207" t="e">
        <f>AND(#REF!,"AAAAAD+/p1Y=")</f>
        <v>#REF!</v>
      </c>
      <c r="CJ207" t="e">
        <f>AND(#REF!,"AAAAAD+/p1c=")</f>
        <v>#REF!</v>
      </c>
      <c r="CK207" t="e">
        <f>AND(#REF!,"AAAAAD+/p1g=")</f>
        <v>#REF!</v>
      </c>
      <c r="CL207" t="e">
        <f>AND(#REF!,"AAAAAD+/p1k=")</f>
        <v>#REF!</v>
      </c>
      <c r="CM207" t="e">
        <f>AND(#REF!,"AAAAAD+/p1o=")</f>
        <v>#REF!</v>
      </c>
      <c r="CN207" t="e">
        <f>AND(#REF!,"AAAAAD+/p1s=")</f>
        <v>#REF!</v>
      </c>
      <c r="CO207" t="e">
        <f>AND(#REF!,"AAAAAD+/p1w=")</f>
        <v>#REF!</v>
      </c>
      <c r="CP207" t="e">
        <f>AND(#REF!,"AAAAAD+/p10=")</f>
        <v>#REF!</v>
      </c>
      <c r="CQ207" t="e">
        <f>AND(#REF!,"AAAAAD+/p14=")</f>
        <v>#REF!</v>
      </c>
      <c r="CR207" t="e">
        <f>AND(#REF!,"AAAAAD+/p18=")</f>
        <v>#REF!</v>
      </c>
      <c r="CS207" t="e">
        <f>AND(#REF!,"AAAAAD+/p2A=")</f>
        <v>#REF!</v>
      </c>
      <c r="CT207" t="e">
        <f>AND(#REF!,"AAAAAD+/p2E=")</f>
        <v>#REF!</v>
      </c>
      <c r="CU207" t="e">
        <f>AND(#REF!,"AAAAAD+/p2I=")</f>
        <v>#REF!</v>
      </c>
      <c r="CV207" t="e">
        <f>AND(#REF!,"AAAAAD+/p2M=")</f>
        <v>#REF!</v>
      </c>
      <c r="CW207" t="e">
        <f>AND(#REF!,"AAAAAD+/p2Q=")</f>
        <v>#REF!</v>
      </c>
      <c r="CX207" t="e">
        <f>AND(#REF!,"AAAAAD+/p2U=")</f>
        <v>#REF!</v>
      </c>
      <c r="CY207" t="e">
        <f>AND(#REF!,"AAAAAD+/p2Y=")</f>
        <v>#REF!</v>
      </c>
      <c r="CZ207" t="e">
        <f>AND(#REF!,"AAAAAD+/p2c=")</f>
        <v>#REF!</v>
      </c>
      <c r="DA207" t="e">
        <f>AND(#REF!,"AAAAAD+/p2g=")</f>
        <v>#REF!</v>
      </c>
      <c r="DB207" t="e">
        <f>AND(#REF!,"AAAAAD+/p2k=")</f>
        <v>#REF!</v>
      </c>
      <c r="DC207" t="e">
        <f>AND(#REF!,"AAAAAD+/p2o=")</f>
        <v>#REF!</v>
      </c>
      <c r="DD207" t="e">
        <f>AND(#REF!,"AAAAAD+/p2s=")</f>
        <v>#REF!</v>
      </c>
      <c r="DE207" t="e">
        <f>AND(#REF!,"AAAAAD+/p2w=")</f>
        <v>#REF!</v>
      </c>
      <c r="DF207" t="e">
        <f>AND(#REF!,"AAAAAD+/p20=")</f>
        <v>#REF!</v>
      </c>
      <c r="DG207" t="e">
        <f>AND(#REF!,"AAAAAD+/p24=")</f>
        <v>#REF!</v>
      </c>
      <c r="DH207" t="e">
        <f>AND(#REF!,"AAAAAD+/p28=")</f>
        <v>#REF!</v>
      </c>
      <c r="DI207" t="e">
        <f>AND(#REF!,"AAAAAD+/p3A=")</f>
        <v>#REF!</v>
      </c>
      <c r="DJ207" t="e">
        <f>AND(#REF!,"AAAAAD+/p3E=")</f>
        <v>#REF!</v>
      </c>
      <c r="DK207" t="e">
        <f>AND(#REF!,"AAAAAD+/p3I=")</f>
        <v>#REF!</v>
      </c>
      <c r="DL207" t="e">
        <f>AND(#REF!,"AAAAAD+/p3M=")</f>
        <v>#REF!</v>
      </c>
      <c r="DM207" t="e">
        <f>AND(#REF!,"AAAAAD+/p3Q=")</f>
        <v>#REF!</v>
      </c>
      <c r="DN207" t="e">
        <f>AND(#REF!,"AAAAAD+/p3U=")</f>
        <v>#REF!</v>
      </c>
      <c r="DO207" t="e">
        <f>AND(#REF!,"AAAAAD+/p3Y=")</f>
        <v>#REF!</v>
      </c>
      <c r="DP207" t="e">
        <f>AND(#REF!,"AAAAAD+/p3c=")</f>
        <v>#REF!</v>
      </c>
      <c r="DQ207" t="e">
        <f>AND(#REF!,"AAAAAD+/p3g=")</f>
        <v>#REF!</v>
      </c>
      <c r="DR207" t="e">
        <f>AND(#REF!,"AAAAAD+/p3k=")</f>
        <v>#REF!</v>
      </c>
      <c r="DS207" t="e">
        <f>AND(#REF!,"AAAAAD+/p3o=")</f>
        <v>#REF!</v>
      </c>
      <c r="DT207" t="e">
        <f>AND(#REF!,"AAAAAD+/p3s=")</f>
        <v>#REF!</v>
      </c>
      <c r="DU207" t="e">
        <f>AND(#REF!,"AAAAAD+/p3w=")</f>
        <v>#REF!</v>
      </c>
      <c r="DV207" t="e">
        <f>AND(#REF!,"AAAAAD+/p30=")</f>
        <v>#REF!</v>
      </c>
      <c r="DW207" t="e">
        <f>AND(#REF!,"AAAAAD+/p34=")</f>
        <v>#REF!</v>
      </c>
      <c r="DX207" t="e">
        <f>AND(#REF!,"AAAAAD+/p38=")</f>
        <v>#REF!</v>
      </c>
      <c r="DY207" t="e">
        <f>AND(#REF!,"AAAAAD+/p4A=")</f>
        <v>#REF!</v>
      </c>
      <c r="DZ207" t="e">
        <f>AND(#REF!,"AAAAAD+/p4E=")</f>
        <v>#REF!</v>
      </c>
      <c r="EA207" t="e">
        <f>AND(#REF!,"AAAAAD+/p4I=")</f>
        <v>#REF!</v>
      </c>
      <c r="EB207" t="e">
        <f>AND(#REF!,"AAAAAD+/p4M=")</f>
        <v>#REF!</v>
      </c>
      <c r="EC207" t="e">
        <f>AND(#REF!,"AAAAAD+/p4Q=")</f>
        <v>#REF!</v>
      </c>
      <c r="ED207" t="e">
        <f>AND(#REF!,"AAAAAD+/p4U=")</f>
        <v>#REF!</v>
      </c>
      <c r="EE207" t="e">
        <f>AND(#REF!,"AAAAAD+/p4Y=")</f>
        <v>#REF!</v>
      </c>
      <c r="EF207" t="e">
        <f>AND(#REF!,"AAAAAD+/p4c=")</f>
        <v>#REF!</v>
      </c>
      <c r="EG207" t="e">
        <f>AND(#REF!,"AAAAAD+/p4g=")</f>
        <v>#REF!</v>
      </c>
      <c r="EH207" t="e">
        <f>AND(#REF!,"AAAAAD+/p4k=")</f>
        <v>#REF!</v>
      </c>
      <c r="EI207" t="e">
        <f>AND(#REF!,"AAAAAD+/p4o=")</f>
        <v>#REF!</v>
      </c>
      <c r="EJ207" t="e">
        <f>AND(#REF!,"AAAAAD+/p4s=")</f>
        <v>#REF!</v>
      </c>
      <c r="EK207" t="e">
        <f>AND(#REF!,"AAAAAD+/p4w=")</f>
        <v>#REF!</v>
      </c>
      <c r="EL207" t="e">
        <f>AND(#REF!,"AAAAAD+/p40=")</f>
        <v>#REF!</v>
      </c>
      <c r="EM207" t="e">
        <f>AND(#REF!,"AAAAAD+/p44=")</f>
        <v>#REF!</v>
      </c>
      <c r="EN207" t="e">
        <f>AND(#REF!,"AAAAAD+/p48=")</f>
        <v>#REF!</v>
      </c>
      <c r="EO207" t="e">
        <f>AND(#REF!,"AAAAAD+/p5A=")</f>
        <v>#REF!</v>
      </c>
      <c r="EP207" t="e">
        <f>AND(#REF!,"AAAAAD+/p5E=")</f>
        <v>#REF!</v>
      </c>
      <c r="EQ207" t="e">
        <f>AND(#REF!,"AAAAAD+/p5I=")</f>
        <v>#REF!</v>
      </c>
      <c r="ER207" t="e">
        <f>AND(#REF!,"AAAAAD+/p5M=")</f>
        <v>#REF!</v>
      </c>
      <c r="ES207" t="e">
        <f>AND(#REF!,"AAAAAD+/p5Q=")</f>
        <v>#REF!</v>
      </c>
      <c r="ET207" t="e">
        <f>AND(#REF!,"AAAAAD+/p5U=")</f>
        <v>#REF!</v>
      </c>
      <c r="EU207" t="e">
        <f>AND(#REF!,"AAAAAD+/p5Y=")</f>
        <v>#REF!</v>
      </c>
      <c r="EV207" t="e">
        <f>AND(#REF!,"AAAAAD+/p5c=")</f>
        <v>#REF!</v>
      </c>
      <c r="EW207" t="e">
        <f>AND(#REF!,"AAAAAD+/p5g=")</f>
        <v>#REF!</v>
      </c>
      <c r="EX207" t="e">
        <f>AND(#REF!,"AAAAAD+/p5k=")</f>
        <v>#REF!</v>
      </c>
      <c r="EY207" t="e">
        <f>AND(#REF!,"AAAAAD+/p5o=")</f>
        <v>#REF!</v>
      </c>
      <c r="EZ207" t="e">
        <f>AND(#REF!,"AAAAAD+/p5s=")</f>
        <v>#REF!</v>
      </c>
      <c r="FA207" t="e">
        <f>AND(#REF!,"AAAAAD+/p5w=")</f>
        <v>#REF!</v>
      </c>
      <c r="FB207" t="e">
        <f>AND(#REF!,"AAAAAD+/p50=")</f>
        <v>#REF!</v>
      </c>
      <c r="FC207" t="e">
        <f>AND(#REF!,"AAAAAD+/p54=")</f>
        <v>#REF!</v>
      </c>
      <c r="FD207" t="e">
        <f>AND(#REF!,"AAAAAD+/p58=")</f>
        <v>#REF!</v>
      </c>
      <c r="FE207" t="e">
        <f>AND(#REF!,"AAAAAD+/p6A=")</f>
        <v>#REF!</v>
      </c>
      <c r="FF207" t="e">
        <f>AND(#REF!,"AAAAAD+/p6E=")</f>
        <v>#REF!</v>
      </c>
      <c r="FG207" t="e">
        <f>AND(#REF!,"AAAAAD+/p6I=")</f>
        <v>#REF!</v>
      </c>
      <c r="FH207" t="e">
        <f>AND(#REF!,"AAAAAD+/p6M=")</f>
        <v>#REF!</v>
      </c>
      <c r="FI207" t="e">
        <f>AND(#REF!,"AAAAAD+/p6Q=")</f>
        <v>#REF!</v>
      </c>
      <c r="FJ207" t="e">
        <f>AND(#REF!,"AAAAAD+/p6U=")</f>
        <v>#REF!</v>
      </c>
      <c r="FK207" t="e">
        <f>AND(#REF!,"AAAAAD+/p6Y=")</f>
        <v>#REF!</v>
      </c>
      <c r="FL207" t="e">
        <f>AND(#REF!,"AAAAAD+/p6c=")</f>
        <v>#REF!</v>
      </c>
      <c r="FM207" t="e">
        <f>AND(#REF!,"AAAAAD+/p6g=")</f>
        <v>#REF!</v>
      </c>
      <c r="FN207" t="e">
        <f>AND(#REF!,"AAAAAD+/p6k=")</f>
        <v>#REF!</v>
      </c>
      <c r="FO207" t="e">
        <f>AND(#REF!,"AAAAAD+/p6o=")</f>
        <v>#REF!</v>
      </c>
      <c r="FP207" t="e">
        <f>AND(#REF!,"AAAAAD+/p6s=")</f>
        <v>#REF!</v>
      </c>
      <c r="FQ207" t="e">
        <f>AND(#REF!,"AAAAAD+/p6w=")</f>
        <v>#REF!</v>
      </c>
      <c r="FR207" t="e">
        <f>AND(#REF!,"AAAAAD+/p60=")</f>
        <v>#REF!</v>
      </c>
      <c r="FS207" t="e">
        <f>AND(#REF!,"AAAAAD+/p64=")</f>
        <v>#REF!</v>
      </c>
      <c r="FT207" t="e">
        <f>AND(#REF!,"AAAAAD+/p68=")</f>
        <v>#REF!</v>
      </c>
      <c r="FU207" t="e">
        <f>IF(#REF!,"AAAAAD+/p7A=",0)</f>
        <v>#REF!</v>
      </c>
      <c r="FV207" t="e">
        <f>AND(#REF!,"AAAAAD+/p7E=")</f>
        <v>#REF!</v>
      </c>
      <c r="FW207" t="e">
        <f>AND(#REF!,"AAAAAD+/p7I=")</f>
        <v>#REF!</v>
      </c>
      <c r="FX207" t="e">
        <f>AND(#REF!,"AAAAAD+/p7M=")</f>
        <v>#REF!</v>
      </c>
      <c r="FY207" t="e">
        <f>AND(#REF!,"AAAAAD+/p7Q=")</f>
        <v>#REF!</v>
      </c>
      <c r="FZ207" t="e">
        <f>AND(#REF!,"AAAAAD+/p7U=")</f>
        <v>#REF!</v>
      </c>
      <c r="GA207" t="e">
        <f>AND(#REF!,"AAAAAD+/p7Y=")</f>
        <v>#REF!</v>
      </c>
      <c r="GB207" t="e">
        <f>AND(#REF!,"AAAAAD+/p7c=")</f>
        <v>#REF!</v>
      </c>
      <c r="GC207" t="e">
        <f>AND(#REF!,"AAAAAD+/p7g=")</f>
        <v>#REF!</v>
      </c>
      <c r="GD207" t="e">
        <f>AND(#REF!,"AAAAAD+/p7k=")</f>
        <v>#REF!</v>
      </c>
      <c r="GE207" t="e">
        <f>AND(#REF!,"AAAAAD+/p7o=")</f>
        <v>#REF!</v>
      </c>
      <c r="GF207" t="e">
        <f>AND(#REF!,"AAAAAD+/p7s=")</f>
        <v>#REF!</v>
      </c>
      <c r="GG207" t="e">
        <f>AND(#REF!,"AAAAAD+/p7w=")</f>
        <v>#REF!</v>
      </c>
      <c r="GH207" t="e">
        <f>AND(#REF!,"AAAAAD+/p70=")</f>
        <v>#REF!</v>
      </c>
      <c r="GI207" t="e">
        <f>AND(#REF!,"AAAAAD+/p74=")</f>
        <v>#REF!</v>
      </c>
      <c r="GJ207" t="e">
        <f>AND(#REF!,"AAAAAD+/p78=")</f>
        <v>#REF!</v>
      </c>
      <c r="GK207" t="e">
        <f>AND(#REF!,"AAAAAD+/p8A=")</f>
        <v>#REF!</v>
      </c>
      <c r="GL207" t="e">
        <f>AND(#REF!,"AAAAAD+/p8E=")</f>
        <v>#REF!</v>
      </c>
      <c r="GM207" t="e">
        <f>AND(#REF!,"AAAAAD+/p8I=")</f>
        <v>#REF!</v>
      </c>
      <c r="GN207" t="e">
        <f>AND(#REF!,"AAAAAD+/p8M=")</f>
        <v>#REF!</v>
      </c>
      <c r="GO207" t="e">
        <f>AND(#REF!,"AAAAAD+/p8Q=")</f>
        <v>#REF!</v>
      </c>
      <c r="GP207" t="e">
        <f>AND(#REF!,"AAAAAD+/p8U=")</f>
        <v>#REF!</v>
      </c>
      <c r="GQ207" t="e">
        <f>AND(#REF!,"AAAAAD+/p8Y=")</f>
        <v>#REF!</v>
      </c>
      <c r="GR207" t="e">
        <f>AND(#REF!,"AAAAAD+/p8c=")</f>
        <v>#REF!</v>
      </c>
      <c r="GS207" t="e">
        <f>AND(#REF!,"AAAAAD+/p8g=")</f>
        <v>#REF!</v>
      </c>
      <c r="GT207" t="e">
        <f>AND(#REF!,"AAAAAD+/p8k=")</f>
        <v>#REF!</v>
      </c>
      <c r="GU207" t="e">
        <f>AND(#REF!,"AAAAAD+/p8o=")</f>
        <v>#REF!</v>
      </c>
      <c r="GV207" t="e">
        <f>AND(#REF!,"AAAAAD+/p8s=")</f>
        <v>#REF!</v>
      </c>
      <c r="GW207" t="e">
        <f>AND(#REF!,"AAAAAD+/p8w=")</f>
        <v>#REF!</v>
      </c>
      <c r="GX207" t="e">
        <f>AND(#REF!,"AAAAAD+/p80=")</f>
        <v>#REF!</v>
      </c>
      <c r="GY207" t="e">
        <f>AND(#REF!,"AAAAAD+/p84=")</f>
        <v>#REF!</v>
      </c>
      <c r="GZ207" t="e">
        <f>AND(#REF!,"AAAAAD+/p88=")</f>
        <v>#REF!</v>
      </c>
      <c r="HA207" t="e">
        <f>AND(#REF!,"AAAAAD+/p9A=")</f>
        <v>#REF!</v>
      </c>
      <c r="HB207" t="e">
        <f>AND(#REF!,"AAAAAD+/p9E=")</f>
        <v>#REF!</v>
      </c>
      <c r="HC207" t="e">
        <f>AND(#REF!,"AAAAAD+/p9I=")</f>
        <v>#REF!</v>
      </c>
      <c r="HD207" t="e">
        <f>AND(#REF!,"AAAAAD+/p9M=")</f>
        <v>#REF!</v>
      </c>
      <c r="HE207" t="e">
        <f>AND(#REF!,"AAAAAD+/p9Q=")</f>
        <v>#REF!</v>
      </c>
      <c r="HF207" t="e">
        <f>AND(#REF!,"AAAAAD+/p9U=")</f>
        <v>#REF!</v>
      </c>
      <c r="HG207" t="e">
        <f>AND(#REF!,"AAAAAD+/p9Y=")</f>
        <v>#REF!</v>
      </c>
      <c r="HH207" t="e">
        <f>AND(#REF!,"AAAAAD+/p9c=")</f>
        <v>#REF!</v>
      </c>
      <c r="HI207" t="e">
        <f>AND(#REF!,"AAAAAD+/p9g=")</f>
        <v>#REF!</v>
      </c>
      <c r="HJ207" t="e">
        <f>AND(#REF!,"AAAAAD+/p9k=")</f>
        <v>#REF!</v>
      </c>
      <c r="HK207" t="e">
        <f>AND(#REF!,"AAAAAD+/p9o=")</f>
        <v>#REF!</v>
      </c>
      <c r="HL207" t="e">
        <f>AND(#REF!,"AAAAAD+/p9s=")</f>
        <v>#REF!</v>
      </c>
      <c r="HM207" t="e">
        <f>AND(#REF!,"AAAAAD+/p9w=")</f>
        <v>#REF!</v>
      </c>
      <c r="HN207" t="e">
        <f>AND(#REF!,"AAAAAD+/p90=")</f>
        <v>#REF!</v>
      </c>
      <c r="HO207" t="e">
        <f>AND(#REF!,"AAAAAD+/p94=")</f>
        <v>#REF!</v>
      </c>
      <c r="HP207" t="e">
        <f>AND(#REF!,"AAAAAD+/p98=")</f>
        <v>#REF!</v>
      </c>
      <c r="HQ207" t="e">
        <f>AND(#REF!,"AAAAAD+/p+A=")</f>
        <v>#REF!</v>
      </c>
      <c r="HR207" t="e">
        <f>AND(#REF!,"AAAAAD+/p+E=")</f>
        <v>#REF!</v>
      </c>
      <c r="HS207" t="e">
        <f>AND(#REF!,"AAAAAD+/p+I=")</f>
        <v>#REF!</v>
      </c>
      <c r="HT207" t="e">
        <f>AND(#REF!,"AAAAAD+/p+M=")</f>
        <v>#REF!</v>
      </c>
      <c r="HU207" t="e">
        <f>AND(#REF!,"AAAAAD+/p+Q=")</f>
        <v>#REF!</v>
      </c>
      <c r="HV207" t="e">
        <f>AND(#REF!,"AAAAAD+/p+U=")</f>
        <v>#REF!</v>
      </c>
      <c r="HW207" t="e">
        <f>AND(#REF!,"AAAAAD+/p+Y=")</f>
        <v>#REF!</v>
      </c>
      <c r="HX207" t="e">
        <f>AND(#REF!,"AAAAAD+/p+c=")</f>
        <v>#REF!</v>
      </c>
      <c r="HY207" t="e">
        <f>AND(#REF!,"AAAAAD+/p+g=")</f>
        <v>#REF!</v>
      </c>
      <c r="HZ207" t="e">
        <f>AND(#REF!,"AAAAAD+/p+k=")</f>
        <v>#REF!</v>
      </c>
      <c r="IA207" t="e">
        <f>AND(#REF!,"AAAAAD+/p+o=")</f>
        <v>#REF!</v>
      </c>
      <c r="IB207" t="e">
        <f>AND(#REF!,"AAAAAD+/p+s=")</f>
        <v>#REF!</v>
      </c>
      <c r="IC207" t="e">
        <f>AND(#REF!,"AAAAAD+/p+w=")</f>
        <v>#REF!</v>
      </c>
      <c r="ID207" t="e">
        <f>AND(#REF!,"AAAAAD+/p+0=")</f>
        <v>#REF!</v>
      </c>
      <c r="IE207" t="e">
        <f>AND(#REF!,"AAAAAD+/p+4=")</f>
        <v>#REF!</v>
      </c>
      <c r="IF207" t="e">
        <f>AND(#REF!,"AAAAAD+/p+8=")</f>
        <v>#REF!</v>
      </c>
      <c r="IG207" t="e">
        <f>AND(#REF!,"AAAAAD+/p/A=")</f>
        <v>#REF!</v>
      </c>
      <c r="IH207" t="e">
        <f>AND(#REF!,"AAAAAD+/p/E=")</f>
        <v>#REF!</v>
      </c>
      <c r="II207" t="e">
        <f>AND(#REF!,"AAAAAD+/p/I=")</f>
        <v>#REF!</v>
      </c>
      <c r="IJ207" t="e">
        <f>AND(#REF!,"AAAAAD+/p/M=")</f>
        <v>#REF!</v>
      </c>
      <c r="IK207" t="e">
        <f>AND(#REF!,"AAAAAD+/p/Q=")</f>
        <v>#REF!</v>
      </c>
      <c r="IL207" t="e">
        <f>AND(#REF!,"AAAAAD+/p/U=")</f>
        <v>#REF!</v>
      </c>
      <c r="IM207" t="e">
        <f>AND(#REF!,"AAAAAD+/p/Y=")</f>
        <v>#REF!</v>
      </c>
      <c r="IN207" t="e">
        <f>AND(#REF!,"AAAAAD+/p/c=")</f>
        <v>#REF!</v>
      </c>
      <c r="IO207" t="e">
        <f>AND(#REF!,"AAAAAD+/p/g=")</f>
        <v>#REF!</v>
      </c>
      <c r="IP207" t="e">
        <f>AND(#REF!,"AAAAAD+/p/k=")</f>
        <v>#REF!</v>
      </c>
      <c r="IQ207" t="e">
        <f>AND(#REF!,"AAAAAD+/p/o=")</f>
        <v>#REF!</v>
      </c>
      <c r="IR207" t="e">
        <f>AND(#REF!,"AAAAAD+/p/s=")</f>
        <v>#REF!</v>
      </c>
      <c r="IS207" t="e">
        <f>AND(#REF!,"AAAAAD+/p/w=")</f>
        <v>#REF!</v>
      </c>
      <c r="IT207" t="e">
        <f>AND(#REF!,"AAAAAD+/p/0=")</f>
        <v>#REF!</v>
      </c>
      <c r="IU207" t="e">
        <f>AND(#REF!,"AAAAAD+/p/4=")</f>
        <v>#REF!</v>
      </c>
      <c r="IV207" t="e">
        <f>AND(#REF!,"AAAAAD+/p/8=")</f>
        <v>#REF!</v>
      </c>
    </row>
    <row r="208" spans="1:256" x14ac:dyDescent="0.25">
      <c r="A208" t="e">
        <f>AND(#REF!,"AAAAAD/+/gA=")</f>
        <v>#REF!</v>
      </c>
      <c r="B208" t="e">
        <f>AND(#REF!,"AAAAAD/+/gE=")</f>
        <v>#REF!</v>
      </c>
      <c r="C208" t="e">
        <f>AND(#REF!,"AAAAAD/+/gI=")</f>
        <v>#REF!</v>
      </c>
      <c r="D208" t="e">
        <f>AND(#REF!,"AAAAAD/+/gM=")</f>
        <v>#REF!</v>
      </c>
      <c r="E208" t="e">
        <f>AND(#REF!,"AAAAAD/+/gQ=")</f>
        <v>#REF!</v>
      </c>
      <c r="F208" t="e">
        <f>AND(#REF!,"AAAAAD/+/gU=")</f>
        <v>#REF!</v>
      </c>
      <c r="G208" t="e">
        <f>AND(#REF!,"AAAAAD/+/gY=")</f>
        <v>#REF!</v>
      </c>
      <c r="H208" t="e">
        <f>AND(#REF!,"AAAAAD/+/gc=")</f>
        <v>#REF!</v>
      </c>
      <c r="I208" t="e">
        <f>AND(#REF!,"AAAAAD/+/gg=")</f>
        <v>#REF!</v>
      </c>
      <c r="J208" t="e">
        <f>AND(#REF!,"AAAAAD/+/gk=")</f>
        <v>#REF!</v>
      </c>
      <c r="K208" t="e">
        <f>AND(#REF!,"AAAAAD/+/go=")</f>
        <v>#REF!</v>
      </c>
      <c r="L208" t="e">
        <f>AND(#REF!,"AAAAAD/+/gs=")</f>
        <v>#REF!</v>
      </c>
      <c r="M208" t="e">
        <f>AND(#REF!,"AAAAAD/+/gw=")</f>
        <v>#REF!</v>
      </c>
      <c r="N208" t="e">
        <f>AND(#REF!,"AAAAAD/+/g0=")</f>
        <v>#REF!</v>
      </c>
      <c r="O208" t="e">
        <f>AND(#REF!,"AAAAAD/+/g4=")</f>
        <v>#REF!</v>
      </c>
      <c r="P208" t="e">
        <f>AND(#REF!,"AAAAAD/+/g8=")</f>
        <v>#REF!</v>
      </c>
      <c r="Q208" t="e">
        <f>AND(#REF!,"AAAAAD/+/hA=")</f>
        <v>#REF!</v>
      </c>
      <c r="R208" t="e">
        <f>AND(#REF!,"AAAAAD/+/hE=")</f>
        <v>#REF!</v>
      </c>
      <c r="S208" t="e">
        <f>AND(#REF!,"AAAAAD/+/hI=")</f>
        <v>#REF!</v>
      </c>
      <c r="T208" t="e">
        <f>AND(#REF!,"AAAAAD/+/hM=")</f>
        <v>#REF!</v>
      </c>
      <c r="U208" t="e">
        <f>AND(#REF!,"AAAAAD/+/hQ=")</f>
        <v>#REF!</v>
      </c>
      <c r="V208" t="e">
        <f>AND(#REF!,"AAAAAD/+/hU=")</f>
        <v>#REF!</v>
      </c>
      <c r="W208" t="e">
        <f>AND(#REF!,"AAAAAD/+/hY=")</f>
        <v>#REF!</v>
      </c>
      <c r="X208" t="e">
        <f>AND(#REF!,"AAAAAD/+/hc=")</f>
        <v>#REF!</v>
      </c>
      <c r="Y208" t="e">
        <f>AND(#REF!,"AAAAAD/+/hg=")</f>
        <v>#REF!</v>
      </c>
      <c r="Z208" t="e">
        <f>AND(#REF!,"AAAAAD/+/hk=")</f>
        <v>#REF!</v>
      </c>
      <c r="AA208" t="e">
        <f>AND(#REF!,"AAAAAD/+/ho=")</f>
        <v>#REF!</v>
      </c>
      <c r="AB208" t="e">
        <f>AND(#REF!,"AAAAAD/+/hs=")</f>
        <v>#REF!</v>
      </c>
      <c r="AC208" t="e">
        <f>AND(#REF!,"AAAAAD/+/hw=")</f>
        <v>#REF!</v>
      </c>
      <c r="AD208" t="e">
        <f>AND(#REF!,"AAAAAD/+/h0=")</f>
        <v>#REF!</v>
      </c>
      <c r="AE208" t="e">
        <f>AND(#REF!,"AAAAAD/+/h4=")</f>
        <v>#REF!</v>
      </c>
      <c r="AF208" t="e">
        <f>AND(#REF!,"AAAAAD/+/h8=")</f>
        <v>#REF!</v>
      </c>
      <c r="AG208" t="e">
        <f>AND(#REF!,"AAAAAD/+/iA=")</f>
        <v>#REF!</v>
      </c>
      <c r="AH208" t="e">
        <f>AND(#REF!,"AAAAAD/+/iE=")</f>
        <v>#REF!</v>
      </c>
      <c r="AI208" t="e">
        <f>AND(#REF!,"AAAAAD/+/iI=")</f>
        <v>#REF!</v>
      </c>
      <c r="AJ208" t="e">
        <f>AND(#REF!,"AAAAAD/+/iM=")</f>
        <v>#REF!</v>
      </c>
      <c r="AK208" t="e">
        <f>AND(#REF!,"AAAAAD/+/iQ=")</f>
        <v>#REF!</v>
      </c>
      <c r="AL208" t="e">
        <f>AND(#REF!,"AAAAAD/+/iU=")</f>
        <v>#REF!</v>
      </c>
      <c r="AM208" t="e">
        <f>AND(#REF!,"AAAAAD/+/iY=")</f>
        <v>#REF!</v>
      </c>
      <c r="AN208" t="e">
        <f>AND(#REF!,"AAAAAD/+/ic=")</f>
        <v>#REF!</v>
      </c>
      <c r="AO208" t="e">
        <f>AND(#REF!,"AAAAAD/+/ig=")</f>
        <v>#REF!</v>
      </c>
      <c r="AP208" t="e">
        <f>AND(#REF!,"AAAAAD/+/ik=")</f>
        <v>#REF!</v>
      </c>
      <c r="AQ208" t="e">
        <f>AND(#REF!,"AAAAAD/+/io=")</f>
        <v>#REF!</v>
      </c>
      <c r="AR208" t="e">
        <f>AND(#REF!,"AAAAAD/+/is=")</f>
        <v>#REF!</v>
      </c>
      <c r="AS208" t="e">
        <f>AND(#REF!,"AAAAAD/+/iw=")</f>
        <v>#REF!</v>
      </c>
      <c r="AT208" t="e">
        <f>AND(#REF!,"AAAAAD/+/i0=")</f>
        <v>#REF!</v>
      </c>
      <c r="AU208" t="e">
        <f>AND(#REF!,"AAAAAD/+/i4=")</f>
        <v>#REF!</v>
      </c>
      <c r="AV208" t="e">
        <f>AND(#REF!,"AAAAAD/+/i8=")</f>
        <v>#REF!</v>
      </c>
      <c r="AW208" t="e">
        <f>AND(#REF!,"AAAAAD/+/jA=")</f>
        <v>#REF!</v>
      </c>
      <c r="AX208" t="e">
        <f>AND(#REF!,"AAAAAD/+/jE=")</f>
        <v>#REF!</v>
      </c>
      <c r="AY208" t="e">
        <f>AND(#REF!,"AAAAAD/+/jI=")</f>
        <v>#REF!</v>
      </c>
      <c r="AZ208" t="e">
        <f>AND(#REF!,"AAAAAD/+/jM=")</f>
        <v>#REF!</v>
      </c>
      <c r="BA208" t="e">
        <f>AND(#REF!,"AAAAAD/+/jQ=")</f>
        <v>#REF!</v>
      </c>
      <c r="BB208" t="e">
        <f>AND(#REF!,"AAAAAD/+/jU=")</f>
        <v>#REF!</v>
      </c>
      <c r="BC208" t="e">
        <f>AND(#REF!,"AAAAAD/+/jY=")</f>
        <v>#REF!</v>
      </c>
      <c r="BD208" t="e">
        <f>AND(#REF!,"AAAAAD/+/jc=")</f>
        <v>#REF!</v>
      </c>
      <c r="BE208" t="e">
        <f>AND(#REF!,"AAAAAD/+/jg=")</f>
        <v>#REF!</v>
      </c>
      <c r="BF208" t="e">
        <f>AND(#REF!,"AAAAAD/+/jk=")</f>
        <v>#REF!</v>
      </c>
      <c r="BG208" t="e">
        <f>AND(#REF!,"AAAAAD/+/jo=")</f>
        <v>#REF!</v>
      </c>
      <c r="BH208" t="e">
        <f>AND(#REF!,"AAAAAD/+/js=")</f>
        <v>#REF!</v>
      </c>
      <c r="BI208" t="e">
        <f>AND(#REF!,"AAAAAD/+/jw=")</f>
        <v>#REF!</v>
      </c>
      <c r="BJ208" t="e">
        <f>AND(#REF!,"AAAAAD/+/j0=")</f>
        <v>#REF!</v>
      </c>
      <c r="BK208" t="e">
        <f>AND(#REF!,"AAAAAD/+/j4=")</f>
        <v>#REF!</v>
      </c>
      <c r="BL208" t="e">
        <f>AND(#REF!,"AAAAAD/+/j8=")</f>
        <v>#REF!</v>
      </c>
      <c r="BM208" t="e">
        <f>AND(#REF!,"AAAAAD/+/kA=")</f>
        <v>#REF!</v>
      </c>
      <c r="BN208" t="e">
        <f>AND(#REF!,"AAAAAD/+/kE=")</f>
        <v>#REF!</v>
      </c>
      <c r="BO208" t="e">
        <f>AND(#REF!,"AAAAAD/+/kI=")</f>
        <v>#REF!</v>
      </c>
      <c r="BP208" t="e">
        <f>AND(#REF!,"AAAAAD/+/kM=")</f>
        <v>#REF!</v>
      </c>
      <c r="BQ208" t="e">
        <f>AND(#REF!,"AAAAAD/+/kQ=")</f>
        <v>#REF!</v>
      </c>
      <c r="BR208" t="e">
        <f>AND(#REF!,"AAAAAD/+/kU=")</f>
        <v>#REF!</v>
      </c>
      <c r="BS208" t="e">
        <f>AND(#REF!,"AAAAAD/+/kY=")</f>
        <v>#REF!</v>
      </c>
      <c r="BT208" t="e">
        <f>AND(#REF!,"AAAAAD/+/kc=")</f>
        <v>#REF!</v>
      </c>
      <c r="BU208" t="e">
        <f>AND(#REF!,"AAAAAD/+/kg=")</f>
        <v>#REF!</v>
      </c>
      <c r="BV208" t="e">
        <f>AND(#REF!,"AAAAAD/+/kk=")</f>
        <v>#REF!</v>
      </c>
      <c r="BW208" t="e">
        <f>AND(#REF!,"AAAAAD/+/ko=")</f>
        <v>#REF!</v>
      </c>
      <c r="BX208" t="e">
        <f>AND(#REF!,"AAAAAD/+/ks=")</f>
        <v>#REF!</v>
      </c>
      <c r="BY208" t="e">
        <f>AND(#REF!,"AAAAAD/+/kw=")</f>
        <v>#REF!</v>
      </c>
      <c r="BZ208" t="e">
        <f>AND(#REF!,"AAAAAD/+/k0=")</f>
        <v>#REF!</v>
      </c>
      <c r="CA208" t="e">
        <f>AND(#REF!,"AAAAAD/+/k4=")</f>
        <v>#REF!</v>
      </c>
      <c r="CB208" t="e">
        <f>AND(#REF!,"AAAAAD/+/k8=")</f>
        <v>#REF!</v>
      </c>
      <c r="CC208" t="e">
        <f>AND(#REF!,"AAAAAD/+/lA=")</f>
        <v>#REF!</v>
      </c>
      <c r="CD208" t="e">
        <f>AND(#REF!,"AAAAAD/+/lE=")</f>
        <v>#REF!</v>
      </c>
      <c r="CE208" t="e">
        <f>AND(#REF!,"AAAAAD/+/lI=")</f>
        <v>#REF!</v>
      </c>
      <c r="CF208" t="e">
        <f>AND(#REF!,"AAAAAD/+/lM=")</f>
        <v>#REF!</v>
      </c>
      <c r="CG208" t="e">
        <f>AND(#REF!,"AAAAAD/+/lQ=")</f>
        <v>#REF!</v>
      </c>
      <c r="CH208" t="e">
        <f>AND(#REF!,"AAAAAD/+/lU=")</f>
        <v>#REF!</v>
      </c>
      <c r="CI208" t="e">
        <f>AND(#REF!,"AAAAAD/+/lY=")</f>
        <v>#REF!</v>
      </c>
      <c r="CJ208" t="e">
        <f>AND(#REF!,"AAAAAD/+/lc=")</f>
        <v>#REF!</v>
      </c>
      <c r="CK208" t="e">
        <f>AND(#REF!,"AAAAAD/+/lg=")</f>
        <v>#REF!</v>
      </c>
      <c r="CL208" t="e">
        <f>AND(#REF!,"AAAAAD/+/lk=")</f>
        <v>#REF!</v>
      </c>
      <c r="CM208" t="e">
        <f>AND(#REF!,"AAAAAD/+/lo=")</f>
        <v>#REF!</v>
      </c>
      <c r="CN208" t="e">
        <f>AND(#REF!,"AAAAAD/+/ls=")</f>
        <v>#REF!</v>
      </c>
      <c r="CO208" t="e">
        <f>AND(#REF!,"AAAAAD/+/lw=")</f>
        <v>#REF!</v>
      </c>
      <c r="CP208" t="e">
        <f>AND(#REF!,"AAAAAD/+/l0=")</f>
        <v>#REF!</v>
      </c>
      <c r="CQ208" t="e">
        <f>AND(#REF!,"AAAAAD/+/l4=")</f>
        <v>#REF!</v>
      </c>
      <c r="CR208" t="e">
        <f>AND(#REF!,"AAAAAD/+/l8=")</f>
        <v>#REF!</v>
      </c>
      <c r="CS208" t="e">
        <f>AND(#REF!,"AAAAAD/+/mA=")</f>
        <v>#REF!</v>
      </c>
      <c r="CT208" t="e">
        <f>AND(#REF!,"AAAAAD/+/mE=")</f>
        <v>#REF!</v>
      </c>
      <c r="CU208" t="e">
        <f>AND(#REF!,"AAAAAD/+/mI=")</f>
        <v>#REF!</v>
      </c>
      <c r="CV208" t="e">
        <f>AND(#REF!,"AAAAAD/+/mM=")</f>
        <v>#REF!</v>
      </c>
      <c r="CW208" t="e">
        <f>AND(#REF!,"AAAAAD/+/mQ=")</f>
        <v>#REF!</v>
      </c>
      <c r="CX208" t="e">
        <f>AND(#REF!,"AAAAAD/+/mU=")</f>
        <v>#REF!</v>
      </c>
      <c r="CY208" t="e">
        <f>AND(#REF!,"AAAAAD/+/mY=")</f>
        <v>#REF!</v>
      </c>
      <c r="CZ208" t="e">
        <f>AND(#REF!,"AAAAAD/+/mc=")</f>
        <v>#REF!</v>
      </c>
      <c r="DA208" t="e">
        <f>AND(#REF!,"AAAAAD/+/mg=")</f>
        <v>#REF!</v>
      </c>
      <c r="DB208" t="e">
        <f>AND(#REF!,"AAAAAD/+/mk=")</f>
        <v>#REF!</v>
      </c>
      <c r="DC208" t="e">
        <f>AND(#REF!,"AAAAAD/+/mo=")</f>
        <v>#REF!</v>
      </c>
      <c r="DD208" t="e">
        <f>AND(#REF!,"AAAAAD/+/ms=")</f>
        <v>#REF!</v>
      </c>
      <c r="DE208" t="e">
        <f>AND(#REF!,"AAAAAD/+/mw=")</f>
        <v>#REF!</v>
      </c>
      <c r="DF208" t="e">
        <f>IF(#REF!,"AAAAAD/+/m0=",0)</f>
        <v>#REF!</v>
      </c>
      <c r="DG208" t="e">
        <f>AND(#REF!,"AAAAAD/+/m4=")</f>
        <v>#REF!</v>
      </c>
      <c r="DH208" t="e">
        <f>AND(#REF!,"AAAAAD/+/m8=")</f>
        <v>#REF!</v>
      </c>
      <c r="DI208" t="e">
        <f>AND(#REF!,"AAAAAD/+/nA=")</f>
        <v>#REF!</v>
      </c>
      <c r="DJ208" t="e">
        <f>AND(#REF!,"AAAAAD/+/nE=")</f>
        <v>#REF!</v>
      </c>
      <c r="DK208" t="e">
        <f>AND(#REF!,"AAAAAD/+/nI=")</f>
        <v>#REF!</v>
      </c>
      <c r="DL208" t="e">
        <f>AND(#REF!,"AAAAAD/+/nM=")</f>
        <v>#REF!</v>
      </c>
      <c r="DM208" t="e">
        <f>AND(#REF!,"AAAAAD/+/nQ=")</f>
        <v>#REF!</v>
      </c>
      <c r="DN208" t="e">
        <f>AND(#REF!,"AAAAAD/+/nU=")</f>
        <v>#REF!</v>
      </c>
      <c r="DO208" t="e">
        <f>AND(#REF!,"AAAAAD/+/nY=")</f>
        <v>#REF!</v>
      </c>
      <c r="DP208" t="e">
        <f>AND(#REF!,"AAAAAD/+/nc=")</f>
        <v>#REF!</v>
      </c>
      <c r="DQ208" t="e">
        <f>AND(#REF!,"AAAAAD/+/ng=")</f>
        <v>#REF!</v>
      </c>
      <c r="DR208" t="e">
        <f>AND(#REF!,"AAAAAD/+/nk=")</f>
        <v>#REF!</v>
      </c>
      <c r="DS208" t="e">
        <f>AND(#REF!,"AAAAAD/+/no=")</f>
        <v>#REF!</v>
      </c>
      <c r="DT208" t="e">
        <f>AND(#REF!,"AAAAAD/+/ns=")</f>
        <v>#REF!</v>
      </c>
      <c r="DU208" t="e">
        <f>AND(#REF!,"AAAAAD/+/nw=")</f>
        <v>#REF!</v>
      </c>
      <c r="DV208" t="e">
        <f>AND(#REF!,"AAAAAD/+/n0=")</f>
        <v>#REF!</v>
      </c>
      <c r="DW208" t="e">
        <f>AND(#REF!,"AAAAAD/+/n4=")</f>
        <v>#REF!</v>
      </c>
      <c r="DX208" t="e">
        <f>AND(#REF!,"AAAAAD/+/n8=")</f>
        <v>#REF!</v>
      </c>
      <c r="DY208" t="e">
        <f>AND(#REF!,"AAAAAD/+/oA=")</f>
        <v>#REF!</v>
      </c>
      <c r="DZ208" t="e">
        <f>AND(#REF!,"AAAAAD/+/oE=")</f>
        <v>#REF!</v>
      </c>
      <c r="EA208" t="e">
        <f>AND(#REF!,"AAAAAD/+/oI=")</f>
        <v>#REF!</v>
      </c>
      <c r="EB208" t="e">
        <f>AND(#REF!,"AAAAAD/+/oM=")</f>
        <v>#REF!</v>
      </c>
      <c r="EC208" t="e">
        <f>AND(#REF!,"AAAAAD/+/oQ=")</f>
        <v>#REF!</v>
      </c>
      <c r="ED208" t="e">
        <f>AND(#REF!,"AAAAAD/+/oU=")</f>
        <v>#REF!</v>
      </c>
      <c r="EE208" t="e">
        <f>AND(#REF!,"AAAAAD/+/oY=")</f>
        <v>#REF!</v>
      </c>
      <c r="EF208" t="e">
        <f>AND(#REF!,"AAAAAD/+/oc=")</f>
        <v>#REF!</v>
      </c>
      <c r="EG208" t="e">
        <f>AND(#REF!,"AAAAAD/+/og=")</f>
        <v>#REF!</v>
      </c>
      <c r="EH208" t="e">
        <f>AND(#REF!,"AAAAAD/+/ok=")</f>
        <v>#REF!</v>
      </c>
      <c r="EI208" t="e">
        <f>AND(#REF!,"AAAAAD/+/oo=")</f>
        <v>#REF!</v>
      </c>
      <c r="EJ208" t="e">
        <f>AND(#REF!,"AAAAAD/+/os=")</f>
        <v>#REF!</v>
      </c>
      <c r="EK208" t="e">
        <f>AND(#REF!,"AAAAAD/+/ow=")</f>
        <v>#REF!</v>
      </c>
      <c r="EL208" t="e">
        <f>AND(#REF!,"AAAAAD/+/o0=")</f>
        <v>#REF!</v>
      </c>
      <c r="EM208" t="e">
        <f>AND(#REF!,"AAAAAD/+/o4=")</f>
        <v>#REF!</v>
      </c>
      <c r="EN208" t="e">
        <f>AND(#REF!,"AAAAAD/+/o8=")</f>
        <v>#REF!</v>
      </c>
      <c r="EO208" t="e">
        <f>AND(#REF!,"AAAAAD/+/pA=")</f>
        <v>#REF!</v>
      </c>
      <c r="EP208" t="e">
        <f>AND(#REF!,"AAAAAD/+/pE=")</f>
        <v>#REF!</v>
      </c>
      <c r="EQ208" t="e">
        <f>AND(#REF!,"AAAAAD/+/pI=")</f>
        <v>#REF!</v>
      </c>
      <c r="ER208" t="e">
        <f>AND(#REF!,"AAAAAD/+/pM=")</f>
        <v>#REF!</v>
      </c>
      <c r="ES208" t="e">
        <f>AND(#REF!,"AAAAAD/+/pQ=")</f>
        <v>#REF!</v>
      </c>
      <c r="ET208" t="e">
        <f>AND(#REF!,"AAAAAD/+/pU=")</f>
        <v>#REF!</v>
      </c>
      <c r="EU208" t="e">
        <f>AND(#REF!,"AAAAAD/+/pY=")</f>
        <v>#REF!</v>
      </c>
      <c r="EV208" t="e">
        <f>AND(#REF!,"AAAAAD/+/pc=")</f>
        <v>#REF!</v>
      </c>
      <c r="EW208" t="e">
        <f>AND(#REF!,"AAAAAD/+/pg=")</f>
        <v>#REF!</v>
      </c>
      <c r="EX208" t="e">
        <f>AND(#REF!,"AAAAAD/+/pk=")</f>
        <v>#REF!</v>
      </c>
      <c r="EY208" t="e">
        <f>AND(#REF!,"AAAAAD/+/po=")</f>
        <v>#REF!</v>
      </c>
      <c r="EZ208" t="e">
        <f>AND(#REF!,"AAAAAD/+/ps=")</f>
        <v>#REF!</v>
      </c>
      <c r="FA208" t="e">
        <f>AND(#REF!,"AAAAAD/+/pw=")</f>
        <v>#REF!</v>
      </c>
      <c r="FB208" t="e">
        <f>AND(#REF!,"AAAAAD/+/p0=")</f>
        <v>#REF!</v>
      </c>
      <c r="FC208" t="e">
        <f>AND(#REF!,"AAAAAD/+/p4=")</f>
        <v>#REF!</v>
      </c>
      <c r="FD208" t="e">
        <f>AND(#REF!,"AAAAAD/+/p8=")</f>
        <v>#REF!</v>
      </c>
      <c r="FE208" t="e">
        <f>AND(#REF!,"AAAAAD/+/qA=")</f>
        <v>#REF!</v>
      </c>
      <c r="FF208" t="e">
        <f>AND(#REF!,"AAAAAD/+/qE=")</f>
        <v>#REF!</v>
      </c>
      <c r="FG208" t="e">
        <f>AND(#REF!,"AAAAAD/+/qI=")</f>
        <v>#REF!</v>
      </c>
      <c r="FH208" t="e">
        <f>AND(#REF!,"AAAAAD/+/qM=")</f>
        <v>#REF!</v>
      </c>
      <c r="FI208" t="e">
        <f>AND(#REF!,"AAAAAD/+/qQ=")</f>
        <v>#REF!</v>
      </c>
      <c r="FJ208" t="e">
        <f>AND(#REF!,"AAAAAD/+/qU=")</f>
        <v>#REF!</v>
      </c>
      <c r="FK208" t="e">
        <f>AND(#REF!,"AAAAAD/+/qY=")</f>
        <v>#REF!</v>
      </c>
      <c r="FL208" t="e">
        <f>AND(#REF!,"AAAAAD/+/qc=")</f>
        <v>#REF!</v>
      </c>
      <c r="FM208" t="e">
        <f>AND(#REF!,"AAAAAD/+/qg=")</f>
        <v>#REF!</v>
      </c>
      <c r="FN208" t="e">
        <f>AND(#REF!,"AAAAAD/+/qk=")</f>
        <v>#REF!</v>
      </c>
      <c r="FO208" t="e">
        <f>AND(#REF!,"AAAAAD/+/qo=")</f>
        <v>#REF!</v>
      </c>
      <c r="FP208" t="e">
        <f>AND(#REF!,"AAAAAD/+/qs=")</f>
        <v>#REF!</v>
      </c>
      <c r="FQ208" t="e">
        <f>AND(#REF!,"AAAAAD/+/qw=")</f>
        <v>#REF!</v>
      </c>
      <c r="FR208" t="e">
        <f>AND(#REF!,"AAAAAD/+/q0=")</f>
        <v>#REF!</v>
      </c>
      <c r="FS208" t="e">
        <f>AND(#REF!,"AAAAAD/+/q4=")</f>
        <v>#REF!</v>
      </c>
      <c r="FT208" t="e">
        <f>AND(#REF!,"AAAAAD/+/q8=")</f>
        <v>#REF!</v>
      </c>
      <c r="FU208" t="e">
        <f>AND(#REF!,"AAAAAD/+/rA=")</f>
        <v>#REF!</v>
      </c>
      <c r="FV208" t="e">
        <f>AND(#REF!,"AAAAAD/+/rE=")</f>
        <v>#REF!</v>
      </c>
      <c r="FW208" t="e">
        <f>AND(#REF!,"AAAAAD/+/rI=")</f>
        <v>#REF!</v>
      </c>
      <c r="FX208" t="e">
        <f>AND(#REF!,"AAAAAD/+/rM=")</f>
        <v>#REF!</v>
      </c>
      <c r="FY208" t="e">
        <f>AND(#REF!,"AAAAAD/+/rQ=")</f>
        <v>#REF!</v>
      </c>
      <c r="FZ208" t="e">
        <f>AND(#REF!,"AAAAAD/+/rU=")</f>
        <v>#REF!</v>
      </c>
      <c r="GA208" t="e">
        <f>AND(#REF!,"AAAAAD/+/rY=")</f>
        <v>#REF!</v>
      </c>
      <c r="GB208" t="e">
        <f>AND(#REF!,"AAAAAD/+/rc=")</f>
        <v>#REF!</v>
      </c>
      <c r="GC208" t="e">
        <f>AND(#REF!,"AAAAAD/+/rg=")</f>
        <v>#REF!</v>
      </c>
      <c r="GD208" t="e">
        <f>AND(#REF!,"AAAAAD/+/rk=")</f>
        <v>#REF!</v>
      </c>
      <c r="GE208" t="e">
        <f>AND(#REF!,"AAAAAD/+/ro=")</f>
        <v>#REF!</v>
      </c>
      <c r="GF208" t="e">
        <f>AND(#REF!,"AAAAAD/+/rs=")</f>
        <v>#REF!</v>
      </c>
      <c r="GG208" t="e">
        <f>AND(#REF!,"AAAAAD/+/rw=")</f>
        <v>#REF!</v>
      </c>
      <c r="GH208" t="e">
        <f>AND(#REF!,"AAAAAD/+/r0=")</f>
        <v>#REF!</v>
      </c>
      <c r="GI208" t="e">
        <f>AND(#REF!,"AAAAAD/+/r4=")</f>
        <v>#REF!</v>
      </c>
      <c r="GJ208" t="e">
        <f>AND(#REF!,"AAAAAD/+/r8=")</f>
        <v>#REF!</v>
      </c>
      <c r="GK208" t="e">
        <f>AND(#REF!,"AAAAAD/+/sA=")</f>
        <v>#REF!</v>
      </c>
      <c r="GL208" t="e">
        <f>AND(#REF!,"AAAAAD/+/sE=")</f>
        <v>#REF!</v>
      </c>
      <c r="GM208" t="e">
        <f>AND(#REF!,"AAAAAD/+/sI=")</f>
        <v>#REF!</v>
      </c>
      <c r="GN208" t="e">
        <f>AND(#REF!,"AAAAAD/+/sM=")</f>
        <v>#REF!</v>
      </c>
      <c r="GO208" t="e">
        <f>AND(#REF!,"AAAAAD/+/sQ=")</f>
        <v>#REF!</v>
      </c>
      <c r="GP208" t="e">
        <f>AND(#REF!,"AAAAAD/+/sU=")</f>
        <v>#REF!</v>
      </c>
      <c r="GQ208" t="e">
        <f>AND(#REF!,"AAAAAD/+/sY=")</f>
        <v>#REF!</v>
      </c>
      <c r="GR208" t="e">
        <f>AND(#REF!,"AAAAAD/+/sc=")</f>
        <v>#REF!</v>
      </c>
      <c r="GS208" t="e">
        <f>AND(#REF!,"AAAAAD/+/sg=")</f>
        <v>#REF!</v>
      </c>
      <c r="GT208" t="e">
        <f>AND(#REF!,"AAAAAD/+/sk=")</f>
        <v>#REF!</v>
      </c>
      <c r="GU208" t="e">
        <f>AND(#REF!,"AAAAAD/+/so=")</f>
        <v>#REF!</v>
      </c>
      <c r="GV208" t="e">
        <f>AND(#REF!,"AAAAAD/+/ss=")</f>
        <v>#REF!</v>
      </c>
      <c r="GW208" t="e">
        <f>AND(#REF!,"AAAAAD/+/sw=")</f>
        <v>#REF!</v>
      </c>
      <c r="GX208" t="e">
        <f>AND(#REF!,"AAAAAD/+/s0=")</f>
        <v>#REF!</v>
      </c>
      <c r="GY208" t="e">
        <f>AND(#REF!,"AAAAAD/+/s4=")</f>
        <v>#REF!</v>
      </c>
      <c r="GZ208" t="e">
        <f>AND(#REF!,"AAAAAD/+/s8=")</f>
        <v>#REF!</v>
      </c>
      <c r="HA208" t="e">
        <f>AND(#REF!,"AAAAAD/+/tA=")</f>
        <v>#REF!</v>
      </c>
      <c r="HB208" t="e">
        <f>AND(#REF!,"AAAAAD/+/tE=")</f>
        <v>#REF!</v>
      </c>
      <c r="HC208" t="e">
        <f>AND(#REF!,"AAAAAD/+/tI=")</f>
        <v>#REF!</v>
      </c>
      <c r="HD208" t="e">
        <f>AND(#REF!,"AAAAAD/+/tM=")</f>
        <v>#REF!</v>
      </c>
      <c r="HE208" t="e">
        <f>AND(#REF!,"AAAAAD/+/tQ=")</f>
        <v>#REF!</v>
      </c>
      <c r="HF208" t="e">
        <f>AND(#REF!,"AAAAAD/+/tU=")</f>
        <v>#REF!</v>
      </c>
      <c r="HG208" t="e">
        <f>AND(#REF!,"AAAAAD/+/tY=")</f>
        <v>#REF!</v>
      </c>
      <c r="HH208" t="e">
        <f>AND(#REF!,"AAAAAD/+/tc=")</f>
        <v>#REF!</v>
      </c>
      <c r="HI208" t="e">
        <f>AND(#REF!,"AAAAAD/+/tg=")</f>
        <v>#REF!</v>
      </c>
      <c r="HJ208" t="e">
        <f>AND(#REF!,"AAAAAD/+/tk=")</f>
        <v>#REF!</v>
      </c>
      <c r="HK208" t="e">
        <f>AND(#REF!,"AAAAAD/+/to=")</f>
        <v>#REF!</v>
      </c>
      <c r="HL208" t="e">
        <f>AND(#REF!,"AAAAAD/+/ts=")</f>
        <v>#REF!</v>
      </c>
      <c r="HM208" t="e">
        <f>AND(#REF!,"AAAAAD/+/tw=")</f>
        <v>#REF!</v>
      </c>
      <c r="HN208" t="e">
        <f>AND(#REF!,"AAAAAD/+/t0=")</f>
        <v>#REF!</v>
      </c>
      <c r="HO208" t="e">
        <f>AND(#REF!,"AAAAAD/+/t4=")</f>
        <v>#REF!</v>
      </c>
      <c r="HP208" t="e">
        <f>AND(#REF!,"AAAAAD/+/t8=")</f>
        <v>#REF!</v>
      </c>
      <c r="HQ208" t="e">
        <f>AND(#REF!,"AAAAAD/+/uA=")</f>
        <v>#REF!</v>
      </c>
      <c r="HR208" t="e">
        <f>AND(#REF!,"AAAAAD/+/uE=")</f>
        <v>#REF!</v>
      </c>
      <c r="HS208" t="e">
        <f>AND(#REF!,"AAAAAD/+/uI=")</f>
        <v>#REF!</v>
      </c>
      <c r="HT208" t="e">
        <f>AND(#REF!,"AAAAAD/+/uM=")</f>
        <v>#REF!</v>
      </c>
      <c r="HU208" t="e">
        <f>AND(#REF!,"AAAAAD/+/uQ=")</f>
        <v>#REF!</v>
      </c>
      <c r="HV208" t="e">
        <f>AND(#REF!,"AAAAAD/+/uU=")</f>
        <v>#REF!</v>
      </c>
      <c r="HW208" t="e">
        <f>AND(#REF!,"AAAAAD/+/uY=")</f>
        <v>#REF!</v>
      </c>
      <c r="HX208" t="e">
        <f>AND(#REF!,"AAAAAD/+/uc=")</f>
        <v>#REF!</v>
      </c>
      <c r="HY208" t="e">
        <f>AND(#REF!,"AAAAAD/+/ug=")</f>
        <v>#REF!</v>
      </c>
      <c r="HZ208" t="e">
        <f>AND(#REF!,"AAAAAD/+/uk=")</f>
        <v>#REF!</v>
      </c>
      <c r="IA208" t="e">
        <f>AND(#REF!,"AAAAAD/+/uo=")</f>
        <v>#REF!</v>
      </c>
      <c r="IB208" t="e">
        <f>AND(#REF!,"AAAAAD/+/us=")</f>
        <v>#REF!</v>
      </c>
      <c r="IC208" t="e">
        <f>AND(#REF!,"AAAAAD/+/uw=")</f>
        <v>#REF!</v>
      </c>
      <c r="ID208" t="e">
        <f>AND(#REF!,"AAAAAD/+/u0=")</f>
        <v>#REF!</v>
      </c>
      <c r="IE208" t="e">
        <f>AND(#REF!,"AAAAAD/+/u4=")</f>
        <v>#REF!</v>
      </c>
      <c r="IF208" t="e">
        <f>AND(#REF!,"AAAAAD/+/u8=")</f>
        <v>#REF!</v>
      </c>
      <c r="IG208" t="e">
        <f>AND(#REF!,"AAAAAD/+/vA=")</f>
        <v>#REF!</v>
      </c>
      <c r="IH208" t="e">
        <f>AND(#REF!,"AAAAAD/+/vE=")</f>
        <v>#REF!</v>
      </c>
      <c r="II208" t="e">
        <f>AND(#REF!,"AAAAAD/+/vI=")</f>
        <v>#REF!</v>
      </c>
      <c r="IJ208" t="e">
        <f>AND(#REF!,"AAAAAD/+/vM=")</f>
        <v>#REF!</v>
      </c>
      <c r="IK208" t="e">
        <f>AND(#REF!,"AAAAAD/+/vQ=")</f>
        <v>#REF!</v>
      </c>
      <c r="IL208" t="e">
        <f>AND(#REF!,"AAAAAD/+/vU=")</f>
        <v>#REF!</v>
      </c>
      <c r="IM208" t="e">
        <f>AND(#REF!,"AAAAAD/+/vY=")</f>
        <v>#REF!</v>
      </c>
      <c r="IN208" t="e">
        <f>AND(#REF!,"AAAAAD/+/vc=")</f>
        <v>#REF!</v>
      </c>
      <c r="IO208" t="e">
        <f>AND(#REF!,"AAAAAD/+/vg=")</f>
        <v>#REF!</v>
      </c>
      <c r="IP208" t="e">
        <f>AND(#REF!,"AAAAAD/+/vk=")</f>
        <v>#REF!</v>
      </c>
      <c r="IQ208" t="e">
        <f>AND(#REF!,"AAAAAD/+/vo=")</f>
        <v>#REF!</v>
      </c>
      <c r="IR208" t="e">
        <f>AND(#REF!,"AAAAAD/+/vs=")</f>
        <v>#REF!</v>
      </c>
      <c r="IS208" t="e">
        <f>AND(#REF!,"AAAAAD/+/vw=")</f>
        <v>#REF!</v>
      </c>
      <c r="IT208" t="e">
        <f>AND(#REF!,"AAAAAD/+/v0=")</f>
        <v>#REF!</v>
      </c>
      <c r="IU208" t="e">
        <f>AND(#REF!,"AAAAAD/+/v4=")</f>
        <v>#REF!</v>
      </c>
      <c r="IV208" t="e">
        <f>AND(#REF!,"AAAAAD/+/v8=")</f>
        <v>#REF!</v>
      </c>
    </row>
    <row r="209" spans="1:256" x14ac:dyDescent="0.25">
      <c r="A209" t="e">
        <f>AND(#REF!,"AAAAADf5OgA=")</f>
        <v>#REF!</v>
      </c>
      <c r="B209" t="e">
        <f>AND(#REF!,"AAAAADf5OgE=")</f>
        <v>#REF!</v>
      </c>
      <c r="C209" t="e">
        <f>AND(#REF!,"AAAAADf5OgI=")</f>
        <v>#REF!</v>
      </c>
      <c r="D209" t="e">
        <f>AND(#REF!,"AAAAADf5OgM=")</f>
        <v>#REF!</v>
      </c>
      <c r="E209" t="e">
        <f>AND(#REF!,"AAAAADf5OgQ=")</f>
        <v>#REF!</v>
      </c>
      <c r="F209" t="e">
        <f>AND(#REF!,"AAAAADf5OgU=")</f>
        <v>#REF!</v>
      </c>
      <c r="G209" t="e">
        <f>AND(#REF!,"AAAAADf5OgY=")</f>
        <v>#REF!</v>
      </c>
      <c r="H209" t="e">
        <f>AND(#REF!,"AAAAADf5Ogc=")</f>
        <v>#REF!</v>
      </c>
      <c r="I209" t="e">
        <f>AND(#REF!,"AAAAADf5Ogg=")</f>
        <v>#REF!</v>
      </c>
      <c r="J209" t="e">
        <f>AND(#REF!,"AAAAADf5Ogk=")</f>
        <v>#REF!</v>
      </c>
      <c r="K209" t="e">
        <f>AND(#REF!,"AAAAADf5Ogo=")</f>
        <v>#REF!</v>
      </c>
      <c r="L209" t="e">
        <f>AND(#REF!,"AAAAADf5Ogs=")</f>
        <v>#REF!</v>
      </c>
      <c r="M209" t="e">
        <f>AND(#REF!,"AAAAADf5Ogw=")</f>
        <v>#REF!</v>
      </c>
      <c r="N209" t="e">
        <f>AND(#REF!,"AAAAADf5Og0=")</f>
        <v>#REF!</v>
      </c>
      <c r="O209" t="e">
        <f>AND(#REF!,"AAAAADf5Og4=")</f>
        <v>#REF!</v>
      </c>
      <c r="P209" t="e">
        <f>AND(#REF!,"AAAAADf5Og8=")</f>
        <v>#REF!</v>
      </c>
      <c r="Q209" t="e">
        <f>AND(#REF!,"AAAAADf5OhA=")</f>
        <v>#REF!</v>
      </c>
      <c r="R209" t="e">
        <f>AND(#REF!,"AAAAADf5OhE=")</f>
        <v>#REF!</v>
      </c>
      <c r="S209" t="e">
        <f>AND(#REF!,"AAAAADf5OhI=")</f>
        <v>#REF!</v>
      </c>
      <c r="T209" t="e">
        <f>AND(#REF!,"AAAAADf5OhM=")</f>
        <v>#REF!</v>
      </c>
      <c r="U209" t="e">
        <f>AND(#REF!,"AAAAADf5OhQ=")</f>
        <v>#REF!</v>
      </c>
      <c r="V209" t="e">
        <f>AND(#REF!,"AAAAADf5OhU=")</f>
        <v>#REF!</v>
      </c>
      <c r="W209" t="e">
        <f>AND(#REF!,"AAAAADf5OhY=")</f>
        <v>#REF!</v>
      </c>
      <c r="X209" t="e">
        <f>AND(#REF!,"AAAAADf5Ohc=")</f>
        <v>#REF!</v>
      </c>
      <c r="Y209" t="e">
        <f>AND(#REF!,"AAAAADf5Ohg=")</f>
        <v>#REF!</v>
      </c>
      <c r="Z209" t="e">
        <f>AND(#REF!,"AAAAADf5Ohk=")</f>
        <v>#REF!</v>
      </c>
      <c r="AA209" t="e">
        <f>AND(#REF!,"AAAAADf5Oho=")</f>
        <v>#REF!</v>
      </c>
      <c r="AB209" t="e">
        <f>AND(#REF!,"AAAAADf5Ohs=")</f>
        <v>#REF!</v>
      </c>
      <c r="AC209" t="e">
        <f>AND(#REF!,"AAAAADf5Ohw=")</f>
        <v>#REF!</v>
      </c>
      <c r="AD209" t="e">
        <f>AND(#REF!,"AAAAADf5Oh0=")</f>
        <v>#REF!</v>
      </c>
      <c r="AE209" t="e">
        <f>AND(#REF!,"AAAAADf5Oh4=")</f>
        <v>#REF!</v>
      </c>
      <c r="AF209" t="e">
        <f>AND(#REF!,"AAAAADf5Oh8=")</f>
        <v>#REF!</v>
      </c>
      <c r="AG209" t="e">
        <f>AND(#REF!,"AAAAADf5OiA=")</f>
        <v>#REF!</v>
      </c>
      <c r="AH209" t="e">
        <f>AND(#REF!,"AAAAADf5OiE=")</f>
        <v>#REF!</v>
      </c>
      <c r="AI209" t="e">
        <f>AND(#REF!,"AAAAADf5OiI=")</f>
        <v>#REF!</v>
      </c>
      <c r="AJ209" t="e">
        <f>AND(#REF!,"AAAAADf5OiM=")</f>
        <v>#REF!</v>
      </c>
      <c r="AK209" t="e">
        <f>AND(#REF!,"AAAAADf5OiQ=")</f>
        <v>#REF!</v>
      </c>
      <c r="AL209" t="e">
        <f>AND(#REF!,"AAAAADf5OiU=")</f>
        <v>#REF!</v>
      </c>
      <c r="AM209" t="e">
        <f>AND(#REF!,"AAAAADf5OiY=")</f>
        <v>#REF!</v>
      </c>
      <c r="AN209" t="e">
        <f>AND(#REF!,"AAAAADf5Oic=")</f>
        <v>#REF!</v>
      </c>
      <c r="AO209" t="e">
        <f>AND(#REF!,"AAAAADf5Oig=")</f>
        <v>#REF!</v>
      </c>
      <c r="AP209" t="e">
        <f>AND(#REF!,"AAAAADf5Oik=")</f>
        <v>#REF!</v>
      </c>
      <c r="AQ209" t="e">
        <f>IF(#REF!,"AAAAADf5Oio=",0)</f>
        <v>#REF!</v>
      </c>
      <c r="AR209" t="e">
        <f>AND(#REF!,"AAAAADf5Ois=")</f>
        <v>#REF!</v>
      </c>
      <c r="AS209" t="e">
        <f>AND(#REF!,"AAAAADf5Oiw=")</f>
        <v>#REF!</v>
      </c>
      <c r="AT209" t="e">
        <f>AND(#REF!,"AAAAADf5Oi0=")</f>
        <v>#REF!</v>
      </c>
      <c r="AU209" t="e">
        <f>AND(#REF!,"AAAAADf5Oi4=")</f>
        <v>#REF!</v>
      </c>
      <c r="AV209" t="e">
        <f>AND(#REF!,"AAAAADf5Oi8=")</f>
        <v>#REF!</v>
      </c>
      <c r="AW209" t="e">
        <f>AND(#REF!,"AAAAADf5OjA=")</f>
        <v>#REF!</v>
      </c>
      <c r="AX209" t="e">
        <f>AND(#REF!,"AAAAADf5OjE=")</f>
        <v>#REF!</v>
      </c>
      <c r="AY209" t="e">
        <f>AND(#REF!,"AAAAADf5OjI=")</f>
        <v>#REF!</v>
      </c>
      <c r="AZ209" t="e">
        <f>AND(#REF!,"AAAAADf5OjM=")</f>
        <v>#REF!</v>
      </c>
      <c r="BA209" t="e">
        <f>AND(#REF!,"AAAAADf5OjQ=")</f>
        <v>#REF!</v>
      </c>
      <c r="BB209" t="e">
        <f>AND(#REF!,"AAAAADf5OjU=")</f>
        <v>#REF!</v>
      </c>
      <c r="BC209" t="e">
        <f>AND(#REF!,"AAAAADf5OjY=")</f>
        <v>#REF!</v>
      </c>
      <c r="BD209" t="e">
        <f>AND(#REF!,"AAAAADf5Ojc=")</f>
        <v>#REF!</v>
      </c>
      <c r="BE209" t="e">
        <f>AND(#REF!,"AAAAADf5Ojg=")</f>
        <v>#REF!</v>
      </c>
      <c r="BF209" t="e">
        <f>AND(#REF!,"AAAAADf5Ojk=")</f>
        <v>#REF!</v>
      </c>
      <c r="BG209" t="e">
        <f>AND(#REF!,"AAAAADf5Ojo=")</f>
        <v>#REF!</v>
      </c>
      <c r="BH209" t="e">
        <f>AND(#REF!,"AAAAADf5Ojs=")</f>
        <v>#REF!</v>
      </c>
      <c r="BI209" t="e">
        <f>AND(#REF!,"AAAAADf5Ojw=")</f>
        <v>#REF!</v>
      </c>
      <c r="BJ209" t="e">
        <f>AND(#REF!,"AAAAADf5Oj0=")</f>
        <v>#REF!</v>
      </c>
      <c r="BK209" t="e">
        <f>AND(#REF!,"AAAAADf5Oj4=")</f>
        <v>#REF!</v>
      </c>
      <c r="BL209" t="e">
        <f>AND(#REF!,"AAAAADf5Oj8=")</f>
        <v>#REF!</v>
      </c>
      <c r="BM209" t="e">
        <f>AND(#REF!,"AAAAADf5OkA=")</f>
        <v>#REF!</v>
      </c>
      <c r="BN209" t="e">
        <f>AND(#REF!,"AAAAADf5OkE=")</f>
        <v>#REF!</v>
      </c>
      <c r="BO209" t="e">
        <f>AND(#REF!,"AAAAADf5OkI=")</f>
        <v>#REF!</v>
      </c>
      <c r="BP209" t="e">
        <f>AND(#REF!,"AAAAADf5OkM=")</f>
        <v>#REF!</v>
      </c>
      <c r="BQ209" t="e">
        <f>AND(#REF!,"AAAAADf5OkQ=")</f>
        <v>#REF!</v>
      </c>
      <c r="BR209" t="e">
        <f>AND(#REF!,"AAAAADf5OkU=")</f>
        <v>#REF!</v>
      </c>
      <c r="BS209" t="e">
        <f>AND(#REF!,"AAAAADf5OkY=")</f>
        <v>#REF!</v>
      </c>
      <c r="BT209" t="e">
        <f>AND(#REF!,"AAAAADf5Okc=")</f>
        <v>#REF!</v>
      </c>
      <c r="BU209" t="e">
        <f>AND(#REF!,"AAAAADf5Okg=")</f>
        <v>#REF!</v>
      </c>
      <c r="BV209" t="e">
        <f>AND(#REF!,"AAAAADf5Okk=")</f>
        <v>#REF!</v>
      </c>
      <c r="BW209" t="e">
        <f>AND(#REF!,"AAAAADf5Oko=")</f>
        <v>#REF!</v>
      </c>
      <c r="BX209" t="e">
        <f>AND(#REF!,"AAAAADf5Oks=")</f>
        <v>#REF!</v>
      </c>
      <c r="BY209" t="e">
        <f>AND(#REF!,"AAAAADf5Okw=")</f>
        <v>#REF!</v>
      </c>
      <c r="BZ209" t="e">
        <f>AND(#REF!,"AAAAADf5Ok0=")</f>
        <v>#REF!</v>
      </c>
      <c r="CA209" t="e">
        <f>AND(#REF!,"AAAAADf5Ok4=")</f>
        <v>#REF!</v>
      </c>
      <c r="CB209" t="e">
        <f>AND(#REF!,"AAAAADf5Ok8=")</f>
        <v>#REF!</v>
      </c>
      <c r="CC209" t="e">
        <f>AND(#REF!,"AAAAADf5OlA=")</f>
        <v>#REF!</v>
      </c>
      <c r="CD209" t="e">
        <f>AND(#REF!,"AAAAADf5OlE=")</f>
        <v>#REF!</v>
      </c>
      <c r="CE209" t="e">
        <f>AND(#REF!,"AAAAADf5OlI=")</f>
        <v>#REF!</v>
      </c>
      <c r="CF209" t="e">
        <f>AND(#REF!,"AAAAADf5OlM=")</f>
        <v>#REF!</v>
      </c>
      <c r="CG209" t="e">
        <f>AND(#REF!,"AAAAADf5OlQ=")</f>
        <v>#REF!</v>
      </c>
      <c r="CH209" t="e">
        <f>AND(#REF!,"AAAAADf5OlU=")</f>
        <v>#REF!</v>
      </c>
      <c r="CI209" t="e">
        <f>AND(#REF!,"AAAAADf5OlY=")</f>
        <v>#REF!</v>
      </c>
      <c r="CJ209" t="e">
        <f>AND(#REF!,"AAAAADf5Olc=")</f>
        <v>#REF!</v>
      </c>
      <c r="CK209" t="e">
        <f>AND(#REF!,"AAAAADf5Olg=")</f>
        <v>#REF!</v>
      </c>
      <c r="CL209" t="e">
        <f>AND(#REF!,"AAAAADf5Olk=")</f>
        <v>#REF!</v>
      </c>
      <c r="CM209" t="e">
        <f>AND(#REF!,"AAAAADf5Olo=")</f>
        <v>#REF!</v>
      </c>
      <c r="CN209" t="e">
        <f>AND(#REF!,"AAAAADf5Ols=")</f>
        <v>#REF!</v>
      </c>
      <c r="CO209" t="e">
        <f>AND(#REF!,"AAAAADf5Olw=")</f>
        <v>#REF!</v>
      </c>
      <c r="CP209" t="e">
        <f>AND(#REF!,"AAAAADf5Ol0=")</f>
        <v>#REF!</v>
      </c>
      <c r="CQ209" t="e">
        <f>AND(#REF!,"AAAAADf5Ol4=")</f>
        <v>#REF!</v>
      </c>
      <c r="CR209" t="e">
        <f>AND(#REF!,"AAAAADf5Ol8=")</f>
        <v>#REF!</v>
      </c>
      <c r="CS209" t="e">
        <f>AND(#REF!,"AAAAADf5OmA=")</f>
        <v>#REF!</v>
      </c>
      <c r="CT209" t="e">
        <f>AND(#REF!,"AAAAADf5OmE=")</f>
        <v>#REF!</v>
      </c>
      <c r="CU209" t="e">
        <f>AND(#REF!,"AAAAADf5OmI=")</f>
        <v>#REF!</v>
      </c>
      <c r="CV209" t="e">
        <f>AND(#REF!,"AAAAADf5OmM=")</f>
        <v>#REF!</v>
      </c>
      <c r="CW209" t="e">
        <f>AND(#REF!,"AAAAADf5OmQ=")</f>
        <v>#REF!</v>
      </c>
      <c r="CX209" t="e">
        <f>AND(#REF!,"AAAAADf5OmU=")</f>
        <v>#REF!</v>
      </c>
      <c r="CY209" t="e">
        <f>AND(#REF!,"AAAAADf5OmY=")</f>
        <v>#REF!</v>
      </c>
      <c r="CZ209" t="e">
        <f>AND(#REF!,"AAAAADf5Omc=")</f>
        <v>#REF!</v>
      </c>
      <c r="DA209" t="e">
        <f>AND(#REF!,"AAAAADf5Omg=")</f>
        <v>#REF!</v>
      </c>
      <c r="DB209" t="e">
        <f>AND(#REF!,"AAAAADf5Omk=")</f>
        <v>#REF!</v>
      </c>
      <c r="DC209" t="e">
        <f>AND(#REF!,"AAAAADf5Omo=")</f>
        <v>#REF!</v>
      </c>
      <c r="DD209" t="e">
        <f>AND(#REF!,"AAAAADf5Oms=")</f>
        <v>#REF!</v>
      </c>
      <c r="DE209" t="e">
        <f>AND(#REF!,"AAAAADf5Omw=")</f>
        <v>#REF!</v>
      </c>
      <c r="DF209" t="e">
        <f>AND(#REF!,"AAAAADf5Om0=")</f>
        <v>#REF!</v>
      </c>
      <c r="DG209" t="e">
        <f>AND(#REF!,"AAAAADf5Om4=")</f>
        <v>#REF!</v>
      </c>
      <c r="DH209" t="e">
        <f>AND(#REF!,"AAAAADf5Om8=")</f>
        <v>#REF!</v>
      </c>
      <c r="DI209" t="e">
        <f>AND(#REF!,"AAAAADf5OnA=")</f>
        <v>#REF!</v>
      </c>
      <c r="DJ209" t="e">
        <f>AND(#REF!,"AAAAADf5OnE=")</f>
        <v>#REF!</v>
      </c>
      <c r="DK209" t="e">
        <f>AND(#REF!,"AAAAADf5OnI=")</f>
        <v>#REF!</v>
      </c>
      <c r="DL209" t="e">
        <f>AND(#REF!,"AAAAADf5OnM=")</f>
        <v>#REF!</v>
      </c>
      <c r="DM209" t="e">
        <f>AND(#REF!,"AAAAADf5OnQ=")</f>
        <v>#REF!</v>
      </c>
      <c r="DN209" t="e">
        <f>AND(#REF!,"AAAAADf5OnU=")</f>
        <v>#REF!</v>
      </c>
      <c r="DO209" t="e">
        <f>AND(#REF!,"AAAAADf5OnY=")</f>
        <v>#REF!</v>
      </c>
      <c r="DP209" t="e">
        <f>AND(#REF!,"AAAAADf5Onc=")</f>
        <v>#REF!</v>
      </c>
      <c r="DQ209" t="e">
        <f>AND(#REF!,"AAAAADf5Ong=")</f>
        <v>#REF!</v>
      </c>
      <c r="DR209" t="e">
        <f>AND(#REF!,"AAAAADf5Onk=")</f>
        <v>#REF!</v>
      </c>
      <c r="DS209" t="e">
        <f>AND(#REF!,"AAAAADf5Ono=")</f>
        <v>#REF!</v>
      </c>
      <c r="DT209" t="e">
        <f>AND(#REF!,"AAAAADf5Ons=")</f>
        <v>#REF!</v>
      </c>
      <c r="DU209" t="e">
        <f>AND(#REF!,"AAAAADf5Onw=")</f>
        <v>#REF!</v>
      </c>
      <c r="DV209" t="e">
        <f>AND(#REF!,"AAAAADf5On0=")</f>
        <v>#REF!</v>
      </c>
      <c r="DW209" t="e">
        <f>AND(#REF!,"AAAAADf5On4=")</f>
        <v>#REF!</v>
      </c>
      <c r="DX209" t="e">
        <f>AND(#REF!,"AAAAADf5On8=")</f>
        <v>#REF!</v>
      </c>
      <c r="DY209" t="e">
        <f>AND(#REF!,"AAAAADf5OoA=")</f>
        <v>#REF!</v>
      </c>
      <c r="DZ209" t="e">
        <f>AND(#REF!,"AAAAADf5OoE=")</f>
        <v>#REF!</v>
      </c>
      <c r="EA209" t="e">
        <f>AND(#REF!,"AAAAADf5OoI=")</f>
        <v>#REF!</v>
      </c>
      <c r="EB209" t="e">
        <f>AND(#REF!,"AAAAADf5OoM=")</f>
        <v>#REF!</v>
      </c>
      <c r="EC209" t="e">
        <f>AND(#REF!,"AAAAADf5OoQ=")</f>
        <v>#REF!</v>
      </c>
      <c r="ED209" t="e">
        <f>AND(#REF!,"AAAAADf5OoU=")</f>
        <v>#REF!</v>
      </c>
      <c r="EE209" t="e">
        <f>AND(#REF!,"AAAAADf5OoY=")</f>
        <v>#REF!</v>
      </c>
      <c r="EF209" t="e">
        <f>AND(#REF!,"AAAAADf5Ooc=")</f>
        <v>#REF!</v>
      </c>
      <c r="EG209" t="e">
        <f>AND(#REF!,"AAAAADf5Oog=")</f>
        <v>#REF!</v>
      </c>
      <c r="EH209" t="e">
        <f>AND(#REF!,"AAAAADf5Ook=")</f>
        <v>#REF!</v>
      </c>
      <c r="EI209" t="e">
        <f>AND(#REF!,"AAAAADf5Ooo=")</f>
        <v>#REF!</v>
      </c>
      <c r="EJ209" t="e">
        <f>AND(#REF!,"AAAAADf5Oos=")</f>
        <v>#REF!</v>
      </c>
      <c r="EK209" t="e">
        <f>AND(#REF!,"AAAAADf5Oow=")</f>
        <v>#REF!</v>
      </c>
      <c r="EL209" t="e">
        <f>AND(#REF!,"AAAAADf5Oo0=")</f>
        <v>#REF!</v>
      </c>
      <c r="EM209" t="e">
        <f>AND(#REF!,"AAAAADf5Oo4=")</f>
        <v>#REF!</v>
      </c>
      <c r="EN209" t="e">
        <f>AND(#REF!,"AAAAADf5Oo8=")</f>
        <v>#REF!</v>
      </c>
      <c r="EO209" t="e">
        <f>AND(#REF!,"AAAAADf5OpA=")</f>
        <v>#REF!</v>
      </c>
      <c r="EP209" t="e">
        <f>AND(#REF!,"AAAAADf5OpE=")</f>
        <v>#REF!</v>
      </c>
      <c r="EQ209" t="e">
        <f>AND(#REF!,"AAAAADf5OpI=")</f>
        <v>#REF!</v>
      </c>
      <c r="ER209" t="e">
        <f>AND(#REF!,"AAAAADf5OpM=")</f>
        <v>#REF!</v>
      </c>
      <c r="ES209" t="e">
        <f>AND(#REF!,"AAAAADf5OpQ=")</f>
        <v>#REF!</v>
      </c>
      <c r="ET209" t="e">
        <f>AND(#REF!,"AAAAADf5OpU=")</f>
        <v>#REF!</v>
      </c>
      <c r="EU209" t="e">
        <f>AND(#REF!,"AAAAADf5OpY=")</f>
        <v>#REF!</v>
      </c>
      <c r="EV209" t="e">
        <f>AND(#REF!,"AAAAADf5Opc=")</f>
        <v>#REF!</v>
      </c>
      <c r="EW209" t="e">
        <f>AND(#REF!,"AAAAADf5Opg=")</f>
        <v>#REF!</v>
      </c>
      <c r="EX209" t="e">
        <f>AND(#REF!,"AAAAADf5Opk=")</f>
        <v>#REF!</v>
      </c>
      <c r="EY209" t="e">
        <f>AND(#REF!,"AAAAADf5Opo=")</f>
        <v>#REF!</v>
      </c>
      <c r="EZ209" t="e">
        <f>AND(#REF!,"AAAAADf5Ops=")</f>
        <v>#REF!</v>
      </c>
      <c r="FA209" t="e">
        <f>AND(#REF!,"AAAAADf5Opw=")</f>
        <v>#REF!</v>
      </c>
      <c r="FB209" t="e">
        <f>AND(#REF!,"AAAAADf5Op0=")</f>
        <v>#REF!</v>
      </c>
      <c r="FC209" t="e">
        <f>AND(#REF!,"AAAAADf5Op4=")</f>
        <v>#REF!</v>
      </c>
      <c r="FD209" t="e">
        <f>AND(#REF!,"AAAAADf5Op8=")</f>
        <v>#REF!</v>
      </c>
      <c r="FE209" t="e">
        <f>AND(#REF!,"AAAAADf5OqA=")</f>
        <v>#REF!</v>
      </c>
      <c r="FF209" t="e">
        <f>AND(#REF!,"AAAAADf5OqE=")</f>
        <v>#REF!</v>
      </c>
      <c r="FG209" t="e">
        <f>AND(#REF!,"AAAAADf5OqI=")</f>
        <v>#REF!</v>
      </c>
      <c r="FH209" t="e">
        <f>AND(#REF!,"AAAAADf5OqM=")</f>
        <v>#REF!</v>
      </c>
      <c r="FI209" t="e">
        <f>AND(#REF!,"AAAAADf5OqQ=")</f>
        <v>#REF!</v>
      </c>
      <c r="FJ209" t="e">
        <f>AND(#REF!,"AAAAADf5OqU=")</f>
        <v>#REF!</v>
      </c>
      <c r="FK209" t="e">
        <f>AND(#REF!,"AAAAADf5OqY=")</f>
        <v>#REF!</v>
      </c>
      <c r="FL209" t="e">
        <f>AND(#REF!,"AAAAADf5Oqc=")</f>
        <v>#REF!</v>
      </c>
      <c r="FM209" t="e">
        <f>AND(#REF!,"AAAAADf5Oqg=")</f>
        <v>#REF!</v>
      </c>
      <c r="FN209" t="e">
        <f>AND(#REF!,"AAAAADf5Oqk=")</f>
        <v>#REF!</v>
      </c>
      <c r="FO209" t="e">
        <f>AND(#REF!,"AAAAADf5Oqo=")</f>
        <v>#REF!</v>
      </c>
      <c r="FP209" t="e">
        <f>AND(#REF!,"AAAAADf5Oqs=")</f>
        <v>#REF!</v>
      </c>
      <c r="FQ209" t="e">
        <f>AND(#REF!,"AAAAADf5Oqw=")</f>
        <v>#REF!</v>
      </c>
      <c r="FR209" t="e">
        <f>AND(#REF!,"AAAAADf5Oq0=")</f>
        <v>#REF!</v>
      </c>
      <c r="FS209" t="e">
        <f>AND(#REF!,"AAAAADf5Oq4=")</f>
        <v>#REF!</v>
      </c>
      <c r="FT209" t="e">
        <f>AND(#REF!,"AAAAADf5Oq8=")</f>
        <v>#REF!</v>
      </c>
      <c r="FU209" t="e">
        <f>AND(#REF!,"AAAAADf5OrA=")</f>
        <v>#REF!</v>
      </c>
      <c r="FV209" t="e">
        <f>AND(#REF!,"AAAAADf5OrE=")</f>
        <v>#REF!</v>
      </c>
      <c r="FW209" t="e">
        <f>AND(#REF!,"AAAAADf5OrI=")</f>
        <v>#REF!</v>
      </c>
      <c r="FX209" t="e">
        <f>AND(#REF!,"AAAAADf5OrM=")</f>
        <v>#REF!</v>
      </c>
      <c r="FY209" t="e">
        <f>AND(#REF!,"AAAAADf5OrQ=")</f>
        <v>#REF!</v>
      </c>
      <c r="FZ209" t="e">
        <f>AND(#REF!,"AAAAADf5OrU=")</f>
        <v>#REF!</v>
      </c>
      <c r="GA209" t="e">
        <f>AND(#REF!,"AAAAADf5OrY=")</f>
        <v>#REF!</v>
      </c>
      <c r="GB209" t="e">
        <f>AND(#REF!,"AAAAADf5Orc=")</f>
        <v>#REF!</v>
      </c>
      <c r="GC209" t="e">
        <f>AND(#REF!,"AAAAADf5Org=")</f>
        <v>#REF!</v>
      </c>
      <c r="GD209" t="e">
        <f>AND(#REF!,"AAAAADf5Ork=")</f>
        <v>#REF!</v>
      </c>
      <c r="GE209" t="e">
        <f>AND(#REF!,"AAAAADf5Oro=")</f>
        <v>#REF!</v>
      </c>
      <c r="GF209" t="e">
        <f>AND(#REF!,"AAAAADf5Ors=")</f>
        <v>#REF!</v>
      </c>
      <c r="GG209" t="e">
        <f>AND(#REF!,"AAAAADf5Orw=")</f>
        <v>#REF!</v>
      </c>
      <c r="GH209" t="e">
        <f>AND(#REF!,"AAAAADf5Or0=")</f>
        <v>#REF!</v>
      </c>
      <c r="GI209" t="e">
        <f>AND(#REF!,"AAAAADf5Or4=")</f>
        <v>#REF!</v>
      </c>
      <c r="GJ209" t="e">
        <f>AND(#REF!,"AAAAADf5Or8=")</f>
        <v>#REF!</v>
      </c>
      <c r="GK209" t="e">
        <f>AND(#REF!,"AAAAADf5OsA=")</f>
        <v>#REF!</v>
      </c>
      <c r="GL209" t="e">
        <f>AND(#REF!,"AAAAADf5OsE=")</f>
        <v>#REF!</v>
      </c>
      <c r="GM209" t="e">
        <f>AND(#REF!,"AAAAADf5OsI=")</f>
        <v>#REF!</v>
      </c>
      <c r="GN209" t="e">
        <f>AND(#REF!,"AAAAADf5OsM=")</f>
        <v>#REF!</v>
      </c>
      <c r="GO209" t="e">
        <f>AND(#REF!,"AAAAADf5OsQ=")</f>
        <v>#REF!</v>
      </c>
      <c r="GP209" t="e">
        <f>AND(#REF!,"AAAAADf5OsU=")</f>
        <v>#REF!</v>
      </c>
      <c r="GQ209" t="e">
        <f>AND(#REF!,"AAAAADf5OsY=")</f>
        <v>#REF!</v>
      </c>
      <c r="GR209" t="e">
        <f>AND(#REF!,"AAAAADf5Osc=")</f>
        <v>#REF!</v>
      </c>
      <c r="GS209" t="e">
        <f>AND(#REF!,"AAAAADf5Osg=")</f>
        <v>#REF!</v>
      </c>
      <c r="GT209" t="e">
        <f>AND(#REF!,"AAAAADf5Osk=")</f>
        <v>#REF!</v>
      </c>
      <c r="GU209" t="e">
        <f>AND(#REF!,"AAAAADf5Oso=")</f>
        <v>#REF!</v>
      </c>
      <c r="GV209" t="e">
        <f>AND(#REF!,"AAAAADf5Oss=")</f>
        <v>#REF!</v>
      </c>
      <c r="GW209" t="e">
        <f>AND(#REF!,"AAAAADf5Osw=")</f>
        <v>#REF!</v>
      </c>
      <c r="GX209" t="e">
        <f>AND(#REF!,"AAAAADf5Os0=")</f>
        <v>#REF!</v>
      </c>
      <c r="GY209" t="e">
        <f>AND(#REF!,"AAAAADf5Os4=")</f>
        <v>#REF!</v>
      </c>
      <c r="GZ209" t="e">
        <f>AND(#REF!,"AAAAADf5Os8=")</f>
        <v>#REF!</v>
      </c>
      <c r="HA209" t="e">
        <f>AND(#REF!,"AAAAADf5OtA=")</f>
        <v>#REF!</v>
      </c>
      <c r="HB209" t="e">
        <f>AND(#REF!,"AAAAADf5OtE=")</f>
        <v>#REF!</v>
      </c>
      <c r="HC209" t="e">
        <f>AND(#REF!,"AAAAADf5OtI=")</f>
        <v>#REF!</v>
      </c>
      <c r="HD209" t="e">
        <f>AND(#REF!,"AAAAADf5OtM=")</f>
        <v>#REF!</v>
      </c>
      <c r="HE209" t="e">
        <f>AND(#REF!,"AAAAADf5OtQ=")</f>
        <v>#REF!</v>
      </c>
      <c r="HF209" t="e">
        <f>AND(#REF!,"AAAAADf5OtU=")</f>
        <v>#REF!</v>
      </c>
      <c r="HG209" t="e">
        <f>AND(#REF!,"AAAAADf5OtY=")</f>
        <v>#REF!</v>
      </c>
      <c r="HH209" t="e">
        <f>AND(#REF!,"AAAAADf5Otc=")</f>
        <v>#REF!</v>
      </c>
      <c r="HI209" t="e">
        <f>AND(#REF!,"AAAAADf5Otg=")</f>
        <v>#REF!</v>
      </c>
      <c r="HJ209" t="e">
        <f>AND(#REF!,"AAAAADf5Otk=")</f>
        <v>#REF!</v>
      </c>
      <c r="HK209" t="e">
        <f>AND(#REF!,"AAAAADf5Oto=")</f>
        <v>#REF!</v>
      </c>
      <c r="HL209" t="e">
        <f>AND(#REF!,"AAAAADf5Ots=")</f>
        <v>#REF!</v>
      </c>
      <c r="HM209" t="e">
        <f>AND(#REF!,"AAAAADf5Otw=")</f>
        <v>#REF!</v>
      </c>
      <c r="HN209" t="e">
        <f>AND(#REF!,"AAAAADf5Ot0=")</f>
        <v>#REF!</v>
      </c>
      <c r="HO209" t="e">
        <f>AND(#REF!,"AAAAADf5Ot4=")</f>
        <v>#REF!</v>
      </c>
      <c r="HP209" t="e">
        <f>AND(#REF!,"AAAAADf5Ot8=")</f>
        <v>#REF!</v>
      </c>
      <c r="HQ209" t="e">
        <f>AND(#REF!,"AAAAADf5OuA=")</f>
        <v>#REF!</v>
      </c>
      <c r="HR209" t="e">
        <f>AND(#REF!,"AAAAADf5OuE=")</f>
        <v>#REF!</v>
      </c>
      <c r="HS209" t="e">
        <f>AND(#REF!,"AAAAADf5OuI=")</f>
        <v>#REF!</v>
      </c>
      <c r="HT209" t="e">
        <f>AND(#REF!,"AAAAADf5OuM=")</f>
        <v>#REF!</v>
      </c>
      <c r="HU209" t="e">
        <f>AND(#REF!,"AAAAADf5OuQ=")</f>
        <v>#REF!</v>
      </c>
      <c r="HV209" t="e">
        <f>AND(#REF!,"AAAAADf5OuU=")</f>
        <v>#REF!</v>
      </c>
      <c r="HW209" t="e">
        <f>AND(#REF!,"AAAAADf5OuY=")</f>
        <v>#REF!</v>
      </c>
      <c r="HX209" t="e">
        <f>IF(#REF!,"AAAAADf5Ouc=",0)</f>
        <v>#REF!</v>
      </c>
      <c r="HY209" t="e">
        <f>AND(#REF!,"AAAAADf5Oug=")</f>
        <v>#REF!</v>
      </c>
      <c r="HZ209" t="e">
        <f>AND(#REF!,"AAAAADf5Ouk=")</f>
        <v>#REF!</v>
      </c>
      <c r="IA209" t="e">
        <f>AND(#REF!,"AAAAADf5Ouo=")</f>
        <v>#REF!</v>
      </c>
      <c r="IB209" t="e">
        <f>AND(#REF!,"AAAAADf5Ous=")</f>
        <v>#REF!</v>
      </c>
      <c r="IC209" t="e">
        <f>AND(#REF!,"AAAAADf5Ouw=")</f>
        <v>#REF!</v>
      </c>
      <c r="ID209" t="e">
        <f>AND(#REF!,"AAAAADf5Ou0=")</f>
        <v>#REF!</v>
      </c>
      <c r="IE209" t="e">
        <f>AND(#REF!,"AAAAADf5Ou4=")</f>
        <v>#REF!</v>
      </c>
      <c r="IF209" t="e">
        <f>AND(#REF!,"AAAAADf5Ou8=")</f>
        <v>#REF!</v>
      </c>
      <c r="IG209" t="e">
        <f>AND(#REF!,"AAAAADf5OvA=")</f>
        <v>#REF!</v>
      </c>
      <c r="IH209" t="e">
        <f>AND(#REF!,"AAAAADf5OvE=")</f>
        <v>#REF!</v>
      </c>
      <c r="II209" t="e">
        <f>AND(#REF!,"AAAAADf5OvI=")</f>
        <v>#REF!</v>
      </c>
      <c r="IJ209" t="e">
        <f>AND(#REF!,"AAAAADf5OvM=")</f>
        <v>#REF!</v>
      </c>
      <c r="IK209" t="e">
        <f>AND(#REF!,"AAAAADf5OvQ=")</f>
        <v>#REF!</v>
      </c>
      <c r="IL209" t="e">
        <f>AND(#REF!,"AAAAADf5OvU=")</f>
        <v>#REF!</v>
      </c>
      <c r="IM209" t="e">
        <f>AND(#REF!,"AAAAADf5OvY=")</f>
        <v>#REF!</v>
      </c>
      <c r="IN209" t="e">
        <f>AND(#REF!,"AAAAADf5Ovc=")</f>
        <v>#REF!</v>
      </c>
      <c r="IO209" t="e">
        <f>AND(#REF!,"AAAAADf5Ovg=")</f>
        <v>#REF!</v>
      </c>
      <c r="IP209" t="e">
        <f>AND(#REF!,"AAAAADf5Ovk=")</f>
        <v>#REF!</v>
      </c>
      <c r="IQ209" t="e">
        <f>AND(#REF!,"AAAAADf5Ovo=")</f>
        <v>#REF!</v>
      </c>
      <c r="IR209" t="e">
        <f>AND(#REF!,"AAAAADf5Ovs=")</f>
        <v>#REF!</v>
      </c>
      <c r="IS209" t="e">
        <f>AND(#REF!,"AAAAADf5Ovw=")</f>
        <v>#REF!</v>
      </c>
      <c r="IT209" t="e">
        <f>AND(#REF!,"AAAAADf5Ov0=")</f>
        <v>#REF!</v>
      </c>
      <c r="IU209" t="e">
        <f>AND(#REF!,"AAAAADf5Ov4=")</f>
        <v>#REF!</v>
      </c>
      <c r="IV209" t="e">
        <f>AND(#REF!,"AAAAADf5Ov8=")</f>
        <v>#REF!</v>
      </c>
    </row>
    <row r="210" spans="1:256" x14ac:dyDescent="0.25">
      <c r="A210" t="e">
        <f>AND(#REF!,"AAAAAHv+/wA=")</f>
        <v>#REF!</v>
      </c>
      <c r="B210" t="e">
        <f>AND(#REF!,"AAAAAHv+/wE=")</f>
        <v>#REF!</v>
      </c>
      <c r="C210" t="e">
        <f>AND(#REF!,"AAAAAHv+/wI=")</f>
        <v>#REF!</v>
      </c>
      <c r="D210" t="e">
        <f>AND(#REF!,"AAAAAHv+/wM=")</f>
        <v>#REF!</v>
      </c>
      <c r="E210" t="e">
        <f>AND(#REF!,"AAAAAHv+/wQ=")</f>
        <v>#REF!</v>
      </c>
      <c r="F210" t="e">
        <f>AND(#REF!,"AAAAAHv+/wU=")</f>
        <v>#REF!</v>
      </c>
      <c r="G210" t="e">
        <f>AND(#REF!,"AAAAAHv+/wY=")</f>
        <v>#REF!</v>
      </c>
      <c r="H210" t="e">
        <f>AND(#REF!,"AAAAAHv+/wc=")</f>
        <v>#REF!</v>
      </c>
      <c r="I210" t="e">
        <f>AND(#REF!,"AAAAAHv+/wg=")</f>
        <v>#REF!</v>
      </c>
      <c r="J210" t="e">
        <f>AND(#REF!,"AAAAAHv+/wk=")</f>
        <v>#REF!</v>
      </c>
      <c r="K210" t="e">
        <f>AND(#REF!,"AAAAAHv+/wo=")</f>
        <v>#REF!</v>
      </c>
      <c r="L210" t="e">
        <f>AND(#REF!,"AAAAAHv+/ws=")</f>
        <v>#REF!</v>
      </c>
      <c r="M210" t="e">
        <f>AND(#REF!,"AAAAAHv+/ww=")</f>
        <v>#REF!</v>
      </c>
      <c r="N210" t="e">
        <f>AND(#REF!,"AAAAAHv+/w0=")</f>
        <v>#REF!</v>
      </c>
      <c r="O210" t="e">
        <f>AND(#REF!,"AAAAAHv+/w4=")</f>
        <v>#REF!</v>
      </c>
      <c r="P210" t="e">
        <f>AND(#REF!,"AAAAAHv+/w8=")</f>
        <v>#REF!</v>
      </c>
      <c r="Q210" t="e">
        <f>AND(#REF!,"AAAAAHv+/xA=")</f>
        <v>#REF!</v>
      </c>
      <c r="R210" t="e">
        <f>AND(#REF!,"AAAAAHv+/xE=")</f>
        <v>#REF!</v>
      </c>
      <c r="S210" t="e">
        <f>AND(#REF!,"AAAAAHv+/xI=")</f>
        <v>#REF!</v>
      </c>
      <c r="T210" t="e">
        <f>AND(#REF!,"AAAAAHv+/xM=")</f>
        <v>#REF!</v>
      </c>
      <c r="U210" t="e">
        <f>AND(#REF!,"AAAAAHv+/xQ=")</f>
        <v>#REF!</v>
      </c>
      <c r="V210" t="e">
        <f>AND(#REF!,"AAAAAHv+/xU=")</f>
        <v>#REF!</v>
      </c>
      <c r="W210" t="e">
        <f>AND(#REF!,"AAAAAHv+/xY=")</f>
        <v>#REF!</v>
      </c>
      <c r="X210" t="e">
        <f>AND(#REF!,"AAAAAHv+/xc=")</f>
        <v>#REF!</v>
      </c>
      <c r="Y210" t="e">
        <f>AND(#REF!,"AAAAAHv+/xg=")</f>
        <v>#REF!</v>
      </c>
      <c r="Z210" t="e">
        <f>AND(#REF!,"AAAAAHv+/xk=")</f>
        <v>#REF!</v>
      </c>
      <c r="AA210" t="e">
        <f>AND(#REF!,"AAAAAHv+/xo=")</f>
        <v>#REF!</v>
      </c>
      <c r="AB210" t="e">
        <f>AND(#REF!,"AAAAAHv+/xs=")</f>
        <v>#REF!</v>
      </c>
      <c r="AC210" t="e">
        <f>AND(#REF!,"AAAAAHv+/xw=")</f>
        <v>#REF!</v>
      </c>
      <c r="AD210" t="e">
        <f>AND(#REF!,"AAAAAHv+/x0=")</f>
        <v>#REF!</v>
      </c>
      <c r="AE210" t="e">
        <f>AND(#REF!,"AAAAAHv+/x4=")</f>
        <v>#REF!</v>
      </c>
      <c r="AF210" t="e">
        <f>AND(#REF!,"AAAAAHv+/x8=")</f>
        <v>#REF!</v>
      </c>
      <c r="AG210" t="e">
        <f>AND(#REF!,"AAAAAHv+/yA=")</f>
        <v>#REF!</v>
      </c>
      <c r="AH210" t="e">
        <f>AND(#REF!,"AAAAAHv+/yE=")</f>
        <v>#REF!</v>
      </c>
      <c r="AI210" t="e">
        <f>AND(#REF!,"AAAAAHv+/yI=")</f>
        <v>#REF!</v>
      </c>
      <c r="AJ210" t="e">
        <f>AND(#REF!,"AAAAAHv+/yM=")</f>
        <v>#REF!</v>
      </c>
      <c r="AK210" t="e">
        <f>AND(#REF!,"AAAAAHv+/yQ=")</f>
        <v>#REF!</v>
      </c>
      <c r="AL210" t="e">
        <f>AND(#REF!,"AAAAAHv+/yU=")</f>
        <v>#REF!</v>
      </c>
      <c r="AM210" t="e">
        <f>AND(#REF!,"AAAAAHv+/yY=")</f>
        <v>#REF!</v>
      </c>
      <c r="AN210" t="e">
        <f>AND(#REF!,"AAAAAHv+/yc=")</f>
        <v>#REF!</v>
      </c>
      <c r="AO210" t="e">
        <f>AND(#REF!,"AAAAAHv+/yg=")</f>
        <v>#REF!</v>
      </c>
      <c r="AP210" t="e">
        <f>AND(#REF!,"AAAAAHv+/yk=")</f>
        <v>#REF!</v>
      </c>
      <c r="AQ210" t="e">
        <f>AND(#REF!,"AAAAAHv+/yo=")</f>
        <v>#REF!</v>
      </c>
      <c r="AR210" t="e">
        <f>AND(#REF!,"AAAAAHv+/ys=")</f>
        <v>#REF!</v>
      </c>
      <c r="AS210" t="e">
        <f>AND(#REF!,"AAAAAHv+/yw=")</f>
        <v>#REF!</v>
      </c>
      <c r="AT210" t="e">
        <f>AND(#REF!,"AAAAAHv+/y0=")</f>
        <v>#REF!</v>
      </c>
      <c r="AU210" t="e">
        <f>AND(#REF!,"AAAAAHv+/y4=")</f>
        <v>#REF!</v>
      </c>
      <c r="AV210" t="e">
        <f>AND(#REF!,"AAAAAHv+/y8=")</f>
        <v>#REF!</v>
      </c>
      <c r="AW210" t="e">
        <f>AND(#REF!,"AAAAAHv+/zA=")</f>
        <v>#REF!</v>
      </c>
      <c r="AX210" t="e">
        <f>AND(#REF!,"AAAAAHv+/zE=")</f>
        <v>#REF!</v>
      </c>
      <c r="AY210" t="e">
        <f>AND(#REF!,"AAAAAHv+/zI=")</f>
        <v>#REF!</v>
      </c>
      <c r="AZ210" t="e">
        <f>AND(#REF!,"AAAAAHv+/zM=")</f>
        <v>#REF!</v>
      </c>
      <c r="BA210" t="e">
        <f>AND(#REF!,"AAAAAHv+/zQ=")</f>
        <v>#REF!</v>
      </c>
      <c r="BB210" t="e">
        <f>AND(#REF!,"AAAAAHv+/zU=")</f>
        <v>#REF!</v>
      </c>
      <c r="BC210" t="e">
        <f>AND(#REF!,"AAAAAHv+/zY=")</f>
        <v>#REF!</v>
      </c>
      <c r="BD210" t="e">
        <f>AND(#REF!,"AAAAAHv+/zc=")</f>
        <v>#REF!</v>
      </c>
      <c r="BE210" t="e">
        <f>AND(#REF!,"AAAAAHv+/zg=")</f>
        <v>#REF!</v>
      </c>
      <c r="BF210" t="e">
        <f>AND(#REF!,"AAAAAHv+/zk=")</f>
        <v>#REF!</v>
      </c>
      <c r="BG210" t="e">
        <f>AND(#REF!,"AAAAAHv+/zo=")</f>
        <v>#REF!</v>
      </c>
      <c r="BH210" t="e">
        <f>AND(#REF!,"AAAAAHv+/zs=")</f>
        <v>#REF!</v>
      </c>
      <c r="BI210" t="e">
        <f>AND(#REF!,"AAAAAHv+/zw=")</f>
        <v>#REF!</v>
      </c>
      <c r="BJ210" t="e">
        <f>AND(#REF!,"AAAAAHv+/z0=")</f>
        <v>#REF!</v>
      </c>
      <c r="BK210" t="e">
        <f>AND(#REF!,"AAAAAHv+/z4=")</f>
        <v>#REF!</v>
      </c>
      <c r="BL210" t="e">
        <f>AND(#REF!,"AAAAAHv+/z8=")</f>
        <v>#REF!</v>
      </c>
      <c r="BM210" t="e">
        <f>AND(#REF!,"AAAAAHv+/0A=")</f>
        <v>#REF!</v>
      </c>
      <c r="BN210" t="e">
        <f>AND(#REF!,"AAAAAHv+/0E=")</f>
        <v>#REF!</v>
      </c>
      <c r="BO210" t="e">
        <f>AND(#REF!,"AAAAAHv+/0I=")</f>
        <v>#REF!</v>
      </c>
      <c r="BP210" t="e">
        <f>AND(#REF!,"AAAAAHv+/0M=")</f>
        <v>#REF!</v>
      </c>
      <c r="BQ210" t="e">
        <f>AND(#REF!,"AAAAAHv+/0Q=")</f>
        <v>#REF!</v>
      </c>
      <c r="BR210" t="e">
        <f>AND(#REF!,"AAAAAHv+/0U=")</f>
        <v>#REF!</v>
      </c>
      <c r="BS210" t="e">
        <f>AND(#REF!,"AAAAAHv+/0Y=")</f>
        <v>#REF!</v>
      </c>
      <c r="BT210" t="e">
        <f>AND(#REF!,"AAAAAHv+/0c=")</f>
        <v>#REF!</v>
      </c>
      <c r="BU210" t="e">
        <f>AND(#REF!,"AAAAAHv+/0g=")</f>
        <v>#REF!</v>
      </c>
      <c r="BV210" t="e">
        <f>AND(#REF!,"AAAAAHv+/0k=")</f>
        <v>#REF!</v>
      </c>
      <c r="BW210" t="e">
        <f>AND(#REF!,"AAAAAHv+/0o=")</f>
        <v>#REF!</v>
      </c>
      <c r="BX210" t="e">
        <f>AND(#REF!,"AAAAAHv+/0s=")</f>
        <v>#REF!</v>
      </c>
      <c r="BY210" t="e">
        <f>AND(#REF!,"AAAAAHv+/0w=")</f>
        <v>#REF!</v>
      </c>
      <c r="BZ210" t="e">
        <f>AND(#REF!,"AAAAAHv+/00=")</f>
        <v>#REF!</v>
      </c>
      <c r="CA210" t="e">
        <f>AND(#REF!,"AAAAAHv+/04=")</f>
        <v>#REF!</v>
      </c>
      <c r="CB210" t="e">
        <f>AND(#REF!,"AAAAAHv+/08=")</f>
        <v>#REF!</v>
      </c>
      <c r="CC210" t="e">
        <f>AND(#REF!,"AAAAAHv+/1A=")</f>
        <v>#REF!</v>
      </c>
      <c r="CD210" t="e">
        <f>AND(#REF!,"AAAAAHv+/1E=")</f>
        <v>#REF!</v>
      </c>
      <c r="CE210" t="e">
        <f>AND(#REF!,"AAAAAHv+/1I=")</f>
        <v>#REF!</v>
      </c>
      <c r="CF210" t="e">
        <f>AND(#REF!,"AAAAAHv+/1M=")</f>
        <v>#REF!</v>
      </c>
      <c r="CG210" t="e">
        <f>AND(#REF!,"AAAAAHv+/1Q=")</f>
        <v>#REF!</v>
      </c>
      <c r="CH210" t="e">
        <f>AND(#REF!,"AAAAAHv+/1U=")</f>
        <v>#REF!</v>
      </c>
      <c r="CI210" t="e">
        <f>AND(#REF!,"AAAAAHv+/1Y=")</f>
        <v>#REF!</v>
      </c>
      <c r="CJ210" t="e">
        <f>AND(#REF!,"AAAAAHv+/1c=")</f>
        <v>#REF!</v>
      </c>
      <c r="CK210" t="e">
        <f>AND(#REF!,"AAAAAHv+/1g=")</f>
        <v>#REF!</v>
      </c>
      <c r="CL210" t="e">
        <f>AND(#REF!,"AAAAAHv+/1k=")</f>
        <v>#REF!</v>
      </c>
      <c r="CM210" t="e">
        <f>AND(#REF!,"AAAAAHv+/1o=")</f>
        <v>#REF!</v>
      </c>
      <c r="CN210" t="e">
        <f>AND(#REF!,"AAAAAHv+/1s=")</f>
        <v>#REF!</v>
      </c>
      <c r="CO210" t="e">
        <f>AND(#REF!,"AAAAAHv+/1w=")</f>
        <v>#REF!</v>
      </c>
      <c r="CP210" t="e">
        <f>AND(#REF!,"AAAAAHv+/10=")</f>
        <v>#REF!</v>
      </c>
      <c r="CQ210" t="e">
        <f>AND(#REF!,"AAAAAHv+/14=")</f>
        <v>#REF!</v>
      </c>
      <c r="CR210" t="e">
        <f>AND(#REF!,"AAAAAHv+/18=")</f>
        <v>#REF!</v>
      </c>
      <c r="CS210" t="e">
        <f>AND(#REF!,"AAAAAHv+/2A=")</f>
        <v>#REF!</v>
      </c>
      <c r="CT210" t="e">
        <f>AND(#REF!,"AAAAAHv+/2E=")</f>
        <v>#REF!</v>
      </c>
      <c r="CU210" t="e">
        <f>AND(#REF!,"AAAAAHv+/2I=")</f>
        <v>#REF!</v>
      </c>
      <c r="CV210" t="e">
        <f>AND(#REF!,"AAAAAHv+/2M=")</f>
        <v>#REF!</v>
      </c>
      <c r="CW210" t="e">
        <f>AND(#REF!,"AAAAAHv+/2Q=")</f>
        <v>#REF!</v>
      </c>
      <c r="CX210" t="e">
        <f>AND(#REF!,"AAAAAHv+/2U=")</f>
        <v>#REF!</v>
      </c>
      <c r="CY210" t="e">
        <f>AND(#REF!,"AAAAAHv+/2Y=")</f>
        <v>#REF!</v>
      </c>
      <c r="CZ210" t="e">
        <f>AND(#REF!,"AAAAAHv+/2c=")</f>
        <v>#REF!</v>
      </c>
      <c r="DA210" t="e">
        <f>AND(#REF!,"AAAAAHv+/2g=")</f>
        <v>#REF!</v>
      </c>
      <c r="DB210" t="e">
        <f>AND(#REF!,"AAAAAHv+/2k=")</f>
        <v>#REF!</v>
      </c>
      <c r="DC210" t="e">
        <f>AND(#REF!,"AAAAAHv+/2o=")</f>
        <v>#REF!</v>
      </c>
      <c r="DD210" t="e">
        <f>AND(#REF!,"AAAAAHv+/2s=")</f>
        <v>#REF!</v>
      </c>
      <c r="DE210" t="e">
        <f>AND(#REF!,"AAAAAHv+/2w=")</f>
        <v>#REF!</v>
      </c>
      <c r="DF210" t="e">
        <f>AND(#REF!,"AAAAAHv+/20=")</f>
        <v>#REF!</v>
      </c>
      <c r="DG210" t="e">
        <f>AND(#REF!,"AAAAAHv+/24=")</f>
        <v>#REF!</v>
      </c>
      <c r="DH210" t="e">
        <f>AND(#REF!,"AAAAAHv+/28=")</f>
        <v>#REF!</v>
      </c>
      <c r="DI210" t="e">
        <f>AND(#REF!,"AAAAAHv+/3A=")</f>
        <v>#REF!</v>
      </c>
      <c r="DJ210" t="e">
        <f>AND(#REF!,"AAAAAHv+/3E=")</f>
        <v>#REF!</v>
      </c>
      <c r="DK210" t="e">
        <f>AND(#REF!,"AAAAAHv+/3I=")</f>
        <v>#REF!</v>
      </c>
      <c r="DL210" t="e">
        <f>AND(#REF!,"AAAAAHv+/3M=")</f>
        <v>#REF!</v>
      </c>
      <c r="DM210" t="e">
        <f>AND(#REF!,"AAAAAHv+/3Q=")</f>
        <v>#REF!</v>
      </c>
      <c r="DN210" t="e">
        <f>AND(#REF!,"AAAAAHv+/3U=")</f>
        <v>#REF!</v>
      </c>
      <c r="DO210" t="e">
        <f>AND(#REF!,"AAAAAHv+/3Y=")</f>
        <v>#REF!</v>
      </c>
      <c r="DP210" t="e">
        <f>AND(#REF!,"AAAAAHv+/3c=")</f>
        <v>#REF!</v>
      </c>
      <c r="DQ210" t="e">
        <f>AND(#REF!,"AAAAAHv+/3g=")</f>
        <v>#REF!</v>
      </c>
      <c r="DR210" t="e">
        <f>AND(#REF!,"AAAAAHv+/3k=")</f>
        <v>#REF!</v>
      </c>
      <c r="DS210" t="e">
        <f>AND(#REF!,"AAAAAHv+/3o=")</f>
        <v>#REF!</v>
      </c>
      <c r="DT210" t="e">
        <f>AND(#REF!,"AAAAAHv+/3s=")</f>
        <v>#REF!</v>
      </c>
      <c r="DU210" t="e">
        <f>AND(#REF!,"AAAAAHv+/3w=")</f>
        <v>#REF!</v>
      </c>
      <c r="DV210" t="e">
        <f>AND(#REF!,"AAAAAHv+/30=")</f>
        <v>#REF!</v>
      </c>
      <c r="DW210" t="e">
        <f>AND(#REF!,"AAAAAHv+/34=")</f>
        <v>#REF!</v>
      </c>
      <c r="DX210" t="e">
        <f>AND(#REF!,"AAAAAHv+/38=")</f>
        <v>#REF!</v>
      </c>
      <c r="DY210" t="e">
        <f>AND(#REF!,"AAAAAHv+/4A=")</f>
        <v>#REF!</v>
      </c>
      <c r="DZ210" t="e">
        <f>AND(#REF!,"AAAAAHv+/4E=")</f>
        <v>#REF!</v>
      </c>
      <c r="EA210" t="e">
        <f>AND(#REF!,"AAAAAHv+/4I=")</f>
        <v>#REF!</v>
      </c>
      <c r="EB210" t="e">
        <f>AND(#REF!,"AAAAAHv+/4M=")</f>
        <v>#REF!</v>
      </c>
      <c r="EC210" t="e">
        <f>AND(#REF!,"AAAAAHv+/4Q=")</f>
        <v>#REF!</v>
      </c>
      <c r="ED210" t="e">
        <f>AND(#REF!,"AAAAAHv+/4U=")</f>
        <v>#REF!</v>
      </c>
      <c r="EE210" t="e">
        <f>AND(#REF!,"AAAAAHv+/4Y=")</f>
        <v>#REF!</v>
      </c>
      <c r="EF210" t="e">
        <f>AND(#REF!,"AAAAAHv+/4c=")</f>
        <v>#REF!</v>
      </c>
      <c r="EG210" t="e">
        <f>AND(#REF!,"AAAAAHv+/4g=")</f>
        <v>#REF!</v>
      </c>
      <c r="EH210" t="e">
        <f>AND(#REF!,"AAAAAHv+/4k=")</f>
        <v>#REF!</v>
      </c>
      <c r="EI210" t="e">
        <f>AND(#REF!,"AAAAAHv+/4o=")</f>
        <v>#REF!</v>
      </c>
      <c r="EJ210" t="e">
        <f>AND(#REF!,"AAAAAHv+/4s=")</f>
        <v>#REF!</v>
      </c>
      <c r="EK210" t="e">
        <f>AND(#REF!,"AAAAAHv+/4w=")</f>
        <v>#REF!</v>
      </c>
      <c r="EL210" t="e">
        <f>AND(#REF!,"AAAAAHv+/40=")</f>
        <v>#REF!</v>
      </c>
      <c r="EM210" t="e">
        <f>AND(#REF!,"AAAAAHv+/44=")</f>
        <v>#REF!</v>
      </c>
      <c r="EN210" t="e">
        <f>AND(#REF!,"AAAAAHv+/48=")</f>
        <v>#REF!</v>
      </c>
      <c r="EO210" t="e">
        <f>AND(#REF!,"AAAAAHv+/5A=")</f>
        <v>#REF!</v>
      </c>
      <c r="EP210" t="e">
        <f>AND(#REF!,"AAAAAHv+/5E=")</f>
        <v>#REF!</v>
      </c>
      <c r="EQ210" t="e">
        <f>AND(#REF!,"AAAAAHv+/5I=")</f>
        <v>#REF!</v>
      </c>
      <c r="ER210" t="e">
        <f>AND(#REF!,"AAAAAHv+/5M=")</f>
        <v>#REF!</v>
      </c>
      <c r="ES210" t="e">
        <f>AND(#REF!,"AAAAAHv+/5Q=")</f>
        <v>#REF!</v>
      </c>
      <c r="ET210" t="e">
        <f>AND(#REF!,"AAAAAHv+/5U=")</f>
        <v>#REF!</v>
      </c>
      <c r="EU210" t="e">
        <f>AND(#REF!,"AAAAAHv+/5Y=")</f>
        <v>#REF!</v>
      </c>
      <c r="EV210" t="e">
        <f>AND(#REF!,"AAAAAHv+/5c=")</f>
        <v>#REF!</v>
      </c>
      <c r="EW210" t="e">
        <f>AND(#REF!,"AAAAAHv+/5g=")</f>
        <v>#REF!</v>
      </c>
      <c r="EX210" t="e">
        <f>AND(#REF!,"AAAAAHv+/5k=")</f>
        <v>#REF!</v>
      </c>
      <c r="EY210" t="e">
        <f>AND(#REF!,"AAAAAHv+/5o=")</f>
        <v>#REF!</v>
      </c>
      <c r="EZ210" t="e">
        <f>AND(#REF!,"AAAAAHv+/5s=")</f>
        <v>#REF!</v>
      </c>
      <c r="FA210" t="e">
        <f>AND(#REF!,"AAAAAHv+/5w=")</f>
        <v>#REF!</v>
      </c>
      <c r="FB210" t="e">
        <f>AND(#REF!,"AAAAAHv+/50=")</f>
        <v>#REF!</v>
      </c>
      <c r="FC210" t="e">
        <f>AND(#REF!,"AAAAAHv+/54=")</f>
        <v>#REF!</v>
      </c>
      <c r="FD210" t="e">
        <f>AND(#REF!,"AAAAAHv+/58=")</f>
        <v>#REF!</v>
      </c>
      <c r="FE210" t="e">
        <f>AND(#REF!,"AAAAAHv+/6A=")</f>
        <v>#REF!</v>
      </c>
      <c r="FF210" t="e">
        <f>AND(#REF!,"AAAAAHv+/6E=")</f>
        <v>#REF!</v>
      </c>
      <c r="FG210" t="e">
        <f>AND(#REF!,"AAAAAHv+/6I=")</f>
        <v>#REF!</v>
      </c>
      <c r="FH210" t="e">
        <f>AND(#REF!,"AAAAAHv+/6M=")</f>
        <v>#REF!</v>
      </c>
      <c r="FI210" t="e">
        <f>IF(#REF!,"AAAAAHv+/6Q=",0)</f>
        <v>#REF!</v>
      </c>
      <c r="FJ210" t="e">
        <f>AND(#REF!,"AAAAAHv+/6U=")</f>
        <v>#REF!</v>
      </c>
      <c r="FK210" t="e">
        <f>AND(#REF!,"AAAAAHv+/6Y=")</f>
        <v>#REF!</v>
      </c>
      <c r="FL210" t="e">
        <f>AND(#REF!,"AAAAAHv+/6c=")</f>
        <v>#REF!</v>
      </c>
      <c r="FM210" t="e">
        <f>AND(#REF!,"AAAAAHv+/6g=")</f>
        <v>#REF!</v>
      </c>
      <c r="FN210" t="e">
        <f>AND(#REF!,"AAAAAHv+/6k=")</f>
        <v>#REF!</v>
      </c>
      <c r="FO210" t="e">
        <f>AND(#REF!,"AAAAAHv+/6o=")</f>
        <v>#REF!</v>
      </c>
      <c r="FP210" t="e">
        <f>AND(#REF!,"AAAAAHv+/6s=")</f>
        <v>#REF!</v>
      </c>
      <c r="FQ210" t="e">
        <f>AND(#REF!,"AAAAAHv+/6w=")</f>
        <v>#REF!</v>
      </c>
      <c r="FR210" t="e">
        <f>AND(#REF!,"AAAAAHv+/60=")</f>
        <v>#REF!</v>
      </c>
      <c r="FS210" t="e">
        <f>AND(#REF!,"AAAAAHv+/64=")</f>
        <v>#REF!</v>
      </c>
      <c r="FT210" t="e">
        <f>AND(#REF!,"AAAAAHv+/68=")</f>
        <v>#REF!</v>
      </c>
      <c r="FU210" t="e">
        <f>AND(#REF!,"AAAAAHv+/7A=")</f>
        <v>#REF!</v>
      </c>
      <c r="FV210" t="e">
        <f>AND(#REF!,"AAAAAHv+/7E=")</f>
        <v>#REF!</v>
      </c>
      <c r="FW210" t="e">
        <f>AND(#REF!,"AAAAAHv+/7I=")</f>
        <v>#REF!</v>
      </c>
      <c r="FX210" t="e">
        <f>AND(#REF!,"AAAAAHv+/7M=")</f>
        <v>#REF!</v>
      </c>
      <c r="FY210" t="e">
        <f>AND(#REF!,"AAAAAHv+/7Q=")</f>
        <v>#REF!</v>
      </c>
      <c r="FZ210" t="e">
        <f>AND(#REF!,"AAAAAHv+/7U=")</f>
        <v>#REF!</v>
      </c>
      <c r="GA210" t="e">
        <f>AND(#REF!,"AAAAAHv+/7Y=")</f>
        <v>#REF!</v>
      </c>
      <c r="GB210" t="e">
        <f>AND(#REF!,"AAAAAHv+/7c=")</f>
        <v>#REF!</v>
      </c>
      <c r="GC210" t="e">
        <f>AND(#REF!,"AAAAAHv+/7g=")</f>
        <v>#REF!</v>
      </c>
      <c r="GD210" t="e">
        <f>AND(#REF!,"AAAAAHv+/7k=")</f>
        <v>#REF!</v>
      </c>
      <c r="GE210" t="e">
        <f>AND(#REF!,"AAAAAHv+/7o=")</f>
        <v>#REF!</v>
      </c>
      <c r="GF210" t="e">
        <f>AND(#REF!,"AAAAAHv+/7s=")</f>
        <v>#REF!</v>
      </c>
      <c r="GG210" t="e">
        <f>AND(#REF!,"AAAAAHv+/7w=")</f>
        <v>#REF!</v>
      </c>
      <c r="GH210" t="e">
        <f>AND(#REF!,"AAAAAHv+/70=")</f>
        <v>#REF!</v>
      </c>
      <c r="GI210" t="e">
        <f>AND(#REF!,"AAAAAHv+/74=")</f>
        <v>#REF!</v>
      </c>
      <c r="GJ210" t="e">
        <f>AND(#REF!,"AAAAAHv+/78=")</f>
        <v>#REF!</v>
      </c>
      <c r="GK210" t="e">
        <f>AND(#REF!,"AAAAAHv+/8A=")</f>
        <v>#REF!</v>
      </c>
      <c r="GL210" t="e">
        <f>AND(#REF!,"AAAAAHv+/8E=")</f>
        <v>#REF!</v>
      </c>
      <c r="GM210" t="e">
        <f>AND(#REF!,"AAAAAHv+/8I=")</f>
        <v>#REF!</v>
      </c>
      <c r="GN210" t="e">
        <f>AND(#REF!,"AAAAAHv+/8M=")</f>
        <v>#REF!</v>
      </c>
      <c r="GO210" t="e">
        <f>AND(#REF!,"AAAAAHv+/8Q=")</f>
        <v>#REF!</v>
      </c>
      <c r="GP210" t="e">
        <f>AND(#REF!,"AAAAAHv+/8U=")</f>
        <v>#REF!</v>
      </c>
      <c r="GQ210" t="e">
        <f>AND(#REF!,"AAAAAHv+/8Y=")</f>
        <v>#REF!</v>
      </c>
      <c r="GR210" t="e">
        <f>AND(#REF!,"AAAAAHv+/8c=")</f>
        <v>#REF!</v>
      </c>
      <c r="GS210" t="e">
        <f>AND(#REF!,"AAAAAHv+/8g=")</f>
        <v>#REF!</v>
      </c>
      <c r="GT210" t="e">
        <f>AND(#REF!,"AAAAAHv+/8k=")</f>
        <v>#REF!</v>
      </c>
      <c r="GU210" t="e">
        <f>AND(#REF!,"AAAAAHv+/8o=")</f>
        <v>#REF!</v>
      </c>
      <c r="GV210" t="e">
        <f>AND(#REF!,"AAAAAHv+/8s=")</f>
        <v>#REF!</v>
      </c>
      <c r="GW210" t="e">
        <f>AND(#REF!,"AAAAAHv+/8w=")</f>
        <v>#REF!</v>
      </c>
      <c r="GX210" t="e">
        <f>AND(#REF!,"AAAAAHv+/80=")</f>
        <v>#REF!</v>
      </c>
      <c r="GY210" t="e">
        <f>AND(#REF!,"AAAAAHv+/84=")</f>
        <v>#REF!</v>
      </c>
      <c r="GZ210" t="e">
        <f>AND(#REF!,"AAAAAHv+/88=")</f>
        <v>#REF!</v>
      </c>
      <c r="HA210" t="e">
        <f>AND(#REF!,"AAAAAHv+/9A=")</f>
        <v>#REF!</v>
      </c>
      <c r="HB210" t="e">
        <f>AND(#REF!,"AAAAAHv+/9E=")</f>
        <v>#REF!</v>
      </c>
      <c r="HC210" t="e">
        <f>AND(#REF!,"AAAAAHv+/9I=")</f>
        <v>#REF!</v>
      </c>
      <c r="HD210" t="e">
        <f>AND(#REF!,"AAAAAHv+/9M=")</f>
        <v>#REF!</v>
      </c>
      <c r="HE210" t="e">
        <f>AND(#REF!,"AAAAAHv+/9Q=")</f>
        <v>#REF!</v>
      </c>
      <c r="HF210" t="e">
        <f>AND(#REF!,"AAAAAHv+/9U=")</f>
        <v>#REF!</v>
      </c>
      <c r="HG210" t="e">
        <f>AND(#REF!,"AAAAAHv+/9Y=")</f>
        <v>#REF!</v>
      </c>
      <c r="HH210" t="e">
        <f>AND(#REF!,"AAAAAHv+/9c=")</f>
        <v>#REF!</v>
      </c>
      <c r="HI210" t="e">
        <f>AND(#REF!,"AAAAAHv+/9g=")</f>
        <v>#REF!</v>
      </c>
      <c r="HJ210" t="e">
        <f>AND(#REF!,"AAAAAHv+/9k=")</f>
        <v>#REF!</v>
      </c>
      <c r="HK210" t="e">
        <f>AND(#REF!,"AAAAAHv+/9o=")</f>
        <v>#REF!</v>
      </c>
      <c r="HL210" t="e">
        <f>AND(#REF!,"AAAAAHv+/9s=")</f>
        <v>#REF!</v>
      </c>
      <c r="HM210" t="e">
        <f>AND(#REF!,"AAAAAHv+/9w=")</f>
        <v>#REF!</v>
      </c>
      <c r="HN210" t="e">
        <f>AND(#REF!,"AAAAAHv+/90=")</f>
        <v>#REF!</v>
      </c>
      <c r="HO210" t="e">
        <f>AND(#REF!,"AAAAAHv+/94=")</f>
        <v>#REF!</v>
      </c>
      <c r="HP210" t="e">
        <f>AND(#REF!,"AAAAAHv+/98=")</f>
        <v>#REF!</v>
      </c>
      <c r="HQ210" t="e">
        <f>AND(#REF!,"AAAAAHv+/+A=")</f>
        <v>#REF!</v>
      </c>
      <c r="HR210" t="e">
        <f>AND(#REF!,"AAAAAHv+/+E=")</f>
        <v>#REF!</v>
      </c>
      <c r="HS210" t="e">
        <f>AND(#REF!,"AAAAAHv+/+I=")</f>
        <v>#REF!</v>
      </c>
      <c r="HT210" t="e">
        <f>AND(#REF!,"AAAAAHv+/+M=")</f>
        <v>#REF!</v>
      </c>
      <c r="HU210" t="e">
        <f>AND(#REF!,"AAAAAHv+/+Q=")</f>
        <v>#REF!</v>
      </c>
      <c r="HV210" t="e">
        <f>AND(#REF!,"AAAAAHv+/+U=")</f>
        <v>#REF!</v>
      </c>
      <c r="HW210" t="e">
        <f>AND(#REF!,"AAAAAHv+/+Y=")</f>
        <v>#REF!</v>
      </c>
      <c r="HX210" t="e">
        <f>AND(#REF!,"AAAAAHv+/+c=")</f>
        <v>#REF!</v>
      </c>
      <c r="HY210" t="e">
        <f>AND(#REF!,"AAAAAHv+/+g=")</f>
        <v>#REF!</v>
      </c>
      <c r="HZ210" t="e">
        <f>AND(#REF!,"AAAAAHv+/+k=")</f>
        <v>#REF!</v>
      </c>
      <c r="IA210" t="e">
        <f>AND(#REF!,"AAAAAHv+/+o=")</f>
        <v>#REF!</v>
      </c>
      <c r="IB210" t="e">
        <f>AND(#REF!,"AAAAAHv+/+s=")</f>
        <v>#REF!</v>
      </c>
      <c r="IC210" t="e">
        <f>AND(#REF!,"AAAAAHv+/+w=")</f>
        <v>#REF!</v>
      </c>
      <c r="ID210" t="e">
        <f>AND(#REF!,"AAAAAHv+/+0=")</f>
        <v>#REF!</v>
      </c>
      <c r="IE210" t="e">
        <f>AND(#REF!,"AAAAAHv+/+4=")</f>
        <v>#REF!</v>
      </c>
      <c r="IF210" t="e">
        <f>AND(#REF!,"AAAAAHv+/+8=")</f>
        <v>#REF!</v>
      </c>
      <c r="IG210" t="e">
        <f>AND(#REF!,"AAAAAHv+//A=")</f>
        <v>#REF!</v>
      </c>
      <c r="IH210" t="e">
        <f>AND(#REF!,"AAAAAHv+//E=")</f>
        <v>#REF!</v>
      </c>
      <c r="II210" t="e">
        <f>AND(#REF!,"AAAAAHv+//I=")</f>
        <v>#REF!</v>
      </c>
      <c r="IJ210" t="e">
        <f>AND(#REF!,"AAAAAHv+//M=")</f>
        <v>#REF!</v>
      </c>
      <c r="IK210" t="e">
        <f>AND(#REF!,"AAAAAHv+//Q=")</f>
        <v>#REF!</v>
      </c>
      <c r="IL210" t="e">
        <f>AND(#REF!,"AAAAAHv+//U=")</f>
        <v>#REF!</v>
      </c>
      <c r="IM210" t="e">
        <f>AND(#REF!,"AAAAAHv+//Y=")</f>
        <v>#REF!</v>
      </c>
      <c r="IN210" t="e">
        <f>AND(#REF!,"AAAAAHv+//c=")</f>
        <v>#REF!</v>
      </c>
      <c r="IO210" t="e">
        <f>AND(#REF!,"AAAAAHv+//g=")</f>
        <v>#REF!</v>
      </c>
      <c r="IP210" t="e">
        <f>AND(#REF!,"AAAAAHv+//k=")</f>
        <v>#REF!</v>
      </c>
      <c r="IQ210" t="e">
        <f>AND(#REF!,"AAAAAHv+//o=")</f>
        <v>#REF!</v>
      </c>
      <c r="IR210" t="e">
        <f>AND(#REF!,"AAAAAHv+//s=")</f>
        <v>#REF!</v>
      </c>
      <c r="IS210" t="e">
        <f>AND(#REF!,"AAAAAHv+//w=")</f>
        <v>#REF!</v>
      </c>
      <c r="IT210" t="e">
        <f>AND(#REF!,"AAAAAHv+//0=")</f>
        <v>#REF!</v>
      </c>
      <c r="IU210" t="e">
        <f>AND(#REF!,"AAAAAHv+//4=")</f>
        <v>#REF!</v>
      </c>
      <c r="IV210" t="e">
        <f>AND(#REF!,"AAAAAHv+//8=")</f>
        <v>#REF!</v>
      </c>
    </row>
    <row r="211" spans="1:256" x14ac:dyDescent="0.25">
      <c r="A211" t="e">
        <f>AND(#REF!,"AAAAAH+3/wA=")</f>
        <v>#REF!</v>
      </c>
      <c r="B211" t="e">
        <f>AND(#REF!,"AAAAAH+3/wE=")</f>
        <v>#REF!</v>
      </c>
      <c r="C211" t="e">
        <f>AND(#REF!,"AAAAAH+3/wI=")</f>
        <v>#REF!</v>
      </c>
      <c r="D211" t="e">
        <f>AND(#REF!,"AAAAAH+3/wM=")</f>
        <v>#REF!</v>
      </c>
      <c r="E211" t="e">
        <f>AND(#REF!,"AAAAAH+3/wQ=")</f>
        <v>#REF!</v>
      </c>
      <c r="F211" t="e">
        <f>AND(#REF!,"AAAAAH+3/wU=")</f>
        <v>#REF!</v>
      </c>
      <c r="G211" t="e">
        <f>AND(#REF!,"AAAAAH+3/wY=")</f>
        <v>#REF!</v>
      </c>
      <c r="H211" t="e">
        <f>AND(#REF!,"AAAAAH+3/wc=")</f>
        <v>#REF!</v>
      </c>
      <c r="I211" t="e">
        <f>AND(#REF!,"AAAAAH+3/wg=")</f>
        <v>#REF!</v>
      </c>
      <c r="J211" t="e">
        <f>AND(#REF!,"AAAAAH+3/wk=")</f>
        <v>#REF!</v>
      </c>
      <c r="K211" t="e">
        <f>AND(#REF!,"AAAAAH+3/wo=")</f>
        <v>#REF!</v>
      </c>
      <c r="L211" t="e">
        <f>AND(#REF!,"AAAAAH+3/ws=")</f>
        <v>#REF!</v>
      </c>
      <c r="M211" t="e">
        <f>AND(#REF!,"AAAAAH+3/ww=")</f>
        <v>#REF!</v>
      </c>
      <c r="N211" t="e">
        <f>AND(#REF!,"AAAAAH+3/w0=")</f>
        <v>#REF!</v>
      </c>
      <c r="O211" t="e">
        <f>AND(#REF!,"AAAAAH+3/w4=")</f>
        <v>#REF!</v>
      </c>
      <c r="P211" t="e">
        <f>AND(#REF!,"AAAAAH+3/w8=")</f>
        <v>#REF!</v>
      </c>
      <c r="Q211" t="e">
        <f>AND(#REF!,"AAAAAH+3/xA=")</f>
        <v>#REF!</v>
      </c>
      <c r="R211" t="e">
        <f>AND(#REF!,"AAAAAH+3/xE=")</f>
        <v>#REF!</v>
      </c>
      <c r="S211" t="e">
        <f>AND(#REF!,"AAAAAH+3/xI=")</f>
        <v>#REF!</v>
      </c>
      <c r="T211" t="e">
        <f>AND(#REF!,"AAAAAH+3/xM=")</f>
        <v>#REF!</v>
      </c>
      <c r="U211" t="e">
        <f>AND(#REF!,"AAAAAH+3/xQ=")</f>
        <v>#REF!</v>
      </c>
      <c r="V211" t="e">
        <f>AND(#REF!,"AAAAAH+3/xU=")</f>
        <v>#REF!</v>
      </c>
      <c r="W211" t="e">
        <f>AND(#REF!,"AAAAAH+3/xY=")</f>
        <v>#REF!</v>
      </c>
      <c r="X211" t="e">
        <f>AND(#REF!,"AAAAAH+3/xc=")</f>
        <v>#REF!</v>
      </c>
      <c r="Y211" t="e">
        <f>AND(#REF!,"AAAAAH+3/xg=")</f>
        <v>#REF!</v>
      </c>
      <c r="Z211" t="e">
        <f>AND(#REF!,"AAAAAH+3/xk=")</f>
        <v>#REF!</v>
      </c>
      <c r="AA211" t="e">
        <f>AND(#REF!,"AAAAAH+3/xo=")</f>
        <v>#REF!</v>
      </c>
      <c r="AB211" t="e">
        <f>AND(#REF!,"AAAAAH+3/xs=")</f>
        <v>#REF!</v>
      </c>
      <c r="AC211" t="e">
        <f>AND(#REF!,"AAAAAH+3/xw=")</f>
        <v>#REF!</v>
      </c>
      <c r="AD211" t="e">
        <f>AND(#REF!,"AAAAAH+3/x0=")</f>
        <v>#REF!</v>
      </c>
      <c r="AE211" t="e">
        <f>AND(#REF!,"AAAAAH+3/x4=")</f>
        <v>#REF!</v>
      </c>
      <c r="AF211" t="e">
        <f>AND(#REF!,"AAAAAH+3/x8=")</f>
        <v>#REF!</v>
      </c>
      <c r="AG211" t="e">
        <f>AND(#REF!,"AAAAAH+3/yA=")</f>
        <v>#REF!</v>
      </c>
      <c r="AH211" t="e">
        <f>AND(#REF!,"AAAAAH+3/yE=")</f>
        <v>#REF!</v>
      </c>
      <c r="AI211" t="e">
        <f>AND(#REF!,"AAAAAH+3/yI=")</f>
        <v>#REF!</v>
      </c>
      <c r="AJ211" t="e">
        <f>AND(#REF!,"AAAAAH+3/yM=")</f>
        <v>#REF!</v>
      </c>
      <c r="AK211" t="e">
        <f>AND(#REF!,"AAAAAH+3/yQ=")</f>
        <v>#REF!</v>
      </c>
      <c r="AL211" t="e">
        <f>AND(#REF!,"AAAAAH+3/yU=")</f>
        <v>#REF!</v>
      </c>
      <c r="AM211" t="e">
        <f>AND(#REF!,"AAAAAH+3/yY=")</f>
        <v>#REF!</v>
      </c>
      <c r="AN211" t="e">
        <f>AND(#REF!,"AAAAAH+3/yc=")</f>
        <v>#REF!</v>
      </c>
      <c r="AO211" t="e">
        <f>AND(#REF!,"AAAAAH+3/yg=")</f>
        <v>#REF!</v>
      </c>
      <c r="AP211" t="e">
        <f>AND(#REF!,"AAAAAH+3/yk=")</f>
        <v>#REF!</v>
      </c>
      <c r="AQ211" t="e">
        <f>AND(#REF!,"AAAAAH+3/yo=")</f>
        <v>#REF!</v>
      </c>
      <c r="AR211" t="e">
        <f>AND(#REF!,"AAAAAH+3/ys=")</f>
        <v>#REF!</v>
      </c>
      <c r="AS211" t="e">
        <f>AND(#REF!,"AAAAAH+3/yw=")</f>
        <v>#REF!</v>
      </c>
      <c r="AT211" t="e">
        <f>AND(#REF!,"AAAAAH+3/y0=")</f>
        <v>#REF!</v>
      </c>
      <c r="AU211" t="e">
        <f>AND(#REF!,"AAAAAH+3/y4=")</f>
        <v>#REF!</v>
      </c>
      <c r="AV211" t="e">
        <f>AND(#REF!,"AAAAAH+3/y8=")</f>
        <v>#REF!</v>
      </c>
      <c r="AW211" t="e">
        <f>AND(#REF!,"AAAAAH+3/zA=")</f>
        <v>#REF!</v>
      </c>
      <c r="AX211" t="e">
        <f>AND(#REF!,"AAAAAH+3/zE=")</f>
        <v>#REF!</v>
      </c>
      <c r="AY211" t="e">
        <f>AND(#REF!,"AAAAAH+3/zI=")</f>
        <v>#REF!</v>
      </c>
      <c r="AZ211" t="e">
        <f>AND(#REF!,"AAAAAH+3/zM=")</f>
        <v>#REF!</v>
      </c>
      <c r="BA211" t="e">
        <f>AND(#REF!,"AAAAAH+3/zQ=")</f>
        <v>#REF!</v>
      </c>
      <c r="BB211" t="e">
        <f>AND(#REF!,"AAAAAH+3/zU=")</f>
        <v>#REF!</v>
      </c>
      <c r="BC211" t="e">
        <f>AND(#REF!,"AAAAAH+3/zY=")</f>
        <v>#REF!</v>
      </c>
      <c r="BD211" t="e">
        <f>AND(#REF!,"AAAAAH+3/zc=")</f>
        <v>#REF!</v>
      </c>
      <c r="BE211" t="e">
        <f>AND(#REF!,"AAAAAH+3/zg=")</f>
        <v>#REF!</v>
      </c>
      <c r="BF211" t="e">
        <f>AND(#REF!,"AAAAAH+3/zk=")</f>
        <v>#REF!</v>
      </c>
      <c r="BG211" t="e">
        <f>AND(#REF!,"AAAAAH+3/zo=")</f>
        <v>#REF!</v>
      </c>
      <c r="BH211" t="e">
        <f>AND(#REF!,"AAAAAH+3/zs=")</f>
        <v>#REF!</v>
      </c>
      <c r="BI211" t="e">
        <f>AND(#REF!,"AAAAAH+3/zw=")</f>
        <v>#REF!</v>
      </c>
      <c r="BJ211" t="e">
        <f>AND(#REF!,"AAAAAH+3/z0=")</f>
        <v>#REF!</v>
      </c>
      <c r="BK211" t="e">
        <f>AND(#REF!,"AAAAAH+3/z4=")</f>
        <v>#REF!</v>
      </c>
      <c r="BL211" t="e">
        <f>AND(#REF!,"AAAAAH+3/z8=")</f>
        <v>#REF!</v>
      </c>
      <c r="BM211" t="e">
        <f>AND(#REF!,"AAAAAH+3/0A=")</f>
        <v>#REF!</v>
      </c>
      <c r="BN211" t="e">
        <f>AND(#REF!,"AAAAAH+3/0E=")</f>
        <v>#REF!</v>
      </c>
      <c r="BO211" t="e">
        <f>AND(#REF!,"AAAAAH+3/0I=")</f>
        <v>#REF!</v>
      </c>
      <c r="BP211" t="e">
        <f>AND(#REF!,"AAAAAH+3/0M=")</f>
        <v>#REF!</v>
      </c>
      <c r="BQ211" t="e">
        <f>AND(#REF!,"AAAAAH+3/0Q=")</f>
        <v>#REF!</v>
      </c>
      <c r="BR211" t="e">
        <f>AND(#REF!,"AAAAAH+3/0U=")</f>
        <v>#REF!</v>
      </c>
      <c r="BS211" t="e">
        <f>AND(#REF!,"AAAAAH+3/0Y=")</f>
        <v>#REF!</v>
      </c>
      <c r="BT211" t="e">
        <f>AND(#REF!,"AAAAAH+3/0c=")</f>
        <v>#REF!</v>
      </c>
      <c r="BU211" t="e">
        <f>AND(#REF!,"AAAAAH+3/0g=")</f>
        <v>#REF!</v>
      </c>
      <c r="BV211" t="e">
        <f>AND(#REF!,"AAAAAH+3/0k=")</f>
        <v>#REF!</v>
      </c>
      <c r="BW211" t="e">
        <f>AND(#REF!,"AAAAAH+3/0o=")</f>
        <v>#REF!</v>
      </c>
      <c r="BX211" t="e">
        <f>AND(#REF!,"AAAAAH+3/0s=")</f>
        <v>#REF!</v>
      </c>
      <c r="BY211" t="e">
        <f>AND(#REF!,"AAAAAH+3/0w=")</f>
        <v>#REF!</v>
      </c>
      <c r="BZ211" t="e">
        <f>AND(#REF!,"AAAAAH+3/00=")</f>
        <v>#REF!</v>
      </c>
      <c r="CA211" t="e">
        <f>AND(#REF!,"AAAAAH+3/04=")</f>
        <v>#REF!</v>
      </c>
      <c r="CB211" t="e">
        <f>AND(#REF!,"AAAAAH+3/08=")</f>
        <v>#REF!</v>
      </c>
      <c r="CC211" t="e">
        <f>AND(#REF!,"AAAAAH+3/1A=")</f>
        <v>#REF!</v>
      </c>
      <c r="CD211" t="e">
        <f>AND(#REF!,"AAAAAH+3/1E=")</f>
        <v>#REF!</v>
      </c>
      <c r="CE211" t="e">
        <f>AND(#REF!,"AAAAAH+3/1I=")</f>
        <v>#REF!</v>
      </c>
      <c r="CF211" t="e">
        <f>AND(#REF!,"AAAAAH+3/1M=")</f>
        <v>#REF!</v>
      </c>
      <c r="CG211" t="e">
        <f>AND(#REF!,"AAAAAH+3/1Q=")</f>
        <v>#REF!</v>
      </c>
      <c r="CH211" t="e">
        <f>AND(#REF!,"AAAAAH+3/1U=")</f>
        <v>#REF!</v>
      </c>
      <c r="CI211" t="e">
        <f>AND(#REF!,"AAAAAH+3/1Y=")</f>
        <v>#REF!</v>
      </c>
      <c r="CJ211" t="e">
        <f>AND(#REF!,"AAAAAH+3/1c=")</f>
        <v>#REF!</v>
      </c>
      <c r="CK211" t="e">
        <f>AND(#REF!,"AAAAAH+3/1g=")</f>
        <v>#REF!</v>
      </c>
      <c r="CL211" t="e">
        <f>AND(#REF!,"AAAAAH+3/1k=")</f>
        <v>#REF!</v>
      </c>
      <c r="CM211" t="e">
        <f>AND(#REF!,"AAAAAH+3/1o=")</f>
        <v>#REF!</v>
      </c>
      <c r="CN211" t="e">
        <f>AND(#REF!,"AAAAAH+3/1s=")</f>
        <v>#REF!</v>
      </c>
      <c r="CO211" t="e">
        <f>AND(#REF!,"AAAAAH+3/1w=")</f>
        <v>#REF!</v>
      </c>
      <c r="CP211" t="e">
        <f>AND(#REF!,"AAAAAH+3/10=")</f>
        <v>#REF!</v>
      </c>
      <c r="CQ211" t="e">
        <f>AND(#REF!,"AAAAAH+3/14=")</f>
        <v>#REF!</v>
      </c>
      <c r="CR211" t="e">
        <f>AND(#REF!,"AAAAAH+3/18=")</f>
        <v>#REF!</v>
      </c>
      <c r="CS211" t="e">
        <f>AND(#REF!,"AAAAAH+3/2A=")</f>
        <v>#REF!</v>
      </c>
      <c r="CT211" t="e">
        <f>IF(#REF!,"AAAAAH+3/2E=",0)</f>
        <v>#REF!</v>
      </c>
      <c r="CU211" t="e">
        <f>AND(#REF!,"AAAAAH+3/2I=")</f>
        <v>#REF!</v>
      </c>
      <c r="CV211" t="e">
        <f>AND(#REF!,"AAAAAH+3/2M=")</f>
        <v>#REF!</v>
      </c>
      <c r="CW211" t="e">
        <f>AND(#REF!,"AAAAAH+3/2Q=")</f>
        <v>#REF!</v>
      </c>
      <c r="CX211" t="e">
        <f>AND(#REF!,"AAAAAH+3/2U=")</f>
        <v>#REF!</v>
      </c>
      <c r="CY211" t="e">
        <f>AND(#REF!,"AAAAAH+3/2Y=")</f>
        <v>#REF!</v>
      </c>
      <c r="CZ211" t="e">
        <f>AND(#REF!,"AAAAAH+3/2c=")</f>
        <v>#REF!</v>
      </c>
      <c r="DA211" t="e">
        <f>AND(#REF!,"AAAAAH+3/2g=")</f>
        <v>#REF!</v>
      </c>
      <c r="DB211" t="e">
        <f>AND(#REF!,"AAAAAH+3/2k=")</f>
        <v>#REF!</v>
      </c>
      <c r="DC211" t="e">
        <f>AND(#REF!,"AAAAAH+3/2o=")</f>
        <v>#REF!</v>
      </c>
      <c r="DD211" t="e">
        <f>AND(#REF!,"AAAAAH+3/2s=")</f>
        <v>#REF!</v>
      </c>
      <c r="DE211" t="e">
        <f>AND(#REF!,"AAAAAH+3/2w=")</f>
        <v>#REF!</v>
      </c>
      <c r="DF211" t="e">
        <f>AND(#REF!,"AAAAAH+3/20=")</f>
        <v>#REF!</v>
      </c>
      <c r="DG211" t="e">
        <f>AND(#REF!,"AAAAAH+3/24=")</f>
        <v>#REF!</v>
      </c>
      <c r="DH211" t="e">
        <f>AND(#REF!,"AAAAAH+3/28=")</f>
        <v>#REF!</v>
      </c>
      <c r="DI211" t="e">
        <f>AND(#REF!,"AAAAAH+3/3A=")</f>
        <v>#REF!</v>
      </c>
      <c r="DJ211" t="e">
        <f>AND(#REF!,"AAAAAH+3/3E=")</f>
        <v>#REF!</v>
      </c>
      <c r="DK211" t="e">
        <f>AND(#REF!,"AAAAAH+3/3I=")</f>
        <v>#REF!</v>
      </c>
      <c r="DL211" t="e">
        <f>AND(#REF!,"AAAAAH+3/3M=")</f>
        <v>#REF!</v>
      </c>
      <c r="DM211" t="e">
        <f>AND(#REF!,"AAAAAH+3/3Q=")</f>
        <v>#REF!</v>
      </c>
      <c r="DN211" t="e">
        <f>AND(#REF!,"AAAAAH+3/3U=")</f>
        <v>#REF!</v>
      </c>
      <c r="DO211" t="e">
        <f>AND(#REF!,"AAAAAH+3/3Y=")</f>
        <v>#REF!</v>
      </c>
      <c r="DP211" t="e">
        <f>AND(#REF!,"AAAAAH+3/3c=")</f>
        <v>#REF!</v>
      </c>
      <c r="DQ211" t="e">
        <f>AND(#REF!,"AAAAAH+3/3g=")</f>
        <v>#REF!</v>
      </c>
      <c r="DR211" t="e">
        <f>AND(#REF!,"AAAAAH+3/3k=")</f>
        <v>#REF!</v>
      </c>
      <c r="DS211" t="e">
        <f>AND(#REF!,"AAAAAH+3/3o=")</f>
        <v>#REF!</v>
      </c>
      <c r="DT211" t="e">
        <f>AND(#REF!,"AAAAAH+3/3s=")</f>
        <v>#REF!</v>
      </c>
      <c r="DU211" t="e">
        <f>AND(#REF!,"AAAAAH+3/3w=")</f>
        <v>#REF!</v>
      </c>
      <c r="DV211" t="e">
        <f>AND(#REF!,"AAAAAH+3/30=")</f>
        <v>#REF!</v>
      </c>
      <c r="DW211" t="e">
        <f>AND(#REF!,"AAAAAH+3/34=")</f>
        <v>#REF!</v>
      </c>
      <c r="DX211" t="e">
        <f>AND(#REF!,"AAAAAH+3/38=")</f>
        <v>#REF!</v>
      </c>
      <c r="DY211" t="e">
        <f>AND(#REF!,"AAAAAH+3/4A=")</f>
        <v>#REF!</v>
      </c>
      <c r="DZ211" t="e">
        <f>AND(#REF!,"AAAAAH+3/4E=")</f>
        <v>#REF!</v>
      </c>
      <c r="EA211" t="e">
        <f>AND(#REF!,"AAAAAH+3/4I=")</f>
        <v>#REF!</v>
      </c>
      <c r="EB211" t="e">
        <f>AND(#REF!,"AAAAAH+3/4M=")</f>
        <v>#REF!</v>
      </c>
      <c r="EC211" t="e">
        <f>AND(#REF!,"AAAAAH+3/4Q=")</f>
        <v>#REF!</v>
      </c>
      <c r="ED211" t="e">
        <f>AND(#REF!,"AAAAAH+3/4U=")</f>
        <v>#REF!</v>
      </c>
      <c r="EE211" t="e">
        <f>AND(#REF!,"AAAAAH+3/4Y=")</f>
        <v>#REF!</v>
      </c>
      <c r="EF211" t="e">
        <f>AND(#REF!,"AAAAAH+3/4c=")</f>
        <v>#REF!</v>
      </c>
      <c r="EG211" t="e">
        <f>AND(#REF!,"AAAAAH+3/4g=")</f>
        <v>#REF!</v>
      </c>
      <c r="EH211" t="e">
        <f>AND(#REF!,"AAAAAH+3/4k=")</f>
        <v>#REF!</v>
      </c>
      <c r="EI211" t="e">
        <f>AND(#REF!,"AAAAAH+3/4o=")</f>
        <v>#REF!</v>
      </c>
      <c r="EJ211" t="e">
        <f>AND(#REF!,"AAAAAH+3/4s=")</f>
        <v>#REF!</v>
      </c>
      <c r="EK211" t="e">
        <f>AND(#REF!,"AAAAAH+3/4w=")</f>
        <v>#REF!</v>
      </c>
      <c r="EL211" t="e">
        <f>AND(#REF!,"AAAAAH+3/40=")</f>
        <v>#REF!</v>
      </c>
      <c r="EM211" t="e">
        <f>AND(#REF!,"AAAAAH+3/44=")</f>
        <v>#REF!</v>
      </c>
      <c r="EN211" t="e">
        <f>AND(#REF!,"AAAAAH+3/48=")</f>
        <v>#REF!</v>
      </c>
      <c r="EO211" t="e">
        <f>AND(#REF!,"AAAAAH+3/5A=")</f>
        <v>#REF!</v>
      </c>
      <c r="EP211" t="e">
        <f>AND(#REF!,"AAAAAH+3/5E=")</f>
        <v>#REF!</v>
      </c>
      <c r="EQ211" t="e">
        <f>AND(#REF!,"AAAAAH+3/5I=")</f>
        <v>#REF!</v>
      </c>
      <c r="ER211" t="e">
        <f>AND(#REF!,"AAAAAH+3/5M=")</f>
        <v>#REF!</v>
      </c>
      <c r="ES211" t="e">
        <f>AND(#REF!,"AAAAAH+3/5Q=")</f>
        <v>#REF!</v>
      </c>
      <c r="ET211" t="e">
        <f>AND(#REF!,"AAAAAH+3/5U=")</f>
        <v>#REF!</v>
      </c>
      <c r="EU211" t="e">
        <f>AND(#REF!,"AAAAAH+3/5Y=")</f>
        <v>#REF!</v>
      </c>
      <c r="EV211" t="e">
        <f>AND(#REF!,"AAAAAH+3/5c=")</f>
        <v>#REF!</v>
      </c>
      <c r="EW211" t="e">
        <f>AND(#REF!,"AAAAAH+3/5g=")</f>
        <v>#REF!</v>
      </c>
      <c r="EX211" t="e">
        <f>AND(#REF!,"AAAAAH+3/5k=")</f>
        <v>#REF!</v>
      </c>
      <c r="EY211" t="e">
        <f>AND(#REF!,"AAAAAH+3/5o=")</f>
        <v>#REF!</v>
      </c>
      <c r="EZ211" t="e">
        <f>AND(#REF!,"AAAAAH+3/5s=")</f>
        <v>#REF!</v>
      </c>
      <c r="FA211" t="e">
        <f>AND(#REF!,"AAAAAH+3/5w=")</f>
        <v>#REF!</v>
      </c>
      <c r="FB211" t="e">
        <f>AND(#REF!,"AAAAAH+3/50=")</f>
        <v>#REF!</v>
      </c>
      <c r="FC211" t="e">
        <f>AND(#REF!,"AAAAAH+3/54=")</f>
        <v>#REF!</v>
      </c>
      <c r="FD211" t="e">
        <f>AND(#REF!,"AAAAAH+3/58=")</f>
        <v>#REF!</v>
      </c>
      <c r="FE211" t="e">
        <f>AND(#REF!,"AAAAAH+3/6A=")</f>
        <v>#REF!</v>
      </c>
      <c r="FF211" t="e">
        <f>AND(#REF!,"AAAAAH+3/6E=")</f>
        <v>#REF!</v>
      </c>
      <c r="FG211" t="e">
        <f>AND(#REF!,"AAAAAH+3/6I=")</f>
        <v>#REF!</v>
      </c>
      <c r="FH211" t="e">
        <f>AND(#REF!,"AAAAAH+3/6M=")</f>
        <v>#REF!</v>
      </c>
      <c r="FI211" t="e">
        <f>AND(#REF!,"AAAAAH+3/6Q=")</f>
        <v>#REF!</v>
      </c>
      <c r="FJ211" t="e">
        <f>AND(#REF!,"AAAAAH+3/6U=")</f>
        <v>#REF!</v>
      </c>
      <c r="FK211" t="e">
        <f>AND(#REF!,"AAAAAH+3/6Y=")</f>
        <v>#REF!</v>
      </c>
      <c r="FL211" t="e">
        <f>AND(#REF!,"AAAAAH+3/6c=")</f>
        <v>#REF!</v>
      </c>
      <c r="FM211" t="e">
        <f>AND(#REF!,"AAAAAH+3/6g=")</f>
        <v>#REF!</v>
      </c>
      <c r="FN211" t="e">
        <f>AND(#REF!,"AAAAAH+3/6k=")</f>
        <v>#REF!</v>
      </c>
      <c r="FO211" t="e">
        <f>AND(#REF!,"AAAAAH+3/6o=")</f>
        <v>#REF!</v>
      </c>
      <c r="FP211" t="e">
        <f>AND(#REF!,"AAAAAH+3/6s=")</f>
        <v>#REF!</v>
      </c>
      <c r="FQ211" t="e">
        <f>AND(#REF!,"AAAAAH+3/6w=")</f>
        <v>#REF!</v>
      </c>
      <c r="FR211" t="e">
        <f>AND(#REF!,"AAAAAH+3/60=")</f>
        <v>#REF!</v>
      </c>
      <c r="FS211" t="e">
        <f>AND(#REF!,"AAAAAH+3/64=")</f>
        <v>#REF!</v>
      </c>
      <c r="FT211" t="e">
        <f>AND(#REF!,"AAAAAH+3/68=")</f>
        <v>#REF!</v>
      </c>
      <c r="FU211" t="e">
        <f>AND(#REF!,"AAAAAH+3/7A=")</f>
        <v>#REF!</v>
      </c>
      <c r="FV211" t="e">
        <f>AND(#REF!,"AAAAAH+3/7E=")</f>
        <v>#REF!</v>
      </c>
      <c r="FW211" t="e">
        <f>AND(#REF!,"AAAAAH+3/7I=")</f>
        <v>#REF!</v>
      </c>
      <c r="FX211" t="e">
        <f>AND(#REF!,"AAAAAH+3/7M=")</f>
        <v>#REF!</v>
      </c>
      <c r="FY211" t="e">
        <f>AND(#REF!,"AAAAAH+3/7Q=")</f>
        <v>#REF!</v>
      </c>
      <c r="FZ211" t="e">
        <f>AND(#REF!,"AAAAAH+3/7U=")</f>
        <v>#REF!</v>
      </c>
      <c r="GA211" t="e">
        <f>AND(#REF!,"AAAAAH+3/7Y=")</f>
        <v>#REF!</v>
      </c>
      <c r="GB211" t="e">
        <f>AND(#REF!,"AAAAAH+3/7c=")</f>
        <v>#REF!</v>
      </c>
      <c r="GC211" t="e">
        <f>AND(#REF!,"AAAAAH+3/7g=")</f>
        <v>#REF!</v>
      </c>
      <c r="GD211" t="e">
        <f>AND(#REF!,"AAAAAH+3/7k=")</f>
        <v>#REF!</v>
      </c>
      <c r="GE211" t="e">
        <f>AND(#REF!,"AAAAAH+3/7o=")</f>
        <v>#REF!</v>
      </c>
      <c r="GF211" t="e">
        <f>AND(#REF!,"AAAAAH+3/7s=")</f>
        <v>#REF!</v>
      </c>
      <c r="GG211" t="e">
        <f>AND(#REF!,"AAAAAH+3/7w=")</f>
        <v>#REF!</v>
      </c>
      <c r="GH211" t="e">
        <f>AND(#REF!,"AAAAAH+3/70=")</f>
        <v>#REF!</v>
      </c>
      <c r="GI211" t="e">
        <f>AND(#REF!,"AAAAAH+3/74=")</f>
        <v>#REF!</v>
      </c>
      <c r="GJ211" t="e">
        <f>AND(#REF!,"AAAAAH+3/78=")</f>
        <v>#REF!</v>
      </c>
      <c r="GK211" t="e">
        <f>AND(#REF!,"AAAAAH+3/8A=")</f>
        <v>#REF!</v>
      </c>
      <c r="GL211" t="e">
        <f>AND(#REF!,"AAAAAH+3/8E=")</f>
        <v>#REF!</v>
      </c>
      <c r="GM211" t="e">
        <f>AND(#REF!,"AAAAAH+3/8I=")</f>
        <v>#REF!</v>
      </c>
      <c r="GN211" t="e">
        <f>AND(#REF!,"AAAAAH+3/8M=")</f>
        <v>#REF!</v>
      </c>
      <c r="GO211" t="e">
        <f>AND(#REF!,"AAAAAH+3/8Q=")</f>
        <v>#REF!</v>
      </c>
      <c r="GP211" t="e">
        <f>AND(#REF!,"AAAAAH+3/8U=")</f>
        <v>#REF!</v>
      </c>
      <c r="GQ211" t="e">
        <f>AND(#REF!,"AAAAAH+3/8Y=")</f>
        <v>#REF!</v>
      </c>
      <c r="GR211" t="e">
        <f>AND(#REF!,"AAAAAH+3/8c=")</f>
        <v>#REF!</v>
      </c>
      <c r="GS211" t="e">
        <f>AND(#REF!,"AAAAAH+3/8g=")</f>
        <v>#REF!</v>
      </c>
      <c r="GT211" t="e">
        <f>AND(#REF!,"AAAAAH+3/8k=")</f>
        <v>#REF!</v>
      </c>
      <c r="GU211" t="e">
        <f>AND(#REF!,"AAAAAH+3/8o=")</f>
        <v>#REF!</v>
      </c>
      <c r="GV211" t="e">
        <f>AND(#REF!,"AAAAAH+3/8s=")</f>
        <v>#REF!</v>
      </c>
      <c r="GW211" t="e">
        <f>AND(#REF!,"AAAAAH+3/8w=")</f>
        <v>#REF!</v>
      </c>
      <c r="GX211" t="e">
        <f>AND(#REF!,"AAAAAH+3/80=")</f>
        <v>#REF!</v>
      </c>
      <c r="GY211" t="e">
        <f>AND(#REF!,"AAAAAH+3/84=")</f>
        <v>#REF!</v>
      </c>
      <c r="GZ211" t="e">
        <f>AND(#REF!,"AAAAAH+3/88=")</f>
        <v>#REF!</v>
      </c>
      <c r="HA211" t="e">
        <f>AND(#REF!,"AAAAAH+3/9A=")</f>
        <v>#REF!</v>
      </c>
      <c r="HB211" t="e">
        <f>AND(#REF!,"AAAAAH+3/9E=")</f>
        <v>#REF!</v>
      </c>
      <c r="HC211" t="e">
        <f>AND(#REF!,"AAAAAH+3/9I=")</f>
        <v>#REF!</v>
      </c>
      <c r="HD211" t="e">
        <f>AND(#REF!,"AAAAAH+3/9M=")</f>
        <v>#REF!</v>
      </c>
      <c r="HE211" t="e">
        <f>AND(#REF!,"AAAAAH+3/9Q=")</f>
        <v>#REF!</v>
      </c>
      <c r="HF211" t="e">
        <f>AND(#REF!,"AAAAAH+3/9U=")</f>
        <v>#REF!</v>
      </c>
      <c r="HG211" t="e">
        <f>AND(#REF!,"AAAAAH+3/9Y=")</f>
        <v>#REF!</v>
      </c>
      <c r="HH211" t="e">
        <f>AND(#REF!,"AAAAAH+3/9c=")</f>
        <v>#REF!</v>
      </c>
      <c r="HI211" t="e">
        <f>AND(#REF!,"AAAAAH+3/9g=")</f>
        <v>#REF!</v>
      </c>
      <c r="HJ211" t="e">
        <f>AND(#REF!,"AAAAAH+3/9k=")</f>
        <v>#REF!</v>
      </c>
      <c r="HK211" t="e">
        <f>AND(#REF!,"AAAAAH+3/9o=")</f>
        <v>#REF!</v>
      </c>
      <c r="HL211" t="e">
        <f>AND(#REF!,"AAAAAH+3/9s=")</f>
        <v>#REF!</v>
      </c>
      <c r="HM211" t="e">
        <f>AND(#REF!,"AAAAAH+3/9w=")</f>
        <v>#REF!</v>
      </c>
      <c r="HN211" t="e">
        <f>AND(#REF!,"AAAAAH+3/90=")</f>
        <v>#REF!</v>
      </c>
      <c r="HO211" t="e">
        <f>AND(#REF!,"AAAAAH+3/94=")</f>
        <v>#REF!</v>
      </c>
      <c r="HP211" t="e">
        <f>AND(#REF!,"AAAAAH+3/98=")</f>
        <v>#REF!</v>
      </c>
      <c r="HQ211" t="e">
        <f>AND(#REF!,"AAAAAH+3/+A=")</f>
        <v>#REF!</v>
      </c>
      <c r="HR211" t="e">
        <f>AND(#REF!,"AAAAAH+3/+E=")</f>
        <v>#REF!</v>
      </c>
      <c r="HS211" t="e">
        <f>AND(#REF!,"AAAAAH+3/+I=")</f>
        <v>#REF!</v>
      </c>
      <c r="HT211" t="e">
        <f>AND(#REF!,"AAAAAH+3/+M=")</f>
        <v>#REF!</v>
      </c>
      <c r="HU211" t="e">
        <f>AND(#REF!,"AAAAAH+3/+Q=")</f>
        <v>#REF!</v>
      </c>
      <c r="HV211" t="e">
        <f>AND(#REF!,"AAAAAH+3/+U=")</f>
        <v>#REF!</v>
      </c>
      <c r="HW211" t="e">
        <f>AND(#REF!,"AAAAAH+3/+Y=")</f>
        <v>#REF!</v>
      </c>
      <c r="HX211" t="e">
        <f>AND(#REF!,"AAAAAH+3/+c=")</f>
        <v>#REF!</v>
      </c>
      <c r="HY211" t="e">
        <f>AND(#REF!,"AAAAAH+3/+g=")</f>
        <v>#REF!</v>
      </c>
      <c r="HZ211" t="e">
        <f>AND(#REF!,"AAAAAH+3/+k=")</f>
        <v>#REF!</v>
      </c>
      <c r="IA211" t="e">
        <f>AND(#REF!,"AAAAAH+3/+o=")</f>
        <v>#REF!</v>
      </c>
      <c r="IB211" t="e">
        <f>AND(#REF!,"AAAAAH+3/+s=")</f>
        <v>#REF!</v>
      </c>
      <c r="IC211" t="e">
        <f>AND(#REF!,"AAAAAH+3/+w=")</f>
        <v>#REF!</v>
      </c>
      <c r="ID211" t="e">
        <f>AND(#REF!,"AAAAAH+3/+0=")</f>
        <v>#REF!</v>
      </c>
      <c r="IE211" t="e">
        <f>AND(#REF!,"AAAAAH+3/+4=")</f>
        <v>#REF!</v>
      </c>
      <c r="IF211" t="e">
        <f>AND(#REF!,"AAAAAH+3/+8=")</f>
        <v>#REF!</v>
      </c>
      <c r="IG211" t="e">
        <f>AND(#REF!,"AAAAAH+3//A=")</f>
        <v>#REF!</v>
      </c>
      <c r="IH211" t="e">
        <f>AND(#REF!,"AAAAAH+3//E=")</f>
        <v>#REF!</v>
      </c>
      <c r="II211" t="e">
        <f>AND(#REF!,"AAAAAH+3//I=")</f>
        <v>#REF!</v>
      </c>
      <c r="IJ211" t="e">
        <f>AND(#REF!,"AAAAAH+3//M=")</f>
        <v>#REF!</v>
      </c>
      <c r="IK211" t="e">
        <f>AND(#REF!,"AAAAAH+3//Q=")</f>
        <v>#REF!</v>
      </c>
      <c r="IL211" t="e">
        <f>AND(#REF!,"AAAAAH+3//U=")</f>
        <v>#REF!</v>
      </c>
      <c r="IM211" t="e">
        <f>AND(#REF!,"AAAAAH+3//Y=")</f>
        <v>#REF!</v>
      </c>
      <c r="IN211" t="e">
        <f>AND(#REF!,"AAAAAH+3//c=")</f>
        <v>#REF!</v>
      </c>
      <c r="IO211" t="e">
        <f>AND(#REF!,"AAAAAH+3//g=")</f>
        <v>#REF!</v>
      </c>
      <c r="IP211" t="e">
        <f>AND(#REF!,"AAAAAH+3//k=")</f>
        <v>#REF!</v>
      </c>
      <c r="IQ211" t="e">
        <f>AND(#REF!,"AAAAAH+3//o=")</f>
        <v>#REF!</v>
      </c>
      <c r="IR211" t="e">
        <f>AND(#REF!,"AAAAAH+3//s=")</f>
        <v>#REF!</v>
      </c>
      <c r="IS211" t="e">
        <f>AND(#REF!,"AAAAAH+3//w=")</f>
        <v>#REF!</v>
      </c>
      <c r="IT211" t="e">
        <f>AND(#REF!,"AAAAAH+3//0=")</f>
        <v>#REF!</v>
      </c>
      <c r="IU211" t="e">
        <f>AND(#REF!,"AAAAAH+3//4=")</f>
        <v>#REF!</v>
      </c>
      <c r="IV211" t="e">
        <f>AND(#REF!,"AAAAAH+3//8=")</f>
        <v>#REF!</v>
      </c>
    </row>
    <row r="212" spans="1:256" x14ac:dyDescent="0.25">
      <c r="A212" t="e">
        <f>AND(#REF!,"AAAAADtt/QA=")</f>
        <v>#REF!</v>
      </c>
      <c r="B212" t="e">
        <f>AND(#REF!,"AAAAADtt/QE=")</f>
        <v>#REF!</v>
      </c>
      <c r="C212" t="e">
        <f>AND(#REF!,"AAAAADtt/QI=")</f>
        <v>#REF!</v>
      </c>
      <c r="D212" t="e">
        <f>AND(#REF!,"AAAAADtt/QM=")</f>
        <v>#REF!</v>
      </c>
      <c r="E212" t="e">
        <f>AND(#REF!,"AAAAADtt/QQ=")</f>
        <v>#REF!</v>
      </c>
      <c r="F212" t="e">
        <f>AND(#REF!,"AAAAADtt/QU=")</f>
        <v>#REF!</v>
      </c>
      <c r="G212" t="e">
        <f>AND(#REF!,"AAAAADtt/QY=")</f>
        <v>#REF!</v>
      </c>
      <c r="H212" t="e">
        <f>AND(#REF!,"AAAAADtt/Qc=")</f>
        <v>#REF!</v>
      </c>
      <c r="I212" t="e">
        <f>AND(#REF!,"AAAAADtt/Qg=")</f>
        <v>#REF!</v>
      </c>
      <c r="J212" t="e">
        <f>AND(#REF!,"AAAAADtt/Qk=")</f>
        <v>#REF!</v>
      </c>
      <c r="K212" t="e">
        <f>AND(#REF!,"AAAAADtt/Qo=")</f>
        <v>#REF!</v>
      </c>
      <c r="L212" t="e">
        <f>AND(#REF!,"AAAAADtt/Qs=")</f>
        <v>#REF!</v>
      </c>
      <c r="M212" t="e">
        <f>AND(#REF!,"AAAAADtt/Qw=")</f>
        <v>#REF!</v>
      </c>
      <c r="N212" t="e">
        <f>AND(#REF!,"AAAAADtt/Q0=")</f>
        <v>#REF!</v>
      </c>
      <c r="O212" t="e">
        <f>AND(#REF!,"AAAAADtt/Q4=")</f>
        <v>#REF!</v>
      </c>
      <c r="P212" t="e">
        <f>AND(#REF!,"AAAAADtt/Q8=")</f>
        <v>#REF!</v>
      </c>
      <c r="Q212" t="e">
        <f>AND(#REF!,"AAAAADtt/RA=")</f>
        <v>#REF!</v>
      </c>
      <c r="R212" t="e">
        <f>AND(#REF!,"AAAAADtt/RE=")</f>
        <v>#REF!</v>
      </c>
      <c r="S212" t="e">
        <f>AND(#REF!,"AAAAADtt/RI=")</f>
        <v>#REF!</v>
      </c>
      <c r="T212" t="e">
        <f>AND(#REF!,"AAAAADtt/RM=")</f>
        <v>#REF!</v>
      </c>
      <c r="U212" t="e">
        <f>AND(#REF!,"AAAAADtt/RQ=")</f>
        <v>#REF!</v>
      </c>
      <c r="V212" t="e">
        <f>AND(#REF!,"AAAAADtt/RU=")</f>
        <v>#REF!</v>
      </c>
      <c r="W212" t="e">
        <f>AND(#REF!,"AAAAADtt/RY=")</f>
        <v>#REF!</v>
      </c>
      <c r="X212" t="e">
        <f>AND(#REF!,"AAAAADtt/Rc=")</f>
        <v>#REF!</v>
      </c>
      <c r="Y212" t="e">
        <f>AND(#REF!,"AAAAADtt/Rg=")</f>
        <v>#REF!</v>
      </c>
      <c r="Z212" t="e">
        <f>AND(#REF!,"AAAAADtt/Rk=")</f>
        <v>#REF!</v>
      </c>
      <c r="AA212" t="e">
        <f>AND(#REF!,"AAAAADtt/Ro=")</f>
        <v>#REF!</v>
      </c>
      <c r="AB212" t="e">
        <f>AND(#REF!,"AAAAADtt/Rs=")</f>
        <v>#REF!</v>
      </c>
      <c r="AC212" t="e">
        <f>AND(#REF!,"AAAAADtt/Rw=")</f>
        <v>#REF!</v>
      </c>
      <c r="AD212" t="e">
        <f>AND(#REF!,"AAAAADtt/R0=")</f>
        <v>#REF!</v>
      </c>
      <c r="AE212" t="e">
        <f>IF(#REF!,"AAAAADtt/R4=",0)</f>
        <v>#REF!</v>
      </c>
      <c r="AF212" t="e">
        <f>AND(#REF!,"AAAAADtt/R8=")</f>
        <v>#REF!</v>
      </c>
      <c r="AG212" t="e">
        <f>AND(#REF!,"AAAAADtt/SA=")</f>
        <v>#REF!</v>
      </c>
      <c r="AH212" t="e">
        <f>AND(#REF!,"AAAAADtt/SE=")</f>
        <v>#REF!</v>
      </c>
      <c r="AI212" t="e">
        <f>AND(#REF!,"AAAAADtt/SI=")</f>
        <v>#REF!</v>
      </c>
      <c r="AJ212" t="e">
        <f>AND(#REF!,"AAAAADtt/SM=")</f>
        <v>#REF!</v>
      </c>
      <c r="AK212" t="e">
        <f>AND(#REF!,"AAAAADtt/SQ=")</f>
        <v>#REF!</v>
      </c>
      <c r="AL212" t="e">
        <f>AND(#REF!,"AAAAADtt/SU=")</f>
        <v>#REF!</v>
      </c>
      <c r="AM212" t="e">
        <f>AND(#REF!,"AAAAADtt/SY=")</f>
        <v>#REF!</v>
      </c>
      <c r="AN212" t="e">
        <f>AND(#REF!,"AAAAADtt/Sc=")</f>
        <v>#REF!</v>
      </c>
      <c r="AO212" t="e">
        <f>AND(#REF!,"AAAAADtt/Sg=")</f>
        <v>#REF!</v>
      </c>
      <c r="AP212" t="e">
        <f>AND(#REF!,"AAAAADtt/Sk=")</f>
        <v>#REF!</v>
      </c>
      <c r="AQ212" t="e">
        <f>AND(#REF!,"AAAAADtt/So=")</f>
        <v>#REF!</v>
      </c>
      <c r="AR212" t="e">
        <f>AND(#REF!,"AAAAADtt/Ss=")</f>
        <v>#REF!</v>
      </c>
      <c r="AS212" t="e">
        <f>AND(#REF!,"AAAAADtt/Sw=")</f>
        <v>#REF!</v>
      </c>
      <c r="AT212" t="e">
        <f>AND(#REF!,"AAAAADtt/S0=")</f>
        <v>#REF!</v>
      </c>
      <c r="AU212" t="e">
        <f>AND(#REF!,"AAAAADtt/S4=")</f>
        <v>#REF!</v>
      </c>
      <c r="AV212" t="e">
        <f>AND(#REF!,"AAAAADtt/S8=")</f>
        <v>#REF!</v>
      </c>
      <c r="AW212" t="e">
        <f>AND(#REF!,"AAAAADtt/TA=")</f>
        <v>#REF!</v>
      </c>
      <c r="AX212" t="e">
        <f>AND(#REF!,"AAAAADtt/TE=")</f>
        <v>#REF!</v>
      </c>
      <c r="AY212" t="e">
        <f>AND(#REF!,"AAAAADtt/TI=")</f>
        <v>#REF!</v>
      </c>
      <c r="AZ212" t="e">
        <f>AND(#REF!,"AAAAADtt/TM=")</f>
        <v>#REF!</v>
      </c>
      <c r="BA212" t="e">
        <f>AND(#REF!,"AAAAADtt/TQ=")</f>
        <v>#REF!</v>
      </c>
      <c r="BB212" t="e">
        <f>AND(#REF!,"AAAAADtt/TU=")</f>
        <v>#REF!</v>
      </c>
      <c r="BC212" t="e">
        <f>AND(#REF!,"AAAAADtt/TY=")</f>
        <v>#REF!</v>
      </c>
      <c r="BD212" t="e">
        <f>AND(#REF!,"AAAAADtt/Tc=")</f>
        <v>#REF!</v>
      </c>
      <c r="BE212" t="e">
        <f>AND(#REF!,"AAAAADtt/Tg=")</f>
        <v>#REF!</v>
      </c>
      <c r="BF212" t="e">
        <f>AND(#REF!,"AAAAADtt/Tk=")</f>
        <v>#REF!</v>
      </c>
      <c r="BG212" t="e">
        <f>AND(#REF!,"AAAAADtt/To=")</f>
        <v>#REF!</v>
      </c>
      <c r="BH212" t="e">
        <f>AND(#REF!,"AAAAADtt/Ts=")</f>
        <v>#REF!</v>
      </c>
      <c r="BI212" t="e">
        <f>AND(#REF!,"AAAAADtt/Tw=")</f>
        <v>#REF!</v>
      </c>
      <c r="BJ212" t="e">
        <f>AND(#REF!,"AAAAADtt/T0=")</f>
        <v>#REF!</v>
      </c>
      <c r="BK212" t="e">
        <f>AND(#REF!,"AAAAADtt/T4=")</f>
        <v>#REF!</v>
      </c>
      <c r="BL212" t="e">
        <f>AND(#REF!,"AAAAADtt/T8=")</f>
        <v>#REF!</v>
      </c>
      <c r="BM212" t="e">
        <f>AND(#REF!,"AAAAADtt/UA=")</f>
        <v>#REF!</v>
      </c>
      <c r="BN212" t="e">
        <f>AND(#REF!,"AAAAADtt/UE=")</f>
        <v>#REF!</v>
      </c>
      <c r="BO212" t="e">
        <f>AND(#REF!,"AAAAADtt/UI=")</f>
        <v>#REF!</v>
      </c>
      <c r="BP212" t="e">
        <f>AND(#REF!,"AAAAADtt/UM=")</f>
        <v>#REF!</v>
      </c>
      <c r="BQ212" t="e">
        <f>AND(#REF!,"AAAAADtt/UQ=")</f>
        <v>#REF!</v>
      </c>
      <c r="BR212" t="e">
        <f>AND(#REF!,"AAAAADtt/UU=")</f>
        <v>#REF!</v>
      </c>
      <c r="BS212" t="e">
        <f>AND(#REF!,"AAAAADtt/UY=")</f>
        <v>#REF!</v>
      </c>
      <c r="BT212" t="e">
        <f>AND(#REF!,"AAAAADtt/Uc=")</f>
        <v>#REF!</v>
      </c>
      <c r="BU212" t="e">
        <f>AND(#REF!,"AAAAADtt/Ug=")</f>
        <v>#REF!</v>
      </c>
      <c r="BV212" t="e">
        <f>AND(#REF!,"AAAAADtt/Uk=")</f>
        <v>#REF!</v>
      </c>
      <c r="BW212" t="e">
        <f>AND(#REF!,"AAAAADtt/Uo=")</f>
        <v>#REF!</v>
      </c>
      <c r="BX212" t="e">
        <f>AND(#REF!,"AAAAADtt/Us=")</f>
        <v>#REF!</v>
      </c>
      <c r="BY212" t="e">
        <f>AND(#REF!,"AAAAADtt/Uw=")</f>
        <v>#REF!</v>
      </c>
      <c r="BZ212" t="e">
        <f>AND(#REF!,"AAAAADtt/U0=")</f>
        <v>#REF!</v>
      </c>
      <c r="CA212" t="e">
        <f>AND(#REF!,"AAAAADtt/U4=")</f>
        <v>#REF!</v>
      </c>
      <c r="CB212" t="e">
        <f>AND(#REF!,"AAAAADtt/U8=")</f>
        <v>#REF!</v>
      </c>
      <c r="CC212" t="e">
        <f>AND(#REF!,"AAAAADtt/VA=")</f>
        <v>#REF!</v>
      </c>
      <c r="CD212" t="e">
        <f>AND(#REF!,"AAAAADtt/VE=")</f>
        <v>#REF!</v>
      </c>
      <c r="CE212" t="e">
        <f>AND(#REF!,"AAAAADtt/VI=")</f>
        <v>#REF!</v>
      </c>
      <c r="CF212" t="e">
        <f>AND(#REF!,"AAAAADtt/VM=")</f>
        <v>#REF!</v>
      </c>
      <c r="CG212" t="e">
        <f>AND(#REF!,"AAAAADtt/VQ=")</f>
        <v>#REF!</v>
      </c>
      <c r="CH212" t="e">
        <f>AND(#REF!,"AAAAADtt/VU=")</f>
        <v>#REF!</v>
      </c>
      <c r="CI212" t="e">
        <f>AND(#REF!,"AAAAADtt/VY=")</f>
        <v>#REF!</v>
      </c>
      <c r="CJ212" t="e">
        <f>AND(#REF!,"AAAAADtt/Vc=")</f>
        <v>#REF!</v>
      </c>
      <c r="CK212" t="e">
        <f>AND(#REF!,"AAAAADtt/Vg=")</f>
        <v>#REF!</v>
      </c>
      <c r="CL212" t="e">
        <f>AND(#REF!,"AAAAADtt/Vk=")</f>
        <v>#REF!</v>
      </c>
      <c r="CM212" t="e">
        <f>AND(#REF!,"AAAAADtt/Vo=")</f>
        <v>#REF!</v>
      </c>
      <c r="CN212" t="e">
        <f>AND(#REF!,"AAAAADtt/Vs=")</f>
        <v>#REF!</v>
      </c>
      <c r="CO212" t="e">
        <f>AND(#REF!,"AAAAADtt/Vw=")</f>
        <v>#REF!</v>
      </c>
      <c r="CP212" t="e">
        <f>AND(#REF!,"AAAAADtt/V0=")</f>
        <v>#REF!</v>
      </c>
      <c r="CQ212" t="e">
        <f>AND(#REF!,"AAAAADtt/V4=")</f>
        <v>#REF!</v>
      </c>
      <c r="CR212" t="e">
        <f>AND(#REF!,"AAAAADtt/V8=")</f>
        <v>#REF!</v>
      </c>
      <c r="CS212" t="e">
        <f>AND(#REF!,"AAAAADtt/WA=")</f>
        <v>#REF!</v>
      </c>
      <c r="CT212" t="e">
        <f>AND(#REF!,"AAAAADtt/WE=")</f>
        <v>#REF!</v>
      </c>
      <c r="CU212" t="e">
        <f>AND(#REF!,"AAAAADtt/WI=")</f>
        <v>#REF!</v>
      </c>
      <c r="CV212" t="e">
        <f>AND(#REF!,"AAAAADtt/WM=")</f>
        <v>#REF!</v>
      </c>
      <c r="CW212" t="e">
        <f>AND(#REF!,"AAAAADtt/WQ=")</f>
        <v>#REF!</v>
      </c>
      <c r="CX212" t="e">
        <f>AND(#REF!,"AAAAADtt/WU=")</f>
        <v>#REF!</v>
      </c>
      <c r="CY212" t="e">
        <f>AND(#REF!,"AAAAADtt/WY=")</f>
        <v>#REF!</v>
      </c>
      <c r="CZ212" t="e">
        <f>AND(#REF!,"AAAAADtt/Wc=")</f>
        <v>#REF!</v>
      </c>
      <c r="DA212" t="e">
        <f>AND(#REF!,"AAAAADtt/Wg=")</f>
        <v>#REF!</v>
      </c>
      <c r="DB212" t="e">
        <f>AND(#REF!,"AAAAADtt/Wk=")</f>
        <v>#REF!</v>
      </c>
      <c r="DC212" t="e">
        <f>AND(#REF!,"AAAAADtt/Wo=")</f>
        <v>#REF!</v>
      </c>
      <c r="DD212" t="e">
        <f>AND(#REF!,"AAAAADtt/Ws=")</f>
        <v>#REF!</v>
      </c>
      <c r="DE212" t="e">
        <f>AND(#REF!,"AAAAADtt/Ww=")</f>
        <v>#REF!</v>
      </c>
      <c r="DF212" t="e">
        <f>AND(#REF!,"AAAAADtt/W0=")</f>
        <v>#REF!</v>
      </c>
      <c r="DG212" t="e">
        <f>AND(#REF!,"AAAAADtt/W4=")</f>
        <v>#REF!</v>
      </c>
      <c r="DH212" t="e">
        <f>AND(#REF!,"AAAAADtt/W8=")</f>
        <v>#REF!</v>
      </c>
      <c r="DI212" t="e">
        <f>AND(#REF!,"AAAAADtt/XA=")</f>
        <v>#REF!</v>
      </c>
      <c r="DJ212" t="e">
        <f>AND(#REF!,"AAAAADtt/XE=")</f>
        <v>#REF!</v>
      </c>
      <c r="DK212" t="e">
        <f>AND(#REF!,"AAAAADtt/XI=")</f>
        <v>#REF!</v>
      </c>
      <c r="DL212" t="e">
        <f>AND(#REF!,"AAAAADtt/XM=")</f>
        <v>#REF!</v>
      </c>
      <c r="DM212" t="e">
        <f>AND(#REF!,"AAAAADtt/XQ=")</f>
        <v>#REF!</v>
      </c>
      <c r="DN212" t="e">
        <f>AND(#REF!,"AAAAADtt/XU=")</f>
        <v>#REF!</v>
      </c>
      <c r="DO212" t="e">
        <f>AND(#REF!,"AAAAADtt/XY=")</f>
        <v>#REF!</v>
      </c>
      <c r="DP212" t="e">
        <f>AND(#REF!,"AAAAADtt/Xc=")</f>
        <v>#REF!</v>
      </c>
      <c r="DQ212" t="e">
        <f>AND(#REF!,"AAAAADtt/Xg=")</f>
        <v>#REF!</v>
      </c>
      <c r="DR212" t="e">
        <f>AND(#REF!,"AAAAADtt/Xk=")</f>
        <v>#REF!</v>
      </c>
      <c r="DS212" t="e">
        <f>AND(#REF!,"AAAAADtt/Xo=")</f>
        <v>#REF!</v>
      </c>
      <c r="DT212" t="e">
        <f>AND(#REF!,"AAAAADtt/Xs=")</f>
        <v>#REF!</v>
      </c>
      <c r="DU212" t="e">
        <f>AND(#REF!,"AAAAADtt/Xw=")</f>
        <v>#REF!</v>
      </c>
      <c r="DV212" t="e">
        <f>AND(#REF!,"AAAAADtt/X0=")</f>
        <v>#REF!</v>
      </c>
      <c r="DW212" t="e">
        <f>AND(#REF!,"AAAAADtt/X4=")</f>
        <v>#REF!</v>
      </c>
      <c r="DX212" t="e">
        <f>AND(#REF!,"AAAAADtt/X8=")</f>
        <v>#REF!</v>
      </c>
      <c r="DY212" t="e">
        <f>AND(#REF!,"AAAAADtt/YA=")</f>
        <v>#REF!</v>
      </c>
      <c r="DZ212" t="e">
        <f>AND(#REF!,"AAAAADtt/YE=")</f>
        <v>#REF!</v>
      </c>
      <c r="EA212" t="e">
        <f>AND(#REF!,"AAAAADtt/YI=")</f>
        <v>#REF!</v>
      </c>
      <c r="EB212" t="e">
        <f>AND(#REF!,"AAAAADtt/YM=")</f>
        <v>#REF!</v>
      </c>
      <c r="EC212" t="e">
        <f>AND(#REF!,"AAAAADtt/YQ=")</f>
        <v>#REF!</v>
      </c>
      <c r="ED212" t="e">
        <f>AND(#REF!,"AAAAADtt/YU=")</f>
        <v>#REF!</v>
      </c>
      <c r="EE212" t="e">
        <f>AND(#REF!,"AAAAADtt/YY=")</f>
        <v>#REF!</v>
      </c>
      <c r="EF212" t="e">
        <f>AND(#REF!,"AAAAADtt/Yc=")</f>
        <v>#REF!</v>
      </c>
      <c r="EG212" t="e">
        <f>AND(#REF!,"AAAAADtt/Yg=")</f>
        <v>#REF!</v>
      </c>
      <c r="EH212" t="e">
        <f>AND(#REF!,"AAAAADtt/Yk=")</f>
        <v>#REF!</v>
      </c>
      <c r="EI212" t="e">
        <f>AND(#REF!,"AAAAADtt/Yo=")</f>
        <v>#REF!</v>
      </c>
      <c r="EJ212" t="e">
        <f>AND(#REF!,"AAAAADtt/Ys=")</f>
        <v>#REF!</v>
      </c>
      <c r="EK212" t="e">
        <f>AND(#REF!,"AAAAADtt/Yw=")</f>
        <v>#REF!</v>
      </c>
      <c r="EL212" t="e">
        <f>AND(#REF!,"AAAAADtt/Y0=")</f>
        <v>#REF!</v>
      </c>
      <c r="EM212" t="e">
        <f>AND(#REF!,"AAAAADtt/Y4=")</f>
        <v>#REF!</v>
      </c>
      <c r="EN212" t="e">
        <f>AND(#REF!,"AAAAADtt/Y8=")</f>
        <v>#REF!</v>
      </c>
      <c r="EO212" t="e">
        <f>AND(#REF!,"AAAAADtt/ZA=")</f>
        <v>#REF!</v>
      </c>
      <c r="EP212" t="e">
        <f>AND(#REF!,"AAAAADtt/ZE=")</f>
        <v>#REF!</v>
      </c>
      <c r="EQ212" t="e">
        <f>AND(#REF!,"AAAAADtt/ZI=")</f>
        <v>#REF!</v>
      </c>
      <c r="ER212" t="e">
        <f>AND(#REF!,"AAAAADtt/ZM=")</f>
        <v>#REF!</v>
      </c>
      <c r="ES212" t="e">
        <f>AND(#REF!,"AAAAADtt/ZQ=")</f>
        <v>#REF!</v>
      </c>
      <c r="ET212" t="e">
        <f>AND(#REF!,"AAAAADtt/ZU=")</f>
        <v>#REF!</v>
      </c>
      <c r="EU212" t="e">
        <f>AND(#REF!,"AAAAADtt/ZY=")</f>
        <v>#REF!</v>
      </c>
      <c r="EV212" t="e">
        <f>AND(#REF!,"AAAAADtt/Zc=")</f>
        <v>#REF!</v>
      </c>
      <c r="EW212" t="e">
        <f>AND(#REF!,"AAAAADtt/Zg=")</f>
        <v>#REF!</v>
      </c>
      <c r="EX212" t="e">
        <f>AND(#REF!,"AAAAADtt/Zk=")</f>
        <v>#REF!</v>
      </c>
      <c r="EY212" t="e">
        <f>AND(#REF!,"AAAAADtt/Zo=")</f>
        <v>#REF!</v>
      </c>
      <c r="EZ212" t="e">
        <f>AND(#REF!,"AAAAADtt/Zs=")</f>
        <v>#REF!</v>
      </c>
      <c r="FA212" t="e">
        <f>AND(#REF!,"AAAAADtt/Zw=")</f>
        <v>#REF!</v>
      </c>
      <c r="FB212" t="e">
        <f>AND(#REF!,"AAAAADtt/Z0=")</f>
        <v>#REF!</v>
      </c>
      <c r="FC212" t="e">
        <f>AND(#REF!,"AAAAADtt/Z4=")</f>
        <v>#REF!</v>
      </c>
      <c r="FD212" t="e">
        <f>AND(#REF!,"AAAAADtt/Z8=")</f>
        <v>#REF!</v>
      </c>
      <c r="FE212" t="e">
        <f>AND(#REF!,"AAAAADtt/aA=")</f>
        <v>#REF!</v>
      </c>
      <c r="FF212" t="e">
        <f>AND(#REF!,"AAAAADtt/aE=")</f>
        <v>#REF!</v>
      </c>
      <c r="FG212" t="e">
        <f>AND(#REF!,"AAAAADtt/aI=")</f>
        <v>#REF!</v>
      </c>
      <c r="FH212" t="e">
        <f>AND(#REF!,"AAAAADtt/aM=")</f>
        <v>#REF!</v>
      </c>
      <c r="FI212" t="e">
        <f>AND(#REF!,"AAAAADtt/aQ=")</f>
        <v>#REF!</v>
      </c>
      <c r="FJ212" t="e">
        <f>AND(#REF!,"AAAAADtt/aU=")</f>
        <v>#REF!</v>
      </c>
      <c r="FK212" t="e">
        <f>AND(#REF!,"AAAAADtt/aY=")</f>
        <v>#REF!</v>
      </c>
      <c r="FL212" t="e">
        <f>AND(#REF!,"AAAAADtt/ac=")</f>
        <v>#REF!</v>
      </c>
      <c r="FM212" t="e">
        <f>AND(#REF!,"AAAAADtt/ag=")</f>
        <v>#REF!</v>
      </c>
      <c r="FN212" t="e">
        <f>AND(#REF!,"AAAAADtt/ak=")</f>
        <v>#REF!</v>
      </c>
      <c r="FO212" t="e">
        <f>AND(#REF!,"AAAAADtt/ao=")</f>
        <v>#REF!</v>
      </c>
      <c r="FP212" t="e">
        <f>AND(#REF!,"AAAAADtt/as=")</f>
        <v>#REF!</v>
      </c>
      <c r="FQ212" t="e">
        <f>AND(#REF!,"AAAAADtt/aw=")</f>
        <v>#REF!</v>
      </c>
      <c r="FR212" t="e">
        <f>AND(#REF!,"AAAAADtt/a0=")</f>
        <v>#REF!</v>
      </c>
      <c r="FS212" t="e">
        <f>AND(#REF!,"AAAAADtt/a4=")</f>
        <v>#REF!</v>
      </c>
      <c r="FT212" t="e">
        <f>AND(#REF!,"AAAAADtt/a8=")</f>
        <v>#REF!</v>
      </c>
      <c r="FU212" t="e">
        <f>AND(#REF!,"AAAAADtt/bA=")</f>
        <v>#REF!</v>
      </c>
      <c r="FV212" t="e">
        <f>AND(#REF!,"AAAAADtt/bE=")</f>
        <v>#REF!</v>
      </c>
      <c r="FW212" t="e">
        <f>AND(#REF!,"AAAAADtt/bI=")</f>
        <v>#REF!</v>
      </c>
      <c r="FX212" t="e">
        <f>AND(#REF!,"AAAAADtt/bM=")</f>
        <v>#REF!</v>
      </c>
      <c r="FY212" t="e">
        <f>AND(#REF!,"AAAAADtt/bQ=")</f>
        <v>#REF!</v>
      </c>
      <c r="FZ212" t="e">
        <f>AND(#REF!,"AAAAADtt/bU=")</f>
        <v>#REF!</v>
      </c>
      <c r="GA212" t="e">
        <f>AND(#REF!,"AAAAADtt/bY=")</f>
        <v>#REF!</v>
      </c>
      <c r="GB212" t="e">
        <f>AND(#REF!,"AAAAADtt/bc=")</f>
        <v>#REF!</v>
      </c>
      <c r="GC212" t="e">
        <f>AND(#REF!,"AAAAADtt/bg=")</f>
        <v>#REF!</v>
      </c>
      <c r="GD212" t="e">
        <f>AND(#REF!,"AAAAADtt/bk=")</f>
        <v>#REF!</v>
      </c>
      <c r="GE212" t="e">
        <f>AND(#REF!,"AAAAADtt/bo=")</f>
        <v>#REF!</v>
      </c>
      <c r="GF212" t="e">
        <f>AND(#REF!,"AAAAADtt/bs=")</f>
        <v>#REF!</v>
      </c>
      <c r="GG212" t="e">
        <f>AND(#REF!,"AAAAADtt/bw=")</f>
        <v>#REF!</v>
      </c>
      <c r="GH212" t="e">
        <f>AND(#REF!,"AAAAADtt/b0=")</f>
        <v>#REF!</v>
      </c>
      <c r="GI212" t="e">
        <f>AND(#REF!,"AAAAADtt/b4=")</f>
        <v>#REF!</v>
      </c>
      <c r="GJ212" t="e">
        <f>AND(#REF!,"AAAAADtt/b8=")</f>
        <v>#REF!</v>
      </c>
      <c r="GK212" t="e">
        <f>AND(#REF!,"AAAAADtt/cA=")</f>
        <v>#REF!</v>
      </c>
      <c r="GL212" t="e">
        <f>AND(#REF!,"AAAAADtt/cE=")</f>
        <v>#REF!</v>
      </c>
      <c r="GM212" t="e">
        <f>AND(#REF!,"AAAAADtt/cI=")</f>
        <v>#REF!</v>
      </c>
      <c r="GN212" t="e">
        <f>AND(#REF!,"AAAAADtt/cM=")</f>
        <v>#REF!</v>
      </c>
      <c r="GO212" t="e">
        <f>AND(#REF!,"AAAAADtt/cQ=")</f>
        <v>#REF!</v>
      </c>
      <c r="GP212" t="e">
        <f>AND(#REF!,"AAAAADtt/cU=")</f>
        <v>#REF!</v>
      </c>
      <c r="GQ212" t="e">
        <f>AND(#REF!,"AAAAADtt/cY=")</f>
        <v>#REF!</v>
      </c>
      <c r="GR212" t="e">
        <f>AND(#REF!,"AAAAADtt/cc=")</f>
        <v>#REF!</v>
      </c>
      <c r="GS212" t="e">
        <f>AND(#REF!,"AAAAADtt/cg=")</f>
        <v>#REF!</v>
      </c>
      <c r="GT212" t="e">
        <f>AND(#REF!,"AAAAADtt/ck=")</f>
        <v>#REF!</v>
      </c>
      <c r="GU212" t="e">
        <f>AND(#REF!,"AAAAADtt/co=")</f>
        <v>#REF!</v>
      </c>
      <c r="GV212" t="e">
        <f>AND(#REF!,"AAAAADtt/cs=")</f>
        <v>#REF!</v>
      </c>
      <c r="GW212" t="e">
        <f>AND(#REF!,"AAAAADtt/cw=")</f>
        <v>#REF!</v>
      </c>
      <c r="GX212" t="e">
        <f>AND(#REF!,"AAAAADtt/c0=")</f>
        <v>#REF!</v>
      </c>
      <c r="GY212" t="e">
        <f>AND(#REF!,"AAAAADtt/c4=")</f>
        <v>#REF!</v>
      </c>
      <c r="GZ212" t="e">
        <f>AND(#REF!,"AAAAADtt/c8=")</f>
        <v>#REF!</v>
      </c>
      <c r="HA212" t="e">
        <f>AND(#REF!,"AAAAADtt/dA=")</f>
        <v>#REF!</v>
      </c>
      <c r="HB212" t="e">
        <f>AND(#REF!,"AAAAADtt/dE=")</f>
        <v>#REF!</v>
      </c>
      <c r="HC212" t="e">
        <f>AND(#REF!,"AAAAADtt/dI=")</f>
        <v>#REF!</v>
      </c>
      <c r="HD212" t="e">
        <f>AND(#REF!,"AAAAADtt/dM=")</f>
        <v>#REF!</v>
      </c>
      <c r="HE212" t="e">
        <f>AND(#REF!,"AAAAADtt/dQ=")</f>
        <v>#REF!</v>
      </c>
      <c r="HF212" t="e">
        <f>AND(#REF!,"AAAAADtt/dU=")</f>
        <v>#REF!</v>
      </c>
      <c r="HG212" t="e">
        <f>AND(#REF!,"AAAAADtt/dY=")</f>
        <v>#REF!</v>
      </c>
      <c r="HH212" t="e">
        <f>AND(#REF!,"AAAAADtt/dc=")</f>
        <v>#REF!</v>
      </c>
      <c r="HI212" t="e">
        <f>AND(#REF!,"AAAAADtt/dg=")</f>
        <v>#REF!</v>
      </c>
      <c r="HJ212" t="e">
        <f>AND(#REF!,"AAAAADtt/dk=")</f>
        <v>#REF!</v>
      </c>
      <c r="HK212" t="e">
        <f>AND(#REF!,"AAAAADtt/do=")</f>
        <v>#REF!</v>
      </c>
      <c r="HL212" t="e">
        <f>IF(#REF!,"AAAAADtt/ds=",0)</f>
        <v>#REF!</v>
      </c>
      <c r="HM212" t="e">
        <f>AND(#REF!,"AAAAADtt/dw=")</f>
        <v>#REF!</v>
      </c>
      <c r="HN212" t="e">
        <f>AND(#REF!,"AAAAADtt/d0=")</f>
        <v>#REF!</v>
      </c>
      <c r="HO212" t="e">
        <f>AND(#REF!,"AAAAADtt/d4=")</f>
        <v>#REF!</v>
      </c>
      <c r="HP212" t="e">
        <f>AND(#REF!,"AAAAADtt/d8=")</f>
        <v>#REF!</v>
      </c>
      <c r="HQ212" t="e">
        <f>AND(#REF!,"AAAAADtt/eA=")</f>
        <v>#REF!</v>
      </c>
      <c r="HR212" t="e">
        <f>AND(#REF!,"AAAAADtt/eE=")</f>
        <v>#REF!</v>
      </c>
      <c r="HS212" t="e">
        <f>AND(#REF!,"AAAAADtt/eI=")</f>
        <v>#REF!</v>
      </c>
      <c r="HT212" t="e">
        <f>AND(#REF!,"AAAAADtt/eM=")</f>
        <v>#REF!</v>
      </c>
      <c r="HU212" t="e">
        <f>AND(#REF!,"AAAAADtt/eQ=")</f>
        <v>#REF!</v>
      </c>
      <c r="HV212" t="e">
        <f>AND(#REF!,"AAAAADtt/eU=")</f>
        <v>#REF!</v>
      </c>
      <c r="HW212" t="e">
        <f>AND(#REF!,"AAAAADtt/eY=")</f>
        <v>#REF!</v>
      </c>
      <c r="HX212" t="e">
        <f>AND(#REF!,"AAAAADtt/ec=")</f>
        <v>#REF!</v>
      </c>
      <c r="HY212" t="e">
        <f>AND(#REF!,"AAAAADtt/eg=")</f>
        <v>#REF!</v>
      </c>
      <c r="HZ212" t="e">
        <f>AND(#REF!,"AAAAADtt/ek=")</f>
        <v>#REF!</v>
      </c>
      <c r="IA212" t="e">
        <f>AND(#REF!,"AAAAADtt/eo=")</f>
        <v>#REF!</v>
      </c>
      <c r="IB212" t="e">
        <f>AND(#REF!,"AAAAADtt/es=")</f>
        <v>#REF!</v>
      </c>
      <c r="IC212" t="e">
        <f>AND(#REF!,"AAAAADtt/ew=")</f>
        <v>#REF!</v>
      </c>
      <c r="ID212" t="e">
        <f>AND(#REF!,"AAAAADtt/e0=")</f>
        <v>#REF!</v>
      </c>
      <c r="IE212" t="e">
        <f>AND(#REF!,"AAAAADtt/e4=")</f>
        <v>#REF!</v>
      </c>
      <c r="IF212" t="e">
        <f>AND(#REF!,"AAAAADtt/e8=")</f>
        <v>#REF!</v>
      </c>
      <c r="IG212" t="e">
        <f>AND(#REF!,"AAAAADtt/fA=")</f>
        <v>#REF!</v>
      </c>
      <c r="IH212" t="e">
        <f>AND(#REF!,"AAAAADtt/fE=")</f>
        <v>#REF!</v>
      </c>
      <c r="II212" t="e">
        <f>AND(#REF!,"AAAAADtt/fI=")</f>
        <v>#REF!</v>
      </c>
      <c r="IJ212" t="e">
        <f>AND(#REF!,"AAAAADtt/fM=")</f>
        <v>#REF!</v>
      </c>
      <c r="IK212" t="e">
        <f>AND(#REF!,"AAAAADtt/fQ=")</f>
        <v>#REF!</v>
      </c>
      <c r="IL212" t="e">
        <f>AND(#REF!,"AAAAADtt/fU=")</f>
        <v>#REF!</v>
      </c>
      <c r="IM212" t="e">
        <f>AND(#REF!,"AAAAADtt/fY=")</f>
        <v>#REF!</v>
      </c>
      <c r="IN212" t="e">
        <f>AND(#REF!,"AAAAADtt/fc=")</f>
        <v>#REF!</v>
      </c>
      <c r="IO212" t="e">
        <f>AND(#REF!,"AAAAADtt/fg=")</f>
        <v>#REF!</v>
      </c>
      <c r="IP212" t="e">
        <f>AND(#REF!,"AAAAADtt/fk=")</f>
        <v>#REF!</v>
      </c>
      <c r="IQ212" t="e">
        <f>AND(#REF!,"AAAAADtt/fo=")</f>
        <v>#REF!</v>
      </c>
      <c r="IR212" t="e">
        <f>AND(#REF!,"AAAAADtt/fs=")</f>
        <v>#REF!</v>
      </c>
      <c r="IS212" t="e">
        <f>AND(#REF!,"AAAAADtt/fw=")</f>
        <v>#REF!</v>
      </c>
      <c r="IT212" t="e">
        <f>AND(#REF!,"AAAAADtt/f0=")</f>
        <v>#REF!</v>
      </c>
      <c r="IU212" t="e">
        <f>AND(#REF!,"AAAAADtt/f4=")</f>
        <v>#REF!</v>
      </c>
      <c r="IV212" t="e">
        <f>AND(#REF!,"AAAAADtt/f8=")</f>
        <v>#REF!</v>
      </c>
    </row>
    <row r="213" spans="1:256" x14ac:dyDescent="0.25">
      <c r="A213" t="e">
        <f>AND(#REF!,"AAAAAF19/wA=")</f>
        <v>#REF!</v>
      </c>
      <c r="B213" t="e">
        <f>AND(#REF!,"AAAAAF19/wE=")</f>
        <v>#REF!</v>
      </c>
      <c r="C213" t="e">
        <f>AND(#REF!,"AAAAAF19/wI=")</f>
        <v>#REF!</v>
      </c>
      <c r="D213" t="e">
        <f>AND(#REF!,"AAAAAF19/wM=")</f>
        <v>#REF!</v>
      </c>
      <c r="E213" t="e">
        <f>AND(#REF!,"AAAAAF19/wQ=")</f>
        <v>#REF!</v>
      </c>
      <c r="F213" t="e">
        <f>AND(#REF!,"AAAAAF19/wU=")</f>
        <v>#REF!</v>
      </c>
      <c r="G213" t="e">
        <f>AND(#REF!,"AAAAAF19/wY=")</f>
        <v>#REF!</v>
      </c>
      <c r="H213" t="e">
        <f>AND(#REF!,"AAAAAF19/wc=")</f>
        <v>#REF!</v>
      </c>
      <c r="I213" t="e">
        <f>AND(#REF!,"AAAAAF19/wg=")</f>
        <v>#REF!</v>
      </c>
      <c r="J213" t="e">
        <f>AND(#REF!,"AAAAAF19/wk=")</f>
        <v>#REF!</v>
      </c>
      <c r="K213" t="e">
        <f>AND(#REF!,"AAAAAF19/wo=")</f>
        <v>#REF!</v>
      </c>
      <c r="L213" t="e">
        <f>AND(#REF!,"AAAAAF19/ws=")</f>
        <v>#REF!</v>
      </c>
      <c r="M213" t="e">
        <f>AND(#REF!,"AAAAAF19/ww=")</f>
        <v>#REF!</v>
      </c>
      <c r="N213" t="e">
        <f>AND(#REF!,"AAAAAF19/w0=")</f>
        <v>#REF!</v>
      </c>
      <c r="O213" t="e">
        <f>AND(#REF!,"AAAAAF19/w4=")</f>
        <v>#REF!</v>
      </c>
      <c r="P213" t="e">
        <f>AND(#REF!,"AAAAAF19/w8=")</f>
        <v>#REF!</v>
      </c>
      <c r="Q213" t="e">
        <f>AND(#REF!,"AAAAAF19/xA=")</f>
        <v>#REF!</v>
      </c>
      <c r="R213" t="e">
        <f>AND(#REF!,"AAAAAF19/xE=")</f>
        <v>#REF!</v>
      </c>
      <c r="S213" t="e">
        <f>AND(#REF!,"AAAAAF19/xI=")</f>
        <v>#REF!</v>
      </c>
      <c r="T213" t="e">
        <f>AND(#REF!,"AAAAAF19/xM=")</f>
        <v>#REF!</v>
      </c>
      <c r="U213" t="e">
        <f>AND(#REF!,"AAAAAF19/xQ=")</f>
        <v>#REF!</v>
      </c>
      <c r="V213" t="e">
        <f>AND(#REF!,"AAAAAF19/xU=")</f>
        <v>#REF!</v>
      </c>
      <c r="W213" t="e">
        <f>AND(#REF!,"AAAAAF19/xY=")</f>
        <v>#REF!</v>
      </c>
      <c r="X213" t="e">
        <f>AND(#REF!,"AAAAAF19/xc=")</f>
        <v>#REF!</v>
      </c>
      <c r="Y213" t="e">
        <f>AND(#REF!,"AAAAAF19/xg=")</f>
        <v>#REF!</v>
      </c>
      <c r="Z213" t="e">
        <f>AND(#REF!,"AAAAAF19/xk=")</f>
        <v>#REF!</v>
      </c>
      <c r="AA213" t="e">
        <f>AND(#REF!,"AAAAAF19/xo=")</f>
        <v>#REF!</v>
      </c>
      <c r="AB213" t="e">
        <f>AND(#REF!,"AAAAAF19/xs=")</f>
        <v>#REF!</v>
      </c>
      <c r="AC213" t="e">
        <f>AND(#REF!,"AAAAAF19/xw=")</f>
        <v>#REF!</v>
      </c>
      <c r="AD213" t="e">
        <f>AND(#REF!,"AAAAAF19/x0=")</f>
        <v>#REF!</v>
      </c>
      <c r="AE213" t="e">
        <f>AND(#REF!,"AAAAAF19/x4=")</f>
        <v>#REF!</v>
      </c>
      <c r="AF213" t="e">
        <f>AND(#REF!,"AAAAAF19/x8=")</f>
        <v>#REF!</v>
      </c>
      <c r="AG213" t="e">
        <f>AND(#REF!,"AAAAAF19/yA=")</f>
        <v>#REF!</v>
      </c>
      <c r="AH213" t="e">
        <f>AND(#REF!,"AAAAAF19/yE=")</f>
        <v>#REF!</v>
      </c>
      <c r="AI213" t="e">
        <f>AND(#REF!,"AAAAAF19/yI=")</f>
        <v>#REF!</v>
      </c>
      <c r="AJ213" t="e">
        <f>AND(#REF!,"AAAAAF19/yM=")</f>
        <v>#REF!</v>
      </c>
      <c r="AK213" t="e">
        <f>AND(#REF!,"AAAAAF19/yQ=")</f>
        <v>#REF!</v>
      </c>
      <c r="AL213" t="e">
        <f>AND(#REF!,"AAAAAF19/yU=")</f>
        <v>#REF!</v>
      </c>
      <c r="AM213" t="e">
        <f>AND(#REF!,"AAAAAF19/yY=")</f>
        <v>#REF!</v>
      </c>
      <c r="AN213" t="e">
        <f>AND(#REF!,"AAAAAF19/yc=")</f>
        <v>#REF!</v>
      </c>
      <c r="AO213" t="e">
        <f>AND(#REF!,"AAAAAF19/yg=")</f>
        <v>#REF!</v>
      </c>
      <c r="AP213" t="e">
        <f>AND(#REF!,"AAAAAF19/yk=")</f>
        <v>#REF!</v>
      </c>
      <c r="AQ213" t="e">
        <f>AND(#REF!,"AAAAAF19/yo=")</f>
        <v>#REF!</v>
      </c>
      <c r="AR213" t="e">
        <f>AND(#REF!,"AAAAAF19/ys=")</f>
        <v>#REF!</v>
      </c>
      <c r="AS213" t="e">
        <f>AND(#REF!,"AAAAAF19/yw=")</f>
        <v>#REF!</v>
      </c>
      <c r="AT213" t="e">
        <f>AND(#REF!,"AAAAAF19/y0=")</f>
        <v>#REF!</v>
      </c>
      <c r="AU213" t="e">
        <f>AND(#REF!,"AAAAAF19/y4=")</f>
        <v>#REF!</v>
      </c>
      <c r="AV213" t="e">
        <f>AND(#REF!,"AAAAAF19/y8=")</f>
        <v>#REF!</v>
      </c>
      <c r="AW213" t="e">
        <f>AND(#REF!,"AAAAAF19/zA=")</f>
        <v>#REF!</v>
      </c>
      <c r="AX213" t="e">
        <f>AND(#REF!,"AAAAAF19/zE=")</f>
        <v>#REF!</v>
      </c>
      <c r="AY213" t="e">
        <f>AND(#REF!,"AAAAAF19/zI=")</f>
        <v>#REF!</v>
      </c>
      <c r="AZ213" t="e">
        <f>AND(#REF!,"AAAAAF19/zM=")</f>
        <v>#REF!</v>
      </c>
      <c r="BA213" t="e">
        <f>AND(#REF!,"AAAAAF19/zQ=")</f>
        <v>#REF!</v>
      </c>
      <c r="BB213" t="e">
        <f>AND(#REF!,"AAAAAF19/zU=")</f>
        <v>#REF!</v>
      </c>
      <c r="BC213" t="e">
        <f>AND(#REF!,"AAAAAF19/zY=")</f>
        <v>#REF!</v>
      </c>
      <c r="BD213" t="e">
        <f>AND(#REF!,"AAAAAF19/zc=")</f>
        <v>#REF!</v>
      </c>
      <c r="BE213" t="e">
        <f>AND(#REF!,"AAAAAF19/zg=")</f>
        <v>#REF!</v>
      </c>
      <c r="BF213" t="e">
        <f>AND(#REF!,"AAAAAF19/zk=")</f>
        <v>#REF!</v>
      </c>
      <c r="BG213" t="e">
        <f>AND(#REF!,"AAAAAF19/zo=")</f>
        <v>#REF!</v>
      </c>
      <c r="BH213" t="e">
        <f>AND(#REF!,"AAAAAF19/zs=")</f>
        <v>#REF!</v>
      </c>
      <c r="BI213" t="e">
        <f>AND(#REF!,"AAAAAF19/zw=")</f>
        <v>#REF!</v>
      </c>
      <c r="BJ213" t="e">
        <f>AND(#REF!,"AAAAAF19/z0=")</f>
        <v>#REF!</v>
      </c>
      <c r="BK213" t="e">
        <f>AND(#REF!,"AAAAAF19/z4=")</f>
        <v>#REF!</v>
      </c>
      <c r="BL213" t="e">
        <f>AND(#REF!,"AAAAAF19/z8=")</f>
        <v>#REF!</v>
      </c>
      <c r="BM213" t="e">
        <f>AND(#REF!,"AAAAAF19/0A=")</f>
        <v>#REF!</v>
      </c>
      <c r="BN213" t="e">
        <f>AND(#REF!,"AAAAAF19/0E=")</f>
        <v>#REF!</v>
      </c>
      <c r="BO213" t="e">
        <f>AND(#REF!,"AAAAAF19/0I=")</f>
        <v>#REF!</v>
      </c>
      <c r="BP213" t="e">
        <f>AND(#REF!,"AAAAAF19/0M=")</f>
        <v>#REF!</v>
      </c>
      <c r="BQ213" t="e">
        <f>AND(#REF!,"AAAAAF19/0Q=")</f>
        <v>#REF!</v>
      </c>
      <c r="BR213" t="e">
        <f>AND(#REF!,"AAAAAF19/0U=")</f>
        <v>#REF!</v>
      </c>
      <c r="BS213" t="e">
        <f>AND(#REF!,"AAAAAF19/0Y=")</f>
        <v>#REF!</v>
      </c>
      <c r="BT213" t="e">
        <f>AND(#REF!,"AAAAAF19/0c=")</f>
        <v>#REF!</v>
      </c>
      <c r="BU213" t="e">
        <f>AND(#REF!,"AAAAAF19/0g=")</f>
        <v>#REF!</v>
      </c>
      <c r="BV213" t="e">
        <f>AND(#REF!,"AAAAAF19/0k=")</f>
        <v>#REF!</v>
      </c>
      <c r="BW213" t="e">
        <f>AND(#REF!,"AAAAAF19/0o=")</f>
        <v>#REF!</v>
      </c>
      <c r="BX213" t="e">
        <f>AND(#REF!,"AAAAAF19/0s=")</f>
        <v>#REF!</v>
      </c>
      <c r="BY213" t="e">
        <f>AND(#REF!,"AAAAAF19/0w=")</f>
        <v>#REF!</v>
      </c>
      <c r="BZ213" t="e">
        <f>AND(#REF!,"AAAAAF19/00=")</f>
        <v>#REF!</v>
      </c>
      <c r="CA213" t="e">
        <f>AND(#REF!,"AAAAAF19/04=")</f>
        <v>#REF!</v>
      </c>
      <c r="CB213" t="e">
        <f>AND(#REF!,"AAAAAF19/08=")</f>
        <v>#REF!</v>
      </c>
      <c r="CC213" t="e">
        <f>AND(#REF!,"AAAAAF19/1A=")</f>
        <v>#REF!</v>
      </c>
      <c r="CD213" t="e">
        <f>AND(#REF!,"AAAAAF19/1E=")</f>
        <v>#REF!</v>
      </c>
      <c r="CE213" t="e">
        <f>AND(#REF!,"AAAAAF19/1I=")</f>
        <v>#REF!</v>
      </c>
      <c r="CF213" t="e">
        <f>AND(#REF!,"AAAAAF19/1M=")</f>
        <v>#REF!</v>
      </c>
      <c r="CG213" t="e">
        <f>AND(#REF!,"AAAAAF19/1Q=")</f>
        <v>#REF!</v>
      </c>
      <c r="CH213" t="e">
        <f>AND(#REF!,"AAAAAF19/1U=")</f>
        <v>#REF!</v>
      </c>
      <c r="CI213" t="e">
        <f>AND(#REF!,"AAAAAF19/1Y=")</f>
        <v>#REF!</v>
      </c>
      <c r="CJ213" t="e">
        <f>AND(#REF!,"AAAAAF19/1c=")</f>
        <v>#REF!</v>
      </c>
      <c r="CK213" t="e">
        <f>AND(#REF!,"AAAAAF19/1g=")</f>
        <v>#REF!</v>
      </c>
      <c r="CL213" t="e">
        <f>AND(#REF!,"AAAAAF19/1k=")</f>
        <v>#REF!</v>
      </c>
      <c r="CM213" t="e">
        <f>AND(#REF!,"AAAAAF19/1o=")</f>
        <v>#REF!</v>
      </c>
      <c r="CN213" t="e">
        <f>AND(#REF!,"AAAAAF19/1s=")</f>
        <v>#REF!</v>
      </c>
      <c r="CO213" t="e">
        <f>AND(#REF!,"AAAAAF19/1w=")</f>
        <v>#REF!</v>
      </c>
      <c r="CP213" t="e">
        <f>AND(#REF!,"AAAAAF19/10=")</f>
        <v>#REF!</v>
      </c>
      <c r="CQ213" t="e">
        <f>AND(#REF!,"AAAAAF19/14=")</f>
        <v>#REF!</v>
      </c>
      <c r="CR213" t="e">
        <f>AND(#REF!,"AAAAAF19/18=")</f>
        <v>#REF!</v>
      </c>
      <c r="CS213" t="e">
        <f>AND(#REF!,"AAAAAF19/2A=")</f>
        <v>#REF!</v>
      </c>
      <c r="CT213" t="e">
        <f>AND(#REF!,"AAAAAF19/2E=")</f>
        <v>#REF!</v>
      </c>
      <c r="CU213" t="e">
        <f>AND(#REF!,"AAAAAF19/2I=")</f>
        <v>#REF!</v>
      </c>
      <c r="CV213" t="e">
        <f>AND(#REF!,"AAAAAF19/2M=")</f>
        <v>#REF!</v>
      </c>
      <c r="CW213" t="e">
        <f>AND(#REF!,"AAAAAF19/2Q=")</f>
        <v>#REF!</v>
      </c>
      <c r="CX213" t="e">
        <f>AND(#REF!,"AAAAAF19/2U=")</f>
        <v>#REF!</v>
      </c>
      <c r="CY213" t="e">
        <f>AND(#REF!,"AAAAAF19/2Y=")</f>
        <v>#REF!</v>
      </c>
      <c r="CZ213" t="e">
        <f>AND(#REF!,"AAAAAF19/2c=")</f>
        <v>#REF!</v>
      </c>
      <c r="DA213" t="e">
        <f>AND(#REF!,"AAAAAF19/2g=")</f>
        <v>#REF!</v>
      </c>
      <c r="DB213" t="e">
        <f>AND(#REF!,"AAAAAF19/2k=")</f>
        <v>#REF!</v>
      </c>
      <c r="DC213" t="e">
        <f>AND(#REF!,"AAAAAF19/2o=")</f>
        <v>#REF!</v>
      </c>
      <c r="DD213" t="e">
        <f>AND(#REF!,"AAAAAF19/2s=")</f>
        <v>#REF!</v>
      </c>
      <c r="DE213" t="e">
        <f>AND(#REF!,"AAAAAF19/2w=")</f>
        <v>#REF!</v>
      </c>
      <c r="DF213" t="e">
        <f>AND(#REF!,"AAAAAF19/20=")</f>
        <v>#REF!</v>
      </c>
      <c r="DG213" t="e">
        <f>AND(#REF!,"AAAAAF19/24=")</f>
        <v>#REF!</v>
      </c>
      <c r="DH213" t="e">
        <f>AND(#REF!,"AAAAAF19/28=")</f>
        <v>#REF!</v>
      </c>
      <c r="DI213" t="e">
        <f>AND(#REF!,"AAAAAF19/3A=")</f>
        <v>#REF!</v>
      </c>
      <c r="DJ213" t="e">
        <f>AND(#REF!,"AAAAAF19/3E=")</f>
        <v>#REF!</v>
      </c>
      <c r="DK213" t="e">
        <f>AND(#REF!,"AAAAAF19/3I=")</f>
        <v>#REF!</v>
      </c>
      <c r="DL213" t="e">
        <f>AND(#REF!,"AAAAAF19/3M=")</f>
        <v>#REF!</v>
      </c>
      <c r="DM213" t="e">
        <f>AND(#REF!,"AAAAAF19/3Q=")</f>
        <v>#REF!</v>
      </c>
      <c r="DN213" t="e">
        <f>AND(#REF!,"AAAAAF19/3U=")</f>
        <v>#REF!</v>
      </c>
      <c r="DO213" t="e">
        <f>AND(#REF!,"AAAAAF19/3Y=")</f>
        <v>#REF!</v>
      </c>
      <c r="DP213" t="e">
        <f>AND(#REF!,"AAAAAF19/3c=")</f>
        <v>#REF!</v>
      </c>
      <c r="DQ213" t="e">
        <f>AND(#REF!,"AAAAAF19/3g=")</f>
        <v>#REF!</v>
      </c>
      <c r="DR213" t="e">
        <f>AND(#REF!,"AAAAAF19/3k=")</f>
        <v>#REF!</v>
      </c>
      <c r="DS213" t="e">
        <f>AND(#REF!,"AAAAAF19/3o=")</f>
        <v>#REF!</v>
      </c>
      <c r="DT213" t="e">
        <f>AND(#REF!,"AAAAAF19/3s=")</f>
        <v>#REF!</v>
      </c>
      <c r="DU213" t="e">
        <f>AND(#REF!,"AAAAAF19/3w=")</f>
        <v>#REF!</v>
      </c>
      <c r="DV213" t="e">
        <f>AND(#REF!,"AAAAAF19/30=")</f>
        <v>#REF!</v>
      </c>
      <c r="DW213" t="e">
        <f>AND(#REF!,"AAAAAF19/34=")</f>
        <v>#REF!</v>
      </c>
      <c r="DX213" t="e">
        <f>AND(#REF!,"AAAAAF19/38=")</f>
        <v>#REF!</v>
      </c>
      <c r="DY213" t="e">
        <f>AND(#REF!,"AAAAAF19/4A=")</f>
        <v>#REF!</v>
      </c>
      <c r="DZ213" t="e">
        <f>AND(#REF!,"AAAAAF19/4E=")</f>
        <v>#REF!</v>
      </c>
      <c r="EA213" t="e">
        <f>AND(#REF!,"AAAAAF19/4I=")</f>
        <v>#REF!</v>
      </c>
      <c r="EB213" t="e">
        <f>AND(#REF!,"AAAAAF19/4M=")</f>
        <v>#REF!</v>
      </c>
      <c r="EC213" t="e">
        <f>AND(#REF!,"AAAAAF19/4Q=")</f>
        <v>#REF!</v>
      </c>
      <c r="ED213" t="e">
        <f>AND(#REF!,"AAAAAF19/4U=")</f>
        <v>#REF!</v>
      </c>
      <c r="EE213" t="e">
        <f>AND(#REF!,"AAAAAF19/4Y=")</f>
        <v>#REF!</v>
      </c>
      <c r="EF213" t="e">
        <f>AND(#REF!,"AAAAAF19/4c=")</f>
        <v>#REF!</v>
      </c>
      <c r="EG213" t="e">
        <f>AND(#REF!,"AAAAAF19/4g=")</f>
        <v>#REF!</v>
      </c>
      <c r="EH213" t="e">
        <f>AND(#REF!,"AAAAAF19/4k=")</f>
        <v>#REF!</v>
      </c>
      <c r="EI213" t="e">
        <f>AND(#REF!,"AAAAAF19/4o=")</f>
        <v>#REF!</v>
      </c>
      <c r="EJ213" t="e">
        <f>AND(#REF!,"AAAAAF19/4s=")</f>
        <v>#REF!</v>
      </c>
      <c r="EK213" t="e">
        <f>AND(#REF!,"AAAAAF19/4w=")</f>
        <v>#REF!</v>
      </c>
      <c r="EL213" t="e">
        <f>AND(#REF!,"AAAAAF19/40=")</f>
        <v>#REF!</v>
      </c>
      <c r="EM213" t="e">
        <f>AND(#REF!,"AAAAAF19/44=")</f>
        <v>#REF!</v>
      </c>
      <c r="EN213" t="e">
        <f>AND(#REF!,"AAAAAF19/48=")</f>
        <v>#REF!</v>
      </c>
      <c r="EO213" t="e">
        <f>AND(#REF!,"AAAAAF19/5A=")</f>
        <v>#REF!</v>
      </c>
      <c r="EP213" t="e">
        <f>AND(#REF!,"AAAAAF19/5E=")</f>
        <v>#REF!</v>
      </c>
      <c r="EQ213" t="e">
        <f>AND(#REF!,"AAAAAF19/5I=")</f>
        <v>#REF!</v>
      </c>
      <c r="ER213" t="e">
        <f>AND(#REF!,"AAAAAF19/5M=")</f>
        <v>#REF!</v>
      </c>
      <c r="ES213" t="e">
        <f>AND(#REF!,"AAAAAF19/5Q=")</f>
        <v>#REF!</v>
      </c>
      <c r="ET213" t="e">
        <f>AND(#REF!,"AAAAAF19/5U=")</f>
        <v>#REF!</v>
      </c>
      <c r="EU213" t="e">
        <f>AND(#REF!,"AAAAAF19/5Y=")</f>
        <v>#REF!</v>
      </c>
      <c r="EV213" t="e">
        <f>AND(#REF!,"AAAAAF19/5c=")</f>
        <v>#REF!</v>
      </c>
      <c r="EW213" t="e">
        <f>IF(#REF!,"AAAAAF19/5g=",0)</f>
        <v>#REF!</v>
      </c>
      <c r="EX213" t="e">
        <f>AND(#REF!,"AAAAAF19/5k=")</f>
        <v>#REF!</v>
      </c>
      <c r="EY213" t="e">
        <f>AND(#REF!,"AAAAAF19/5o=")</f>
        <v>#REF!</v>
      </c>
      <c r="EZ213" t="e">
        <f>AND(#REF!,"AAAAAF19/5s=")</f>
        <v>#REF!</v>
      </c>
      <c r="FA213" t="e">
        <f>AND(#REF!,"AAAAAF19/5w=")</f>
        <v>#REF!</v>
      </c>
      <c r="FB213" t="e">
        <f>AND(#REF!,"AAAAAF19/50=")</f>
        <v>#REF!</v>
      </c>
      <c r="FC213" t="e">
        <f>AND(#REF!,"AAAAAF19/54=")</f>
        <v>#REF!</v>
      </c>
      <c r="FD213" t="e">
        <f>AND(#REF!,"AAAAAF19/58=")</f>
        <v>#REF!</v>
      </c>
      <c r="FE213" t="e">
        <f>AND(#REF!,"AAAAAF19/6A=")</f>
        <v>#REF!</v>
      </c>
      <c r="FF213" t="e">
        <f>AND(#REF!,"AAAAAF19/6E=")</f>
        <v>#REF!</v>
      </c>
      <c r="FG213" t="e">
        <f>AND(#REF!,"AAAAAF19/6I=")</f>
        <v>#REF!</v>
      </c>
      <c r="FH213" t="e">
        <f>AND(#REF!,"AAAAAF19/6M=")</f>
        <v>#REF!</v>
      </c>
      <c r="FI213" t="e">
        <f>AND(#REF!,"AAAAAF19/6Q=")</f>
        <v>#REF!</v>
      </c>
      <c r="FJ213" t="e">
        <f>AND(#REF!,"AAAAAF19/6U=")</f>
        <v>#REF!</v>
      </c>
      <c r="FK213" t="e">
        <f>AND(#REF!,"AAAAAF19/6Y=")</f>
        <v>#REF!</v>
      </c>
      <c r="FL213" t="e">
        <f>AND(#REF!,"AAAAAF19/6c=")</f>
        <v>#REF!</v>
      </c>
      <c r="FM213" t="e">
        <f>AND(#REF!,"AAAAAF19/6g=")</f>
        <v>#REF!</v>
      </c>
      <c r="FN213" t="e">
        <f>AND(#REF!,"AAAAAF19/6k=")</f>
        <v>#REF!</v>
      </c>
      <c r="FO213" t="e">
        <f>AND(#REF!,"AAAAAF19/6o=")</f>
        <v>#REF!</v>
      </c>
      <c r="FP213" t="e">
        <f>AND(#REF!,"AAAAAF19/6s=")</f>
        <v>#REF!</v>
      </c>
      <c r="FQ213" t="e">
        <f>AND(#REF!,"AAAAAF19/6w=")</f>
        <v>#REF!</v>
      </c>
      <c r="FR213" t="e">
        <f>AND(#REF!,"AAAAAF19/60=")</f>
        <v>#REF!</v>
      </c>
      <c r="FS213" t="e">
        <f>AND(#REF!,"AAAAAF19/64=")</f>
        <v>#REF!</v>
      </c>
      <c r="FT213" t="e">
        <f>AND(#REF!,"AAAAAF19/68=")</f>
        <v>#REF!</v>
      </c>
      <c r="FU213" t="e">
        <f>AND(#REF!,"AAAAAF19/7A=")</f>
        <v>#REF!</v>
      </c>
      <c r="FV213" t="e">
        <f>AND(#REF!,"AAAAAF19/7E=")</f>
        <v>#REF!</v>
      </c>
      <c r="FW213" t="e">
        <f>AND(#REF!,"AAAAAF19/7I=")</f>
        <v>#REF!</v>
      </c>
      <c r="FX213" t="e">
        <f>AND(#REF!,"AAAAAF19/7M=")</f>
        <v>#REF!</v>
      </c>
      <c r="FY213" t="e">
        <f>AND(#REF!,"AAAAAF19/7Q=")</f>
        <v>#REF!</v>
      </c>
      <c r="FZ213" t="e">
        <f>AND(#REF!,"AAAAAF19/7U=")</f>
        <v>#REF!</v>
      </c>
      <c r="GA213" t="e">
        <f>AND(#REF!,"AAAAAF19/7Y=")</f>
        <v>#REF!</v>
      </c>
      <c r="GB213" t="e">
        <f>AND(#REF!,"AAAAAF19/7c=")</f>
        <v>#REF!</v>
      </c>
      <c r="GC213" t="e">
        <f>AND(#REF!,"AAAAAF19/7g=")</f>
        <v>#REF!</v>
      </c>
      <c r="GD213" t="e">
        <f>AND(#REF!,"AAAAAF19/7k=")</f>
        <v>#REF!</v>
      </c>
      <c r="GE213" t="e">
        <f>AND(#REF!,"AAAAAF19/7o=")</f>
        <v>#REF!</v>
      </c>
      <c r="GF213" t="e">
        <f>AND(#REF!,"AAAAAF19/7s=")</f>
        <v>#REF!</v>
      </c>
      <c r="GG213" t="e">
        <f>AND(#REF!,"AAAAAF19/7w=")</f>
        <v>#REF!</v>
      </c>
      <c r="GH213" t="e">
        <f>AND(#REF!,"AAAAAF19/70=")</f>
        <v>#REF!</v>
      </c>
      <c r="GI213" t="e">
        <f>AND(#REF!,"AAAAAF19/74=")</f>
        <v>#REF!</v>
      </c>
      <c r="GJ213" t="e">
        <f>AND(#REF!,"AAAAAF19/78=")</f>
        <v>#REF!</v>
      </c>
      <c r="GK213" t="e">
        <f>AND(#REF!,"AAAAAF19/8A=")</f>
        <v>#REF!</v>
      </c>
      <c r="GL213" t="e">
        <f>AND(#REF!,"AAAAAF19/8E=")</f>
        <v>#REF!</v>
      </c>
      <c r="GM213" t="e">
        <f>AND(#REF!,"AAAAAF19/8I=")</f>
        <v>#REF!</v>
      </c>
      <c r="GN213" t="e">
        <f>AND(#REF!,"AAAAAF19/8M=")</f>
        <v>#REF!</v>
      </c>
      <c r="GO213" t="e">
        <f>AND(#REF!,"AAAAAF19/8Q=")</f>
        <v>#REF!</v>
      </c>
      <c r="GP213" t="e">
        <f>AND(#REF!,"AAAAAF19/8U=")</f>
        <v>#REF!</v>
      </c>
      <c r="GQ213" t="e">
        <f>AND(#REF!,"AAAAAF19/8Y=")</f>
        <v>#REF!</v>
      </c>
      <c r="GR213" t="e">
        <f>AND(#REF!,"AAAAAF19/8c=")</f>
        <v>#REF!</v>
      </c>
      <c r="GS213" t="e">
        <f>AND(#REF!,"AAAAAF19/8g=")</f>
        <v>#REF!</v>
      </c>
      <c r="GT213" t="e">
        <f>AND(#REF!,"AAAAAF19/8k=")</f>
        <v>#REF!</v>
      </c>
      <c r="GU213" t="e">
        <f>AND(#REF!,"AAAAAF19/8o=")</f>
        <v>#REF!</v>
      </c>
      <c r="GV213" t="e">
        <f>AND(#REF!,"AAAAAF19/8s=")</f>
        <v>#REF!</v>
      </c>
      <c r="GW213" t="e">
        <f>AND(#REF!,"AAAAAF19/8w=")</f>
        <v>#REF!</v>
      </c>
      <c r="GX213" t="e">
        <f>AND(#REF!,"AAAAAF19/80=")</f>
        <v>#REF!</v>
      </c>
      <c r="GY213" t="e">
        <f>AND(#REF!,"AAAAAF19/84=")</f>
        <v>#REF!</v>
      </c>
      <c r="GZ213" t="e">
        <f>AND(#REF!,"AAAAAF19/88=")</f>
        <v>#REF!</v>
      </c>
      <c r="HA213" t="e">
        <f>AND(#REF!,"AAAAAF19/9A=")</f>
        <v>#REF!</v>
      </c>
      <c r="HB213" t="e">
        <f>AND(#REF!,"AAAAAF19/9E=")</f>
        <v>#REF!</v>
      </c>
      <c r="HC213" t="e">
        <f>AND(#REF!,"AAAAAF19/9I=")</f>
        <v>#REF!</v>
      </c>
      <c r="HD213" t="e">
        <f>AND(#REF!,"AAAAAF19/9M=")</f>
        <v>#REF!</v>
      </c>
      <c r="HE213" t="e">
        <f>AND(#REF!,"AAAAAF19/9Q=")</f>
        <v>#REF!</v>
      </c>
      <c r="HF213" t="e">
        <f>AND(#REF!,"AAAAAF19/9U=")</f>
        <v>#REF!</v>
      </c>
      <c r="HG213" t="e">
        <f>AND(#REF!,"AAAAAF19/9Y=")</f>
        <v>#REF!</v>
      </c>
      <c r="HH213" t="e">
        <f>AND(#REF!,"AAAAAF19/9c=")</f>
        <v>#REF!</v>
      </c>
      <c r="HI213" t="e">
        <f>AND(#REF!,"AAAAAF19/9g=")</f>
        <v>#REF!</v>
      </c>
      <c r="HJ213" t="e">
        <f>AND(#REF!,"AAAAAF19/9k=")</f>
        <v>#REF!</v>
      </c>
      <c r="HK213" t="e">
        <f>AND(#REF!,"AAAAAF19/9o=")</f>
        <v>#REF!</v>
      </c>
      <c r="HL213" t="e">
        <f>AND(#REF!,"AAAAAF19/9s=")</f>
        <v>#REF!</v>
      </c>
      <c r="HM213" t="e">
        <f>AND(#REF!,"AAAAAF19/9w=")</f>
        <v>#REF!</v>
      </c>
      <c r="HN213" t="e">
        <f>AND(#REF!,"AAAAAF19/90=")</f>
        <v>#REF!</v>
      </c>
      <c r="HO213" t="e">
        <f>AND(#REF!,"AAAAAF19/94=")</f>
        <v>#REF!</v>
      </c>
      <c r="HP213" t="e">
        <f>AND(#REF!,"AAAAAF19/98=")</f>
        <v>#REF!</v>
      </c>
      <c r="HQ213" t="e">
        <f>AND(#REF!,"AAAAAF19/+A=")</f>
        <v>#REF!</v>
      </c>
      <c r="HR213" t="e">
        <f>AND(#REF!,"AAAAAF19/+E=")</f>
        <v>#REF!</v>
      </c>
      <c r="HS213" t="e">
        <f>AND(#REF!,"AAAAAF19/+I=")</f>
        <v>#REF!</v>
      </c>
      <c r="HT213" t="e">
        <f>AND(#REF!,"AAAAAF19/+M=")</f>
        <v>#REF!</v>
      </c>
      <c r="HU213" t="e">
        <f>AND(#REF!,"AAAAAF19/+Q=")</f>
        <v>#REF!</v>
      </c>
      <c r="HV213" t="e">
        <f>AND(#REF!,"AAAAAF19/+U=")</f>
        <v>#REF!</v>
      </c>
      <c r="HW213" t="e">
        <f>AND(#REF!,"AAAAAF19/+Y=")</f>
        <v>#REF!</v>
      </c>
      <c r="HX213" t="e">
        <f>AND(#REF!,"AAAAAF19/+c=")</f>
        <v>#REF!</v>
      </c>
      <c r="HY213" t="e">
        <f>AND(#REF!,"AAAAAF19/+g=")</f>
        <v>#REF!</v>
      </c>
      <c r="HZ213" t="e">
        <f>AND(#REF!,"AAAAAF19/+k=")</f>
        <v>#REF!</v>
      </c>
      <c r="IA213" t="e">
        <f>AND(#REF!,"AAAAAF19/+o=")</f>
        <v>#REF!</v>
      </c>
      <c r="IB213" t="e">
        <f>AND(#REF!,"AAAAAF19/+s=")</f>
        <v>#REF!</v>
      </c>
      <c r="IC213" t="e">
        <f>AND(#REF!,"AAAAAF19/+w=")</f>
        <v>#REF!</v>
      </c>
      <c r="ID213" t="e">
        <f>AND(#REF!,"AAAAAF19/+0=")</f>
        <v>#REF!</v>
      </c>
      <c r="IE213" t="e">
        <f>AND(#REF!,"AAAAAF19/+4=")</f>
        <v>#REF!</v>
      </c>
      <c r="IF213" t="e">
        <f>AND(#REF!,"AAAAAF19/+8=")</f>
        <v>#REF!</v>
      </c>
      <c r="IG213" t="e">
        <f>AND(#REF!,"AAAAAF19//A=")</f>
        <v>#REF!</v>
      </c>
      <c r="IH213" t="e">
        <f>AND(#REF!,"AAAAAF19//E=")</f>
        <v>#REF!</v>
      </c>
      <c r="II213" t="e">
        <f>AND(#REF!,"AAAAAF19//I=")</f>
        <v>#REF!</v>
      </c>
      <c r="IJ213" t="e">
        <f>AND(#REF!,"AAAAAF19//M=")</f>
        <v>#REF!</v>
      </c>
      <c r="IK213" t="e">
        <f>AND(#REF!,"AAAAAF19//Q=")</f>
        <v>#REF!</v>
      </c>
      <c r="IL213" t="e">
        <f>AND(#REF!,"AAAAAF19//U=")</f>
        <v>#REF!</v>
      </c>
      <c r="IM213" t="e">
        <f>AND(#REF!,"AAAAAF19//Y=")</f>
        <v>#REF!</v>
      </c>
      <c r="IN213" t="e">
        <f>AND(#REF!,"AAAAAF19//c=")</f>
        <v>#REF!</v>
      </c>
      <c r="IO213" t="e">
        <f>AND(#REF!,"AAAAAF19//g=")</f>
        <v>#REF!</v>
      </c>
      <c r="IP213" t="e">
        <f>AND(#REF!,"AAAAAF19//k=")</f>
        <v>#REF!</v>
      </c>
      <c r="IQ213" t="e">
        <f>AND(#REF!,"AAAAAF19//o=")</f>
        <v>#REF!</v>
      </c>
      <c r="IR213" t="e">
        <f>AND(#REF!,"AAAAAF19//s=")</f>
        <v>#REF!</v>
      </c>
      <c r="IS213" t="e">
        <f>AND(#REF!,"AAAAAF19//w=")</f>
        <v>#REF!</v>
      </c>
      <c r="IT213" t="e">
        <f>AND(#REF!,"AAAAAF19//0=")</f>
        <v>#REF!</v>
      </c>
      <c r="IU213" t="e">
        <f>AND(#REF!,"AAAAAF19//4=")</f>
        <v>#REF!</v>
      </c>
      <c r="IV213" t="e">
        <f>AND(#REF!,"AAAAAF19//8=")</f>
        <v>#REF!</v>
      </c>
    </row>
    <row r="214" spans="1:256" x14ac:dyDescent="0.25">
      <c r="A214" t="e">
        <f>AND(#REF!,"AAAAAH7ueQA=")</f>
        <v>#REF!</v>
      </c>
      <c r="B214" t="e">
        <f>AND(#REF!,"AAAAAH7ueQE=")</f>
        <v>#REF!</v>
      </c>
      <c r="C214" t="e">
        <f>AND(#REF!,"AAAAAH7ueQI=")</f>
        <v>#REF!</v>
      </c>
      <c r="D214" t="e">
        <f>AND(#REF!,"AAAAAH7ueQM=")</f>
        <v>#REF!</v>
      </c>
      <c r="E214" t="e">
        <f>AND(#REF!,"AAAAAH7ueQQ=")</f>
        <v>#REF!</v>
      </c>
      <c r="F214" t="e">
        <f>AND(#REF!,"AAAAAH7ueQU=")</f>
        <v>#REF!</v>
      </c>
      <c r="G214" t="e">
        <f>AND(#REF!,"AAAAAH7ueQY=")</f>
        <v>#REF!</v>
      </c>
      <c r="H214" t="e">
        <f>AND(#REF!,"AAAAAH7ueQc=")</f>
        <v>#REF!</v>
      </c>
      <c r="I214" t="e">
        <f>AND(#REF!,"AAAAAH7ueQg=")</f>
        <v>#REF!</v>
      </c>
      <c r="J214" t="e">
        <f>AND(#REF!,"AAAAAH7ueQk=")</f>
        <v>#REF!</v>
      </c>
      <c r="K214" t="e">
        <f>AND(#REF!,"AAAAAH7ueQo=")</f>
        <v>#REF!</v>
      </c>
      <c r="L214" t="e">
        <f>AND(#REF!,"AAAAAH7ueQs=")</f>
        <v>#REF!</v>
      </c>
      <c r="M214" t="e">
        <f>AND(#REF!,"AAAAAH7ueQw=")</f>
        <v>#REF!</v>
      </c>
      <c r="N214" t="e">
        <f>AND(#REF!,"AAAAAH7ueQ0=")</f>
        <v>#REF!</v>
      </c>
      <c r="O214" t="e">
        <f>AND(#REF!,"AAAAAH7ueQ4=")</f>
        <v>#REF!</v>
      </c>
      <c r="P214" t="e">
        <f>AND(#REF!,"AAAAAH7ueQ8=")</f>
        <v>#REF!</v>
      </c>
      <c r="Q214" t="e">
        <f>AND(#REF!,"AAAAAH7ueRA=")</f>
        <v>#REF!</v>
      </c>
      <c r="R214" t="e">
        <f>AND(#REF!,"AAAAAH7ueRE=")</f>
        <v>#REF!</v>
      </c>
      <c r="S214" t="e">
        <f>AND(#REF!,"AAAAAH7ueRI=")</f>
        <v>#REF!</v>
      </c>
      <c r="T214" t="e">
        <f>AND(#REF!,"AAAAAH7ueRM=")</f>
        <v>#REF!</v>
      </c>
      <c r="U214" t="e">
        <f>AND(#REF!,"AAAAAH7ueRQ=")</f>
        <v>#REF!</v>
      </c>
      <c r="V214" t="e">
        <f>AND(#REF!,"AAAAAH7ueRU=")</f>
        <v>#REF!</v>
      </c>
      <c r="W214" t="e">
        <f>AND(#REF!,"AAAAAH7ueRY=")</f>
        <v>#REF!</v>
      </c>
      <c r="X214" t="e">
        <f>AND(#REF!,"AAAAAH7ueRc=")</f>
        <v>#REF!</v>
      </c>
      <c r="Y214" t="e">
        <f>AND(#REF!,"AAAAAH7ueRg=")</f>
        <v>#REF!</v>
      </c>
      <c r="Z214" t="e">
        <f>AND(#REF!,"AAAAAH7ueRk=")</f>
        <v>#REF!</v>
      </c>
      <c r="AA214" t="e">
        <f>AND(#REF!,"AAAAAH7ueRo=")</f>
        <v>#REF!</v>
      </c>
      <c r="AB214" t="e">
        <f>AND(#REF!,"AAAAAH7ueRs=")</f>
        <v>#REF!</v>
      </c>
      <c r="AC214" t="e">
        <f>AND(#REF!,"AAAAAH7ueRw=")</f>
        <v>#REF!</v>
      </c>
      <c r="AD214" t="e">
        <f>AND(#REF!,"AAAAAH7ueR0=")</f>
        <v>#REF!</v>
      </c>
      <c r="AE214" t="e">
        <f>AND(#REF!,"AAAAAH7ueR4=")</f>
        <v>#REF!</v>
      </c>
      <c r="AF214" t="e">
        <f>AND(#REF!,"AAAAAH7ueR8=")</f>
        <v>#REF!</v>
      </c>
      <c r="AG214" t="e">
        <f>AND(#REF!,"AAAAAH7ueSA=")</f>
        <v>#REF!</v>
      </c>
      <c r="AH214" t="e">
        <f>AND(#REF!,"AAAAAH7ueSE=")</f>
        <v>#REF!</v>
      </c>
      <c r="AI214" t="e">
        <f>AND(#REF!,"AAAAAH7ueSI=")</f>
        <v>#REF!</v>
      </c>
      <c r="AJ214" t="e">
        <f>AND(#REF!,"AAAAAH7ueSM=")</f>
        <v>#REF!</v>
      </c>
      <c r="AK214" t="e">
        <f>AND(#REF!,"AAAAAH7ueSQ=")</f>
        <v>#REF!</v>
      </c>
      <c r="AL214" t="e">
        <f>AND(#REF!,"AAAAAH7ueSU=")</f>
        <v>#REF!</v>
      </c>
      <c r="AM214" t="e">
        <f>AND(#REF!,"AAAAAH7ueSY=")</f>
        <v>#REF!</v>
      </c>
      <c r="AN214" t="e">
        <f>AND(#REF!,"AAAAAH7ueSc=")</f>
        <v>#REF!</v>
      </c>
      <c r="AO214" t="e">
        <f>AND(#REF!,"AAAAAH7ueSg=")</f>
        <v>#REF!</v>
      </c>
      <c r="AP214" t="e">
        <f>AND(#REF!,"AAAAAH7ueSk=")</f>
        <v>#REF!</v>
      </c>
      <c r="AQ214" t="e">
        <f>AND(#REF!,"AAAAAH7ueSo=")</f>
        <v>#REF!</v>
      </c>
      <c r="AR214" t="e">
        <f>AND(#REF!,"AAAAAH7ueSs=")</f>
        <v>#REF!</v>
      </c>
      <c r="AS214" t="e">
        <f>AND(#REF!,"AAAAAH7ueSw=")</f>
        <v>#REF!</v>
      </c>
      <c r="AT214" t="e">
        <f>AND(#REF!,"AAAAAH7ueS0=")</f>
        <v>#REF!</v>
      </c>
      <c r="AU214" t="e">
        <f>AND(#REF!,"AAAAAH7ueS4=")</f>
        <v>#REF!</v>
      </c>
      <c r="AV214" t="e">
        <f>AND(#REF!,"AAAAAH7ueS8=")</f>
        <v>#REF!</v>
      </c>
      <c r="AW214" t="e">
        <f>AND(#REF!,"AAAAAH7ueTA=")</f>
        <v>#REF!</v>
      </c>
      <c r="AX214" t="e">
        <f>AND(#REF!,"AAAAAH7ueTE=")</f>
        <v>#REF!</v>
      </c>
      <c r="AY214" t="e">
        <f>AND(#REF!,"AAAAAH7ueTI=")</f>
        <v>#REF!</v>
      </c>
      <c r="AZ214" t="e">
        <f>AND(#REF!,"AAAAAH7ueTM=")</f>
        <v>#REF!</v>
      </c>
      <c r="BA214" t="e">
        <f>AND(#REF!,"AAAAAH7ueTQ=")</f>
        <v>#REF!</v>
      </c>
      <c r="BB214" t="e">
        <f>AND(#REF!,"AAAAAH7ueTU=")</f>
        <v>#REF!</v>
      </c>
      <c r="BC214" t="e">
        <f>AND(#REF!,"AAAAAH7ueTY=")</f>
        <v>#REF!</v>
      </c>
      <c r="BD214" t="e">
        <f>AND(#REF!,"AAAAAH7ueTc=")</f>
        <v>#REF!</v>
      </c>
      <c r="BE214" t="e">
        <f>AND(#REF!,"AAAAAH7ueTg=")</f>
        <v>#REF!</v>
      </c>
      <c r="BF214" t="e">
        <f>AND(#REF!,"AAAAAH7ueTk=")</f>
        <v>#REF!</v>
      </c>
      <c r="BG214" t="e">
        <f>AND(#REF!,"AAAAAH7ueTo=")</f>
        <v>#REF!</v>
      </c>
      <c r="BH214" t="e">
        <f>AND(#REF!,"AAAAAH7ueTs=")</f>
        <v>#REF!</v>
      </c>
      <c r="BI214" t="e">
        <f>AND(#REF!,"AAAAAH7ueTw=")</f>
        <v>#REF!</v>
      </c>
      <c r="BJ214" t="e">
        <f>AND(#REF!,"AAAAAH7ueT0=")</f>
        <v>#REF!</v>
      </c>
      <c r="BK214" t="e">
        <f>AND(#REF!,"AAAAAH7ueT4=")</f>
        <v>#REF!</v>
      </c>
      <c r="BL214" t="e">
        <f>AND(#REF!,"AAAAAH7ueT8=")</f>
        <v>#REF!</v>
      </c>
      <c r="BM214" t="e">
        <f>AND(#REF!,"AAAAAH7ueUA=")</f>
        <v>#REF!</v>
      </c>
      <c r="BN214" t="e">
        <f>AND(#REF!,"AAAAAH7ueUE=")</f>
        <v>#REF!</v>
      </c>
      <c r="BO214" t="e">
        <f>AND(#REF!,"AAAAAH7ueUI=")</f>
        <v>#REF!</v>
      </c>
      <c r="BP214" t="e">
        <f>AND(#REF!,"AAAAAH7ueUM=")</f>
        <v>#REF!</v>
      </c>
      <c r="BQ214" t="e">
        <f>AND(#REF!,"AAAAAH7ueUQ=")</f>
        <v>#REF!</v>
      </c>
      <c r="BR214" t="e">
        <f>AND(#REF!,"AAAAAH7ueUU=")</f>
        <v>#REF!</v>
      </c>
      <c r="BS214" t="e">
        <f>AND(#REF!,"AAAAAH7ueUY=")</f>
        <v>#REF!</v>
      </c>
      <c r="BT214" t="e">
        <f>AND(#REF!,"AAAAAH7ueUc=")</f>
        <v>#REF!</v>
      </c>
      <c r="BU214" t="e">
        <f>AND(#REF!,"AAAAAH7ueUg=")</f>
        <v>#REF!</v>
      </c>
      <c r="BV214" t="e">
        <f>AND(#REF!,"AAAAAH7ueUk=")</f>
        <v>#REF!</v>
      </c>
      <c r="BW214" t="e">
        <f>AND(#REF!,"AAAAAH7ueUo=")</f>
        <v>#REF!</v>
      </c>
      <c r="BX214" t="e">
        <f>AND(#REF!,"AAAAAH7ueUs=")</f>
        <v>#REF!</v>
      </c>
      <c r="BY214" t="e">
        <f>AND(#REF!,"AAAAAH7ueUw=")</f>
        <v>#REF!</v>
      </c>
      <c r="BZ214" t="e">
        <f>AND(#REF!,"AAAAAH7ueU0=")</f>
        <v>#REF!</v>
      </c>
      <c r="CA214" t="e">
        <f>AND(#REF!,"AAAAAH7ueU4=")</f>
        <v>#REF!</v>
      </c>
      <c r="CB214" t="e">
        <f>AND(#REF!,"AAAAAH7ueU8=")</f>
        <v>#REF!</v>
      </c>
      <c r="CC214" t="e">
        <f>AND(#REF!,"AAAAAH7ueVA=")</f>
        <v>#REF!</v>
      </c>
      <c r="CD214" t="e">
        <f>AND(#REF!,"AAAAAH7ueVE=")</f>
        <v>#REF!</v>
      </c>
      <c r="CE214" t="e">
        <f>AND(#REF!,"AAAAAH7ueVI=")</f>
        <v>#REF!</v>
      </c>
      <c r="CF214" t="e">
        <f>AND(#REF!,"AAAAAH7ueVM=")</f>
        <v>#REF!</v>
      </c>
      <c r="CG214" t="e">
        <f>AND(#REF!,"AAAAAH7ueVQ=")</f>
        <v>#REF!</v>
      </c>
      <c r="CH214" t="e">
        <f>IF(#REF!,"AAAAAH7ueVU=",0)</f>
        <v>#REF!</v>
      </c>
      <c r="CI214" t="e">
        <f>AND(#REF!,"AAAAAH7ueVY=")</f>
        <v>#REF!</v>
      </c>
      <c r="CJ214" t="e">
        <f>AND(#REF!,"AAAAAH7ueVc=")</f>
        <v>#REF!</v>
      </c>
      <c r="CK214" t="e">
        <f>AND(#REF!,"AAAAAH7ueVg=")</f>
        <v>#REF!</v>
      </c>
      <c r="CL214" t="e">
        <f>AND(#REF!,"AAAAAH7ueVk=")</f>
        <v>#REF!</v>
      </c>
      <c r="CM214" t="e">
        <f>AND(#REF!,"AAAAAH7ueVo=")</f>
        <v>#REF!</v>
      </c>
      <c r="CN214" t="e">
        <f>AND(#REF!,"AAAAAH7ueVs=")</f>
        <v>#REF!</v>
      </c>
      <c r="CO214" t="e">
        <f>AND(#REF!,"AAAAAH7ueVw=")</f>
        <v>#REF!</v>
      </c>
      <c r="CP214" t="e">
        <f>AND(#REF!,"AAAAAH7ueV0=")</f>
        <v>#REF!</v>
      </c>
      <c r="CQ214" t="e">
        <f>AND(#REF!,"AAAAAH7ueV4=")</f>
        <v>#REF!</v>
      </c>
      <c r="CR214" t="e">
        <f>AND(#REF!,"AAAAAH7ueV8=")</f>
        <v>#REF!</v>
      </c>
      <c r="CS214" t="e">
        <f>AND(#REF!,"AAAAAH7ueWA=")</f>
        <v>#REF!</v>
      </c>
      <c r="CT214" t="e">
        <f>AND(#REF!,"AAAAAH7ueWE=")</f>
        <v>#REF!</v>
      </c>
      <c r="CU214" t="e">
        <f>AND(#REF!,"AAAAAH7ueWI=")</f>
        <v>#REF!</v>
      </c>
      <c r="CV214" t="e">
        <f>AND(#REF!,"AAAAAH7ueWM=")</f>
        <v>#REF!</v>
      </c>
      <c r="CW214" t="e">
        <f>AND(#REF!,"AAAAAH7ueWQ=")</f>
        <v>#REF!</v>
      </c>
      <c r="CX214" t="e">
        <f>AND(#REF!,"AAAAAH7ueWU=")</f>
        <v>#REF!</v>
      </c>
      <c r="CY214" t="e">
        <f>AND(#REF!,"AAAAAH7ueWY=")</f>
        <v>#REF!</v>
      </c>
      <c r="CZ214" t="e">
        <f>AND(#REF!,"AAAAAH7ueWc=")</f>
        <v>#REF!</v>
      </c>
      <c r="DA214" t="e">
        <f>AND(#REF!,"AAAAAH7ueWg=")</f>
        <v>#REF!</v>
      </c>
      <c r="DB214" t="e">
        <f>AND(#REF!,"AAAAAH7ueWk=")</f>
        <v>#REF!</v>
      </c>
      <c r="DC214" t="e">
        <f>AND(#REF!,"AAAAAH7ueWo=")</f>
        <v>#REF!</v>
      </c>
      <c r="DD214" t="e">
        <f>AND(#REF!,"AAAAAH7ueWs=")</f>
        <v>#REF!</v>
      </c>
      <c r="DE214" t="e">
        <f>AND(#REF!,"AAAAAH7ueWw=")</f>
        <v>#REF!</v>
      </c>
      <c r="DF214" t="e">
        <f>AND(#REF!,"AAAAAH7ueW0=")</f>
        <v>#REF!</v>
      </c>
      <c r="DG214" t="e">
        <f>AND(#REF!,"AAAAAH7ueW4=")</f>
        <v>#REF!</v>
      </c>
      <c r="DH214" t="e">
        <f>AND(#REF!,"AAAAAH7ueW8=")</f>
        <v>#REF!</v>
      </c>
      <c r="DI214" t="e">
        <f>AND(#REF!,"AAAAAH7ueXA=")</f>
        <v>#REF!</v>
      </c>
      <c r="DJ214" t="e">
        <f>AND(#REF!,"AAAAAH7ueXE=")</f>
        <v>#REF!</v>
      </c>
      <c r="DK214" t="e">
        <f>AND(#REF!,"AAAAAH7ueXI=")</f>
        <v>#REF!</v>
      </c>
      <c r="DL214" t="e">
        <f>AND(#REF!,"AAAAAH7ueXM=")</f>
        <v>#REF!</v>
      </c>
      <c r="DM214" t="e">
        <f>AND(#REF!,"AAAAAH7ueXQ=")</f>
        <v>#REF!</v>
      </c>
      <c r="DN214" t="e">
        <f>AND(#REF!,"AAAAAH7ueXU=")</f>
        <v>#REF!</v>
      </c>
      <c r="DO214" t="e">
        <f>AND(#REF!,"AAAAAH7ueXY=")</f>
        <v>#REF!</v>
      </c>
      <c r="DP214" t="e">
        <f>AND(#REF!,"AAAAAH7ueXc=")</f>
        <v>#REF!</v>
      </c>
      <c r="DQ214" t="e">
        <f>AND(#REF!,"AAAAAH7ueXg=")</f>
        <v>#REF!</v>
      </c>
      <c r="DR214" t="e">
        <f>AND(#REF!,"AAAAAH7ueXk=")</f>
        <v>#REF!</v>
      </c>
      <c r="DS214" t="e">
        <f>AND(#REF!,"AAAAAH7ueXo=")</f>
        <v>#REF!</v>
      </c>
      <c r="DT214" t="e">
        <f>AND(#REF!,"AAAAAH7ueXs=")</f>
        <v>#REF!</v>
      </c>
      <c r="DU214" t="e">
        <f>AND(#REF!,"AAAAAH7ueXw=")</f>
        <v>#REF!</v>
      </c>
      <c r="DV214" t="e">
        <f>AND(#REF!,"AAAAAH7ueX0=")</f>
        <v>#REF!</v>
      </c>
      <c r="DW214" t="e">
        <f>AND(#REF!,"AAAAAH7ueX4=")</f>
        <v>#REF!</v>
      </c>
      <c r="DX214" t="e">
        <f>AND(#REF!,"AAAAAH7ueX8=")</f>
        <v>#REF!</v>
      </c>
      <c r="DY214" t="e">
        <f>AND(#REF!,"AAAAAH7ueYA=")</f>
        <v>#REF!</v>
      </c>
      <c r="DZ214" t="e">
        <f>AND(#REF!,"AAAAAH7ueYE=")</f>
        <v>#REF!</v>
      </c>
      <c r="EA214" t="e">
        <f>AND(#REF!,"AAAAAH7ueYI=")</f>
        <v>#REF!</v>
      </c>
      <c r="EB214" t="e">
        <f>AND(#REF!,"AAAAAH7ueYM=")</f>
        <v>#REF!</v>
      </c>
      <c r="EC214" t="e">
        <f>AND(#REF!,"AAAAAH7ueYQ=")</f>
        <v>#REF!</v>
      </c>
      <c r="ED214" t="e">
        <f>AND(#REF!,"AAAAAH7ueYU=")</f>
        <v>#REF!</v>
      </c>
      <c r="EE214" t="e">
        <f>AND(#REF!,"AAAAAH7ueYY=")</f>
        <v>#REF!</v>
      </c>
      <c r="EF214" t="e">
        <f>AND(#REF!,"AAAAAH7ueYc=")</f>
        <v>#REF!</v>
      </c>
      <c r="EG214" t="e">
        <f>AND(#REF!,"AAAAAH7ueYg=")</f>
        <v>#REF!</v>
      </c>
      <c r="EH214" t="e">
        <f>AND(#REF!,"AAAAAH7ueYk=")</f>
        <v>#REF!</v>
      </c>
      <c r="EI214" t="e">
        <f>AND(#REF!,"AAAAAH7ueYo=")</f>
        <v>#REF!</v>
      </c>
      <c r="EJ214" t="e">
        <f>AND(#REF!,"AAAAAH7ueYs=")</f>
        <v>#REF!</v>
      </c>
      <c r="EK214" t="e">
        <f>AND(#REF!,"AAAAAH7ueYw=")</f>
        <v>#REF!</v>
      </c>
      <c r="EL214" t="e">
        <f>AND(#REF!,"AAAAAH7ueY0=")</f>
        <v>#REF!</v>
      </c>
      <c r="EM214" t="e">
        <f>AND(#REF!,"AAAAAH7ueY4=")</f>
        <v>#REF!</v>
      </c>
      <c r="EN214" t="e">
        <f>AND(#REF!,"AAAAAH7ueY8=")</f>
        <v>#REF!</v>
      </c>
      <c r="EO214" t="e">
        <f>AND(#REF!,"AAAAAH7ueZA=")</f>
        <v>#REF!</v>
      </c>
      <c r="EP214" t="e">
        <f>AND(#REF!,"AAAAAH7ueZE=")</f>
        <v>#REF!</v>
      </c>
      <c r="EQ214" t="e">
        <f>AND(#REF!,"AAAAAH7ueZI=")</f>
        <v>#REF!</v>
      </c>
      <c r="ER214" t="e">
        <f>AND(#REF!,"AAAAAH7ueZM=")</f>
        <v>#REF!</v>
      </c>
      <c r="ES214" t="e">
        <f>AND(#REF!,"AAAAAH7ueZQ=")</f>
        <v>#REF!</v>
      </c>
      <c r="ET214" t="e">
        <f>AND(#REF!,"AAAAAH7ueZU=")</f>
        <v>#REF!</v>
      </c>
      <c r="EU214" t="e">
        <f>AND(#REF!,"AAAAAH7ueZY=")</f>
        <v>#REF!</v>
      </c>
      <c r="EV214" t="e">
        <f>AND(#REF!,"AAAAAH7ueZc=")</f>
        <v>#REF!</v>
      </c>
      <c r="EW214" t="e">
        <f>AND(#REF!,"AAAAAH7ueZg=")</f>
        <v>#REF!</v>
      </c>
      <c r="EX214" t="e">
        <f>AND(#REF!,"AAAAAH7ueZk=")</f>
        <v>#REF!</v>
      </c>
      <c r="EY214" t="e">
        <f>AND(#REF!,"AAAAAH7ueZo=")</f>
        <v>#REF!</v>
      </c>
      <c r="EZ214" t="e">
        <f>AND(#REF!,"AAAAAH7ueZs=")</f>
        <v>#REF!</v>
      </c>
      <c r="FA214" t="e">
        <f>AND(#REF!,"AAAAAH7ueZw=")</f>
        <v>#REF!</v>
      </c>
      <c r="FB214" t="e">
        <f>AND(#REF!,"AAAAAH7ueZ0=")</f>
        <v>#REF!</v>
      </c>
      <c r="FC214" t="e">
        <f>AND(#REF!,"AAAAAH7ueZ4=")</f>
        <v>#REF!</v>
      </c>
      <c r="FD214" t="e">
        <f>AND(#REF!,"AAAAAH7ueZ8=")</f>
        <v>#REF!</v>
      </c>
      <c r="FE214" t="e">
        <f>AND(#REF!,"AAAAAH7ueaA=")</f>
        <v>#REF!</v>
      </c>
      <c r="FF214" t="e">
        <f>AND(#REF!,"AAAAAH7ueaE=")</f>
        <v>#REF!</v>
      </c>
      <c r="FG214" t="e">
        <f>AND(#REF!,"AAAAAH7ueaI=")</f>
        <v>#REF!</v>
      </c>
      <c r="FH214" t="e">
        <f>AND(#REF!,"AAAAAH7ueaM=")</f>
        <v>#REF!</v>
      </c>
      <c r="FI214" t="e">
        <f>AND(#REF!,"AAAAAH7ueaQ=")</f>
        <v>#REF!</v>
      </c>
      <c r="FJ214" t="e">
        <f>AND(#REF!,"AAAAAH7ueaU=")</f>
        <v>#REF!</v>
      </c>
      <c r="FK214" t="e">
        <f>AND(#REF!,"AAAAAH7ueaY=")</f>
        <v>#REF!</v>
      </c>
      <c r="FL214" t="e">
        <f>AND(#REF!,"AAAAAH7ueac=")</f>
        <v>#REF!</v>
      </c>
      <c r="FM214" t="e">
        <f>AND(#REF!,"AAAAAH7ueag=")</f>
        <v>#REF!</v>
      </c>
      <c r="FN214" t="e">
        <f>AND(#REF!,"AAAAAH7ueak=")</f>
        <v>#REF!</v>
      </c>
      <c r="FO214" t="e">
        <f>AND(#REF!,"AAAAAH7ueao=")</f>
        <v>#REF!</v>
      </c>
      <c r="FP214" t="e">
        <f>AND(#REF!,"AAAAAH7ueas=")</f>
        <v>#REF!</v>
      </c>
      <c r="FQ214" t="e">
        <f>AND(#REF!,"AAAAAH7ueaw=")</f>
        <v>#REF!</v>
      </c>
      <c r="FR214" t="e">
        <f>AND(#REF!,"AAAAAH7uea0=")</f>
        <v>#REF!</v>
      </c>
      <c r="FS214" t="e">
        <f>AND(#REF!,"AAAAAH7uea4=")</f>
        <v>#REF!</v>
      </c>
      <c r="FT214" t="e">
        <f>AND(#REF!,"AAAAAH7uea8=")</f>
        <v>#REF!</v>
      </c>
      <c r="FU214" t="e">
        <f>AND(#REF!,"AAAAAH7uebA=")</f>
        <v>#REF!</v>
      </c>
      <c r="FV214" t="e">
        <f>AND(#REF!,"AAAAAH7uebE=")</f>
        <v>#REF!</v>
      </c>
      <c r="FW214" t="e">
        <f>AND(#REF!,"AAAAAH7uebI=")</f>
        <v>#REF!</v>
      </c>
      <c r="FX214" t="e">
        <f>AND(#REF!,"AAAAAH7uebM=")</f>
        <v>#REF!</v>
      </c>
      <c r="FY214" t="e">
        <f>AND(#REF!,"AAAAAH7uebQ=")</f>
        <v>#REF!</v>
      </c>
      <c r="FZ214" t="e">
        <f>AND(#REF!,"AAAAAH7uebU=")</f>
        <v>#REF!</v>
      </c>
      <c r="GA214" t="e">
        <f>AND(#REF!,"AAAAAH7uebY=")</f>
        <v>#REF!</v>
      </c>
      <c r="GB214" t="e">
        <f>AND(#REF!,"AAAAAH7uebc=")</f>
        <v>#REF!</v>
      </c>
      <c r="GC214" t="e">
        <f>AND(#REF!,"AAAAAH7uebg=")</f>
        <v>#REF!</v>
      </c>
      <c r="GD214" t="e">
        <f>AND(#REF!,"AAAAAH7uebk=")</f>
        <v>#REF!</v>
      </c>
      <c r="GE214" t="e">
        <f>AND(#REF!,"AAAAAH7uebo=")</f>
        <v>#REF!</v>
      </c>
      <c r="GF214" t="e">
        <f>AND(#REF!,"AAAAAH7uebs=")</f>
        <v>#REF!</v>
      </c>
      <c r="GG214" t="e">
        <f>AND(#REF!,"AAAAAH7uebw=")</f>
        <v>#REF!</v>
      </c>
      <c r="GH214" t="e">
        <f>AND(#REF!,"AAAAAH7ueb0=")</f>
        <v>#REF!</v>
      </c>
      <c r="GI214" t="e">
        <f>AND(#REF!,"AAAAAH7ueb4=")</f>
        <v>#REF!</v>
      </c>
      <c r="GJ214" t="e">
        <f>AND(#REF!,"AAAAAH7ueb8=")</f>
        <v>#REF!</v>
      </c>
      <c r="GK214" t="e">
        <f>AND(#REF!,"AAAAAH7uecA=")</f>
        <v>#REF!</v>
      </c>
      <c r="GL214" t="e">
        <f>AND(#REF!,"AAAAAH7uecE=")</f>
        <v>#REF!</v>
      </c>
      <c r="GM214" t="e">
        <f>AND(#REF!,"AAAAAH7uecI=")</f>
        <v>#REF!</v>
      </c>
      <c r="GN214" t="e">
        <f>AND(#REF!,"AAAAAH7uecM=")</f>
        <v>#REF!</v>
      </c>
      <c r="GO214" t="e">
        <f>AND(#REF!,"AAAAAH7uecQ=")</f>
        <v>#REF!</v>
      </c>
      <c r="GP214" t="e">
        <f>AND(#REF!,"AAAAAH7uecU=")</f>
        <v>#REF!</v>
      </c>
      <c r="GQ214" t="e">
        <f>AND(#REF!,"AAAAAH7uecY=")</f>
        <v>#REF!</v>
      </c>
      <c r="GR214" t="e">
        <f>AND(#REF!,"AAAAAH7uecc=")</f>
        <v>#REF!</v>
      </c>
      <c r="GS214" t="e">
        <f>AND(#REF!,"AAAAAH7uecg=")</f>
        <v>#REF!</v>
      </c>
      <c r="GT214" t="e">
        <f>AND(#REF!,"AAAAAH7ueck=")</f>
        <v>#REF!</v>
      </c>
      <c r="GU214" t="e">
        <f>AND(#REF!,"AAAAAH7ueco=")</f>
        <v>#REF!</v>
      </c>
      <c r="GV214" t="e">
        <f>AND(#REF!,"AAAAAH7uecs=")</f>
        <v>#REF!</v>
      </c>
      <c r="GW214" t="e">
        <f>AND(#REF!,"AAAAAH7uecw=")</f>
        <v>#REF!</v>
      </c>
      <c r="GX214" t="e">
        <f>AND(#REF!,"AAAAAH7uec0=")</f>
        <v>#REF!</v>
      </c>
      <c r="GY214" t="e">
        <f>AND(#REF!,"AAAAAH7uec4=")</f>
        <v>#REF!</v>
      </c>
      <c r="GZ214" t="e">
        <f>AND(#REF!,"AAAAAH7uec8=")</f>
        <v>#REF!</v>
      </c>
      <c r="HA214" t="e">
        <f>AND(#REF!,"AAAAAH7uedA=")</f>
        <v>#REF!</v>
      </c>
      <c r="HB214" t="e">
        <f>AND(#REF!,"AAAAAH7uedE=")</f>
        <v>#REF!</v>
      </c>
      <c r="HC214" t="e">
        <f>AND(#REF!,"AAAAAH7uedI=")</f>
        <v>#REF!</v>
      </c>
      <c r="HD214" t="e">
        <f>AND(#REF!,"AAAAAH7uedM=")</f>
        <v>#REF!</v>
      </c>
      <c r="HE214" t="e">
        <f>AND(#REF!,"AAAAAH7uedQ=")</f>
        <v>#REF!</v>
      </c>
      <c r="HF214" t="e">
        <f>AND(#REF!,"AAAAAH7uedU=")</f>
        <v>#REF!</v>
      </c>
      <c r="HG214" t="e">
        <f>AND(#REF!,"AAAAAH7uedY=")</f>
        <v>#REF!</v>
      </c>
      <c r="HH214" t="e">
        <f>AND(#REF!,"AAAAAH7uedc=")</f>
        <v>#REF!</v>
      </c>
      <c r="HI214" t="e">
        <f>AND(#REF!,"AAAAAH7uedg=")</f>
        <v>#REF!</v>
      </c>
      <c r="HJ214" t="e">
        <f>AND(#REF!,"AAAAAH7uedk=")</f>
        <v>#REF!</v>
      </c>
      <c r="HK214" t="e">
        <f>AND(#REF!,"AAAAAH7uedo=")</f>
        <v>#REF!</v>
      </c>
      <c r="HL214" t="e">
        <f>AND(#REF!,"AAAAAH7ueds=")</f>
        <v>#REF!</v>
      </c>
      <c r="HM214" t="e">
        <f>AND(#REF!,"AAAAAH7uedw=")</f>
        <v>#REF!</v>
      </c>
      <c r="HN214" t="e">
        <f>AND(#REF!,"AAAAAH7ued0=")</f>
        <v>#REF!</v>
      </c>
      <c r="HO214" t="e">
        <f>AND(#REF!,"AAAAAH7ued4=")</f>
        <v>#REF!</v>
      </c>
      <c r="HP214" t="e">
        <f>AND(#REF!,"AAAAAH7ued8=")</f>
        <v>#REF!</v>
      </c>
      <c r="HQ214" t="e">
        <f>AND(#REF!,"AAAAAH7ueeA=")</f>
        <v>#REF!</v>
      </c>
      <c r="HR214" t="e">
        <f>AND(#REF!,"AAAAAH7ueeE=")</f>
        <v>#REF!</v>
      </c>
      <c r="HS214" t="e">
        <f>AND(#REF!,"AAAAAH7ueeI=")</f>
        <v>#REF!</v>
      </c>
      <c r="HT214" t="e">
        <f>AND(#REF!,"AAAAAH7ueeM=")</f>
        <v>#REF!</v>
      </c>
      <c r="HU214" t="e">
        <f>AND(#REF!,"AAAAAH7ueeQ=")</f>
        <v>#REF!</v>
      </c>
      <c r="HV214" t="e">
        <f>AND(#REF!,"AAAAAH7ueeU=")</f>
        <v>#REF!</v>
      </c>
      <c r="HW214" t="e">
        <f>AND(#REF!,"AAAAAH7ueeY=")</f>
        <v>#REF!</v>
      </c>
      <c r="HX214" t="e">
        <f>AND(#REF!,"AAAAAH7ueec=")</f>
        <v>#REF!</v>
      </c>
      <c r="HY214" t="e">
        <f>AND(#REF!,"AAAAAH7ueeg=")</f>
        <v>#REF!</v>
      </c>
      <c r="HZ214" t="e">
        <f>AND(#REF!,"AAAAAH7ueek=")</f>
        <v>#REF!</v>
      </c>
      <c r="IA214" t="e">
        <f>AND(#REF!,"AAAAAH7ueeo=")</f>
        <v>#REF!</v>
      </c>
      <c r="IB214" t="e">
        <f>AND(#REF!,"AAAAAH7uees=")</f>
        <v>#REF!</v>
      </c>
      <c r="IC214" t="e">
        <f>AND(#REF!,"AAAAAH7ueew=")</f>
        <v>#REF!</v>
      </c>
      <c r="ID214" t="e">
        <f>AND(#REF!,"AAAAAH7uee0=")</f>
        <v>#REF!</v>
      </c>
      <c r="IE214" t="e">
        <f>AND(#REF!,"AAAAAH7uee4=")</f>
        <v>#REF!</v>
      </c>
      <c r="IF214" t="e">
        <f>AND(#REF!,"AAAAAH7uee8=")</f>
        <v>#REF!</v>
      </c>
      <c r="IG214" t="e">
        <f>AND(#REF!,"AAAAAH7uefA=")</f>
        <v>#REF!</v>
      </c>
      <c r="IH214" t="e">
        <f>AND(#REF!,"AAAAAH7uefE=")</f>
        <v>#REF!</v>
      </c>
      <c r="II214" t="e">
        <f>AND(#REF!,"AAAAAH7uefI=")</f>
        <v>#REF!</v>
      </c>
      <c r="IJ214" t="e">
        <f>AND(#REF!,"AAAAAH7uefM=")</f>
        <v>#REF!</v>
      </c>
      <c r="IK214" t="e">
        <f>AND(#REF!,"AAAAAH7uefQ=")</f>
        <v>#REF!</v>
      </c>
      <c r="IL214" t="e">
        <f>AND(#REF!,"AAAAAH7uefU=")</f>
        <v>#REF!</v>
      </c>
      <c r="IM214" t="e">
        <f>AND(#REF!,"AAAAAH7uefY=")</f>
        <v>#REF!</v>
      </c>
      <c r="IN214" t="e">
        <f>AND(#REF!,"AAAAAH7uefc=")</f>
        <v>#REF!</v>
      </c>
      <c r="IO214" t="e">
        <f>AND(#REF!,"AAAAAH7uefg=")</f>
        <v>#REF!</v>
      </c>
      <c r="IP214" t="e">
        <f>AND(#REF!,"AAAAAH7uefk=")</f>
        <v>#REF!</v>
      </c>
      <c r="IQ214" t="e">
        <f>AND(#REF!,"AAAAAH7uefo=")</f>
        <v>#REF!</v>
      </c>
      <c r="IR214" t="e">
        <f>AND(#REF!,"AAAAAH7uefs=")</f>
        <v>#REF!</v>
      </c>
      <c r="IS214" t="e">
        <f>AND(#REF!,"AAAAAH7uefw=")</f>
        <v>#REF!</v>
      </c>
      <c r="IT214" t="e">
        <f>AND(#REF!,"AAAAAH7uef0=")</f>
        <v>#REF!</v>
      </c>
      <c r="IU214" t="e">
        <f>AND(#REF!,"AAAAAH7uef4=")</f>
        <v>#REF!</v>
      </c>
      <c r="IV214" t="e">
        <f>AND(#REF!,"AAAAAH7uef8=")</f>
        <v>#REF!</v>
      </c>
    </row>
    <row r="215" spans="1:256" x14ac:dyDescent="0.25">
      <c r="A215" t="e">
        <f>AND(#REF!,"AAAAAH/f3wA=")</f>
        <v>#REF!</v>
      </c>
      <c r="B215" t="e">
        <f>AND(#REF!,"AAAAAH/f3wE=")</f>
        <v>#REF!</v>
      </c>
      <c r="C215" t="e">
        <f>AND(#REF!,"AAAAAH/f3wI=")</f>
        <v>#REF!</v>
      </c>
      <c r="D215" t="e">
        <f>AND(#REF!,"AAAAAH/f3wM=")</f>
        <v>#REF!</v>
      </c>
      <c r="E215" t="e">
        <f>AND(#REF!,"AAAAAH/f3wQ=")</f>
        <v>#REF!</v>
      </c>
      <c r="F215" t="e">
        <f>AND(#REF!,"AAAAAH/f3wU=")</f>
        <v>#REF!</v>
      </c>
      <c r="G215" t="e">
        <f>AND(#REF!,"AAAAAH/f3wY=")</f>
        <v>#REF!</v>
      </c>
      <c r="H215" t="e">
        <f>AND(#REF!,"AAAAAH/f3wc=")</f>
        <v>#REF!</v>
      </c>
      <c r="I215" t="e">
        <f>AND(#REF!,"AAAAAH/f3wg=")</f>
        <v>#REF!</v>
      </c>
      <c r="J215" t="e">
        <f>AND(#REF!,"AAAAAH/f3wk=")</f>
        <v>#REF!</v>
      </c>
      <c r="K215" t="e">
        <f>AND(#REF!,"AAAAAH/f3wo=")</f>
        <v>#REF!</v>
      </c>
      <c r="L215" t="e">
        <f>AND(#REF!,"AAAAAH/f3ws=")</f>
        <v>#REF!</v>
      </c>
      <c r="M215" t="e">
        <f>AND(#REF!,"AAAAAH/f3ww=")</f>
        <v>#REF!</v>
      </c>
      <c r="N215" t="e">
        <f>AND(#REF!,"AAAAAH/f3w0=")</f>
        <v>#REF!</v>
      </c>
      <c r="O215" t="e">
        <f>AND(#REF!,"AAAAAH/f3w4=")</f>
        <v>#REF!</v>
      </c>
      <c r="P215" t="e">
        <f>AND(#REF!,"AAAAAH/f3w8=")</f>
        <v>#REF!</v>
      </c>
      <c r="Q215" t="e">
        <f>AND(#REF!,"AAAAAH/f3xA=")</f>
        <v>#REF!</v>
      </c>
      <c r="R215" t="e">
        <f>AND(#REF!,"AAAAAH/f3xE=")</f>
        <v>#REF!</v>
      </c>
      <c r="S215" t="e">
        <f>IF(#REF!,"AAAAAH/f3xI=",0)</f>
        <v>#REF!</v>
      </c>
      <c r="T215" t="e">
        <f>AND(#REF!,"AAAAAH/f3xM=")</f>
        <v>#REF!</v>
      </c>
      <c r="U215" t="e">
        <f>AND(#REF!,"AAAAAH/f3xQ=")</f>
        <v>#REF!</v>
      </c>
      <c r="V215" t="e">
        <f>AND(#REF!,"AAAAAH/f3xU=")</f>
        <v>#REF!</v>
      </c>
      <c r="W215" t="e">
        <f>AND(#REF!,"AAAAAH/f3xY=")</f>
        <v>#REF!</v>
      </c>
      <c r="X215" t="e">
        <f>AND(#REF!,"AAAAAH/f3xc=")</f>
        <v>#REF!</v>
      </c>
      <c r="Y215" t="e">
        <f>AND(#REF!,"AAAAAH/f3xg=")</f>
        <v>#REF!</v>
      </c>
      <c r="Z215" t="e">
        <f>AND(#REF!,"AAAAAH/f3xk=")</f>
        <v>#REF!</v>
      </c>
      <c r="AA215" t="e">
        <f>AND(#REF!,"AAAAAH/f3xo=")</f>
        <v>#REF!</v>
      </c>
      <c r="AB215" t="e">
        <f>AND(#REF!,"AAAAAH/f3xs=")</f>
        <v>#REF!</v>
      </c>
      <c r="AC215" t="e">
        <f>AND(#REF!,"AAAAAH/f3xw=")</f>
        <v>#REF!</v>
      </c>
      <c r="AD215" t="e">
        <f>AND(#REF!,"AAAAAH/f3x0=")</f>
        <v>#REF!</v>
      </c>
      <c r="AE215" t="e">
        <f>AND(#REF!,"AAAAAH/f3x4=")</f>
        <v>#REF!</v>
      </c>
      <c r="AF215" t="e">
        <f>AND(#REF!,"AAAAAH/f3x8=")</f>
        <v>#REF!</v>
      </c>
      <c r="AG215" t="e">
        <f>AND(#REF!,"AAAAAH/f3yA=")</f>
        <v>#REF!</v>
      </c>
      <c r="AH215" t="e">
        <f>AND(#REF!,"AAAAAH/f3yE=")</f>
        <v>#REF!</v>
      </c>
      <c r="AI215" t="e">
        <f>AND(#REF!,"AAAAAH/f3yI=")</f>
        <v>#REF!</v>
      </c>
      <c r="AJ215" t="e">
        <f>AND(#REF!,"AAAAAH/f3yM=")</f>
        <v>#REF!</v>
      </c>
      <c r="AK215" t="e">
        <f>AND(#REF!,"AAAAAH/f3yQ=")</f>
        <v>#REF!</v>
      </c>
      <c r="AL215" t="e">
        <f>AND(#REF!,"AAAAAH/f3yU=")</f>
        <v>#REF!</v>
      </c>
      <c r="AM215" t="e">
        <f>AND(#REF!,"AAAAAH/f3yY=")</f>
        <v>#REF!</v>
      </c>
      <c r="AN215" t="e">
        <f>AND(#REF!,"AAAAAH/f3yc=")</f>
        <v>#REF!</v>
      </c>
      <c r="AO215" t="e">
        <f>AND(#REF!,"AAAAAH/f3yg=")</f>
        <v>#REF!</v>
      </c>
      <c r="AP215" t="e">
        <f>AND(#REF!,"AAAAAH/f3yk=")</f>
        <v>#REF!</v>
      </c>
      <c r="AQ215" t="e">
        <f>AND(#REF!,"AAAAAH/f3yo=")</f>
        <v>#REF!</v>
      </c>
      <c r="AR215" t="e">
        <f>AND(#REF!,"AAAAAH/f3ys=")</f>
        <v>#REF!</v>
      </c>
      <c r="AS215" t="e">
        <f>AND(#REF!,"AAAAAH/f3yw=")</f>
        <v>#REF!</v>
      </c>
      <c r="AT215" t="e">
        <f>AND(#REF!,"AAAAAH/f3y0=")</f>
        <v>#REF!</v>
      </c>
      <c r="AU215" t="e">
        <f>AND(#REF!,"AAAAAH/f3y4=")</f>
        <v>#REF!</v>
      </c>
      <c r="AV215" t="e">
        <f>AND(#REF!,"AAAAAH/f3y8=")</f>
        <v>#REF!</v>
      </c>
      <c r="AW215" t="e">
        <f>AND(#REF!,"AAAAAH/f3zA=")</f>
        <v>#REF!</v>
      </c>
      <c r="AX215" t="e">
        <f>AND(#REF!,"AAAAAH/f3zE=")</f>
        <v>#REF!</v>
      </c>
      <c r="AY215" t="e">
        <f>AND(#REF!,"AAAAAH/f3zI=")</f>
        <v>#REF!</v>
      </c>
      <c r="AZ215" t="e">
        <f>AND(#REF!,"AAAAAH/f3zM=")</f>
        <v>#REF!</v>
      </c>
      <c r="BA215" t="e">
        <f>AND(#REF!,"AAAAAH/f3zQ=")</f>
        <v>#REF!</v>
      </c>
      <c r="BB215" t="e">
        <f>AND(#REF!,"AAAAAH/f3zU=")</f>
        <v>#REF!</v>
      </c>
      <c r="BC215" t="e">
        <f>AND(#REF!,"AAAAAH/f3zY=")</f>
        <v>#REF!</v>
      </c>
      <c r="BD215" t="e">
        <f>AND(#REF!,"AAAAAH/f3zc=")</f>
        <v>#REF!</v>
      </c>
      <c r="BE215" t="e">
        <f>AND(#REF!,"AAAAAH/f3zg=")</f>
        <v>#REF!</v>
      </c>
      <c r="BF215" t="e">
        <f>AND(#REF!,"AAAAAH/f3zk=")</f>
        <v>#REF!</v>
      </c>
      <c r="BG215" t="e">
        <f>AND(#REF!,"AAAAAH/f3zo=")</f>
        <v>#REF!</v>
      </c>
      <c r="BH215" t="e">
        <f>AND(#REF!,"AAAAAH/f3zs=")</f>
        <v>#REF!</v>
      </c>
      <c r="BI215" t="e">
        <f>AND(#REF!,"AAAAAH/f3zw=")</f>
        <v>#REF!</v>
      </c>
      <c r="BJ215" t="e">
        <f>AND(#REF!,"AAAAAH/f3z0=")</f>
        <v>#REF!</v>
      </c>
      <c r="BK215" t="e">
        <f>AND(#REF!,"AAAAAH/f3z4=")</f>
        <v>#REF!</v>
      </c>
      <c r="BL215" t="e">
        <f>AND(#REF!,"AAAAAH/f3z8=")</f>
        <v>#REF!</v>
      </c>
      <c r="BM215" t="e">
        <f>AND(#REF!,"AAAAAH/f30A=")</f>
        <v>#REF!</v>
      </c>
      <c r="BN215" t="e">
        <f>AND(#REF!,"AAAAAH/f30E=")</f>
        <v>#REF!</v>
      </c>
      <c r="BO215" t="e">
        <f>AND(#REF!,"AAAAAH/f30I=")</f>
        <v>#REF!</v>
      </c>
      <c r="BP215" t="e">
        <f>AND(#REF!,"AAAAAH/f30M=")</f>
        <v>#REF!</v>
      </c>
      <c r="BQ215" t="e">
        <f>AND(#REF!,"AAAAAH/f30Q=")</f>
        <v>#REF!</v>
      </c>
      <c r="BR215" t="e">
        <f>AND(#REF!,"AAAAAH/f30U=")</f>
        <v>#REF!</v>
      </c>
      <c r="BS215" t="e">
        <f>AND(#REF!,"AAAAAH/f30Y=")</f>
        <v>#REF!</v>
      </c>
      <c r="BT215" t="e">
        <f>AND(#REF!,"AAAAAH/f30c=")</f>
        <v>#REF!</v>
      </c>
      <c r="BU215" t="e">
        <f>AND(#REF!,"AAAAAH/f30g=")</f>
        <v>#REF!</v>
      </c>
      <c r="BV215" t="e">
        <f>AND(#REF!,"AAAAAH/f30k=")</f>
        <v>#REF!</v>
      </c>
      <c r="BW215" t="e">
        <f>AND(#REF!,"AAAAAH/f30o=")</f>
        <v>#REF!</v>
      </c>
      <c r="BX215" t="e">
        <f>AND(#REF!,"AAAAAH/f30s=")</f>
        <v>#REF!</v>
      </c>
      <c r="BY215" t="e">
        <f>AND(#REF!,"AAAAAH/f30w=")</f>
        <v>#REF!</v>
      </c>
      <c r="BZ215" t="e">
        <f>AND(#REF!,"AAAAAH/f300=")</f>
        <v>#REF!</v>
      </c>
      <c r="CA215" t="e">
        <f>AND(#REF!,"AAAAAH/f304=")</f>
        <v>#REF!</v>
      </c>
      <c r="CB215" t="e">
        <f>AND(#REF!,"AAAAAH/f308=")</f>
        <v>#REF!</v>
      </c>
      <c r="CC215" t="e">
        <f>AND(#REF!,"AAAAAH/f31A=")</f>
        <v>#REF!</v>
      </c>
      <c r="CD215" t="e">
        <f>AND(#REF!,"AAAAAH/f31E=")</f>
        <v>#REF!</v>
      </c>
      <c r="CE215" t="e">
        <f>AND(#REF!,"AAAAAH/f31I=")</f>
        <v>#REF!</v>
      </c>
      <c r="CF215" t="e">
        <f>AND(#REF!,"AAAAAH/f31M=")</f>
        <v>#REF!</v>
      </c>
      <c r="CG215" t="e">
        <f>AND(#REF!,"AAAAAH/f31Q=")</f>
        <v>#REF!</v>
      </c>
      <c r="CH215" t="e">
        <f>AND(#REF!,"AAAAAH/f31U=")</f>
        <v>#REF!</v>
      </c>
      <c r="CI215" t="e">
        <f>AND(#REF!,"AAAAAH/f31Y=")</f>
        <v>#REF!</v>
      </c>
      <c r="CJ215" t="e">
        <f>AND(#REF!,"AAAAAH/f31c=")</f>
        <v>#REF!</v>
      </c>
      <c r="CK215" t="e">
        <f>AND(#REF!,"AAAAAH/f31g=")</f>
        <v>#REF!</v>
      </c>
      <c r="CL215" t="e">
        <f>AND(#REF!,"AAAAAH/f31k=")</f>
        <v>#REF!</v>
      </c>
      <c r="CM215" t="e">
        <f>AND(#REF!,"AAAAAH/f31o=")</f>
        <v>#REF!</v>
      </c>
      <c r="CN215" t="e">
        <f>AND(#REF!,"AAAAAH/f31s=")</f>
        <v>#REF!</v>
      </c>
      <c r="CO215" t="e">
        <f>AND(#REF!,"AAAAAH/f31w=")</f>
        <v>#REF!</v>
      </c>
      <c r="CP215" t="e">
        <f>AND(#REF!,"AAAAAH/f310=")</f>
        <v>#REF!</v>
      </c>
      <c r="CQ215" t="e">
        <f>AND(#REF!,"AAAAAH/f314=")</f>
        <v>#REF!</v>
      </c>
      <c r="CR215" t="e">
        <f>AND(#REF!,"AAAAAH/f318=")</f>
        <v>#REF!</v>
      </c>
      <c r="CS215" t="e">
        <f>AND(#REF!,"AAAAAH/f32A=")</f>
        <v>#REF!</v>
      </c>
      <c r="CT215" t="e">
        <f>AND(#REF!,"AAAAAH/f32E=")</f>
        <v>#REF!</v>
      </c>
      <c r="CU215" t="e">
        <f>AND(#REF!,"AAAAAH/f32I=")</f>
        <v>#REF!</v>
      </c>
      <c r="CV215" t="e">
        <f>AND(#REF!,"AAAAAH/f32M=")</f>
        <v>#REF!</v>
      </c>
      <c r="CW215" t="e">
        <f>AND(#REF!,"AAAAAH/f32Q=")</f>
        <v>#REF!</v>
      </c>
      <c r="CX215" t="e">
        <f>AND(#REF!,"AAAAAH/f32U=")</f>
        <v>#REF!</v>
      </c>
      <c r="CY215" t="e">
        <f>AND(#REF!,"AAAAAH/f32Y=")</f>
        <v>#REF!</v>
      </c>
      <c r="CZ215" t="e">
        <f>AND(#REF!,"AAAAAH/f32c=")</f>
        <v>#REF!</v>
      </c>
      <c r="DA215" t="e">
        <f>AND(#REF!,"AAAAAH/f32g=")</f>
        <v>#REF!</v>
      </c>
      <c r="DB215" t="e">
        <f>AND(#REF!,"AAAAAH/f32k=")</f>
        <v>#REF!</v>
      </c>
      <c r="DC215" t="e">
        <f>AND(#REF!,"AAAAAH/f32o=")</f>
        <v>#REF!</v>
      </c>
      <c r="DD215" t="e">
        <f>AND(#REF!,"AAAAAH/f32s=")</f>
        <v>#REF!</v>
      </c>
      <c r="DE215" t="e">
        <f>AND(#REF!,"AAAAAH/f32w=")</f>
        <v>#REF!</v>
      </c>
      <c r="DF215" t="e">
        <f>AND(#REF!,"AAAAAH/f320=")</f>
        <v>#REF!</v>
      </c>
      <c r="DG215" t="e">
        <f>AND(#REF!,"AAAAAH/f324=")</f>
        <v>#REF!</v>
      </c>
      <c r="DH215" t="e">
        <f>AND(#REF!,"AAAAAH/f328=")</f>
        <v>#REF!</v>
      </c>
      <c r="DI215" t="e">
        <f>AND(#REF!,"AAAAAH/f33A=")</f>
        <v>#REF!</v>
      </c>
      <c r="DJ215" t="e">
        <f>AND(#REF!,"AAAAAH/f33E=")</f>
        <v>#REF!</v>
      </c>
      <c r="DK215" t="e">
        <f>AND(#REF!,"AAAAAH/f33I=")</f>
        <v>#REF!</v>
      </c>
      <c r="DL215" t="e">
        <f>AND(#REF!,"AAAAAH/f33M=")</f>
        <v>#REF!</v>
      </c>
      <c r="DM215" t="e">
        <f>AND(#REF!,"AAAAAH/f33Q=")</f>
        <v>#REF!</v>
      </c>
      <c r="DN215" t="e">
        <f>AND(#REF!,"AAAAAH/f33U=")</f>
        <v>#REF!</v>
      </c>
      <c r="DO215" t="e">
        <f>AND(#REF!,"AAAAAH/f33Y=")</f>
        <v>#REF!</v>
      </c>
      <c r="DP215" t="e">
        <f>AND(#REF!,"AAAAAH/f33c=")</f>
        <v>#REF!</v>
      </c>
      <c r="DQ215" t="e">
        <f>AND(#REF!,"AAAAAH/f33g=")</f>
        <v>#REF!</v>
      </c>
      <c r="DR215" t="e">
        <f>AND(#REF!,"AAAAAH/f33k=")</f>
        <v>#REF!</v>
      </c>
      <c r="DS215" t="e">
        <f>AND(#REF!,"AAAAAH/f33o=")</f>
        <v>#REF!</v>
      </c>
      <c r="DT215" t="e">
        <f>AND(#REF!,"AAAAAH/f33s=")</f>
        <v>#REF!</v>
      </c>
      <c r="DU215" t="e">
        <f>AND(#REF!,"AAAAAH/f33w=")</f>
        <v>#REF!</v>
      </c>
      <c r="DV215" t="e">
        <f>AND(#REF!,"AAAAAH/f330=")</f>
        <v>#REF!</v>
      </c>
      <c r="DW215" t="e">
        <f>AND(#REF!,"AAAAAH/f334=")</f>
        <v>#REF!</v>
      </c>
      <c r="DX215" t="e">
        <f>AND(#REF!,"AAAAAH/f338=")</f>
        <v>#REF!</v>
      </c>
      <c r="DY215" t="e">
        <f>AND(#REF!,"AAAAAH/f34A=")</f>
        <v>#REF!</v>
      </c>
      <c r="DZ215" t="e">
        <f>AND(#REF!,"AAAAAH/f34E=")</f>
        <v>#REF!</v>
      </c>
      <c r="EA215" t="e">
        <f>AND(#REF!,"AAAAAH/f34I=")</f>
        <v>#REF!</v>
      </c>
      <c r="EB215" t="e">
        <f>AND(#REF!,"AAAAAH/f34M=")</f>
        <v>#REF!</v>
      </c>
      <c r="EC215" t="e">
        <f>AND(#REF!,"AAAAAH/f34Q=")</f>
        <v>#REF!</v>
      </c>
      <c r="ED215" t="e">
        <f>AND(#REF!,"AAAAAH/f34U=")</f>
        <v>#REF!</v>
      </c>
      <c r="EE215" t="e">
        <f>AND(#REF!,"AAAAAH/f34Y=")</f>
        <v>#REF!</v>
      </c>
      <c r="EF215" t="e">
        <f>AND(#REF!,"AAAAAH/f34c=")</f>
        <v>#REF!</v>
      </c>
      <c r="EG215" t="e">
        <f>AND(#REF!,"AAAAAH/f34g=")</f>
        <v>#REF!</v>
      </c>
      <c r="EH215" t="e">
        <f>AND(#REF!,"AAAAAH/f34k=")</f>
        <v>#REF!</v>
      </c>
      <c r="EI215" t="e">
        <f>AND(#REF!,"AAAAAH/f34o=")</f>
        <v>#REF!</v>
      </c>
      <c r="EJ215" t="e">
        <f>AND(#REF!,"AAAAAH/f34s=")</f>
        <v>#REF!</v>
      </c>
      <c r="EK215" t="e">
        <f>AND(#REF!,"AAAAAH/f34w=")</f>
        <v>#REF!</v>
      </c>
      <c r="EL215" t="e">
        <f>AND(#REF!,"AAAAAH/f340=")</f>
        <v>#REF!</v>
      </c>
      <c r="EM215" t="e">
        <f>AND(#REF!,"AAAAAH/f344=")</f>
        <v>#REF!</v>
      </c>
      <c r="EN215" t="e">
        <f>AND(#REF!,"AAAAAH/f348=")</f>
        <v>#REF!</v>
      </c>
      <c r="EO215" t="e">
        <f>AND(#REF!,"AAAAAH/f35A=")</f>
        <v>#REF!</v>
      </c>
      <c r="EP215" t="e">
        <f>AND(#REF!,"AAAAAH/f35E=")</f>
        <v>#REF!</v>
      </c>
      <c r="EQ215" t="e">
        <f>AND(#REF!,"AAAAAH/f35I=")</f>
        <v>#REF!</v>
      </c>
      <c r="ER215" t="e">
        <f>AND(#REF!,"AAAAAH/f35M=")</f>
        <v>#REF!</v>
      </c>
      <c r="ES215" t="e">
        <f>AND(#REF!,"AAAAAH/f35Q=")</f>
        <v>#REF!</v>
      </c>
      <c r="ET215" t="e">
        <f>AND(#REF!,"AAAAAH/f35U=")</f>
        <v>#REF!</v>
      </c>
      <c r="EU215" t="e">
        <f>AND(#REF!,"AAAAAH/f35Y=")</f>
        <v>#REF!</v>
      </c>
      <c r="EV215" t="e">
        <f>AND(#REF!,"AAAAAH/f35c=")</f>
        <v>#REF!</v>
      </c>
      <c r="EW215" t="e">
        <f>AND(#REF!,"AAAAAH/f35g=")</f>
        <v>#REF!</v>
      </c>
      <c r="EX215" t="e">
        <f>AND(#REF!,"AAAAAH/f35k=")</f>
        <v>#REF!</v>
      </c>
      <c r="EY215" t="e">
        <f>AND(#REF!,"AAAAAH/f35o=")</f>
        <v>#REF!</v>
      </c>
      <c r="EZ215" t="e">
        <f>AND(#REF!,"AAAAAH/f35s=")</f>
        <v>#REF!</v>
      </c>
      <c r="FA215" t="e">
        <f>AND(#REF!,"AAAAAH/f35w=")</f>
        <v>#REF!</v>
      </c>
      <c r="FB215" t="e">
        <f>AND(#REF!,"AAAAAH/f350=")</f>
        <v>#REF!</v>
      </c>
      <c r="FC215" t="e">
        <f>AND(#REF!,"AAAAAH/f354=")</f>
        <v>#REF!</v>
      </c>
      <c r="FD215" t="e">
        <f>AND(#REF!,"AAAAAH/f358=")</f>
        <v>#REF!</v>
      </c>
      <c r="FE215" t="e">
        <f>AND(#REF!,"AAAAAH/f36A=")</f>
        <v>#REF!</v>
      </c>
      <c r="FF215" t="e">
        <f>AND(#REF!,"AAAAAH/f36E=")</f>
        <v>#REF!</v>
      </c>
      <c r="FG215" t="e">
        <f>AND(#REF!,"AAAAAH/f36I=")</f>
        <v>#REF!</v>
      </c>
      <c r="FH215" t="e">
        <f>AND(#REF!,"AAAAAH/f36M=")</f>
        <v>#REF!</v>
      </c>
      <c r="FI215" t="e">
        <f>AND(#REF!,"AAAAAH/f36Q=")</f>
        <v>#REF!</v>
      </c>
      <c r="FJ215" t="e">
        <f>AND(#REF!,"AAAAAH/f36U=")</f>
        <v>#REF!</v>
      </c>
      <c r="FK215" t="e">
        <f>AND(#REF!,"AAAAAH/f36Y=")</f>
        <v>#REF!</v>
      </c>
      <c r="FL215" t="e">
        <f>AND(#REF!,"AAAAAH/f36c=")</f>
        <v>#REF!</v>
      </c>
      <c r="FM215" t="e">
        <f>AND(#REF!,"AAAAAH/f36g=")</f>
        <v>#REF!</v>
      </c>
      <c r="FN215" t="e">
        <f>AND(#REF!,"AAAAAH/f36k=")</f>
        <v>#REF!</v>
      </c>
      <c r="FO215" t="e">
        <f>AND(#REF!,"AAAAAH/f36o=")</f>
        <v>#REF!</v>
      </c>
      <c r="FP215" t="e">
        <f>AND(#REF!,"AAAAAH/f36s=")</f>
        <v>#REF!</v>
      </c>
      <c r="FQ215" t="e">
        <f>AND(#REF!,"AAAAAH/f36w=")</f>
        <v>#REF!</v>
      </c>
      <c r="FR215" t="e">
        <f>AND(#REF!,"AAAAAH/f360=")</f>
        <v>#REF!</v>
      </c>
      <c r="FS215" t="e">
        <f>AND(#REF!,"AAAAAH/f364=")</f>
        <v>#REF!</v>
      </c>
      <c r="FT215" t="e">
        <f>AND(#REF!,"AAAAAH/f368=")</f>
        <v>#REF!</v>
      </c>
      <c r="FU215" t="e">
        <f>AND(#REF!,"AAAAAH/f37A=")</f>
        <v>#REF!</v>
      </c>
      <c r="FV215" t="e">
        <f>AND(#REF!,"AAAAAH/f37E=")</f>
        <v>#REF!</v>
      </c>
      <c r="FW215" t="e">
        <f>AND(#REF!,"AAAAAH/f37I=")</f>
        <v>#REF!</v>
      </c>
      <c r="FX215" t="e">
        <f>AND(#REF!,"AAAAAH/f37M=")</f>
        <v>#REF!</v>
      </c>
      <c r="FY215" t="e">
        <f>AND(#REF!,"AAAAAH/f37Q=")</f>
        <v>#REF!</v>
      </c>
      <c r="FZ215" t="e">
        <f>AND(#REF!,"AAAAAH/f37U=")</f>
        <v>#REF!</v>
      </c>
      <c r="GA215" t="e">
        <f>AND(#REF!,"AAAAAH/f37Y=")</f>
        <v>#REF!</v>
      </c>
      <c r="GB215" t="e">
        <f>AND(#REF!,"AAAAAH/f37c=")</f>
        <v>#REF!</v>
      </c>
      <c r="GC215" t="e">
        <f>AND(#REF!,"AAAAAH/f37g=")</f>
        <v>#REF!</v>
      </c>
      <c r="GD215" t="e">
        <f>AND(#REF!,"AAAAAH/f37k=")</f>
        <v>#REF!</v>
      </c>
      <c r="GE215" t="e">
        <f>AND(#REF!,"AAAAAH/f37o=")</f>
        <v>#REF!</v>
      </c>
      <c r="GF215" t="e">
        <f>AND(#REF!,"AAAAAH/f37s=")</f>
        <v>#REF!</v>
      </c>
      <c r="GG215" t="e">
        <f>AND(#REF!,"AAAAAH/f37w=")</f>
        <v>#REF!</v>
      </c>
      <c r="GH215" t="e">
        <f>AND(#REF!,"AAAAAH/f370=")</f>
        <v>#REF!</v>
      </c>
      <c r="GI215" t="e">
        <f>AND(#REF!,"AAAAAH/f374=")</f>
        <v>#REF!</v>
      </c>
      <c r="GJ215" t="e">
        <f>AND(#REF!,"AAAAAH/f378=")</f>
        <v>#REF!</v>
      </c>
      <c r="GK215" t="e">
        <f>AND(#REF!,"AAAAAH/f38A=")</f>
        <v>#REF!</v>
      </c>
      <c r="GL215" t="e">
        <f>AND(#REF!,"AAAAAH/f38E=")</f>
        <v>#REF!</v>
      </c>
      <c r="GM215" t="e">
        <f>AND(#REF!,"AAAAAH/f38I=")</f>
        <v>#REF!</v>
      </c>
      <c r="GN215" t="e">
        <f>AND(#REF!,"AAAAAH/f38M=")</f>
        <v>#REF!</v>
      </c>
      <c r="GO215" t="e">
        <f>AND(#REF!,"AAAAAH/f38Q=")</f>
        <v>#REF!</v>
      </c>
      <c r="GP215" t="e">
        <f>AND(#REF!,"AAAAAH/f38U=")</f>
        <v>#REF!</v>
      </c>
      <c r="GQ215" t="e">
        <f>AND(#REF!,"AAAAAH/f38Y=")</f>
        <v>#REF!</v>
      </c>
      <c r="GR215" t="e">
        <f>AND(#REF!,"AAAAAH/f38c=")</f>
        <v>#REF!</v>
      </c>
      <c r="GS215" t="e">
        <f>AND(#REF!,"AAAAAH/f38g=")</f>
        <v>#REF!</v>
      </c>
      <c r="GT215" t="e">
        <f>AND(#REF!,"AAAAAH/f38k=")</f>
        <v>#REF!</v>
      </c>
      <c r="GU215" t="e">
        <f>AND(#REF!,"AAAAAH/f38o=")</f>
        <v>#REF!</v>
      </c>
      <c r="GV215" t="e">
        <f>AND(#REF!,"AAAAAH/f38s=")</f>
        <v>#REF!</v>
      </c>
      <c r="GW215" t="e">
        <f>AND(#REF!,"AAAAAH/f38w=")</f>
        <v>#REF!</v>
      </c>
      <c r="GX215" t="e">
        <f>AND(#REF!,"AAAAAH/f380=")</f>
        <v>#REF!</v>
      </c>
      <c r="GY215" t="e">
        <f>AND(#REF!,"AAAAAH/f384=")</f>
        <v>#REF!</v>
      </c>
      <c r="GZ215" t="e">
        <f>IF(#REF!,"AAAAAH/f388=",0)</f>
        <v>#REF!</v>
      </c>
      <c r="HA215" t="e">
        <f>AND(#REF!,"AAAAAH/f39A=")</f>
        <v>#REF!</v>
      </c>
      <c r="HB215" t="e">
        <f>AND(#REF!,"AAAAAH/f39E=")</f>
        <v>#REF!</v>
      </c>
      <c r="HC215" t="e">
        <f>AND(#REF!,"AAAAAH/f39I=")</f>
        <v>#REF!</v>
      </c>
      <c r="HD215" t="e">
        <f>AND(#REF!,"AAAAAH/f39M=")</f>
        <v>#REF!</v>
      </c>
      <c r="HE215" t="e">
        <f>AND(#REF!,"AAAAAH/f39Q=")</f>
        <v>#REF!</v>
      </c>
      <c r="HF215" t="e">
        <f>AND(#REF!,"AAAAAH/f39U=")</f>
        <v>#REF!</v>
      </c>
      <c r="HG215" t="e">
        <f>AND(#REF!,"AAAAAH/f39Y=")</f>
        <v>#REF!</v>
      </c>
      <c r="HH215" t="e">
        <f>AND(#REF!,"AAAAAH/f39c=")</f>
        <v>#REF!</v>
      </c>
      <c r="HI215" t="e">
        <f>AND(#REF!,"AAAAAH/f39g=")</f>
        <v>#REF!</v>
      </c>
      <c r="HJ215" t="e">
        <f>AND(#REF!,"AAAAAH/f39k=")</f>
        <v>#REF!</v>
      </c>
      <c r="HK215" t="e">
        <f>AND(#REF!,"AAAAAH/f39o=")</f>
        <v>#REF!</v>
      </c>
      <c r="HL215" t="e">
        <f>AND(#REF!,"AAAAAH/f39s=")</f>
        <v>#REF!</v>
      </c>
      <c r="HM215" t="e">
        <f>AND(#REF!,"AAAAAH/f39w=")</f>
        <v>#REF!</v>
      </c>
      <c r="HN215" t="e">
        <f>AND(#REF!,"AAAAAH/f390=")</f>
        <v>#REF!</v>
      </c>
      <c r="HO215" t="e">
        <f>AND(#REF!,"AAAAAH/f394=")</f>
        <v>#REF!</v>
      </c>
      <c r="HP215" t="e">
        <f>AND(#REF!,"AAAAAH/f398=")</f>
        <v>#REF!</v>
      </c>
      <c r="HQ215" t="e">
        <f>AND(#REF!,"AAAAAH/f3+A=")</f>
        <v>#REF!</v>
      </c>
      <c r="HR215" t="e">
        <f>AND(#REF!,"AAAAAH/f3+E=")</f>
        <v>#REF!</v>
      </c>
      <c r="HS215" t="e">
        <f>AND(#REF!,"AAAAAH/f3+I=")</f>
        <v>#REF!</v>
      </c>
      <c r="HT215" t="e">
        <f>AND(#REF!,"AAAAAH/f3+M=")</f>
        <v>#REF!</v>
      </c>
      <c r="HU215" t="e">
        <f>AND(#REF!,"AAAAAH/f3+Q=")</f>
        <v>#REF!</v>
      </c>
      <c r="HV215" t="e">
        <f>AND(#REF!,"AAAAAH/f3+U=")</f>
        <v>#REF!</v>
      </c>
      <c r="HW215" t="e">
        <f>AND(#REF!,"AAAAAH/f3+Y=")</f>
        <v>#REF!</v>
      </c>
      <c r="HX215" t="e">
        <f>AND(#REF!,"AAAAAH/f3+c=")</f>
        <v>#REF!</v>
      </c>
      <c r="HY215" t="e">
        <f>AND(#REF!,"AAAAAH/f3+g=")</f>
        <v>#REF!</v>
      </c>
      <c r="HZ215" t="e">
        <f>AND(#REF!,"AAAAAH/f3+k=")</f>
        <v>#REF!</v>
      </c>
      <c r="IA215" t="e">
        <f>AND(#REF!,"AAAAAH/f3+o=")</f>
        <v>#REF!</v>
      </c>
      <c r="IB215" t="e">
        <f>AND(#REF!,"AAAAAH/f3+s=")</f>
        <v>#REF!</v>
      </c>
      <c r="IC215" t="e">
        <f>AND(#REF!,"AAAAAH/f3+w=")</f>
        <v>#REF!</v>
      </c>
      <c r="ID215" t="e">
        <f>AND(#REF!,"AAAAAH/f3+0=")</f>
        <v>#REF!</v>
      </c>
      <c r="IE215" t="e">
        <f>AND(#REF!,"AAAAAH/f3+4=")</f>
        <v>#REF!</v>
      </c>
      <c r="IF215" t="e">
        <f>AND(#REF!,"AAAAAH/f3+8=")</f>
        <v>#REF!</v>
      </c>
      <c r="IG215" t="e">
        <f>AND(#REF!,"AAAAAH/f3/A=")</f>
        <v>#REF!</v>
      </c>
      <c r="IH215" t="e">
        <f>AND(#REF!,"AAAAAH/f3/E=")</f>
        <v>#REF!</v>
      </c>
      <c r="II215" t="e">
        <f>AND(#REF!,"AAAAAH/f3/I=")</f>
        <v>#REF!</v>
      </c>
      <c r="IJ215" t="e">
        <f>AND(#REF!,"AAAAAH/f3/M=")</f>
        <v>#REF!</v>
      </c>
      <c r="IK215" t="e">
        <f>AND(#REF!,"AAAAAH/f3/Q=")</f>
        <v>#REF!</v>
      </c>
      <c r="IL215" t="e">
        <f>AND(#REF!,"AAAAAH/f3/U=")</f>
        <v>#REF!</v>
      </c>
      <c r="IM215" t="e">
        <f>AND(#REF!,"AAAAAH/f3/Y=")</f>
        <v>#REF!</v>
      </c>
      <c r="IN215" t="e">
        <f>AND(#REF!,"AAAAAH/f3/c=")</f>
        <v>#REF!</v>
      </c>
      <c r="IO215" t="e">
        <f>AND(#REF!,"AAAAAH/f3/g=")</f>
        <v>#REF!</v>
      </c>
      <c r="IP215" t="e">
        <f>AND(#REF!,"AAAAAH/f3/k=")</f>
        <v>#REF!</v>
      </c>
      <c r="IQ215" t="e">
        <f>AND(#REF!,"AAAAAH/f3/o=")</f>
        <v>#REF!</v>
      </c>
      <c r="IR215" t="e">
        <f>AND(#REF!,"AAAAAH/f3/s=")</f>
        <v>#REF!</v>
      </c>
      <c r="IS215" t="e">
        <f>AND(#REF!,"AAAAAH/f3/w=")</f>
        <v>#REF!</v>
      </c>
      <c r="IT215" t="e">
        <f>AND(#REF!,"AAAAAH/f3/0=")</f>
        <v>#REF!</v>
      </c>
      <c r="IU215" t="e">
        <f>AND(#REF!,"AAAAAH/f3/4=")</f>
        <v>#REF!</v>
      </c>
      <c r="IV215" t="e">
        <f>AND(#REF!,"AAAAAH/f3/8=")</f>
        <v>#REF!</v>
      </c>
    </row>
    <row r="216" spans="1:256" x14ac:dyDescent="0.25">
      <c r="A216" t="e">
        <f>AND(#REF!,"AAAAACVvfgA=")</f>
        <v>#REF!</v>
      </c>
      <c r="B216" t="e">
        <f>AND(#REF!,"AAAAACVvfgE=")</f>
        <v>#REF!</v>
      </c>
      <c r="C216" t="e">
        <f>AND(#REF!,"AAAAACVvfgI=")</f>
        <v>#REF!</v>
      </c>
      <c r="D216" t="e">
        <f>AND(#REF!,"AAAAACVvfgM=")</f>
        <v>#REF!</v>
      </c>
      <c r="E216" t="e">
        <f>AND(#REF!,"AAAAACVvfgQ=")</f>
        <v>#REF!</v>
      </c>
      <c r="F216" t="e">
        <f>AND(#REF!,"AAAAACVvfgU=")</f>
        <v>#REF!</v>
      </c>
      <c r="G216" t="e">
        <f>AND(#REF!,"AAAAACVvfgY=")</f>
        <v>#REF!</v>
      </c>
      <c r="H216" t="e">
        <f>AND(#REF!,"AAAAACVvfgc=")</f>
        <v>#REF!</v>
      </c>
      <c r="I216" t="e">
        <f>AND(#REF!,"AAAAACVvfgg=")</f>
        <v>#REF!</v>
      </c>
      <c r="J216" t="e">
        <f>AND(#REF!,"AAAAACVvfgk=")</f>
        <v>#REF!</v>
      </c>
      <c r="K216" t="e">
        <f>AND(#REF!,"AAAAACVvfgo=")</f>
        <v>#REF!</v>
      </c>
      <c r="L216" t="e">
        <f>AND(#REF!,"AAAAACVvfgs=")</f>
        <v>#REF!</v>
      </c>
      <c r="M216" t="e">
        <f>AND(#REF!,"AAAAACVvfgw=")</f>
        <v>#REF!</v>
      </c>
      <c r="N216" t="e">
        <f>AND(#REF!,"AAAAACVvfg0=")</f>
        <v>#REF!</v>
      </c>
      <c r="O216" t="e">
        <f>AND(#REF!,"AAAAACVvfg4=")</f>
        <v>#REF!</v>
      </c>
      <c r="P216" t="e">
        <f>AND(#REF!,"AAAAACVvfg8=")</f>
        <v>#REF!</v>
      </c>
      <c r="Q216" t="e">
        <f>AND(#REF!,"AAAAACVvfhA=")</f>
        <v>#REF!</v>
      </c>
      <c r="R216" t="e">
        <f>AND(#REF!,"AAAAACVvfhE=")</f>
        <v>#REF!</v>
      </c>
      <c r="S216" t="e">
        <f>AND(#REF!,"AAAAACVvfhI=")</f>
        <v>#REF!</v>
      </c>
      <c r="T216" t="e">
        <f>AND(#REF!,"AAAAACVvfhM=")</f>
        <v>#REF!</v>
      </c>
      <c r="U216" t="e">
        <f>AND(#REF!,"AAAAACVvfhQ=")</f>
        <v>#REF!</v>
      </c>
      <c r="V216" t="e">
        <f>AND(#REF!,"AAAAACVvfhU=")</f>
        <v>#REF!</v>
      </c>
      <c r="W216" t="e">
        <f>AND(#REF!,"AAAAACVvfhY=")</f>
        <v>#REF!</v>
      </c>
      <c r="X216" t="e">
        <f>AND(#REF!,"AAAAACVvfhc=")</f>
        <v>#REF!</v>
      </c>
      <c r="Y216" t="e">
        <f>AND(#REF!,"AAAAACVvfhg=")</f>
        <v>#REF!</v>
      </c>
      <c r="Z216" t="e">
        <f>AND(#REF!,"AAAAACVvfhk=")</f>
        <v>#REF!</v>
      </c>
      <c r="AA216" t="e">
        <f>AND(#REF!,"AAAAACVvfho=")</f>
        <v>#REF!</v>
      </c>
      <c r="AB216" t="e">
        <f>AND(#REF!,"AAAAACVvfhs=")</f>
        <v>#REF!</v>
      </c>
      <c r="AC216" t="e">
        <f>AND(#REF!,"AAAAACVvfhw=")</f>
        <v>#REF!</v>
      </c>
      <c r="AD216" t="e">
        <f>AND(#REF!,"AAAAACVvfh0=")</f>
        <v>#REF!</v>
      </c>
      <c r="AE216" t="e">
        <f>AND(#REF!,"AAAAACVvfh4=")</f>
        <v>#REF!</v>
      </c>
      <c r="AF216" t="e">
        <f>AND(#REF!,"AAAAACVvfh8=")</f>
        <v>#REF!</v>
      </c>
      <c r="AG216" t="e">
        <f>AND(#REF!,"AAAAACVvfiA=")</f>
        <v>#REF!</v>
      </c>
      <c r="AH216" t="e">
        <f>AND(#REF!,"AAAAACVvfiE=")</f>
        <v>#REF!</v>
      </c>
      <c r="AI216" t="e">
        <f>AND(#REF!,"AAAAACVvfiI=")</f>
        <v>#REF!</v>
      </c>
      <c r="AJ216" t="e">
        <f>AND(#REF!,"AAAAACVvfiM=")</f>
        <v>#REF!</v>
      </c>
      <c r="AK216" t="e">
        <f>AND(#REF!,"AAAAACVvfiQ=")</f>
        <v>#REF!</v>
      </c>
      <c r="AL216" t="e">
        <f>AND(#REF!,"AAAAACVvfiU=")</f>
        <v>#REF!</v>
      </c>
      <c r="AM216" t="e">
        <f>AND(#REF!,"AAAAACVvfiY=")</f>
        <v>#REF!</v>
      </c>
      <c r="AN216" t="e">
        <f>AND(#REF!,"AAAAACVvfic=")</f>
        <v>#REF!</v>
      </c>
      <c r="AO216" t="e">
        <f>AND(#REF!,"AAAAACVvfig=")</f>
        <v>#REF!</v>
      </c>
      <c r="AP216" t="e">
        <f>AND(#REF!,"AAAAACVvfik=")</f>
        <v>#REF!</v>
      </c>
      <c r="AQ216" t="e">
        <f>AND(#REF!,"AAAAACVvfio=")</f>
        <v>#REF!</v>
      </c>
      <c r="AR216" t="e">
        <f>AND(#REF!,"AAAAACVvfis=")</f>
        <v>#REF!</v>
      </c>
      <c r="AS216" t="e">
        <f>AND(#REF!,"AAAAACVvfiw=")</f>
        <v>#REF!</v>
      </c>
      <c r="AT216" t="e">
        <f>AND(#REF!,"AAAAACVvfi0=")</f>
        <v>#REF!</v>
      </c>
      <c r="AU216" t="e">
        <f>AND(#REF!,"AAAAACVvfi4=")</f>
        <v>#REF!</v>
      </c>
      <c r="AV216" t="e">
        <f>AND(#REF!,"AAAAACVvfi8=")</f>
        <v>#REF!</v>
      </c>
      <c r="AW216" t="e">
        <f>AND(#REF!,"AAAAACVvfjA=")</f>
        <v>#REF!</v>
      </c>
      <c r="AX216" t="e">
        <f>AND(#REF!,"AAAAACVvfjE=")</f>
        <v>#REF!</v>
      </c>
      <c r="AY216" t="e">
        <f>AND(#REF!,"AAAAACVvfjI=")</f>
        <v>#REF!</v>
      </c>
      <c r="AZ216" t="e">
        <f>AND(#REF!,"AAAAACVvfjM=")</f>
        <v>#REF!</v>
      </c>
      <c r="BA216" t="e">
        <f>AND(#REF!,"AAAAACVvfjQ=")</f>
        <v>#REF!</v>
      </c>
      <c r="BB216" t="e">
        <f>AND(#REF!,"AAAAACVvfjU=")</f>
        <v>#REF!</v>
      </c>
      <c r="BC216" t="e">
        <f>AND(#REF!,"AAAAACVvfjY=")</f>
        <v>#REF!</v>
      </c>
      <c r="BD216" t="e">
        <f>AND(#REF!,"AAAAACVvfjc=")</f>
        <v>#REF!</v>
      </c>
      <c r="BE216" t="e">
        <f>AND(#REF!,"AAAAACVvfjg=")</f>
        <v>#REF!</v>
      </c>
      <c r="BF216" t="e">
        <f>AND(#REF!,"AAAAACVvfjk=")</f>
        <v>#REF!</v>
      </c>
      <c r="BG216" t="e">
        <f>AND(#REF!,"AAAAACVvfjo=")</f>
        <v>#REF!</v>
      </c>
      <c r="BH216" t="e">
        <f>AND(#REF!,"AAAAACVvfjs=")</f>
        <v>#REF!</v>
      </c>
      <c r="BI216" t="e">
        <f>AND(#REF!,"AAAAACVvfjw=")</f>
        <v>#REF!</v>
      </c>
      <c r="BJ216" t="e">
        <f>AND(#REF!,"AAAAACVvfj0=")</f>
        <v>#REF!</v>
      </c>
      <c r="BK216" t="e">
        <f>AND(#REF!,"AAAAACVvfj4=")</f>
        <v>#REF!</v>
      </c>
      <c r="BL216" t="e">
        <f>AND(#REF!,"AAAAACVvfj8=")</f>
        <v>#REF!</v>
      </c>
      <c r="BM216" t="e">
        <f>AND(#REF!,"AAAAACVvfkA=")</f>
        <v>#REF!</v>
      </c>
      <c r="BN216" t="e">
        <f>AND(#REF!,"AAAAACVvfkE=")</f>
        <v>#REF!</v>
      </c>
      <c r="BO216" t="e">
        <f>AND(#REF!,"AAAAACVvfkI=")</f>
        <v>#REF!</v>
      </c>
      <c r="BP216" t="e">
        <f>AND(#REF!,"AAAAACVvfkM=")</f>
        <v>#REF!</v>
      </c>
      <c r="BQ216" t="e">
        <f>AND(#REF!,"AAAAACVvfkQ=")</f>
        <v>#REF!</v>
      </c>
      <c r="BR216" t="e">
        <f>AND(#REF!,"AAAAACVvfkU=")</f>
        <v>#REF!</v>
      </c>
      <c r="BS216" t="e">
        <f>AND(#REF!,"AAAAACVvfkY=")</f>
        <v>#REF!</v>
      </c>
      <c r="BT216" t="e">
        <f>AND(#REF!,"AAAAACVvfkc=")</f>
        <v>#REF!</v>
      </c>
      <c r="BU216" t="e">
        <f>AND(#REF!,"AAAAACVvfkg=")</f>
        <v>#REF!</v>
      </c>
      <c r="BV216" t="e">
        <f>AND(#REF!,"AAAAACVvfkk=")</f>
        <v>#REF!</v>
      </c>
      <c r="BW216" t="e">
        <f>AND(#REF!,"AAAAACVvfko=")</f>
        <v>#REF!</v>
      </c>
      <c r="BX216" t="e">
        <f>AND(#REF!,"AAAAACVvfks=")</f>
        <v>#REF!</v>
      </c>
      <c r="BY216" t="e">
        <f>AND(#REF!,"AAAAACVvfkw=")</f>
        <v>#REF!</v>
      </c>
      <c r="BZ216" t="e">
        <f>AND(#REF!,"AAAAACVvfk0=")</f>
        <v>#REF!</v>
      </c>
      <c r="CA216" t="e">
        <f>AND(#REF!,"AAAAACVvfk4=")</f>
        <v>#REF!</v>
      </c>
      <c r="CB216" t="e">
        <f>AND(#REF!,"AAAAACVvfk8=")</f>
        <v>#REF!</v>
      </c>
      <c r="CC216" t="e">
        <f>AND(#REF!,"AAAAACVvflA=")</f>
        <v>#REF!</v>
      </c>
      <c r="CD216" t="e">
        <f>AND(#REF!,"AAAAACVvflE=")</f>
        <v>#REF!</v>
      </c>
      <c r="CE216" t="e">
        <f>AND(#REF!,"AAAAACVvflI=")</f>
        <v>#REF!</v>
      </c>
      <c r="CF216" t="e">
        <f>AND(#REF!,"AAAAACVvflM=")</f>
        <v>#REF!</v>
      </c>
      <c r="CG216" t="e">
        <f>AND(#REF!,"AAAAACVvflQ=")</f>
        <v>#REF!</v>
      </c>
      <c r="CH216" t="e">
        <f>AND(#REF!,"AAAAACVvflU=")</f>
        <v>#REF!</v>
      </c>
      <c r="CI216" t="e">
        <f>AND(#REF!,"AAAAACVvflY=")</f>
        <v>#REF!</v>
      </c>
      <c r="CJ216" t="e">
        <f>AND(#REF!,"AAAAACVvflc=")</f>
        <v>#REF!</v>
      </c>
      <c r="CK216" t="e">
        <f>AND(#REF!,"AAAAACVvflg=")</f>
        <v>#REF!</v>
      </c>
      <c r="CL216" t="e">
        <f>AND(#REF!,"AAAAACVvflk=")</f>
        <v>#REF!</v>
      </c>
      <c r="CM216" t="e">
        <f>AND(#REF!,"AAAAACVvflo=")</f>
        <v>#REF!</v>
      </c>
      <c r="CN216" t="e">
        <f>AND(#REF!,"AAAAACVvfls=")</f>
        <v>#REF!</v>
      </c>
      <c r="CO216" t="e">
        <f>AND(#REF!,"AAAAACVvflw=")</f>
        <v>#REF!</v>
      </c>
      <c r="CP216" t="e">
        <f>AND(#REF!,"AAAAACVvfl0=")</f>
        <v>#REF!</v>
      </c>
      <c r="CQ216" t="e">
        <f>AND(#REF!,"AAAAACVvfl4=")</f>
        <v>#REF!</v>
      </c>
      <c r="CR216" t="e">
        <f>AND(#REF!,"AAAAACVvfl8=")</f>
        <v>#REF!</v>
      </c>
      <c r="CS216" t="e">
        <f>AND(#REF!,"AAAAACVvfmA=")</f>
        <v>#REF!</v>
      </c>
      <c r="CT216" t="e">
        <f>AND(#REF!,"AAAAACVvfmE=")</f>
        <v>#REF!</v>
      </c>
      <c r="CU216" t="e">
        <f>AND(#REF!,"AAAAACVvfmI=")</f>
        <v>#REF!</v>
      </c>
      <c r="CV216" t="e">
        <f>AND(#REF!,"AAAAACVvfmM=")</f>
        <v>#REF!</v>
      </c>
      <c r="CW216" t="e">
        <f>AND(#REF!,"AAAAACVvfmQ=")</f>
        <v>#REF!</v>
      </c>
      <c r="CX216" t="e">
        <f>AND(#REF!,"AAAAACVvfmU=")</f>
        <v>#REF!</v>
      </c>
      <c r="CY216" t="e">
        <f>AND(#REF!,"AAAAACVvfmY=")</f>
        <v>#REF!</v>
      </c>
      <c r="CZ216" t="e">
        <f>AND(#REF!,"AAAAACVvfmc=")</f>
        <v>#REF!</v>
      </c>
      <c r="DA216" t="e">
        <f>AND(#REF!,"AAAAACVvfmg=")</f>
        <v>#REF!</v>
      </c>
      <c r="DB216" t="e">
        <f>AND(#REF!,"AAAAACVvfmk=")</f>
        <v>#REF!</v>
      </c>
      <c r="DC216" t="e">
        <f>AND(#REF!,"AAAAACVvfmo=")</f>
        <v>#REF!</v>
      </c>
      <c r="DD216" t="e">
        <f>AND(#REF!,"AAAAACVvfms=")</f>
        <v>#REF!</v>
      </c>
      <c r="DE216" t="e">
        <f>AND(#REF!,"AAAAACVvfmw=")</f>
        <v>#REF!</v>
      </c>
      <c r="DF216" t="e">
        <f>AND(#REF!,"AAAAACVvfm0=")</f>
        <v>#REF!</v>
      </c>
      <c r="DG216" t="e">
        <f>AND(#REF!,"AAAAACVvfm4=")</f>
        <v>#REF!</v>
      </c>
      <c r="DH216" t="e">
        <f>AND(#REF!,"AAAAACVvfm8=")</f>
        <v>#REF!</v>
      </c>
      <c r="DI216" t="e">
        <f>AND(#REF!,"AAAAACVvfnA=")</f>
        <v>#REF!</v>
      </c>
      <c r="DJ216" t="e">
        <f>AND(#REF!,"AAAAACVvfnE=")</f>
        <v>#REF!</v>
      </c>
      <c r="DK216" t="e">
        <f>AND(#REF!,"AAAAACVvfnI=")</f>
        <v>#REF!</v>
      </c>
      <c r="DL216" t="e">
        <f>AND(#REF!,"AAAAACVvfnM=")</f>
        <v>#REF!</v>
      </c>
      <c r="DM216" t="e">
        <f>AND(#REF!,"AAAAACVvfnQ=")</f>
        <v>#REF!</v>
      </c>
      <c r="DN216" t="e">
        <f>AND(#REF!,"AAAAACVvfnU=")</f>
        <v>#REF!</v>
      </c>
      <c r="DO216" t="e">
        <f>AND(#REF!,"AAAAACVvfnY=")</f>
        <v>#REF!</v>
      </c>
      <c r="DP216" t="e">
        <f>AND(#REF!,"AAAAACVvfnc=")</f>
        <v>#REF!</v>
      </c>
      <c r="DQ216" t="e">
        <f>AND(#REF!,"AAAAACVvfng=")</f>
        <v>#REF!</v>
      </c>
      <c r="DR216" t="e">
        <f>AND(#REF!,"AAAAACVvfnk=")</f>
        <v>#REF!</v>
      </c>
      <c r="DS216" t="e">
        <f>AND(#REF!,"AAAAACVvfno=")</f>
        <v>#REF!</v>
      </c>
      <c r="DT216" t="e">
        <f>AND(#REF!,"AAAAACVvfns=")</f>
        <v>#REF!</v>
      </c>
      <c r="DU216" t="e">
        <f>AND(#REF!,"AAAAACVvfnw=")</f>
        <v>#REF!</v>
      </c>
      <c r="DV216" t="e">
        <f>AND(#REF!,"AAAAACVvfn0=")</f>
        <v>#REF!</v>
      </c>
      <c r="DW216" t="e">
        <f>AND(#REF!,"AAAAACVvfn4=")</f>
        <v>#REF!</v>
      </c>
      <c r="DX216" t="e">
        <f>AND(#REF!,"AAAAACVvfn8=")</f>
        <v>#REF!</v>
      </c>
      <c r="DY216" t="e">
        <f>AND(#REF!,"AAAAACVvfoA=")</f>
        <v>#REF!</v>
      </c>
      <c r="DZ216" t="e">
        <f>AND(#REF!,"AAAAACVvfoE=")</f>
        <v>#REF!</v>
      </c>
      <c r="EA216" t="e">
        <f>AND(#REF!,"AAAAACVvfoI=")</f>
        <v>#REF!</v>
      </c>
      <c r="EB216" t="e">
        <f>AND(#REF!,"AAAAACVvfoM=")</f>
        <v>#REF!</v>
      </c>
      <c r="EC216" t="e">
        <f>AND(#REF!,"AAAAACVvfoQ=")</f>
        <v>#REF!</v>
      </c>
      <c r="ED216" t="e">
        <f>AND(#REF!,"AAAAACVvfoU=")</f>
        <v>#REF!</v>
      </c>
      <c r="EE216" t="e">
        <f>AND(#REF!,"AAAAACVvfoY=")</f>
        <v>#REF!</v>
      </c>
      <c r="EF216" t="e">
        <f>AND(#REF!,"AAAAACVvfoc=")</f>
        <v>#REF!</v>
      </c>
      <c r="EG216" t="e">
        <f>AND(#REF!,"AAAAACVvfog=")</f>
        <v>#REF!</v>
      </c>
      <c r="EH216" t="e">
        <f>AND(#REF!,"AAAAACVvfok=")</f>
        <v>#REF!</v>
      </c>
      <c r="EI216" t="e">
        <f>AND(#REF!,"AAAAACVvfoo=")</f>
        <v>#REF!</v>
      </c>
      <c r="EJ216" t="e">
        <f>AND(#REF!,"AAAAACVvfos=")</f>
        <v>#REF!</v>
      </c>
      <c r="EK216" t="e">
        <f>IF(#REF!,"AAAAACVvfow=",0)</f>
        <v>#REF!</v>
      </c>
      <c r="EL216" t="e">
        <f>AND(#REF!,"AAAAACVvfo0=")</f>
        <v>#REF!</v>
      </c>
      <c r="EM216" t="e">
        <f>AND(#REF!,"AAAAACVvfo4=")</f>
        <v>#REF!</v>
      </c>
      <c r="EN216" t="e">
        <f>AND(#REF!,"AAAAACVvfo8=")</f>
        <v>#REF!</v>
      </c>
      <c r="EO216" t="e">
        <f>AND(#REF!,"AAAAACVvfpA=")</f>
        <v>#REF!</v>
      </c>
      <c r="EP216" t="e">
        <f>AND(#REF!,"AAAAACVvfpE=")</f>
        <v>#REF!</v>
      </c>
      <c r="EQ216" t="e">
        <f>AND(#REF!,"AAAAACVvfpI=")</f>
        <v>#REF!</v>
      </c>
      <c r="ER216" t="e">
        <f>AND(#REF!,"AAAAACVvfpM=")</f>
        <v>#REF!</v>
      </c>
      <c r="ES216" t="e">
        <f>AND(#REF!,"AAAAACVvfpQ=")</f>
        <v>#REF!</v>
      </c>
      <c r="ET216" t="e">
        <f>AND(#REF!,"AAAAACVvfpU=")</f>
        <v>#REF!</v>
      </c>
      <c r="EU216" t="e">
        <f>AND(#REF!,"AAAAACVvfpY=")</f>
        <v>#REF!</v>
      </c>
      <c r="EV216" t="e">
        <f>AND(#REF!,"AAAAACVvfpc=")</f>
        <v>#REF!</v>
      </c>
      <c r="EW216" t="e">
        <f>AND(#REF!,"AAAAACVvfpg=")</f>
        <v>#REF!</v>
      </c>
      <c r="EX216" t="e">
        <f>AND(#REF!,"AAAAACVvfpk=")</f>
        <v>#REF!</v>
      </c>
      <c r="EY216" t="e">
        <f>AND(#REF!,"AAAAACVvfpo=")</f>
        <v>#REF!</v>
      </c>
      <c r="EZ216" t="e">
        <f>AND(#REF!,"AAAAACVvfps=")</f>
        <v>#REF!</v>
      </c>
      <c r="FA216" t="e">
        <f>AND(#REF!,"AAAAACVvfpw=")</f>
        <v>#REF!</v>
      </c>
      <c r="FB216" t="e">
        <f>AND(#REF!,"AAAAACVvfp0=")</f>
        <v>#REF!</v>
      </c>
      <c r="FC216" t="e">
        <f>AND(#REF!,"AAAAACVvfp4=")</f>
        <v>#REF!</v>
      </c>
      <c r="FD216" t="e">
        <f>AND(#REF!,"AAAAACVvfp8=")</f>
        <v>#REF!</v>
      </c>
      <c r="FE216" t="e">
        <f>AND(#REF!,"AAAAACVvfqA=")</f>
        <v>#REF!</v>
      </c>
      <c r="FF216" t="e">
        <f>AND(#REF!,"AAAAACVvfqE=")</f>
        <v>#REF!</v>
      </c>
      <c r="FG216" t="e">
        <f>AND(#REF!,"AAAAACVvfqI=")</f>
        <v>#REF!</v>
      </c>
      <c r="FH216" t="e">
        <f>AND(#REF!,"AAAAACVvfqM=")</f>
        <v>#REF!</v>
      </c>
      <c r="FI216" t="e">
        <f>AND(#REF!,"AAAAACVvfqQ=")</f>
        <v>#REF!</v>
      </c>
      <c r="FJ216" t="e">
        <f>AND(#REF!,"AAAAACVvfqU=")</f>
        <v>#REF!</v>
      </c>
      <c r="FK216" t="e">
        <f>AND(#REF!,"AAAAACVvfqY=")</f>
        <v>#REF!</v>
      </c>
      <c r="FL216" t="e">
        <f>AND(#REF!,"AAAAACVvfqc=")</f>
        <v>#REF!</v>
      </c>
      <c r="FM216" t="e">
        <f>AND(#REF!,"AAAAACVvfqg=")</f>
        <v>#REF!</v>
      </c>
      <c r="FN216" t="e">
        <f>AND(#REF!,"AAAAACVvfqk=")</f>
        <v>#REF!</v>
      </c>
      <c r="FO216" t="e">
        <f>AND(#REF!,"AAAAACVvfqo=")</f>
        <v>#REF!</v>
      </c>
      <c r="FP216" t="e">
        <f>AND(#REF!,"AAAAACVvfqs=")</f>
        <v>#REF!</v>
      </c>
      <c r="FQ216" t="e">
        <f>AND(#REF!,"AAAAACVvfqw=")</f>
        <v>#REF!</v>
      </c>
      <c r="FR216" t="e">
        <f>AND(#REF!,"AAAAACVvfq0=")</f>
        <v>#REF!</v>
      </c>
      <c r="FS216" t="e">
        <f>AND(#REF!,"AAAAACVvfq4=")</f>
        <v>#REF!</v>
      </c>
      <c r="FT216" t="e">
        <f>AND(#REF!,"AAAAACVvfq8=")</f>
        <v>#REF!</v>
      </c>
      <c r="FU216" t="e">
        <f>AND(#REF!,"AAAAACVvfrA=")</f>
        <v>#REF!</v>
      </c>
      <c r="FV216" t="e">
        <f>AND(#REF!,"AAAAACVvfrE=")</f>
        <v>#REF!</v>
      </c>
      <c r="FW216" t="e">
        <f>AND(#REF!,"AAAAACVvfrI=")</f>
        <v>#REF!</v>
      </c>
      <c r="FX216" t="e">
        <f>AND(#REF!,"AAAAACVvfrM=")</f>
        <v>#REF!</v>
      </c>
      <c r="FY216" t="e">
        <f>AND(#REF!,"AAAAACVvfrQ=")</f>
        <v>#REF!</v>
      </c>
      <c r="FZ216" t="e">
        <f>AND(#REF!,"AAAAACVvfrU=")</f>
        <v>#REF!</v>
      </c>
      <c r="GA216" t="e">
        <f>AND(#REF!,"AAAAACVvfrY=")</f>
        <v>#REF!</v>
      </c>
      <c r="GB216" t="e">
        <f>AND(#REF!,"AAAAACVvfrc=")</f>
        <v>#REF!</v>
      </c>
      <c r="GC216" t="e">
        <f>AND(#REF!,"AAAAACVvfrg=")</f>
        <v>#REF!</v>
      </c>
      <c r="GD216" t="e">
        <f>AND(#REF!,"AAAAACVvfrk=")</f>
        <v>#REF!</v>
      </c>
      <c r="GE216" t="e">
        <f>AND(#REF!,"AAAAACVvfro=")</f>
        <v>#REF!</v>
      </c>
      <c r="GF216" t="e">
        <f>AND(#REF!,"AAAAACVvfrs=")</f>
        <v>#REF!</v>
      </c>
      <c r="GG216" t="e">
        <f>AND(#REF!,"AAAAACVvfrw=")</f>
        <v>#REF!</v>
      </c>
      <c r="GH216" t="e">
        <f>AND(#REF!,"AAAAACVvfr0=")</f>
        <v>#REF!</v>
      </c>
      <c r="GI216" t="e">
        <f>AND(#REF!,"AAAAACVvfr4=")</f>
        <v>#REF!</v>
      </c>
      <c r="GJ216" t="e">
        <f>AND(#REF!,"AAAAACVvfr8=")</f>
        <v>#REF!</v>
      </c>
      <c r="GK216" t="e">
        <f>AND(#REF!,"AAAAACVvfsA=")</f>
        <v>#REF!</v>
      </c>
      <c r="GL216" t="e">
        <f>AND(#REF!,"AAAAACVvfsE=")</f>
        <v>#REF!</v>
      </c>
      <c r="GM216" t="e">
        <f>AND(#REF!,"AAAAACVvfsI=")</f>
        <v>#REF!</v>
      </c>
      <c r="GN216" t="e">
        <f>AND(#REF!,"AAAAACVvfsM=")</f>
        <v>#REF!</v>
      </c>
      <c r="GO216" t="e">
        <f>AND(#REF!,"AAAAACVvfsQ=")</f>
        <v>#REF!</v>
      </c>
      <c r="GP216" t="e">
        <f>AND(#REF!,"AAAAACVvfsU=")</f>
        <v>#REF!</v>
      </c>
      <c r="GQ216" t="e">
        <f>AND(#REF!,"AAAAACVvfsY=")</f>
        <v>#REF!</v>
      </c>
      <c r="GR216" t="e">
        <f>AND(#REF!,"AAAAACVvfsc=")</f>
        <v>#REF!</v>
      </c>
      <c r="GS216" t="e">
        <f>AND(#REF!,"AAAAACVvfsg=")</f>
        <v>#REF!</v>
      </c>
      <c r="GT216" t="e">
        <f>AND(#REF!,"AAAAACVvfsk=")</f>
        <v>#REF!</v>
      </c>
      <c r="GU216" t="e">
        <f>AND(#REF!,"AAAAACVvfso=")</f>
        <v>#REF!</v>
      </c>
      <c r="GV216" t="e">
        <f>AND(#REF!,"AAAAACVvfss=")</f>
        <v>#REF!</v>
      </c>
      <c r="GW216" t="e">
        <f>AND(#REF!,"AAAAACVvfsw=")</f>
        <v>#REF!</v>
      </c>
      <c r="GX216" t="e">
        <f>AND(#REF!,"AAAAACVvfs0=")</f>
        <v>#REF!</v>
      </c>
      <c r="GY216" t="e">
        <f>AND(#REF!,"AAAAACVvfs4=")</f>
        <v>#REF!</v>
      </c>
      <c r="GZ216" t="e">
        <f>AND(#REF!,"AAAAACVvfs8=")</f>
        <v>#REF!</v>
      </c>
      <c r="HA216" t="e">
        <f>AND(#REF!,"AAAAACVvftA=")</f>
        <v>#REF!</v>
      </c>
      <c r="HB216" t="e">
        <f>AND(#REF!,"AAAAACVvftE=")</f>
        <v>#REF!</v>
      </c>
      <c r="HC216" t="e">
        <f>AND(#REF!,"AAAAACVvftI=")</f>
        <v>#REF!</v>
      </c>
      <c r="HD216" t="e">
        <f>AND(#REF!,"AAAAACVvftM=")</f>
        <v>#REF!</v>
      </c>
      <c r="HE216" t="e">
        <f>AND(#REF!,"AAAAACVvftQ=")</f>
        <v>#REF!</v>
      </c>
      <c r="HF216" t="e">
        <f>AND(#REF!,"AAAAACVvftU=")</f>
        <v>#REF!</v>
      </c>
      <c r="HG216" t="e">
        <f>AND(#REF!,"AAAAACVvftY=")</f>
        <v>#REF!</v>
      </c>
      <c r="HH216" t="e">
        <f>AND(#REF!,"AAAAACVvftc=")</f>
        <v>#REF!</v>
      </c>
      <c r="HI216" t="e">
        <f>AND(#REF!,"AAAAACVvftg=")</f>
        <v>#REF!</v>
      </c>
      <c r="HJ216" t="e">
        <f>AND(#REF!,"AAAAACVvftk=")</f>
        <v>#REF!</v>
      </c>
      <c r="HK216" t="e">
        <f>AND(#REF!,"AAAAACVvfto=")</f>
        <v>#REF!</v>
      </c>
      <c r="HL216" t="e">
        <f>AND(#REF!,"AAAAACVvfts=")</f>
        <v>#REF!</v>
      </c>
      <c r="HM216" t="e">
        <f>AND(#REF!,"AAAAACVvftw=")</f>
        <v>#REF!</v>
      </c>
      <c r="HN216" t="e">
        <f>AND(#REF!,"AAAAACVvft0=")</f>
        <v>#REF!</v>
      </c>
      <c r="HO216" t="e">
        <f>AND(#REF!,"AAAAACVvft4=")</f>
        <v>#REF!</v>
      </c>
      <c r="HP216" t="e">
        <f>AND(#REF!,"AAAAACVvft8=")</f>
        <v>#REF!</v>
      </c>
      <c r="HQ216" t="e">
        <f>AND(#REF!,"AAAAACVvfuA=")</f>
        <v>#REF!</v>
      </c>
      <c r="HR216" t="e">
        <f>AND(#REF!,"AAAAACVvfuE=")</f>
        <v>#REF!</v>
      </c>
      <c r="HS216" t="e">
        <f>AND(#REF!,"AAAAACVvfuI=")</f>
        <v>#REF!</v>
      </c>
      <c r="HT216" t="e">
        <f>AND(#REF!,"AAAAACVvfuM=")</f>
        <v>#REF!</v>
      </c>
      <c r="HU216" t="e">
        <f>AND(#REF!,"AAAAACVvfuQ=")</f>
        <v>#REF!</v>
      </c>
      <c r="HV216" t="e">
        <f>AND(#REF!,"AAAAACVvfuU=")</f>
        <v>#REF!</v>
      </c>
      <c r="HW216" t="e">
        <f>AND(#REF!,"AAAAACVvfuY=")</f>
        <v>#REF!</v>
      </c>
      <c r="HX216" t="e">
        <f>AND(#REF!,"AAAAACVvfuc=")</f>
        <v>#REF!</v>
      </c>
      <c r="HY216" t="e">
        <f>AND(#REF!,"AAAAACVvfug=")</f>
        <v>#REF!</v>
      </c>
      <c r="HZ216" t="e">
        <f>AND(#REF!,"AAAAACVvfuk=")</f>
        <v>#REF!</v>
      </c>
      <c r="IA216" t="e">
        <f>AND(#REF!,"AAAAACVvfuo=")</f>
        <v>#REF!</v>
      </c>
      <c r="IB216" t="e">
        <f>AND(#REF!,"AAAAACVvfus=")</f>
        <v>#REF!</v>
      </c>
      <c r="IC216" t="e">
        <f>AND(#REF!,"AAAAACVvfuw=")</f>
        <v>#REF!</v>
      </c>
      <c r="ID216" t="e">
        <f>AND(#REF!,"AAAAACVvfu0=")</f>
        <v>#REF!</v>
      </c>
      <c r="IE216" t="e">
        <f>AND(#REF!,"AAAAACVvfu4=")</f>
        <v>#REF!</v>
      </c>
      <c r="IF216" t="e">
        <f>AND(#REF!,"AAAAACVvfu8=")</f>
        <v>#REF!</v>
      </c>
      <c r="IG216" t="e">
        <f>AND(#REF!,"AAAAACVvfvA=")</f>
        <v>#REF!</v>
      </c>
      <c r="IH216" t="e">
        <f>AND(#REF!,"AAAAACVvfvE=")</f>
        <v>#REF!</v>
      </c>
      <c r="II216" t="e">
        <f>AND(#REF!,"AAAAACVvfvI=")</f>
        <v>#REF!</v>
      </c>
      <c r="IJ216" t="e">
        <f>AND(#REF!,"AAAAACVvfvM=")</f>
        <v>#REF!</v>
      </c>
      <c r="IK216" t="e">
        <f>AND(#REF!,"AAAAACVvfvQ=")</f>
        <v>#REF!</v>
      </c>
      <c r="IL216" t="e">
        <f>AND(#REF!,"AAAAACVvfvU=")</f>
        <v>#REF!</v>
      </c>
      <c r="IM216" t="e">
        <f>AND(#REF!,"AAAAACVvfvY=")</f>
        <v>#REF!</v>
      </c>
      <c r="IN216" t="e">
        <f>AND(#REF!,"AAAAACVvfvc=")</f>
        <v>#REF!</v>
      </c>
      <c r="IO216" t="e">
        <f>AND(#REF!,"AAAAACVvfvg=")</f>
        <v>#REF!</v>
      </c>
      <c r="IP216" t="e">
        <f>AND(#REF!,"AAAAACVvfvk=")</f>
        <v>#REF!</v>
      </c>
      <c r="IQ216" t="e">
        <f>AND(#REF!,"AAAAACVvfvo=")</f>
        <v>#REF!</v>
      </c>
      <c r="IR216" t="e">
        <f>AND(#REF!,"AAAAACVvfvs=")</f>
        <v>#REF!</v>
      </c>
      <c r="IS216" t="e">
        <f>AND(#REF!,"AAAAACVvfvw=")</f>
        <v>#REF!</v>
      </c>
      <c r="IT216" t="e">
        <f>AND(#REF!,"AAAAACVvfv0=")</f>
        <v>#REF!</v>
      </c>
      <c r="IU216" t="e">
        <f>AND(#REF!,"AAAAACVvfv4=")</f>
        <v>#REF!</v>
      </c>
      <c r="IV216" t="e">
        <f>AND(#REF!,"AAAAACVvfv8=")</f>
        <v>#REF!</v>
      </c>
    </row>
    <row r="217" spans="1:256" x14ac:dyDescent="0.25">
      <c r="A217" t="e">
        <f>AND(#REF!,"AAAAAH/yPwA=")</f>
        <v>#REF!</v>
      </c>
      <c r="B217" t="e">
        <f>AND(#REF!,"AAAAAH/yPwE=")</f>
        <v>#REF!</v>
      </c>
      <c r="C217" t="e">
        <f>AND(#REF!,"AAAAAH/yPwI=")</f>
        <v>#REF!</v>
      </c>
      <c r="D217" t="e">
        <f>AND(#REF!,"AAAAAH/yPwM=")</f>
        <v>#REF!</v>
      </c>
      <c r="E217" t="e">
        <f>AND(#REF!,"AAAAAH/yPwQ=")</f>
        <v>#REF!</v>
      </c>
      <c r="F217" t="e">
        <f>AND(#REF!,"AAAAAH/yPwU=")</f>
        <v>#REF!</v>
      </c>
      <c r="G217" t="e">
        <f>AND(#REF!,"AAAAAH/yPwY=")</f>
        <v>#REF!</v>
      </c>
      <c r="H217" t="e">
        <f>AND(#REF!,"AAAAAH/yPwc=")</f>
        <v>#REF!</v>
      </c>
      <c r="I217" t="e">
        <f>AND(#REF!,"AAAAAH/yPwg=")</f>
        <v>#REF!</v>
      </c>
      <c r="J217" t="e">
        <f>AND(#REF!,"AAAAAH/yPwk=")</f>
        <v>#REF!</v>
      </c>
      <c r="K217" t="e">
        <f>AND(#REF!,"AAAAAH/yPwo=")</f>
        <v>#REF!</v>
      </c>
      <c r="L217" t="e">
        <f>AND(#REF!,"AAAAAH/yPws=")</f>
        <v>#REF!</v>
      </c>
      <c r="M217" t="e">
        <f>AND(#REF!,"AAAAAH/yPww=")</f>
        <v>#REF!</v>
      </c>
      <c r="N217" t="e">
        <f>AND(#REF!,"AAAAAH/yPw0=")</f>
        <v>#REF!</v>
      </c>
      <c r="O217" t="e">
        <f>AND(#REF!,"AAAAAH/yPw4=")</f>
        <v>#REF!</v>
      </c>
      <c r="P217" t="e">
        <f>AND(#REF!,"AAAAAH/yPw8=")</f>
        <v>#REF!</v>
      </c>
      <c r="Q217" t="e">
        <f>AND(#REF!,"AAAAAH/yPxA=")</f>
        <v>#REF!</v>
      </c>
      <c r="R217" t="e">
        <f>AND(#REF!,"AAAAAH/yPxE=")</f>
        <v>#REF!</v>
      </c>
      <c r="S217" t="e">
        <f>AND(#REF!,"AAAAAH/yPxI=")</f>
        <v>#REF!</v>
      </c>
      <c r="T217" t="e">
        <f>AND(#REF!,"AAAAAH/yPxM=")</f>
        <v>#REF!</v>
      </c>
      <c r="U217" t="e">
        <f>AND(#REF!,"AAAAAH/yPxQ=")</f>
        <v>#REF!</v>
      </c>
      <c r="V217" t="e">
        <f>AND(#REF!,"AAAAAH/yPxU=")</f>
        <v>#REF!</v>
      </c>
      <c r="W217" t="e">
        <f>AND(#REF!,"AAAAAH/yPxY=")</f>
        <v>#REF!</v>
      </c>
      <c r="X217" t="e">
        <f>AND(#REF!,"AAAAAH/yPxc=")</f>
        <v>#REF!</v>
      </c>
      <c r="Y217" t="e">
        <f>AND(#REF!,"AAAAAH/yPxg=")</f>
        <v>#REF!</v>
      </c>
      <c r="Z217" t="e">
        <f>AND(#REF!,"AAAAAH/yPxk=")</f>
        <v>#REF!</v>
      </c>
      <c r="AA217" t="e">
        <f>AND(#REF!,"AAAAAH/yPxo=")</f>
        <v>#REF!</v>
      </c>
      <c r="AB217" t="e">
        <f>AND(#REF!,"AAAAAH/yPxs=")</f>
        <v>#REF!</v>
      </c>
      <c r="AC217" t="e">
        <f>AND(#REF!,"AAAAAH/yPxw=")</f>
        <v>#REF!</v>
      </c>
      <c r="AD217" t="e">
        <f>AND(#REF!,"AAAAAH/yPx0=")</f>
        <v>#REF!</v>
      </c>
      <c r="AE217" t="e">
        <f>AND(#REF!,"AAAAAH/yPx4=")</f>
        <v>#REF!</v>
      </c>
      <c r="AF217" t="e">
        <f>AND(#REF!,"AAAAAH/yPx8=")</f>
        <v>#REF!</v>
      </c>
      <c r="AG217" t="e">
        <f>AND(#REF!,"AAAAAH/yPyA=")</f>
        <v>#REF!</v>
      </c>
      <c r="AH217" t="e">
        <f>AND(#REF!,"AAAAAH/yPyE=")</f>
        <v>#REF!</v>
      </c>
      <c r="AI217" t="e">
        <f>AND(#REF!,"AAAAAH/yPyI=")</f>
        <v>#REF!</v>
      </c>
      <c r="AJ217" t="e">
        <f>AND(#REF!,"AAAAAH/yPyM=")</f>
        <v>#REF!</v>
      </c>
      <c r="AK217" t="e">
        <f>AND(#REF!,"AAAAAH/yPyQ=")</f>
        <v>#REF!</v>
      </c>
      <c r="AL217" t="e">
        <f>AND(#REF!,"AAAAAH/yPyU=")</f>
        <v>#REF!</v>
      </c>
      <c r="AM217" t="e">
        <f>AND(#REF!,"AAAAAH/yPyY=")</f>
        <v>#REF!</v>
      </c>
      <c r="AN217" t="e">
        <f>AND(#REF!,"AAAAAH/yPyc=")</f>
        <v>#REF!</v>
      </c>
      <c r="AO217" t="e">
        <f>AND(#REF!,"AAAAAH/yPyg=")</f>
        <v>#REF!</v>
      </c>
      <c r="AP217" t="e">
        <f>AND(#REF!,"AAAAAH/yPyk=")</f>
        <v>#REF!</v>
      </c>
      <c r="AQ217" t="e">
        <f>AND(#REF!,"AAAAAH/yPyo=")</f>
        <v>#REF!</v>
      </c>
      <c r="AR217" t="e">
        <f>AND(#REF!,"AAAAAH/yPys=")</f>
        <v>#REF!</v>
      </c>
      <c r="AS217" t="e">
        <f>AND(#REF!,"AAAAAH/yPyw=")</f>
        <v>#REF!</v>
      </c>
      <c r="AT217" t="e">
        <f>AND(#REF!,"AAAAAH/yPy0=")</f>
        <v>#REF!</v>
      </c>
      <c r="AU217" t="e">
        <f>AND(#REF!,"AAAAAH/yPy4=")</f>
        <v>#REF!</v>
      </c>
      <c r="AV217" t="e">
        <f>AND(#REF!,"AAAAAH/yPy8=")</f>
        <v>#REF!</v>
      </c>
      <c r="AW217" t="e">
        <f>AND(#REF!,"AAAAAH/yPzA=")</f>
        <v>#REF!</v>
      </c>
      <c r="AX217" t="e">
        <f>AND(#REF!,"AAAAAH/yPzE=")</f>
        <v>#REF!</v>
      </c>
      <c r="AY217" t="e">
        <f>AND(#REF!,"AAAAAH/yPzI=")</f>
        <v>#REF!</v>
      </c>
      <c r="AZ217" t="e">
        <f>AND(#REF!,"AAAAAH/yPzM=")</f>
        <v>#REF!</v>
      </c>
      <c r="BA217" t="e">
        <f>AND(#REF!,"AAAAAH/yPzQ=")</f>
        <v>#REF!</v>
      </c>
      <c r="BB217" t="e">
        <f>AND(#REF!,"AAAAAH/yPzU=")</f>
        <v>#REF!</v>
      </c>
      <c r="BC217" t="e">
        <f>AND(#REF!,"AAAAAH/yPzY=")</f>
        <v>#REF!</v>
      </c>
      <c r="BD217" t="e">
        <f>AND(#REF!,"AAAAAH/yPzc=")</f>
        <v>#REF!</v>
      </c>
      <c r="BE217" t="e">
        <f>AND(#REF!,"AAAAAH/yPzg=")</f>
        <v>#REF!</v>
      </c>
      <c r="BF217" t="e">
        <f>AND(#REF!,"AAAAAH/yPzk=")</f>
        <v>#REF!</v>
      </c>
      <c r="BG217" t="e">
        <f>AND(#REF!,"AAAAAH/yPzo=")</f>
        <v>#REF!</v>
      </c>
      <c r="BH217" t="e">
        <f>AND(#REF!,"AAAAAH/yPzs=")</f>
        <v>#REF!</v>
      </c>
      <c r="BI217" t="e">
        <f>AND(#REF!,"AAAAAH/yPzw=")</f>
        <v>#REF!</v>
      </c>
      <c r="BJ217" t="e">
        <f>AND(#REF!,"AAAAAH/yPz0=")</f>
        <v>#REF!</v>
      </c>
      <c r="BK217" t="e">
        <f>AND(#REF!,"AAAAAH/yPz4=")</f>
        <v>#REF!</v>
      </c>
      <c r="BL217" t="e">
        <f>AND(#REF!,"AAAAAH/yPz8=")</f>
        <v>#REF!</v>
      </c>
      <c r="BM217" t="e">
        <f>AND(#REF!,"AAAAAH/yP0A=")</f>
        <v>#REF!</v>
      </c>
      <c r="BN217" t="e">
        <f>AND(#REF!,"AAAAAH/yP0E=")</f>
        <v>#REF!</v>
      </c>
      <c r="BO217" t="e">
        <f>AND(#REF!,"AAAAAH/yP0I=")</f>
        <v>#REF!</v>
      </c>
      <c r="BP217" t="e">
        <f>AND(#REF!,"AAAAAH/yP0M=")</f>
        <v>#REF!</v>
      </c>
      <c r="BQ217" t="e">
        <f>AND(#REF!,"AAAAAH/yP0Q=")</f>
        <v>#REF!</v>
      </c>
      <c r="BR217" t="e">
        <f>AND(#REF!,"AAAAAH/yP0U=")</f>
        <v>#REF!</v>
      </c>
      <c r="BS217" t="e">
        <f>AND(#REF!,"AAAAAH/yP0Y=")</f>
        <v>#REF!</v>
      </c>
      <c r="BT217" t="e">
        <f>AND(#REF!,"AAAAAH/yP0c=")</f>
        <v>#REF!</v>
      </c>
      <c r="BU217" t="e">
        <f>AND(#REF!,"AAAAAH/yP0g=")</f>
        <v>#REF!</v>
      </c>
      <c r="BV217" t="e">
        <f>IF(#REF!,"AAAAAH/yP0k=",0)</f>
        <v>#REF!</v>
      </c>
      <c r="BW217" t="e">
        <f>AND(#REF!,"AAAAAH/yP0o=")</f>
        <v>#REF!</v>
      </c>
      <c r="BX217" t="e">
        <f>AND(#REF!,"AAAAAH/yP0s=")</f>
        <v>#REF!</v>
      </c>
      <c r="BY217" t="e">
        <f>AND(#REF!,"AAAAAH/yP0w=")</f>
        <v>#REF!</v>
      </c>
      <c r="BZ217" t="e">
        <f>AND(#REF!,"AAAAAH/yP00=")</f>
        <v>#REF!</v>
      </c>
      <c r="CA217" t="e">
        <f>AND(#REF!,"AAAAAH/yP04=")</f>
        <v>#REF!</v>
      </c>
      <c r="CB217" t="e">
        <f>AND(#REF!,"AAAAAH/yP08=")</f>
        <v>#REF!</v>
      </c>
      <c r="CC217" t="e">
        <f>AND(#REF!,"AAAAAH/yP1A=")</f>
        <v>#REF!</v>
      </c>
      <c r="CD217" t="e">
        <f>AND(#REF!,"AAAAAH/yP1E=")</f>
        <v>#REF!</v>
      </c>
      <c r="CE217" t="e">
        <f>AND(#REF!,"AAAAAH/yP1I=")</f>
        <v>#REF!</v>
      </c>
      <c r="CF217" t="e">
        <f>AND(#REF!,"AAAAAH/yP1M=")</f>
        <v>#REF!</v>
      </c>
      <c r="CG217" t="e">
        <f>AND(#REF!,"AAAAAH/yP1Q=")</f>
        <v>#REF!</v>
      </c>
      <c r="CH217" t="e">
        <f>AND(#REF!,"AAAAAH/yP1U=")</f>
        <v>#REF!</v>
      </c>
      <c r="CI217" t="e">
        <f>AND(#REF!,"AAAAAH/yP1Y=")</f>
        <v>#REF!</v>
      </c>
      <c r="CJ217" t="e">
        <f>AND(#REF!,"AAAAAH/yP1c=")</f>
        <v>#REF!</v>
      </c>
      <c r="CK217" t="e">
        <f>AND(#REF!,"AAAAAH/yP1g=")</f>
        <v>#REF!</v>
      </c>
      <c r="CL217" t="e">
        <f>AND(#REF!,"AAAAAH/yP1k=")</f>
        <v>#REF!</v>
      </c>
      <c r="CM217" t="e">
        <f>AND(#REF!,"AAAAAH/yP1o=")</f>
        <v>#REF!</v>
      </c>
      <c r="CN217" t="e">
        <f>AND(#REF!,"AAAAAH/yP1s=")</f>
        <v>#REF!</v>
      </c>
      <c r="CO217" t="e">
        <f>AND(#REF!,"AAAAAH/yP1w=")</f>
        <v>#REF!</v>
      </c>
      <c r="CP217" t="e">
        <f>AND(#REF!,"AAAAAH/yP10=")</f>
        <v>#REF!</v>
      </c>
      <c r="CQ217" t="e">
        <f>AND(#REF!,"AAAAAH/yP14=")</f>
        <v>#REF!</v>
      </c>
      <c r="CR217" t="e">
        <f>AND(#REF!,"AAAAAH/yP18=")</f>
        <v>#REF!</v>
      </c>
      <c r="CS217" t="e">
        <f>AND(#REF!,"AAAAAH/yP2A=")</f>
        <v>#REF!</v>
      </c>
      <c r="CT217" t="e">
        <f>AND(#REF!,"AAAAAH/yP2E=")</f>
        <v>#REF!</v>
      </c>
      <c r="CU217" t="e">
        <f>AND(#REF!,"AAAAAH/yP2I=")</f>
        <v>#REF!</v>
      </c>
      <c r="CV217" t="e">
        <f>AND(#REF!,"AAAAAH/yP2M=")</f>
        <v>#REF!</v>
      </c>
      <c r="CW217" t="e">
        <f>AND(#REF!,"AAAAAH/yP2Q=")</f>
        <v>#REF!</v>
      </c>
      <c r="CX217" t="e">
        <f>AND(#REF!,"AAAAAH/yP2U=")</f>
        <v>#REF!</v>
      </c>
      <c r="CY217" t="e">
        <f>AND(#REF!,"AAAAAH/yP2Y=")</f>
        <v>#REF!</v>
      </c>
      <c r="CZ217" t="e">
        <f>AND(#REF!,"AAAAAH/yP2c=")</f>
        <v>#REF!</v>
      </c>
      <c r="DA217" t="e">
        <f>AND(#REF!,"AAAAAH/yP2g=")</f>
        <v>#REF!</v>
      </c>
      <c r="DB217" t="e">
        <f>AND(#REF!,"AAAAAH/yP2k=")</f>
        <v>#REF!</v>
      </c>
      <c r="DC217" t="e">
        <f>AND(#REF!,"AAAAAH/yP2o=")</f>
        <v>#REF!</v>
      </c>
      <c r="DD217" t="e">
        <f>AND(#REF!,"AAAAAH/yP2s=")</f>
        <v>#REF!</v>
      </c>
      <c r="DE217" t="e">
        <f>AND(#REF!,"AAAAAH/yP2w=")</f>
        <v>#REF!</v>
      </c>
      <c r="DF217" t="e">
        <f>AND(#REF!,"AAAAAH/yP20=")</f>
        <v>#REF!</v>
      </c>
      <c r="DG217" t="e">
        <f>AND(#REF!,"AAAAAH/yP24=")</f>
        <v>#REF!</v>
      </c>
      <c r="DH217" t="e">
        <f>AND(#REF!,"AAAAAH/yP28=")</f>
        <v>#REF!</v>
      </c>
      <c r="DI217" t="e">
        <f>AND(#REF!,"AAAAAH/yP3A=")</f>
        <v>#REF!</v>
      </c>
      <c r="DJ217" t="e">
        <f>AND(#REF!,"AAAAAH/yP3E=")</f>
        <v>#REF!</v>
      </c>
      <c r="DK217" t="e">
        <f>AND(#REF!,"AAAAAH/yP3I=")</f>
        <v>#REF!</v>
      </c>
      <c r="DL217" t="e">
        <f>AND(#REF!,"AAAAAH/yP3M=")</f>
        <v>#REF!</v>
      </c>
      <c r="DM217" t="e">
        <f>AND(#REF!,"AAAAAH/yP3Q=")</f>
        <v>#REF!</v>
      </c>
      <c r="DN217" t="e">
        <f>AND(#REF!,"AAAAAH/yP3U=")</f>
        <v>#REF!</v>
      </c>
      <c r="DO217" t="e">
        <f>AND(#REF!,"AAAAAH/yP3Y=")</f>
        <v>#REF!</v>
      </c>
      <c r="DP217" t="e">
        <f>AND(#REF!,"AAAAAH/yP3c=")</f>
        <v>#REF!</v>
      </c>
      <c r="DQ217" t="e">
        <f>AND(#REF!,"AAAAAH/yP3g=")</f>
        <v>#REF!</v>
      </c>
      <c r="DR217" t="e">
        <f>AND(#REF!,"AAAAAH/yP3k=")</f>
        <v>#REF!</v>
      </c>
      <c r="DS217" t="e">
        <f>AND(#REF!,"AAAAAH/yP3o=")</f>
        <v>#REF!</v>
      </c>
      <c r="DT217" t="e">
        <f>AND(#REF!,"AAAAAH/yP3s=")</f>
        <v>#REF!</v>
      </c>
      <c r="DU217" t="e">
        <f>AND(#REF!,"AAAAAH/yP3w=")</f>
        <v>#REF!</v>
      </c>
      <c r="DV217" t="e">
        <f>AND(#REF!,"AAAAAH/yP30=")</f>
        <v>#REF!</v>
      </c>
      <c r="DW217" t="e">
        <f>AND(#REF!,"AAAAAH/yP34=")</f>
        <v>#REF!</v>
      </c>
      <c r="DX217" t="e">
        <f>AND(#REF!,"AAAAAH/yP38=")</f>
        <v>#REF!</v>
      </c>
      <c r="DY217" t="e">
        <f>AND(#REF!,"AAAAAH/yP4A=")</f>
        <v>#REF!</v>
      </c>
      <c r="DZ217" t="e">
        <f>AND(#REF!,"AAAAAH/yP4E=")</f>
        <v>#REF!</v>
      </c>
      <c r="EA217" t="e">
        <f>AND(#REF!,"AAAAAH/yP4I=")</f>
        <v>#REF!</v>
      </c>
      <c r="EB217" t="e">
        <f>AND(#REF!,"AAAAAH/yP4M=")</f>
        <v>#REF!</v>
      </c>
      <c r="EC217" t="e">
        <f>AND(#REF!,"AAAAAH/yP4Q=")</f>
        <v>#REF!</v>
      </c>
      <c r="ED217" t="e">
        <f>AND(#REF!,"AAAAAH/yP4U=")</f>
        <v>#REF!</v>
      </c>
      <c r="EE217" t="e">
        <f>AND(#REF!,"AAAAAH/yP4Y=")</f>
        <v>#REF!</v>
      </c>
      <c r="EF217" t="e">
        <f>AND(#REF!,"AAAAAH/yP4c=")</f>
        <v>#REF!</v>
      </c>
      <c r="EG217" t="e">
        <f>AND(#REF!,"AAAAAH/yP4g=")</f>
        <v>#REF!</v>
      </c>
      <c r="EH217" t="e">
        <f>AND(#REF!,"AAAAAH/yP4k=")</f>
        <v>#REF!</v>
      </c>
      <c r="EI217" t="e">
        <f>AND(#REF!,"AAAAAH/yP4o=")</f>
        <v>#REF!</v>
      </c>
      <c r="EJ217" t="e">
        <f>AND(#REF!,"AAAAAH/yP4s=")</f>
        <v>#REF!</v>
      </c>
      <c r="EK217" t="e">
        <f>AND(#REF!,"AAAAAH/yP4w=")</f>
        <v>#REF!</v>
      </c>
      <c r="EL217" t="e">
        <f>AND(#REF!,"AAAAAH/yP40=")</f>
        <v>#REF!</v>
      </c>
      <c r="EM217" t="e">
        <f>AND(#REF!,"AAAAAH/yP44=")</f>
        <v>#REF!</v>
      </c>
      <c r="EN217" t="e">
        <f>AND(#REF!,"AAAAAH/yP48=")</f>
        <v>#REF!</v>
      </c>
      <c r="EO217" t="e">
        <f>AND(#REF!,"AAAAAH/yP5A=")</f>
        <v>#REF!</v>
      </c>
      <c r="EP217" t="e">
        <f>AND(#REF!,"AAAAAH/yP5E=")</f>
        <v>#REF!</v>
      </c>
      <c r="EQ217" t="e">
        <f>AND(#REF!,"AAAAAH/yP5I=")</f>
        <v>#REF!</v>
      </c>
      <c r="ER217" t="e">
        <f>AND(#REF!,"AAAAAH/yP5M=")</f>
        <v>#REF!</v>
      </c>
      <c r="ES217" t="e">
        <f>AND(#REF!,"AAAAAH/yP5Q=")</f>
        <v>#REF!</v>
      </c>
      <c r="ET217" t="e">
        <f>AND(#REF!,"AAAAAH/yP5U=")</f>
        <v>#REF!</v>
      </c>
      <c r="EU217" t="e">
        <f>AND(#REF!,"AAAAAH/yP5Y=")</f>
        <v>#REF!</v>
      </c>
      <c r="EV217" t="e">
        <f>AND(#REF!,"AAAAAH/yP5c=")</f>
        <v>#REF!</v>
      </c>
      <c r="EW217" t="e">
        <f>AND(#REF!,"AAAAAH/yP5g=")</f>
        <v>#REF!</v>
      </c>
      <c r="EX217" t="e">
        <f>AND(#REF!,"AAAAAH/yP5k=")</f>
        <v>#REF!</v>
      </c>
      <c r="EY217" t="e">
        <f>AND(#REF!,"AAAAAH/yP5o=")</f>
        <v>#REF!</v>
      </c>
      <c r="EZ217" t="e">
        <f>AND(#REF!,"AAAAAH/yP5s=")</f>
        <v>#REF!</v>
      </c>
      <c r="FA217" t="e">
        <f>AND(#REF!,"AAAAAH/yP5w=")</f>
        <v>#REF!</v>
      </c>
      <c r="FB217" t="e">
        <f>AND(#REF!,"AAAAAH/yP50=")</f>
        <v>#REF!</v>
      </c>
      <c r="FC217" t="e">
        <f>AND(#REF!,"AAAAAH/yP54=")</f>
        <v>#REF!</v>
      </c>
      <c r="FD217" t="e">
        <f>AND(#REF!,"AAAAAH/yP58=")</f>
        <v>#REF!</v>
      </c>
      <c r="FE217" t="e">
        <f>AND(#REF!,"AAAAAH/yP6A=")</f>
        <v>#REF!</v>
      </c>
      <c r="FF217" t="e">
        <f>AND(#REF!,"AAAAAH/yP6E=")</f>
        <v>#REF!</v>
      </c>
      <c r="FG217" t="e">
        <f>AND(#REF!,"AAAAAH/yP6I=")</f>
        <v>#REF!</v>
      </c>
      <c r="FH217" t="e">
        <f>AND(#REF!,"AAAAAH/yP6M=")</f>
        <v>#REF!</v>
      </c>
      <c r="FI217" t="e">
        <f>AND(#REF!,"AAAAAH/yP6Q=")</f>
        <v>#REF!</v>
      </c>
      <c r="FJ217" t="e">
        <f>AND(#REF!,"AAAAAH/yP6U=")</f>
        <v>#REF!</v>
      </c>
      <c r="FK217" t="e">
        <f>AND(#REF!,"AAAAAH/yP6Y=")</f>
        <v>#REF!</v>
      </c>
      <c r="FL217" t="e">
        <f>AND(#REF!,"AAAAAH/yP6c=")</f>
        <v>#REF!</v>
      </c>
      <c r="FM217" t="e">
        <f>AND(#REF!,"AAAAAH/yP6g=")</f>
        <v>#REF!</v>
      </c>
      <c r="FN217" t="e">
        <f>AND(#REF!,"AAAAAH/yP6k=")</f>
        <v>#REF!</v>
      </c>
      <c r="FO217" t="e">
        <f>AND(#REF!,"AAAAAH/yP6o=")</f>
        <v>#REF!</v>
      </c>
      <c r="FP217" t="e">
        <f>AND(#REF!,"AAAAAH/yP6s=")</f>
        <v>#REF!</v>
      </c>
      <c r="FQ217" t="e">
        <f>AND(#REF!,"AAAAAH/yP6w=")</f>
        <v>#REF!</v>
      </c>
      <c r="FR217" t="e">
        <f>AND(#REF!,"AAAAAH/yP60=")</f>
        <v>#REF!</v>
      </c>
      <c r="FS217" t="e">
        <f>AND(#REF!,"AAAAAH/yP64=")</f>
        <v>#REF!</v>
      </c>
      <c r="FT217" t="e">
        <f>AND(#REF!,"AAAAAH/yP68=")</f>
        <v>#REF!</v>
      </c>
      <c r="FU217" t="e">
        <f>AND(#REF!,"AAAAAH/yP7A=")</f>
        <v>#REF!</v>
      </c>
      <c r="FV217" t="e">
        <f>AND(#REF!,"AAAAAH/yP7E=")</f>
        <v>#REF!</v>
      </c>
      <c r="FW217" t="e">
        <f>AND(#REF!,"AAAAAH/yP7I=")</f>
        <v>#REF!</v>
      </c>
      <c r="FX217" t="e">
        <f>AND(#REF!,"AAAAAH/yP7M=")</f>
        <v>#REF!</v>
      </c>
      <c r="FY217" t="e">
        <f>AND(#REF!,"AAAAAH/yP7Q=")</f>
        <v>#REF!</v>
      </c>
      <c r="FZ217" t="e">
        <f>AND(#REF!,"AAAAAH/yP7U=")</f>
        <v>#REF!</v>
      </c>
      <c r="GA217" t="e">
        <f>AND(#REF!,"AAAAAH/yP7Y=")</f>
        <v>#REF!</v>
      </c>
      <c r="GB217" t="e">
        <f>AND(#REF!,"AAAAAH/yP7c=")</f>
        <v>#REF!</v>
      </c>
      <c r="GC217" t="e">
        <f>AND(#REF!,"AAAAAH/yP7g=")</f>
        <v>#REF!</v>
      </c>
      <c r="GD217" t="e">
        <f>AND(#REF!,"AAAAAH/yP7k=")</f>
        <v>#REF!</v>
      </c>
      <c r="GE217" t="e">
        <f>AND(#REF!,"AAAAAH/yP7o=")</f>
        <v>#REF!</v>
      </c>
      <c r="GF217" t="e">
        <f>AND(#REF!,"AAAAAH/yP7s=")</f>
        <v>#REF!</v>
      </c>
      <c r="GG217" t="e">
        <f>AND(#REF!,"AAAAAH/yP7w=")</f>
        <v>#REF!</v>
      </c>
      <c r="GH217" t="e">
        <f>AND(#REF!,"AAAAAH/yP70=")</f>
        <v>#REF!</v>
      </c>
      <c r="GI217" t="e">
        <f>AND(#REF!,"AAAAAH/yP74=")</f>
        <v>#REF!</v>
      </c>
      <c r="GJ217" t="e">
        <f>AND(#REF!,"AAAAAH/yP78=")</f>
        <v>#REF!</v>
      </c>
      <c r="GK217" t="e">
        <f>AND(#REF!,"AAAAAH/yP8A=")</f>
        <v>#REF!</v>
      </c>
      <c r="GL217" t="e">
        <f>AND(#REF!,"AAAAAH/yP8E=")</f>
        <v>#REF!</v>
      </c>
      <c r="GM217" t="e">
        <f>AND(#REF!,"AAAAAH/yP8I=")</f>
        <v>#REF!</v>
      </c>
      <c r="GN217" t="e">
        <f>AND(#REF!,"AAAAAH/yP8M=")</f>
        <v>#REF!</v>
      </c>
      <c r="GO217" t="e">
        <f>AND(#REF!,"AAAAAH/yP8Q=")</f>
        <v>#REF!</v>
      </c>
      <c r="GP217" t="e">
        <f>AND(#REF!,"AAAAAH/yP8U=")</f>
        <v>#REF!</v>
      </c>
      <c r="GQ217" t="e">
        <f>AND(#REF!,"AAAAAH/yP8Y=")</f>
        <v>#REF!</v>
      </c>
      <c r="GR217" t="e">
        <f>AND(#REF!,"AAAAAH/yP8c=")</f>
        <v>#REF!</v>
      </c>
      <c r="GS217" t="e">
        <f>AND(#REF!,"AAAAAH/yP8g=")</f>
        <v>#REF!</v>
      </c>
      <c r="GT217" t="e">
        <f>AND(#REF!,"AAAAAH/yP8k=")</f>
        <v>#REF!</v>
      </c>
      <c r="GU217" t="e">
        <f>AND(#REF!,"AAAAAH/yP8o=")</f>
        <v>#REF!</v>
      </c>
      <c r="GV217" t="e">
        <f>AND(#REF!,"AAAAAH/yP8s=")</f>
        <v>#REF!</v>
      </c>
      <c r="GW217" t="e">
        <f>AND(#REF!,"AAAAAH/yP8w=")</f>
        <v>#REF!</v>
      </c>
      <c r="GX217" t="e">
        <f>AND(#REF!,"AAAAAH/yP80=")</f>
        <v>#REF!</v>
      </c>
      <c r="GY217" t="e">
        <f>AND(#REF!,"AAAAAH/yP84=")</f>
        <v>#REF!</v>
      </c>
      <c r="GZ217" t="e">
        <f>AND(#REF!,"AAAAAH/yP88=")</f>
        <v>#REF!</v>
      </c>
      <c r="HA217" t="e">
        <f>AND(#REF!,"AAAAAH/yP9A=")</f>
        <v>#REF!</v>
      </c>
      <c r="HB217" t="e">
        <f>AND(#REF!,"AAAAAH/yP9E=")</f>
        <v>#REF!</v>
      </c>
      <c r="HC217" t="e">
        <f>AND(#REF!,"AAAAAH/yP9I=")</f>
        <v>#REF!</v>
      </c>
      <c r="HD217" t="e">
        <f>AND(#REF!,"AAAAAH/yP9M=")</f>
        <v>#REF!</v>
      </c>
      <c r="HE217" t="e">
        <f>AND(#REF!,"AAAAAH/yP9Q=")</f>
        <v>#REF!</v>
      </c>
      <c r="HF217" t="e">
        <f>AND(#REF!,"AAAAAH/yP9U=")</f>
        <v>#REF!</v>
      </c>
      <c r="HG217" t="e">
        <f>AND(#REF!,"AAAAAH/yP9Y=")</f>
        <v>#REF!</v>
      </c>
      <c r="HH217" t="e">
        <f>AND(#REF!,"AAAAAH/yP9c=")</f>
        <v>#REF!</v>
      </c>
      <c r="HI217" t="e">
        <f>AND(#REF!,"AAAAAH/yP9g=")</f>
        <v>#REF!</v>
      </c>
      <c r="HJ217" t="e">
        <f>AND(#REF!,"AAAAAH/yP9k=")</f>
        <v>#REF!</v>
      </c>
      <c r="HK217" t="e">
        <f>AND(#REF!,"AAAAAH/yP9o=")</f>
        <v>#REF!</v>
      </c>
      <c r="HL217" t="e">
        <f>AND(#REF!,"AAAAAH/yP9s=")</f>
        <v>#REF!</v>
      </c>
      <c r="HM217" t="e">
        <f>AND(#REF!,"AAAAAH/yP9w=")</f>
        <v>#REF!</v>
      </c>
      <c r="HN217" t="e">
        <f>AND(#REF!,"AAAAAH/yP90=")</f>
        <v>#REF!</v>
      </c>
      <c r="HO217" t="e">
        <f>AND(#REF!,"AAAAAH/yP94=")</f>
        <v>#REF!</v>
      </c>
      <c r="HP217" t="e">
        <f>AND(#REF!,"AAAAAH/yP98=")</f>
        <v>#REF!</v>
      </c>
      <c r="HQ217" t="e">
        <f>AND(#REF!,"AAAAAH/yP+A=")</f>
        <v>#REF!</v>
      </c>
      <c r="HR217" t="e">
        <f>AND(#REF!,"AAAAAH/yP+E=")</f>
        <v>#REF!</v>
      </c>
      <c r="HS217" t="e">
        <f>AND(#REF!,"AAAAAH/yP+I=")</f>
        <v>#REF!</v>
      </c>
      <c r="HT217" t="e">
        <f>AND(#REF!,"AAAAAH/yP+M=")</f>
        <v>#REF!</v>
      </c>
      <c r="HU217" t="e">
        <f>AND(#REF!,"AAAAAH/yP+Q=")</f>
        <v>#REF!</v>
      </c>
      <c r="HV217" t="e">
        <f>AND(#REF!,"AAAAAH/yP+U=")</f>
        <v>#REF!</v>
      </c>
      <c r="HW217" t="e">
        <f>AND(#REF!,"AAAAAH/yP+Y=")</f>
        <v>#REF!</v>
      </c>
      <c r="HX217" t="e">
        <f>AND(#REF!,"AAAAAH/yP+c=")</f>
        <v>#REF!</v>
      </c>
      <c r="HY217" t="e">
        <f>AND(#REF!,"AAAAAH/yP+g=")</f>
        <v>#REF!</v>
      </c>
      <c r="HZ217" t="e">
        <f>AND(#REF!,"AAAAAH/yP+k=")</f>
        <v>#REF!</v>
      </c>
      <c r="IA217" t="e">
        <f>AND(#REF!,"AAAAAH/yP+o=")</f>
        <v>#REF!</v>
      </c>
      <c r="IB217" t="e">
        <f>AND(#REF!,"AAAAAH/yP+s=")</f>
        <v>#REF!</v>
      </c>
      <c r="IC217" t="e">
        <f>AND(#REF!,"AAAAAH/yP+w=")</f>
        <v>#REF!</v>
      </c>
      <c r="ID217" t="e">
        <f>AND(#REF!,"AAAAAH/yP+0=")</f>
        <v>#REF!</v>
      </c>
      <c r="IE217" t="e">
        <f>AND(#REF!,"AAAAAH/yP+4=")</f>
        <v>#REF!</v>
      </c>
      <c r="IF217" t="e">
        <f>AND(#REF!,"AAAAAH/yP+8=")</f>
        <v>#REF!</v>
      </c>
      <c r="IG217" t="e">
        <f>AND(#REF!,"AAAAAH/yP/A=")</f>
        <v>#REF!</v>
      </c>
      <c r="IH217" t="e">
        <f>AND(#REF!,"AAAAAH/yP/E=")</f>
        <v>#REF!</v>
      </c>
      <c r="II217" t="e">
        <f>AND(#REF!,"AAAAAH/yP/I=")</f>
        <v>#REF!</v>
      </c>
      <c r="IJ217" t="e">
        <f>AND(#REF!,"AAAAAH/yP/M=")</f>
        <v>#REF!</v>
      </c>
      <c r="IK217" t="e">
        <f>AND(#REF!,"AAAAAH/yP/Q=")</f>
        <v>#REF!</v>
      </c>
      <c r="IL217" t="e">
        <f>AND(#REF!,"AAAAAH/yP/U=")</f>
        <v>#REF!</v>
      </c>
      <c r="IM217" t="e">
        <f>AND(#REF!,"AAAAAH/yP/Y=")</f>
        <v>#REF!</v>
      </c>
      <c r="IN217" t="e">
        <f>AND(#REF!,"AAAAAH/yP/c=")</f>
        <v>#REF!</v>
      </c>
      <c r="IO217" t="e">
        <f>AND(#REF!,"AAAAAH/yP/g=")</f>
        <v>#REF!</v>
      </c>
      <c r="IP217" t="e">
        <f>AND(#REF!,"AAAAAH/yP/k=")</f>
        <v>#REF!</v>
      </c>
      <c r="IQ217" t="e">
        <f>AND(#REF!,"AAAAAH/yP/o=")</f>
        <v>#REF!</v>
      </c>
      <c r="IR217" t="e">
        <f>AND(#REF!,"AAAAAH/yP/s=")</f>
        <v>#REF!</v>
      </c>
      <c r="IS217" t="e">
        <f>AND(#REF!,"AAAAAH/yP/w=")</f>
        <v>#REF!</v>
      </c>
      <c r="IT217" t="e">
        <f>AND(#REF!,"AAAAAH/yP/0=")</f>
        <v>#REF!</v>
      </c>
      <c r="IU217" t="e">
        <f>AND(#REF!,"AAAAAH/yP/4=")</f>
        <v>#REF!</v>
      </c>
      <c r="IV217" t="e">
        <f>AND(#REF!,"AAAAAH/yP/8=")</f>
        <v>#REF!</v>
      </c>
    </row>
    <row r="218" spans="1:256" x14ac:dyDescent="0.25">
      <c r="A218" t="e">
        <f>AND(#REF!,"AAAAAHr73wA=")</f>
        <v>#REF!</v>
      </c>
      <c r="B218" t="e">
        <f>AND(#REF!,"AAAAAHr73wE=")</f>
        <v>#REF!</v>
      </c>
      <c r="C218" t="e">
        <f>AND(#REF!,"AAAAAHr73wI=")</f>
        <v>#REF!</v>
      </c>
      <c r="D218" t="e">
        <f>AND(#REF!,"AAAAAHr73wM=")</f>
        <v>#REF!</v>
      </c>
      <c r="E218" t="e">
        <f>AND(#REF!,"AAAAAHr73wQ=")</f>
        <v>#REF!</v>
      </c>
      <c r="F218" t="e">
        <f>AND(#REF!,"AAAAAHr73wU=")</f>
        <v>#REF!</v>
      </c>
      <c r="G218" t="e">
        <f>IF(#REF!,"AAAAAHr73wY=",0)</f>
        <v>#REF!</v>
      </c>
      <c r="H218" t="e">
        <f>AND(#REF!,"AAAAAHr73wc=")</f>
        <v>#REF!</v>
      </c>
      <c r="I218" t="e">
        <f>AND(#REF!,"AAAAAHr73wg=")</f>
        <v>#REF!</v>
      </c>
      <c r="J218" t="e">
        <f>AND(#REF!,"AAAAAHr73wk=")</f>
        <v>#REF!</v>
      </c>
      <c r="K218" t="e">
        <f>AND(#REF!,"AAAAAHr73wo=")</f>
        <v>#REF!</v>
      </c>
      <c r="L218" t="e">
        <f>AND(#REF!,"AAAAAHr73ws=")</f>
        <v>#REF!</v>
      </c>
      <c r="M218" t="e">
        <f>AND(#REF!,"AAAAAHr73ww=")</f>
        <v>#REF!</v>
      </c>
      <c r="N218" t="e">
        <f>AND(#REF!,"AAAAAHr73w0=")</f>
        <v>#REF!</v>
      </c>
      <c r="O218" t="e">
        <f>AND(#REF!,"AAAAAHr73w4=")</f>
        <v>#REF!</v>
      </c>
      <c r="P218" t="e">
        <f>AND(#REF!,"AAAAAHr73w8=")</f>
        <v>#REF!</v>
      </c>
      <c r="Q218" t="e">
        <f>AND(#REF!,"AAAAAHr73xA=")</f>
        <v>#REF!</v>
      </c>
      <c r="R218" t="e">
        <f>AND(#REF!,"AAAAAHr73xE=")</f>
        <v>#REF!</v>
      </c>
      <c r="S218" t="e">
        <f>AND(#REF!,"AAAAAHr73xI=")</f>
        <v>#REF!</v>
      </c>
      <c r="T218" t="e">
        <f>AND(#REF!,"AAAAAHr73xM=")</f>
        <v>#REF!</v>
      </c>
      <c r="U218" t="e">
        <f>AND(#REF!,"AAAAAHr73xQ=")</f>
        <v>#REF!</v>
      </c>
      <c r="V218" t="e">
        <f>AND(#REF!,"AAAAAHr73xU=")</f>
        <v>#REF!</v>
      </c>
      <c r="W218" t="e">
        <f>AND(#REF!,"AAAAAHr73xY=")</f>
        <v>#REF!</v>
      </c>
      <c r="X218" t="e">
        <f>AND(#REF!,"AAAAAHr73xc=")</f>
        <v>#REF!</v>
      </c>
      <c r="Y218" t="e">
        <f>AND(#REF!,"AAAAAHr73xg=")</f>
        <v>#REF!</v>
      </c>
      <c r="Z218" t="e">
        <f>AND(#REF!,"AAAAAHr73xk=")</f>
        <v>#REF!</v>
      </c>
      <c r="AA218" t="e">
        <f>AND(#REF!,"AAAAAHr73xo=")</f>
        <v>#REF!</v>
      </c>
      <c r="AB218" t="e">
        <f>AND(#REF!,"AAAAAHr73xs=")</f>
        <v>#REF!</v>
      </c>
      <c r="AC218" t="e">
        <f>AND(#REF!,"AAAAAHr73xw=")</f>
        <v>#REF!</v>
      </c>
      <c r="AD218" t="e">
        <f>AND(#REF!,"AAAAAHr73x0=")</f>
        <v>#REF!</v>
      </c>
      <c r="AE218" t="e">
        <f>AND(#REF!,"AAAAAHr73x4=")</f>
        <v>#REF!</v>
      </c>
      <c r="AF218" t="e">
        <f>AND(#REF!,"AAAAAHr73x8=")</f>
        <v>#REF!</v>
      </c>
      <c r="AG218" t="e">
        <f>AND(#REF!,"AAAAAHr73yA=")</f>
        <v>#REF!</v>
      </c>
      <c r="AH218" t="e">
        <f>AND(#REF!,"AAAAAHr73yE=")</f>
        <v>#REF!</v>
      </c>
      <c r="AI218" t="e">
        <f>AND(#REF!,"AAAAAHr73yI=")</f>
        <v>#REF!</v>
      </c>
      <c r="AJ218" t="e">
        <f>AND(#REF!,"AAAAAHr73yM=")</f>
        <v>#REF!</v>
      </c>
      <c r="AK218" t="e">
        <f>AND(#REF!,"AAAAAHr73yQ=")</f>
        <v>#REF!</v>
      </c>
      <c r="AL218" t="e">
        <f>AND(#REF!,"AAAAAHr73yU=")</f>
        <v>#REF!</v>
      </c>
      <c r="AM218" t="e">
        <f>AND(#REF!,"AAAAAHr73yY=")</f>
        <v>#REF!</v>
      </c>
      <c r="AN218" t="e">
        <f>AND(#REF!,"AAAAAHr73yc=")</f>
        <v>#REF!</v>
      </c>
      <c r="AO218" t="e">
        <f>AND(#REF!,"AAAAAHr73yg=")</f>
        <v>#REF!</v>
      </c>
      <c r="AP218" t="e">
        <f>AND(#REF!,"AAAAAHr73yk=")</f>
        <v>#REF!</v>
      </c>
      <c r="AQ218" t="e">
        <f>AND(#REF!,"AAAAAHr73yo=")</f>
        <v>#REF!</v>
      </c>
      <c r="AR218" t="e">
        <f>AND(#REF!,"AAAAAHr73ys=")</f>
        <v>#REF!</v>
      </c>
      <c r="AS218" t="e">
        <f>AND(#REF!,"AAAAAHr73yw=")</f>
        <v>#REF!</v>
      </c>
      <c r="AT218" t="e">
        <f>AND(#REF!,"AAAAAHr73y0=")</f>
        <v>#REF!</v>
      </c>
      <c r="AU218" t="e">
        <f>AND(#REF!,"AAAAAHr73y4=")</f>
        <v>#REF!</v>
      </c>
      <c r="AV218" t="e">
        <f>AND(#REF!,"AAAAAHr73y8=")</f>
        <v>#REF!</v>
      </c>
      <c r="AW218" t="e">
        <f>AND(#REF!,"AAAAAHr73zA=")</f>
        <v>#REF!</v>
      </c>
      <c r="AX218" t="e">
        <f>AND(#REF!,"AAAAAHr73zE=")</f>
        <v>#REF!</v>
      </c>
      <c r="AY218" t="e">
        <f>AND(#REF!,"AAAAAHr73zI=")</f>
        <v>#REF!</v>
      </c>
      <c r="AZ218" t="e">
        <f>AND(#REF!,"AAAAAHr73zM=")</f>
        <v>#REF!</v>
      </c>
      <c r="BA218" t="e">
        <f>AND(#REF!,"AAAAAHr73zQ=")</f>
        <v>#REF!</v>
      </c>
      <c r="BB218" t="e">
        <f>AND(#REF!,"AAAAAHr73zU=")</f>
        <v>#REF!</v>
      </c>
      <c r="BC218" t="e">
        <f>AND(#REF!,"AAAAAHr73zY=")</f>
        <v>#REF!</v>
      </c>
      <c r="BD218" t="e">
        <f>AND(#REF!,"AAAAAHr73zc=")</f>
        <v>#REF!</v>
      </c>
      <c r="BE218" t="e">
        <f>AND(#REF!,"AAAAAHr73zg=")</f>
        <v>#REF!</v>
      </c>
      <c r="BF218" t="e">
        <f>AND(#REF!,"AAAAAHr73zk=")</f>
        <v>#REF!</v>
      </c>
      <c r="BG218" t="e">
        <f>AND(#REF!,"AAAAAHr73zo=")</f>
        <v>#REF!</v>
      </c>
      <c r="BH218" t="e">
        <f>AND(#REF!,"AAAAAHr73zs=")</f>
        <v>#REF!</v>
      </c>
      <c r="BI218" t="e">
        <f>AND(#REF!,"AAAAAHr73zw=")</f>
        <v>#REF!</v>
      </c>
      <c r="BJ218" t="e">
        <f>AND(#REF!,"AAAAAHr73z0=")</f>
        <v>#REF!</v>
      </c>
      <c r="BK218" t="e">
        <f>AND(#REF!,"AAAAAHr73z4=")</f>
        <v>#REF!</v>
      </c>
      <c r="BL218" t="e">
        <f>AND(#REF!,"AAAAAHr73z8=")</f>
        <v>#REF!</v>
      </c>
      <c r="BM218" t="e">
        <f>AND(#REF!,"AAAAAHr730A=")</f>
        <v>#REF!</v>
      </c>
      <c r="BN218" t="e">
        <f>AND(#REF!,"AAAAAHr730E=")</f>
        <v>#REF!</v>
      </c>
      <c r="BO218" t="e">
        <f>AND(#REF!,"AAAAAHr730I=")</f>
        <v>#REF!</v>
      </c>
      <c r="BP218" t="e">
        <f>AND(#REF!,"AAAAAHr730M=")</f>
        <v>#REF!</v>
      </c>
      <c r="BQ218" t="e">
        <f>AND(#REF!,"AAAAAHr730Q=")</f>
        <v>#REF!</v>
      </c>
      <c r="BR218" t="e">
        <f>AND(#REF!,"AAAAAHr730U=")</f>
        <v>#REF!</v>
      </c>
      <c r="BS218" t="e">
        <f>AND(#REF!,"AAAAAHr730Y=")</f>
        <v>#REF!</v>
      </c>
      <c r="BT218" t="e">
        <f>AND(#REF!,"AAAAAHr730c=")</f>
        <v>#REF!</v>
      </c>
      <c r="BU218" t="e">
        <f>AND(#REF!,"AAAAAHr730g=")</f>
        <v>#REF!</v>
      </c>
      <c r="BV218" t="e">
        <f>AND(#REF!,"AAAAAHr730k=")</f>
        <v>#REF!</v>
      </c>
      <c r="BW218" t="e">
        <f>AND(#REF!,"AAAAAHr730o=")</f>
        <v>#REF!</v>
      </c>
      <c r="BX218" t="e">
        <f>AND(#REF!,"AAAAAHr730s=")</f>
        <v>#REF!</v>
      </c>
      <c r="BY218" t="e">
        <f>AND(#REF!,"AAAAAHr730w=")</f>
        <v>#REF!</v>
      </c>
      <c r="BZ218" t="e">
        <f>AND(#REF!,"AAAAAHr7300=")</f>
        <v>#REF!</v>
      </c>
      <c r="CA218" t="e">
        <f>AND(#REF!,"AAAAAHr7304=")</f>
        <v>#REF!</v>
      </c>
      <c r="CB218" t="e">
        <f>AND(#REF!,"AAAAAHr7308=")</f>
        <v>#REF!</v>
      </c>
      <c r="CC218" t="e">
        <f>AND(#REF!,"AAAAAHr731A=")</f>
        <v>#REF!</v>
      </c>
      <c r="CD218" t="e">
        <f>AND(#REF!,"AAAAAHr731E=")</f>
        <v>#REF!</v>
      </c>
      <c r="CE218" t="e">
        <f>AND(#REF!,"AAAAAHr731I=")</f>
        <v>#REF!</v>
      </c>
      <c r="CF218" t="e">
        <f>AND(#REF!,"AAAAAHr731M=")</f>
        <v>#REF!</v>
      </c>
      <c r="CG218" t="e">
        <f>AND(#REF!,"AAAAAHr731Q=")</f>
        <v>#REF!</v>
      </c>
      <c r="CH218" t="e">
        <f>AND(#REF!,"AAAAAHr731U=")</f>
        <v>#REF!</v>
      </c>
      <c r="CI218" t="e">
        <f>AND(#REF!,"AAAAAHr731Y=")</f>
        <v>#REF!</v>
      </c>
      <c r="CJ218" t="e">
        <f>AND(#REF!,"AAAAAHr731c=")</f>
        <v>#REF!</v>
      </c>
      <c r="CK218" t="e">
        <f>AND(#REF!,"AAAAAHr731g=")</f>
        <v>#REF!</v>
      </c>
      <c r="CL218" t="e">
        <f>AND(#REF!,"AAAAAHr731k=")</f>
        <v>#REF!</v>
      </c>
      <c r="CM218" t="e">
        <f>AND(#REF!,"AAAAAHr731o=")</f>
        <v>#REF!</v>
      </c>
      <c r="CN218" t="e">
        <f>AND(#REF!,"AAAAAHr731s=")</f>
        <v>#REF!</v>
      </c>
      <c r="CO218" t="e">
        <f>AND(#REF!,"AAAAAHr731w=")</f>
        <v>#REF!</v>
      </c>
      <c r="CP218" t="e">
        <f>AND(#REF!,"AAAAAHr7310=")</f>
        <v>#REF!</v>
      </c>
      <c r="CQ218" t="e">
        <f>AND(#REF!,"AAAAAHr7314=")</f>
        <v>#REF!</v>
      </c>
      <c r="CR218" t="e">
        <f>AND(#REF!,"AAAAAHr7318=")</f>
        <v>#REF!</v>
      </c>
      <c r="CS218" t="e">
        <f>AND(#REF!,"AAAAAHr732A=")</f>
        <v>#REF!</v>
      </c>
      <c r="CT218" t="e">
        <f>AND(#REF!,"AAAAAHr732E=")</f>
        <v>#REF!</v>
      </c>
      <c r="CU218" t="e">
        <f>AND(#REF!,"AAAAAHr732I=")</f>
        <v>#REF!</v>
      </c>
      <c r="CV218" t="e">
        <f>AND(#REF!,"AAAAAHr732M=")</f>
        <v>#REF!</v>
      </c>
      <c r="CW218" t="e">
        <f>AND(#REF!,"AAAAAHr732Q=")</f>
        <v>#REF!</v>
      </c>
      <c r="CX218" t="e">
        <f>AND(#REF!,"AAAAAHr732U=")</f>
        <v>#REF!</v>
      </c>
      <c r="CY218" t="e">
        <f>AND(#REF!,"AAAAAHr732Y=")</f>
        <v>#REF!</v>
      </c>
      <c r="CZ218" t="e">
        <f>AND(#REF!,"AAAAAHr732c=")</f>
        <v>#REF!</v>
      </c>
      <c r="DA218" t="e">
        <f>AND(#REF!,"AAAAAHr732g=")</f>
        <v>#REF!</v>
      </c>
      <c r="DB218" t="e">
        <f>AND(#REF!,"AAAAAHr732k=")</f>
        <v>#REF!</v>
      </c>
      <c r="DC218" t="e">
        <f>AND(#REF!,"AAAAAHr732o=")</f>
        <v>#REF!</v>
      </c>
      <c r="DD218" t="e">
        <f>AND(#REF!,"AAAAAHr732s=")</f>
        <v>#REF!</v>
      </c>
      <c r="DE218" t="e">
        <f>AND(#REF!,"AAAAAHr732w=")</f>
        <v>#REF!</v>
      </c>
      <c r="DF218" t="e">
        <f>AND(#REF!,"AAAAAHr7320=")</f>
        <v>#REF!</v>
      </c>
      <c r="DG218" t="e">
        <f>AND(#REF!,"AAAAAHr7324=")</f>
        <v>#REF!</v>
      </c>
      <c r="DH218" t="e">
        <f>AND(#REF!,"AAAAAHr7328=")</f>
        <v>#REF!</v>
      </c>
      <c r="DI218" t="e">
        <f>AND(#REF!,"AAAAAHr733A=")</f>
        <v>#REF!</v>
      </c>
      <c r="DJ218" t="e">
        <f>AND(#REF!,"AAAAAHr733E=")</f>
        <v>#REF!</v>
      </c>
      <c r="DK218" t="e">
        <f>AND(#REF!,"AAAAAHr733I=")</f>
        <v>#REF!</v>
      </c>
      <c r="DL218" t="e">
        <f>AND(#REF!,"AAAAAHr733M=")</f>
        <v>#REF!</v>
      </c>
      <c r="DM218" t="e">
        <f>AND(#REF!,"AAAAAHr733Q=")</f>
        <v>#REF!</v>
      </c>
      <c r="DN218" t="e">
        <f>AND(#REF!,"AAAAAHr733U=")</f>
        <v>#REF!</v>
      </c>
      <c r="DO218" t="e">
        <f>AND(#REF!,"AAAAAHr733Y=")</f>
        <v>#REF!</v>
      </c>
      <c r="DP218" t="e">
        <f>AND(#REF!,"AAAAAHr733c=")</f>
        <v>#REF!</v>
      </c>
      <c r="DQ218" t="e">
        <f>AND(#REF!,"AAAAAHr733g=")</f>
        <v>#REF!</v>
      </c>
      <c r="DR218" t="e">
        <f>AND(#REF!,"AAAAAHr733k=")</f>
        <v>#REF!</v>
      </c>
      <c r="DS218" t="e">
        <f>AND(#REF!,"AAAAAHr733o=")</f>
        <v>#REF!</v>
      </c>
      <c r="DT218" t="e">
        <f>AND(#REF!,"AAAAAHr733s=")</f>
        <v>#REF!</v>
      </c>
      <c r="DU218" t="e">
        <f>AND(#REF!,"AAAAAHr733w=")</f>
        <v>#REF!</v>
      </c>
      <c r="DV218" t="e">
        <f>AND(#REF!,"AAAAAHr7330=")</f>
        <v>#REF!</v>
      </c>
      <c r="DW218" t="e">
        <f>AND(#REF!,"AAAAAHr7334=")</f>
        <v>#REF!</v>
      </c>
      <c r="DX218" t="e">
        <f>AND(#REF!,"AAAAAHr7338=")</f>
        <v>#REF!</v>
      </c>
      <c r="DY218" t="e">
        <f>AND(#REF!,"AAAAAHr734A=")</f>
        <v>#REF!</v>
      </c>
      <c r="DZ218" t="e">
        <f>AND(#REF!,"AAAAAHr734E=")</f>
        <v>#REF!</v>
      </c>
      <c r="EA218" t="e">
        <f>AND(#REF!,"AAAAAHr734I=")</f>
        <v>#REF!</v>
      </c>
      <c r="EB218" t="e">
        <f>AND(#REF!,"AAAAAHr734M=")</f>
        <v>#REF!</v>
      </c>
      <c r="EC218" t="e">
        <f>AND(#REF!,"AAAAAHr734Q=")</f>
        <v>#REF!</v>
      </c>
      <c r="ED218" t="e">
        <f>AND(#REF!,"AAAAAHr734U=")</f>
        <v>#REF!</v>
      </c>
      <c r="EE218" t="e">
        <f>AND(#REF!,"AAAAAHr734Y=")</f>
        <v>#REF!</v>
      </c>
      <c r="EF218" t="e">
        <f>AND(#REF!,"AAAAAHr734c=")</f>
        <v>#REF!</v>
      </c>
      <c r="EG218" t="e">
        <f>AND(#REF!,"AAAAAHr734g=")</f>
        <v>#REF!</v>
      </c>
      <c r="EH218" t="e">
        <f>AND(#REF!,"AAAAAHr734k=")</f>
        <v>#REF!</v>
      </c>
      <c r="EI218" t="e">
        <f>AND(#REF!,"AAAAAHr734o=")</f>
        <v>#REF!</v>
      </c>
      <c r="EJ218" t="e">
        <f>AND(#REF!,"AAAAAHr734s=")</f>
        <v>#REF!</v>
      </c>
      <c r="EK218" t="e">
        <f>AND(#REF!,"AAAAAHr734w=")</f>
        <v>#REF!</v>
      </c>
      <c r="EL218" t="e">
        <f>AND(#REF!,"AAAAAHr7340=")</f>
        <v>#REF!</v>
      </c>
      <c r="EM218" t="e">
        <f>AND(#REF!,"AAAAAHr7344=")</f>
        <v>#REF!</v>
      </c>
      <c r="EN218" t="e">
        <f>AND(#REF!,"AAAAAHr7348=")</f>
        <v>#REF!</v>
      </c>
      <c r="EO218" t="e">
        <f>AND(#REF!,"AAAAAHr735A=")</f>
        <v>#REF!</v>
      </c>
      <c r="EP218" t="e">
        <f>AND(#REF!,"AAAAAHr735E=")</f>
        <v>#REF!</v>
      </c>
      <c r="EQ218" t="e">
        <f>AND(#REF!,"AAAAAHr735I=")</f>
        <v>#REF!</v>
      </c>
      <c r="ER218" t="e">
        <f>AND(#REF!,"AAAAAHr735M=")</f>
        <v>#REF!</v>
      </c>
      <c r="ES218" t="e">
        <f>AND(#REF!,"AAAAAHr735Q=")</f>
        <v>#REF!</v>
      </c>
      <c r="ET218" t="e">
        <f>AND(#REF!,"AAAAAHr735U=")</f>
        <v>#REF!</v>
      </c>
      <c r="EU218" t="e">
        <f>AND(#REF!,"AAAAAHr735Y=")</f>
        <v>#REF!</v>
      </c>
      <c r="EV218" t="e">
        <f>AND(#REF!,"AAAAAHr735c=")</f>
        <v>#REF!</v>
      </c>
      <c r="EW218" t="e">
        <f>AND(#REF!,"AAAAAHr735g=")</f>
        <v>#REF!</v>
      </c>
      <c r="EX218" t="e">
        <f>AND(#REF!,"AAAAAHr735k=")</f>
        <v>#REF!</v>
      </c>
      <c r="EY218" t="e">
        <f>AND(#REF!,"AAAAAHr735o=")</f>
        <v>#REF!</v>
      </c>
      <c r="EZ218" t="e">
        <f>AND(#REF!,"AAAAAHr735s=")</f>
        <v>#REF!</v>
      </c>
      <c r="FA218" t="e">
        <f>AND(#REF!,"AAAAAHr735w=")</f>
        <v>#REF!</v>
      </c>
      <c r="FB218" t="e">
        <f>AND(#REF!,"AAAAAHr7350=")</f>
        <v>#REF!</v>
      </c>
      <c r="FC218" t="e">
        <f>AND(#REF!,"AAAAAHr7354=")</f>
        <v>#REF!</v>
      </c>
      <c r="FD218" t="e">
        <f>AND(#REF!,"AAAAAHr7358=")</f>
        <v>#REF!</v>
      </c>
      <c r="FE218" t="e">
        <f>AND(#REF!,"AAAAAHr736A=")</f>
        <v>#REF!</v>
      </c>
      <c r="FF218" t="e">
        <f>AND(#REF!,"AAAAAHr736E=")</f>
        <v>#REF!</v>
      </c>
      <c r="FG218" t="e">
        <f>AND(#REF!,"AAAAAHr736I=")</f>
        <v>#REF!</v>
      </c>
      <c r="FH218" t="e">
        <f>AND(#REF!,"AAAAAHr736M=")</f>
        <v>#REF!</v>
      </c>
      <c r="FI218" t="e">
        <f>AND(#REF!,"AAAAAHr736Q=")</f>
        <v>#REF!</v>
      </c>
      <c r="FJ218" t="e">
        <f>AND(#REF!,"AAAAAHr736U=")</f>
        <v>#REF!</v>
      </c>
      <c r="FK218" t="e">
        <f>AND(#REF!,"AAAAAHr736Y=")</f>
        <v>#REF!</v>
      </c>
      <c r="FL218" t="e">
        <f>AND(#REF!,"AAAAAHr736c=")</f>
        <v>#REF!</v>
      </c>
      <c r="FM218" t="e">
        <f>AND(#REF!,"AAAAAHr736g=")</f>
        <v>#REF!</v>
      </c>
      <c r="FN218" t="e">
        <f>AND(#REF!,"AAAAAHr736k=")</f>
        <v>#REF!</v>
      </c>
      <c r="FO218" t="e">
        <f>AND(#REF!,"AAAAAHr736o=")</f>
        <v>#REF!</v>
      </c>
      <c r="FP218" t="e">
        <f>AND(#REF!,"AAAAAHr736s=")</f>
        <v>#REF!</v>
      </c>
      <c r="FQ218" t="e">
        <f>AND(#REF!,"AAAAAHr736w=")</f>
        <v>#REF!</v>
      </c>
      <c r="FR218" t="e">
        <f>AND(#REF!,"AAAAAHr7360=")</f>
        <v>#REF!</v>
      </c>
      <c r="FS218" t="e">
        <f>AND(#REF!,"AAAAAHr7364=")</f>
        <v>#REF!</v>
      </c>
      <c r="FT218" t="e">
        <f>AND(#REF!,"AAAAAHr7368=")</f>
        <v>#REF!</v>
      </c>
      <c r="FU218" t="e">
        <f>AND(#REF!,"AAAAAHr737A=")</f>
        <v>#REF!</v>
      </c>
      <c r="FV218" t="e">
        <f>AND(#REF!,"AAAAAHr737E=")</f>
        <v>#REF!</v>
      </c>
      <c r="FW218" t="e">
        <f>AND(#REF!,"AAAAAHr737I=")</f>
        <v>#REF!</v>
      </c>
      <c r="FX218" t="e">
        <f>AND(#REF!,"AAAAAHr737M=")</f>
        <v>#REF!</v>
      </c>
      <c r="FY218" t="e">
        <f>AND(#REF!,"AAAAAHr737Q=")</f>
        <v>#REF!</v>
      </c>
      <c r="FZ218" t="e">
        <f>AND(#REF!,"AAAAAHr737U=")</f>
        <v>#REF!</v>
      </c>
      <c r="GA218" t="e">
        <f>AND(#REF!,"AAAAAHr737Y=")</f>
        <v>#REF!</v>
      </c>
      <c r="GB218" t="e">
        <f>AND(#REF!,"AAAAAHr737c=")</f>
        <v>#REF!</v>
      </c>
      <c r="GC218" t="e">
        <f>AND(#REF!,"AAAAAHr737g=")</f>
        <v>#REF!</v>
      </c>
      <c r="GD218" t="e">
        <f>AND(#REF!,"AAAAAHr737k=")</f>
        <v>#REF!</v>
      </c>
      <c r="GE218" t="e">
        <f>AND(#REF!,"AAAAAHr737o=")</f>
        <v>#REF!</v>
      </c>
      <c r="GF218" t="e">
        <f>AND(#REF!,"AAAAAHr737s=")</f>
        <v>#REF!</v>
      </c>
      <c r="GG218" t="e">
        <f>AND(#REF!,"AAAAAHr737w=")</f>
        <v>#REF!</v>
      </c>
      <c r="GH218" t="e">
        <f>AND(#REF!,"AAAAAHr7370=")</f>
        <v>#REF!</v>
      </c>
      <c r="GI218" t="e">
        <f>AND(#REF!,"AAAAAHr7374=")</f>
        <v>#REF!</v>
      </c>
      <c r="GJ218" t="e">
        <f>AND(#REF!,"AAAAAHr7378=")</f>
        <v>#REF!</v>
      </c>
      <c r="GK218" t="e">
        <f>AND(#REF!,"AAAAAHr738A=")</f>
        <v>#REF!</v>
      </c>
      <c r="GL218" t="e">
        <f>AND(#REF!,"AAAAAHr738E=")</f>
        <v>#REF!</v>
      </c>
      <c r="GM218" t="e">
        <f>AND(#REF!,"AAAAAHr738I=")</f>
        <v>#REF!</v>
      </c>
      <c r="GN218" t="e">
        <f>IF(#REF!,"AAAAAHr738M=",0)</f>
        <v>#REF!</v>
      </c>
      <c r="GO218" t="e">
        <f>AND(#REF!,"AAAAAHr738Q=")</f>
        <v>#REF!</v>
      </c>
      <c r="GP218" t="e">
        <f>AND(#REF!,"AAAAAHr738U=")</f>
        <v>#REF!</v>
      </c>
      <c r="GQ218" t="e">
        <f>AND(#REF!,"AAAAAHr738Y=")</f>
        <v>#REF!</v>
      </c>
      <c r="GR218" t="e">
        <f>AND(#REF!,"AAAAAHr738c=")</f>
        <v>#REF!</v>
      </c>
      <c r="GS218" t="e">
        <f>AND(#REF!,"AAAAAHr738g=")</f>
        <v>#REF!</v>
      </c>
      <c r="GT218" t="e">
        <f>AND(#REF!,"AAAAAHr738k=")</f>
        <v>#REF!</v>
      </c>
      <c r="GU218" t="e">
        <f>AND(#REF!,"AAAAAHr738o=")</f>
        <v>#REF!</v>
      </c>
      <c r="GV218" t="e">
        <f>AND(#REF!,"AAAAAHr738s=")</f>
        <v>#REF!</v>
      </c>
      <c r="GW218" t="e">
        <f>AND(#REF!,"AAAAAHr738w=")</f>
        <v>#REF!</v>
      </c>
      <c r="GX218" t="e">
        <f>AND(#REF!,"AAAAAHr7380=")</f>
        <v>#REF!</v>
      </c>
      <c r="GY218" t="e">
        <f>AND(#REF!,"AAAAAHr7384=")</f>
        <v>#REF!</v>
      </c>
      <c r="GZ218" t="e">
        <f>AND(#REF!,"AAAAAHr7388=")</f>
        <v>#REF!</v>
      </c>
      <c r="HA218" t="e">
        <f>AND(#REF!,"AAAAAHr739A=")</f>
        <v>#REF!</v>
      </c>
      <c r="HB218" t="e">
        <f>AND(#REF!,"AAAAAHr739E=")</f>
        <v>#REF!</v>
      </c>
      <c r="HC218" t="e">
        <f>AND(#REF!,"AAAAAHr739I=")</f>
        <v>#REF!</v>
      </c>
      <c r="HD218" t="e">
        <f>AND(#REF!,"AAAAAHr739M=")</f>
        <v>#REF!</v>
      </c>
      <c r="HE218" t="e">
        <f>AND(#REF!,"AAAAAHr739Q=")</f>
        <v>#REF!</v>
      </c>
      <c r="HF218" t="e">
        <f>AND(#REF!,"AAAAAHr739U=")</f>
        <v>#REF!</v>
      </c>
      <c r="HG218" t="e">
        <f>AND(#REF!,"AAAAAHr739Y=")</f>
        <v>#REF!</v>
      </c>
      <c r="HH218" t="e">
        <f>AND(#REF!,"AAAAAHr739c=")</f>
        <v>#REF!</v>
      </c>
      <c r="HI218" t="e">
        <f>AND(#REF!,"AAAAAHr739g=")</f>
        <v>#REF!</v>
      </c>
      <c r="HJ218" t="e">
        <f>AND(#REF!,"AAAAAHr739k=")</f>
        <v>#REF!</v>
      </c>
      <c r="HK218" t="e">
        <f>AND(#REF!,"AAAAAHr739o=")</f>
        <v>#REF!</v>
      </c>
      <c r="HL218" t="e">
        <f>AND(#REF!,"AAAAAHr739s=")</f>
        <v>#REF!</v>
      </c>
      <c r="HM218" t="e">
        <f>AND(#REF!,"AAAAAHr739w=")</f>
        <v>#REF!</v>
      </c>
      <c r="HN218" t="e">
        <f>AND(#REF!,"AAAAAHr7390=")</f>
        <v>#REF!</v>
      </c>
      <c r="HO218" t="e">
        <f>AND(#REF!,"AAAAAHr7394=")</f>
        <v>#REF!</v>
      </c>
      <c r="HP218" t="e">
        <f>AND(#REF!,"AAAAAHr7398=")</f>
        <v>#REF!</v>
      </c>
      <c r="HQ218" t="e">
        <f>AND(#REF!,"AAAAAHr73+A=")</f>
        <v>#REF!</v>
      </c>
      <c r="HR218" t="e">
        <f>AND(#REF!,"AAAAAHr73+E=")</f>
        <v>#REF!</v>
      </c>
      <c r="HS218" t="e">
        <f>AND(#REF!,"AAAAAHr73+I=")</f>
        <v>#REF!</v>
      </c>
      <c r="HT218" t="e">
        <f>AND(#REF!,"AAAAAHr73+M=")</f>
        <v>#REF!</v>
      </c>
      <c r="HU218" t="e">
        <f>AND(#REF!,"AAAAAHr73+Q=")</f>
        <v>#REF!</v>
      </c>
      <c r="HV218" t="e">
        <f>AND(#REF!,"AAAAAHr73+U=")</f>
        <v>#REF!</v>
      </c>
      <c r="HW218" t="e">
        <f>AND(#REF!,"AAAAAHr73+Y=")</f>
        <v>#REF!</v>
      </c>
      <c r="HX218" t="e">
        <f>AND(#REF!,"AAAAAHr73+c=")</f>
        <v>#REF!</v>
      </c>
      <c r="HY218" t="e">
        <f>AND(#REF!,"AAAAAHr73+g=")</f>
        <v>#REF!</v>
      </c>
      <c r="HZ218" t="e">
        <f>AND(#REF!,"AAAAAHr73+k=")</f>
        <v>#REF!</v>
      </c>
      <c r="IA218" t="e">
        <f>AND(#REF!,"AAAAAHr73+o=")</f>
        <v>#REF!</v>
      </c>
      <c r="IB218" t="e">
        <f>AND(#REF!,"AAAAAHr73+s=")</f>
        <v>#REF!</v>
      </c>
      <c r="IC218" t="e">
        <f>AND(#REF!,"AAAAAHr73+w=")</f>
        <v>#REF!</v>
      </c>
      <c r="ID218" t="e">
        <f>AND(#REF!,"AAAAAHr73+0=")</f>
        <v>#REF!</v>
      </c>
      <c r="IE218" t="e">
        <f>AND(#REF!,"AAAAAHr73+4=")</f>
        <v>#REF!</v>
      </c>
      <c r="IF218" t="e">
        <f>AND(#REF!,"AAAAAHr73+8=")</f>
        <v>#REF!</v>
      </c>
      <c r="IG218" t="e">
        <f>AND(#REF!,"AAAAAHr73/A=")</f>
        <v>#REF!</v>
      </c>
      <c r="IH218" t="e">
        <f>AND(#REF!,"AAAAAHr73/E=")</f>
        <v>#REF!</v>
      </c>
      <c r="II218" t="e">
        <f>AND(#REF!,"AAAAAHr73/I=")</f>
        <v>#REF!</v>
      </c>
      <c r="IJ218" t="e">
        <f>AND(#REF!,"AAAAAHr73/M=")</f>
        <v>#REF!</v>
      </c>
      <c r="IK218" t="e">
        <f>AND(#REF!,"AAAAAHr73/Q=")</f>
        <v>#REF!</v>
      </c>
      <c r="IL218" t="e">
        <f>AND(#REF!,"AAAAAHr73/U=")</f>
        <v>#REF!</v>
      </c>
      <c r="IM218" t="e">
        <f>AND(#REF!,"AAAAAHr73/Y=")</f>
        <v>#REF!</v>
      </c>
      <c r="IN218" t="e">
        <f>AND(#REF!,"AAAAAHr73/c=")</f>
        <v>#REF!</v>
      </c>
      <c r="IO218" t="e">
        <f>AND(#REF!,"AAAAAHr73/g=")</f>
        <v>#REF!</v>
      </c>
      <c r="IP218" t="e">
        <f>AND(#REF!,"AAAAAHr73/k=")</f>
        <v>#REF!</v>
      </c>
      <c r="IQ218" t="e">
        <f>AND(#REF!,"AAAAAHr73/o=")</f>
        <v>#REF!</v>
      </c>
      <c r="IR218" t="e">
        <f>AND(#REF!,"AAAAAHr73/s=")</f>
        <v>#REF!</v>
      </c>
      <c r="IS218" t="e">
        <f>AND(#REF!,"AAAAAHr73/w=")</f>
        <v>#REF!</v>
      </c>
      <c r="IT218" t="e">
        <f>AND(#REF!,"AAAAAHr73/0=")</f>
        <v>#REF!</v>
      </c>
      <c r="IU218" t="e">
        <f>AND(#REF!,"AAAAAHr73/4=")</f>
        <v>#REF!</v>
      </c>
      <c r="IV218" t="e">
        <f>AND(#REF!,"AAAAAHr73/8=")</f>
        <v>#REF!</v>
      </c>
    </row>
    <row r="219" spans="1:256" x14ac:dyDescent="0.25">
      <c r="A219" t="e">
        <f>AND(#REF!,"AAAAAD990QA=")</f>
        <v>#REF!</v>
      </c>
      <c r="B219" t="e">
        <f>AND(#REF!,"AAAAAD990QE=")</f>
        <v>#REF!</v>
      </c>
      <c r="C219" t="e">
        <f>AND(#REF!,"AAAAAD990QI=")</f>
        <v>#REF!</v>
      </c>
      <c r="D219" t="e">
        <f>AND(#REF!,"AAAAAD990QM=")</f>
        <v>#REF!</v>
      </c>
      <c r="E219" t="e">
        <f>AND(#REF!,"AAAAAD990QQ=")</f>
        <v>#REF!</v>
      </c>
      <c r="F219" t="e">
        <f>AND(#REF!,"AAAAAD990QU=")</f>
        <v>#REF!</v>
      </c>
      <c r="G219" t="e">
        <f>AND(#REF!,"AAAAAD990QY=")</f>
        <v>#REF!</v>
      </c>
      <c r="H219" t="e">
        <f>AND(#REF!,"AAAAAD990Qc=")</f>
        <v>#REF!</v>
      </c>
      <c r="I219" t="e">
        <f>AND(#REF!,"AAAAAD990Qg=")</f>
        <v>#REF!</v>
      </c>
      <c r="J219" t="e">
        <f>AND(#REF!,"AAAAAD990Qk=")</f>
        <v>#REF!</v>
      </c>
      <c r="K219" t="e">
        <f>AND(#REF!,"AAAAAD990Qo=")</f>
        <v>#REF!</v>
      </c>
      <c r="L219" t="e">
        <f>AND(#REF!,"AAAAAD990Qs=")</f>
        <v>#REF!</v>
      </c>
      <c r="M219" t="e">
        <f>AND(#REF!,"AAAAAD990Qw=")</f>
        <v>#REF!</v>
      </c>
      <c r="N219" t="e">
        <f>AND(#REF!,"AAAAAD990Q0=")</f>
        <v>#REF!</v>
      </c>
      <c r="O219" t="e">
        <f>AND(#REF!,"AAAAAD990Q4=")</f>
        <v>#REF!</v>
      </c>
      <c r="P219" t="e">
        <f>AND(#REF!,"AAAAAD990Q8=")</f>
        <v>#REF!</v>
      </c>
      <c r="Q219" t="e">
        <f>AND(#REF!,"AAAAAD990RA=")</f>
        <v>#REF!</v>
      </c>
      <c r="R219" t="e">
        <f>AND(#REF!,"AAAAAD990RE=")</f>
        <v>#REF!</v>
      </c>
      <c r="S219" t="e">
        <f>AND(#REF!,"AAAAAD990RI=")</f>
        <v>#REF!</v>
      </c>
      <c r="T219" t="e">
        <f>AND(#REF!,"AAAAAD990RM=")</f>
        <v>#REF!</v>
      </c>
      <c r="U219" t="e">
        <f>AND(#REF!,"AAAAAD990RQ=")</f>
        <v>#REF!</v>
      </c>
      <c r="V219" t="e">
        <f>AND(#REF!,"AAAAAD990RU=")</f>
        <v>#REF!</v>
      </c>
      <c r="W219" t="e">
        <f>AND(#REF!,"AAAAAD990RY=")</f>
        <v>#REF!</v>
      </c>
      <c r="X219" t="e">
        <f>AND(#REF!,"AAAAAD990Rc=")</f>
        <v>#REF!</v>
      </c>
      <c r="Y219" t="e">
        <f>AND(#REF!,"AAAAAD990Rg=")</f>
        <v>#REF!</v>
      </c>
      <c r="Z219" t="e">
        <f>AND(#REF!,"AAAAAD990Rk=")</f>
        <v>#REF!</v>
      </c>
      <c r="AA219" t="e">
        <f>AND(#REF!,"AAAAAD990Ro=")</f>
        <v>#REF!</v>
      </c>
      <c r="AB219" t="e">
        <f>AND(#REF!,"AAAAAD990Rs=")</f>
        <v>#REF!</v>
      </c>
      <c r="AC219" t="e">
        <f>AND(#REF!,"AAAAAD990Rw=")</f>
        <v>#REF!</v>
      </c>
      <c r="AD219" t="e">
        <f>AND(#REF!,"AAAAAD990R0=")</f>
        <v>#REF!</v>
      </c>
      <c r="AE219" t="e">
        <f>AND(#REF!,"AAAAAD990R4=")</f>
        <v>#REF!</v>
      </c>
      <c r="AF219" t="e">
        <f>AND(#REF!,"AAAAAD990R8=")</f>
        <v>#REF!</v>
      </c>
      <c r="AG219" t="e">
        <f>AND(#REF!,"AAAAAD990SA=")</f>
        <v>#REF!</v>
      </c>
      <c r="AH219" t="e">
        <f>AND(#REF!,"AAAAAD990SE=")</f>
        <v>#REF!</v>
      </c>
      <c r="AI219" t="e">
        <f>AND(#REF!,"AAAAAD990SI=")</f>
        <v>#REF!</v>
      </c>
      <c r="AJ219" t="e">
        <f>AND(#REF!,"AAAAAD990SM=")</f>
        <v>#REF!</v>
      </c>
      <c r="AK219" t="e">
        <f>AND(#REF!,"AAAAAD990SQ=")</f>
        <v>#REF!</v>
      </c>
      <c r="AL219" t="e">
        <f>AND(#REF!,"AAAAAD990SU=")</f>
        <v>#REF!</v>
      </c>
      <c r="AM219" t="e">
        <f>AND(#REF!,"AAAAAD990SY=")</f>
        <v>#REF!</v>
      </c>
      <c r="AN219" t="e">
        <f>AND(#REF!,"AAAAAD990Sc=")</f>
        <v>#REF!</v>
      </c>
      <c r="AO219" t="e">
        <f>AND(#REF!,"AAAAAD990Sg=")</f>
        <v>#REF!</v>
      </c>
      <c r="AP219" t="e">
        <f>AND(#REF!,"AAAAAD990Sk=")</f>
        <v>#REF!</v>
      </c>
      <c r="AQ219" t="e">
        <f>AND(#REF!,"AAAAAD990So=")</f>
        <v>#REF!</v>
      </c>
      <c r="AR219" t="e">
        <f>AND(#REF!,"AAAAAD990Ss=")</f>
        <v>#REF!</v>
      </c>
      <c r="AS219" t="e">
        <f>AND(#REF!,"AAAAAD990Sw=")</f>
        <v>#REF!</v>
      </c>
      <c r="AT219" t="e">
        <f>AND(#REF!,"AAAAAD990S0=")</f>
        <v>#REF!</v>
      </c>
      <c r="AU219" t="e">
        <f>AND(#REF!,"AAAAAD990S4=")</f>
        <v>#REF!</v>
      </c>
      <c r="AV219" t="e">
        <f>AND(#REF!,"AAAAAD990S8=")</f>
        <v>#REF!</v>
      </c>
      <c r="AW219" t="e">
        <f>AND(#REF!,"AAAAAD990TA=")</f>
        <v>#REF!</v>
      </c>
      <c r="AX219" t="e">
        <f>AND(#REF!,"AAAAAD990TE=")</f>
        <v>#REF!</v>
      </c>
      <c r="AY219" t="e">
        <f>AND(#REF!,"AAAAAD990TI=")</f>
        <v>#REF!</v>
      </c>
      <c r="AZ219" t="e">
        <f>AND(#REF!,"AAAAAD990TM=")</f>
        <v>#REF!</v>
      </c>
      <c r="BA219" t="e">
        <f>AND(#REF!,"AAAAAD990TQ=")</f>
        <v>#REF!</v>
      </c>
      <c r="BB219" t="e">
        <f>AND(#REF!,"AAAAAD990TU=")</f>
        <v>#REF!</v>
      </c>
      <c r="BC219" t="e">
        <f>AND(#REF!,"AAAAAD990TY=")</f>
        <v>#REF!</v>
      </c>
      <c r="BD219" t="e">
        <f>AND(#REF!,"AAAAAD990Tc=")</f>
        <v>#REF!</v>
      </c>
      <c r="BE219" t="e">
        <f>AND(#REF!,"AAAAAD990Tg=")</f>
        <v>#REF!</v>
      </c>
      <c r="BF219" t="e">
        <f>AND(#REF!,"AAAAAD990Tk=")</f>
        <v>#REF!</v>
      </c>
      <c r="BG219" t="e">
        <f>AND(#REF!,"AAAAAD990To=")</f>
        <v>#REF!</v>
      </c>
      <c r="BH219" t="e">
        <f>AND(#REF!,"AAAAAD990Ts=")</f>
        <v>#REF!</v>
      </c>
      <c r="BI219" t="e">
        <f>AND(#REF!,"AAAAAD990Tw=")</f>
        <v>#REF!</v>
      </c>
      <c r="BJ219" t="e">
        <f>AND(#REF!,"AAAAAD990T0=")</f>
        <v>#REF!</v>
      </c>
      <c r="BK219" t="e">
        <f>AND(#REF!,"AAAAAD990T4=")</f>
        <v>#REF!</v>
      </c>
      <c r="BL219" t="e">
        <f>AND(#REF!,"AAAAAD990T8=")</f>
        <v>#REF!</v>
      </c>
      <c r="BM219" t="e">
        <f>AND(#REF!,"AAAAAD990UA=")</f>
        <v>#REF!</v>
      </c>
      <c r="BN219" t="e">
        <f>AND(#REF!,"AAAAAD990UE=")</f>
        <v>#REF!</v>
      </c>
      <c r="BO219" t="e">
        <f>AND(#REF!,"AAAAAD990UI=")</f>
        <v>#REF!</v>
      </c>
      <c r="BP219" t="e">
        <f>AND(#REF!,"AAAAAD990UM=")</f>
        <v>#REF!</v>
      </c>
      <c r="BQ219" t="e">
        <f>AND(#REF!,"AAAAAD990UQ=")</f>
        <v>#REF!</v>
      </c>
      <c r="BR219" t="e">
        <f>AND(#REF!,"AAAAAD990UU=")</f>
        <v>#REF!</v>
      </c>
      <c r="BS219" t="e">
        <f>AND(#REF!,"AAAAAD990UY=")</f>
        <v>#REF!</v>
      </c>
      <c r="BT219" t="e">
        <f>AND(#REF!,"AAAAAD990Uc=")</f>
        <v>#REF!</v>
      </c>
      <c r="BU219" t="e">
        <f>AND(#REF!,"AAAAAD990Ug=")</f>
        <v>#REF!</v>
      </c>
      <c r="BV219" t="e">
        <f>AND(#REF!,"AAAAAD990Uk=")</f>
        <v>#REF!</v>
      </c>
      <c r="BW219" t="e">
        <f>AND(#REF!,"AAAAAD990Uo=")</f>
        <v>#REF!</v>
      </c>
      <c r="BX219" t="e">
        <f>AND(#REF!,"AAAAAD990Us=")</f>
        <v>#REF!</v>
      </c>
      <c r="BY219" t="e">
        <f>AND(#REF!,"AAAAAD990Uw=")</f>
        <v>#REF!</v>
      </c>
      <c r="BZ219" t="e">
        <f>AND(#REF!,"AAAAAD990U0=")</f>
        <v>#REF!</v>
      </c>
      <c r="CA219" t="e">
        <f>AND(#REF!,"AAAAAD990U4=")</f>
        <v>#REF!</v>
      </c>
      <c r="CB219" t="e">
        <f>AND(#REF!,"AAAAAD990U8=")</f>
        <v>#REF!</v>
      </c>
      <c r="CC219" t="e">
        <f>AND(#REF!,"AAAAAD990VA=")</f>
        <v>#REF!</v>
      </c>
      <c r="CD219" t="e">
        <f>AND(#REF!,"AAAAAD990VE=")</f>
        <v>#REF!</v>
      </c>
      <c r="CE219" t="e">
        <f>AND(#REF!,"AAAAAD990VI=")</f>
        <v>#REF!</v>
      </c>
      <c r="CF219" t="e">
        <f>AND(#REF!,"AAAAAD990VM=")</f>
        <v>#REF!</v>
      </c>
      <c r="CG219" t="e">
        <f>AND(#REF!,"AAAAAD990VQ=")</f>
        <v>#REF!</v>
      </c>
      <c r="CH219" t="e">
        <f>AND(#REF!,"AAAAAD990VU=")</f>
        <v>#REF!</v>
      </c>
      <c r="CI219" t="e">
        <f>AND(#REF!,"AAAAAD990VY=")</f>
        <v>#REF!</v>
      </c>
      <c r="CJ219" t="e">
        <f>AND(#REF!,"AAAAAD990Vc=")</f>
        <v>#REF!</v>
      </c>
      <c r="CK219" t="e">
        <f>AND(#REF!,"AAAAAD990Vg=")</f>
        <v>#REF!</v>
      </c>
      <c r="CL219" t="e">
        <f>AND(#REF!,"AAAAAD990Vk=")</f>
        <v>#REF!</v>
      </c>
      <c r="CM219" t="e">
        <f>AND(#REF!,"AAAAAD990Vo=")</f>
        <v>#REF!</v>
      </c>
      <c r="CN219" t="e">
        <f>AND(#REF!,"AAAAAD990Vs=")</f>
        <v>#REF!</v>
      </c>
      <c r="CO219" t="e">
        <f>AND(#REF!,"AAAAAD990Vw=")</f>
        <v>#REF!</v>
      </c>
      <c r="CP219" t="e">
        <f>AND(#REF!,"AAAAAD990V0=")</f>
        <v>#REF!</v>
      </c>
      <c r="CQ219" t="e">
        <f>AND(#REF!,"AAAAAD990V4=")</f>
        <v>#REF!</v>
      </c>
      <c r="CR219" t="e">
        <f>AND(#REF!,"AAAAAD990V8=")</f>
        <v>#REF!</v>
      </c>
      <c r="CS219" t="e">
        <f>AND(#REF!,"AAAAAD990WA=")</f>
        <v>#REF!</v>
      </c>
      <c r="CT219" t="e">
        <f>AND(#REF!,"AAAAAD990WE=")</f>
        <v>#REF!</v>
      </c>
      <c r="CU219" t="e">
        <f>AND(#REF!,"AAAAAD990WI=")</f>
        <v>#REF!</v>
      </c>
      <c r="CV219" t="e">
        <f>AND(#REF!,"AAAAAD990WM=")</f>
        <v>#REF!</v>
      </c>
      <c r="CW219" t="e">
        <f>AND(#REF!,"AAAAAD990WQ=")</f>
        <v>#REF!</v>
      </c>
      <c r="CX219" t="e">
        <f>AND(#REF!,"AAAAAD990WU=")</f>
        <v>#REF!</v>
      </c>
      <c r="CY219" t="e">
        <f>AND(#REF!,"AAAAAD990WY=")</f>
        <v>#REF!</v>
      </c>
      <c r="CZ219" t="e">
        <f>AND(#REF!,"AAAAAD990Wc=")</f>
        <v>#REF!</v>
      </c>
      <c r="DA219" t="e">
        <f>AND(#REF!,"AAAAAD990Wg=")</f>
        <v>#REF!</v>
      </c>
      <c r="DB219" t="e">
        <f>AND(#REF!,"AAAAAD990Wk=")</f>
        <v>#REF!</v>
      </c>
      <c r="DC219" t="e">
        <f>AND(#REF!,"AAAAAD990Wo=")</f>
        <v>#REF!</v>
      </c>
      <c r="DD219" t="e">
        <f>AND(#REF!,"AAAAAD990Ws=")</f>
        <v>#REF!</v>
      </c>
      <c r="DE219" t="e">
        <f>AND(#REF!,"AAAAAD990Ww=")</f>
        <v>#REF!</v>
      </c>
      <c r="DF219" t="e">
        <f>AND(#REF!,"AAAAAD990W0=")</f>
        <v>#REF!</v>
      </c>
      <c r="DG219" t="e">
        <f>AND(#REF!,"AAAAAD990W4=")</f>
        <v>#REF!</v>
      </c>
      <c r="DH219" t="e">
        <f>AND(#REF!,"AAAAAD990W8=")</f>
        <v>#REF!</v>
      </c>
      <c r="DI219" t="e">
        <f>AND(#REF!,"AAAAAD990XA=")</f>
        <v>#REF!</v>
      </c>
      <c r="DJ219" t="e">
        <f>AND(#REF!,"AAAAAD990XE=")</f>
        <v>#REF!</v>
      </c>
      <c r="DK219" t="e">
        <f>AND(#REF!,"AAAAAD990XI=")</f>
        <v>#REF!</v>
      </c>
      <c r="DL219" t="e">
        <f>AND(#REF!,"AAAAAD990XM=")</f>
        <v>#REF!</v>
      </c>
      <c r="DM219" t="e">
        <f>AND(#REF!,"AAAAAD990XQ=")</f>
        <v>#REF!</v>
      </c>
      <c r="DN219" t="e">
        <f>AND(#REF!,"AAAAAD990XU=")</f>
        <v>#REF!</v>
      </c>
      <c r="DO219" t="e">
        <f>AND(#REF!,"AAAAAD990XY=")</f>
        <v>#REF!</v>
      </c>
      <c r="DP219" t="e">
        <f>AND(#REF!,"AAAAAD990Xc=")</f>
        <v>#REF!</v>
      </c>
      <c r="DQ219" t="e">
        <f>AND(#REF!,"AAAAAD990Xg=")</f>
        <v>#REF!</v>
      </c>
      <c r="DR219" t="e">
        <f>AND(#REF!,"AAAAAD990Xk=")</f>
        <v>#REF!</v>
      </c>
      <c r="DS219" t="e">
        <f>AND(#REF!,"AAAAAD990Xo=")</f>
        <v>#REF!</v>
      </c>
      <c r="DT219" t="e">
        <f>AND(#REF!,"AAAAAD990Xs=")</f>
        <v>#REF!</v>
      </c>
      <c r="DU219" t="e">
        <f>AND(#REF!,"AAAAAD990Xw=")</f>
        <v>#REF!</v>
      </c>
      <c r="DV219" t="e">
        <f>AND(#REF!,"AAAAAD990X0=")</f>
        <v>#REF!</v>
      </c>
      <c r="DW219" t="e">
        <f>AND(#REF!,"AAAAAD990X4=")</f>
        <v>#REF!</v>
      </c>
      <c r="DX219" t="e">
        <f>AND(#REF!,"AAAAAD990X8=")</f>
        <v>#REF!</v>
      </c>
      <c r="DY219" t="e">
        <f>IF(#REF!,"AAAAAD990YA=",0)</f>
        <v>#REF!</v>
      </c>
      <c r="DZ219" t="e">
        <f>AND(#REF!,"AAAAAD990YE=")</f>
        <v>#REF!</v>
      </c>
      <c r="EA219" t="e">
        <f>AND(#REF!,"AAAAAD990YI=")</f>
        <v>#REF!</v>
      </c>
      <c r="EB219" t="e">
        <f>AND(#REF!,"AAAAAD990YM=")</f>
        <v>#REF!</v>
      </c>
      <c r="EC219" t="e">
        <f>AND(#REF!,"AAAAAD990YQ=")</f>
        <v>#REF!</v>
      </c>
      <c r="ED219" t="e">
        <f>AND(#REF!,"AAAAAD990YU=")</f>
        <v>#REF!</v>
      </c>
      <c r="EE219" t="e">
        <f>AND(#REF!,"AAAAAD990YY=")</f>
        <v>#REF!</v>
      </c>
      <c r="EF219" t="e">
        <f>AND(#REF!,"AAAAAD990Yc=")</f>
        <v>#REF!</v>
      </c>
      <c r="EG219" t="e">
        <f>AND(#REF!,"AAAAAD990Yg=")</f>
        <v>#REF!</v>
      </c>
      <c r="EH219" t="e">
        <f>AND(#REF!,"AAAAAD990Yk=")</f>
        <v>#REF!</v>
      </c>
      <c r="EI219" t="e">
        <f>AND(#REF!,"AAAAAD990Yo=")</f>
        <v>#REF!</v>
      </c>
      <c r="EJ219" t="e">
        <f>AND(#REF!,"AAAAAD990Ys=")</f>
        <v>#REF!</v>
      </c>
      <c r="EK219" t="e">
        <f>AND(#REF!,"AAAAAD990Yw=")</f>
        <v>#REF!</v>
      </c>
      <c r="EL219" t="e">
        <f>AND(#REF!,"AAAAAD990Y0=")</f>
        <v>#REF!</v>
      </c>
      <c r="EM219" t="e">
        <f>AND(#REF!,"AAAAAD990Y4=")</f>
        <v>#REF!</v>
      </c>
      <c r="EN219" t="e">
        <f>AND(#REF!,"AAAAAD990Y8=")</f>
        <v>#REF!</v>
      </c>
      <c r="EO219" t="e">
        <f>AND(#REF!,"AAAAAD990ZA=")</f>
        <v>#REF!</v>
      </c>
      <c r="EP219" t="e">
        <f>AND(#REF!,"AAAAAD990ZE=")</f>
        <v>#REF!</v>
      </c>
      <c r="EQ219" t="e">
        <f>AND(#REF!,"AAAAAD990ZI=")</f>
        <v>#REF!</v>
      </c>
      <c r="ER219" t="e">
        <f>AND(#REF!,"AAAAAD990ZM=")</f>
        <v>#REF!</v>
      </c>
      <c r="ES219" t="e">
        <f>AND(#REF!,"AAAAAD990ZQ=")</f>
        <v>#REF!</v>
      </c>
      <c r="ET219" t="e">
        <f>AND(#REF!,"AAAAAD990ZU=")</f>
        <v>#REF!</v>
      </c>
      <c r="EU219" t="e">
        <f>AND(#REF!,"AAAAAD990ZY=")</f>
        <v>#REF!</v>
      </c>
      <c r="EV219" t="e">
        <f>AND(#REF!,"AAAAAD990Zc=")</f>
        <v>#REF!</v>
      </c>
      <c r="EW219" t="e">
        <f>AND(#REF!,"AAAAAD990Zg=")</f>
        <v>#REF!</v>
      </c>
      <c r="EX219" t="e">
        <f>AND(#REF!,"AAAAAD990Zk=")</f>
        <v>#REF!</v>
      </c>
      <c r="EY219" t="e">
        <f>AND(#REF!,"AAAAAD990Zo=")</f>
        <v>#REF!</v>
      </c>
      <c r="EZ219" t="e">
        <f>AND(#REF!,"AAAAAD990Zs=")</f>
        <v>#REF!</v>
      </c>
      <c r="FA219" t="e">
        <f>AND(#REF!,"AAAAAD990Zw=")</f>
        <v>#REF!</v>
      </c>
      <c r="FB219" t="e">
        <f>AND(#REF!,"AAAAAD990Z0=")</f>
        <v>#REF!</v>
      </c>
      <c r="FC219" t="e">
        <f>AND(#REF!,"AAAAAD990Z4=")</f>
        <v>#REF!</v>
      </c>
      <c r="FD219" t="e">
        <f>AND(#REF!,"AAAAAD990Z8=")</f>
        <v>#REF!</v>
      </c>
      <c r="FE219" t="e">
        <f>AND(#REF!,"AAAAAD990aA=")</f>
        <v>#REF!</v>
      </c>
      <c r="FF219" t="e">
        <f>AND(#REF!,"AAAAAD990aE=")</f>
        <v>#REF!</v>
      </c>
      <c r="FG219" t="e">
        <f>AND(#REF!,"AAAAAD990aI=")</f>
        <v>#REF!</v>
      </c>
      <c r="FH219" t="e">
        <f>AND(#REF!,"AAAAAD990aM=")</f>
        <v>#REF!</v>
      </c>
      <c r="FI219" t="e">
        <f>AND(#REF!,"AAAAAD990aQ=")</f>
        <v>#REF!</v>
      </c>
      <c r="FJ219" t="e">
        <f>AND(#REF!,"AAAAAD990aU=")</f>
        <v>#REF!</v>
      </c>
      <c r="FK219" t="e">
        <f>AND(#REF!,"AAAAAD990aY=")</f>
        <v>#REF!</v>
      </c>
      <c r="FL219" t="e">
        <f>AND(#REF!,"AAAAAD990ac=")</f>
        <v>#REF!</v>
      </c>
      <c r="FM219" t="e">
        <f>AND(#REF!,"AAAAAD990ag=")</f>
        <v>#REF!</v>
      </c>
      <c r="FN219" t="e">
        <f>AND(#REF!,"AAAAAD990ak=")</f>
        <v>#REF!</v>
      </c>
      <c r="FO219" t="e">
        <f>AND(#REF!,"AAAAAD990ao=")</f>
        <v>#REF!</v>
      </c>
      <c r="FP219" t="e">
        <f>AND(#REF!,"AAAAAD990as=")</f>
        <v>#REF!</v>
      </c>
      <c r="FQ219" t="e">
        <f>AND(#REF!,"AAAAAD990aw=")</f>
        <v>#REF!</v>
      </c>
      <c r="FR219" t="e">
        <f>AND(#REF!,"AAAAAD990a0=")</f>
        <v>#REF!</v>
      </c>
      <c r="FS219" t="e">
        <f>AND(#REF!,"AAAAAD990a4=")</f>
        <v>#REF!</v>
      </c>
      <c r="FT219" t="e">
        <f>AND(#REF!,"AAAAAD990a8=")</f>
        <v>#REF!</v>
      </c>
      <c r="FU219" t="e">
        <f>AND(#REF!,"AAAAAD990bA=")</f>
        <v>#REF!</v>
      </c>
      <c r="FV219" t="e">
        <f>AND(#REF!,"AAAAAD990bE=")</f>
        <v>#REF!</v>
      </c>
      <c r="FW219" t="e">
        <f>AND(#REF!,"AAAAAD990bI=")</f>
        <v>#REF!</v>
      </c>
      <c r="FX219" t="e">
        <f>AND(#REF!,"AAAAAD990bM=")</f>
        <v>#REF!</v>
      </c>
      <c r="FY219" t="e">
        <f>AND(#REF!,"AAAAAD990bQ=")</f>
        <v>#REF!</v>
      </c>
      <c r="FZ219" t="e">
        <f>AND(#REF!,"AAAAAD990bU=")</f>
        <v>#REF!</v>
      </c>
      <c r="GA219" t="e">
        <f>AND(#REF!,"AAAAAD990bY=")</f>
        <v>#REF!</v>
      </c>
      <c r="GB219" t="e">
        <f>AND(#REF!,"AAAAAD990bc=")</f>
        <v>#REF!</v>
      </c>
      <c r="GC219" t="e">
        <f>AND(#REF!,"AAAAAD990bg=")</f>
        <v>#REF!</v>
      </c>
      <c r="GD219" t="e">
        <f>AND(#REF!,"AAAAAD990bk=")</f>
        <v>#REF!</v>
      </c>
      <c r="GE219" t="e">
        <f>AND(#REF!,"AAAAAD990bo=")</f>
        <v>#REF!</v>
      </c>
      <c r="GF219" t="e">
        <f>AND(#REF!,"AAAAAD990bs=")</f>
        <v>#REF!</v>
      </c>
      <c r="GG219" t="e">
        <f>AND(#REF!,"AAAAAD990bw=")</f>
        <v>#REF!</v>
      </c>
      <c r="GH219" t="e">
        <f>AND(#REF!,"AAAAAD990b0=")</f>
        <v>#REF!</v>
      </c>
      <c r="GI219" t="e">
        <f>AND(#REF!,"AAAAAD990b4=")</f>
        <v>#REF!</v>
      </c>
      <c r="GJ219" t="e">
        <f>AND(#REF!,"AAAAAD990b8=")</f>
        <v>#REF!</v>
      </c>
      <c r="GK219" t="e">
        <f>AND(#REF!,"AAAAAD990cA=")</f>
        <v>#REF!</v>
      </c>
      <c r="GL219" t="e">
        <f>AND(#REF!,"AAAAAD990cE=")</f>
        <v>#REF!</v>
      </c>
      <c r="GM219" t="e">
        <f>AND(#REF!,"AAAAAD990cI=")</f>
        <v>#REF!</v>
      </c>
      <c r="GN219" t="e">
        <f>AND(#REF!,"AAAAAD990cM=")</f>
        <v>#REF!</v>
      </c>
      <c r="GO219" t="e">
        <f>AND(#REF!,"AAAAAD990cQ=")</f>
        <v>#REF!</v>
      </c>
      <c r="GP219" t="e">
        <f>AND(#REF!,"AAAAAD990cU=")</f>
        <v>#REF!</v>
      </c>
      <c r="GQ219" t="e">
        <f>AND(#REF!,"AAAAAD990cY=")</f>
        <v>#REF!</v>
      </c>
      <c r="GR219" t="e">
        <f>AND(#REF!,"AAAAAD990cc=")</f>
        <v>#REF!</v>
      </c>
      <c r="GS219" t="e">
        <f>AND(#REF!,"AAAAAD990cg=")</f>
        <v>#REF!</v>
      </c>
      <c r="GT219" t="e">
        <f>AND(#REF!,"AAAAAD990ck=")</f>
        <v>#REF!</v>
      </c>
      <c r="GU219" t="e">
        <f>AND(#REF!,"AAAAAD990co=")</f>
        <v>#REF!</v>
      </c>
      <c r="GV219" t="e">
        <f>AND(#REF!,"AAAAAD990cs=")</f>
        <v>#REF!</v>
      </c>
      <c r="GW219" t="e">
        <f>AND(#REF!,"AAAAAD990cw=")</f>
        <v>#REF!</v>
      </c>
      <c r="GX219" t="e">
        <f>AND(#REF!,"AAAAAD990c0=")</f>
        <v>#REF!</v>
      </c>
      <c r="GY219" t="e">
        <f>AND(#REF!,"AAAAAD990c4=")</f>
        <v>#REF!</v>
      </c>
      <c r="GZ219" t="e">
        <f>AND(#REF!,"AAAAAD990c8=")</f>
        <v>#REF!</v>
      </c>
      <c r="HA219" t="e">
        <f>AND(#REF!,"AAAAAD990dA=")</f>
        <v>#REF!</v>
      </c>
      <c r="HB219" t="e">
        <f>AND(#REF!,"AAAAAD990dE=")</f>
        <v>#REF!</v>
      </c>
      <c r="HC219" t="e">
        <f>AND(#REF!,"AAAAAD990dI=")</f>
        <v>#REF!</v>
      </c>
      <c r="HD219" t="e">
        <f>AND(#REF!,"AAAAAD990dM=")</f>
        <v>#REF!</v>
      </c>
      <c r="HE219" t="e">
        <f>AND(#REF!,"AAAAAD990dQ=")</f>
        <v>#REF!</v>
      </c>
      <c r="HF219" t="e">
        <f>AND(#REF!,"AAAAAD990dU=")</f>
        <v>#REF!</v>
      </c>
      <c r="HG219" t="e">
        <f>AND(#REF!,"AAAAAD990dY=")</f>
        <v>#REF!</v>
      </c>
      <c r="HH219" t="e">
        <f>AND(#REF!,"AAAAAD990dc=")</f>
        <v>#REF!</v>
      </c>
      <c r="HI219" t="e">
        <f>AND(#REF!,"AAAAAD990dg=")</f>
        <v>#REF!</v>
      </c>
      <c r="HJ219" t="e">
        <f>AND(#REF!,"AAAAAD990dk=")</f>
        <v>#REF!</v>
      </c>
      <c r="HK219" t="e">
        <f>AND(#REF!,"AAAAAD990do=")</f>
        <v>#REF!</v>
      </c>
      <c r="HL219" t="e">
        <f>AND(#REF!,"AAAAAD990ds=")</f>
        <v>#REF!</v>
      </c>
      <c r="HM219" t="e">
        <f>AND(#REF!,"AAAAAD990dw=")</f>
        <v>#REF!</v>
      </c>
      <c r="HN219" t="e">
        <f>AND(#REF!,"AAAAAD990d0=")</f>
        <v>#REF!</v>
      </c>
      <c r="HO219" t="e">
        <f>AND(#REF!,"AAAAAD990d4=")</f>
        <v>#REF!</v>
      </c>
      <c r="HP219" t="e">
        <f>AND(#REF!,"AAAAAD990d8=")</f>
        <v>#REF!</v>
      </c>
      <c r="HQ219" t="e">
        <f>AND(#REF!,"AAAAAD990eA=")</f>
        <v>#REF!</v>
      </c>
      <c r="HR219" t="e">
        <f>AND(#REF!,"AAAAAD990eE=")</f>
        <v>#REF!</v>
      </c>
      <c r="HS219" t="e">
        <f>AND(#REF!,"AAAAAD990eI=")</f>
        <v>#REF!</v>
      </c>
      <c r="HT219" t="e">
        <f>AND(#REF!,"AAAAAD990eM=")</f>
        <v>#REF!</v>
      </c>
      <c r="HU219" t="e">
        <f>AND(#REF!,"AAAAAD990eQ=")</f>
        <v>#REF!</v>
      </c>
      <c r="HV219" t="e">
        <f>AND(#REF!,"AAAAAD990eU=")</f>
        <v>#REF!</v>
      </c>
      <c r="HW219" t="e">
        <f>AND(#REF!,"AAAAAD990eY=")</f>
        <v>#REF!</v>
      </c>
      <c r="HX219" t="e">
        <f>AND(#REF!,"AAAAAD990ec=")</f>
        <v>#REF!</v>
      </c>
      <c r="HY219" t="e">
        <f>AND(#REF!,"AAAAAD990eg=")</f>
        <v>#REF!</v>
      </c>
      <c r="HZ219" t="e">
        <f>AND(#REF!,"AAAAAD990ek=")</f>
        <v>#REF!</v>
      </c>
      <c r="IA219" t="e">
        <f>AND(#REF!,"AAAAAD990eo=")</f>
        <v>#REF!</v>
      </c>
      <c r="IB219" t="e">
        <f>AND(#REF!,"AAAAAD990es=")</f>
        <v>#REF!</v>
      </c>
      <c r="IC219" t="e">
        <f>AND(#REF!,"AAAAAD990ew=")</f>
        <v>#REF!</v>
      </c>
      <c r="ID219" t="e">
        <f>AND(#REF!,"AAAAAD990e0=")</f>
        <v>#REF!</v>
      </c>
      <c r="IE219" t="e">
        <f>AND(#REF!,"AAAAAD990e4=")</f>
        <v>#REF!</v>
      </c>
      <c r="IF219" t="e">
        <f>AND(#REF!,"AAAAAD990e8=")</f>
        <v>#REF!</v>
      </c>
      <c r="IG219" t="e">
        <f>AND(#REF!,"AAAAAD990fA=")</f>
        <v>#REF!</v>
      </c>
      <c r="IH219" t="e">
        <f>AND(#REF!,"AAAAAD990fE=")</f>
        <v>#REF!</v>
      </c>
      <c r="II219" t="e">
        <f>AND(#REF!,"AAAAAD990fI=")</f>
        <v>#REF!</v>
      </c>
      <c r="IJ219" t="e">
        <f>AND(#REF!,"AAAAAD990fM=")</f>
        <v>#REF!</v>
      </c>
      <c r="IK219" t="e">
        <f>AND(#REF!,"AAAAAD990fQ=")</f>
        <v>#REF!</v>
      </c>
      <c r="IL219" t="e">
        <f>AND(#REF!,"AAAAAD990fU=")</f>
        <v>#REF!</v>
      </c>
      <c r="IM219" t="e">
        <f>AND(#REF!,"AAAAAD990fY=")</f>
        <v>#REF!</v>
      </c>
      <c r="IN219" t="e">
        <f>AND(#REF!,"AAAAAD990fc=")</f>
        <v>#REF!</v>
      </c>
      <c r="IO219" t="e">
        <f>AND(#REF!,"AAAAAD990fg=")</f>
        <v>#REF!</v>
      </c>
      <c r="IP219" t="e">
        <f>AND(#REF!,"AAAAAD990fk=")</f>
        <v>#REF!</v>
      </c>
      <c r="IQ219" t="e">
        <f>AND(#REF!,"AAAAAD990fo=")</f>
        <v>#REF!</v>
      </c>
      <c r="IR219" t="e">
        <f>AND(#REF!,"AAAAAD990fs=")</f>
        <v>#REF!</v>
      </c>
      <c r="IS219" t="e">
        <f>AND(#REF!,"AAAAAD990fw=")</f>
        <v>#REF!</v>
      </c>
      <c r="IT219" t="e">
        <f>AND(#REF!,"AAAAAD990f0=")</f>
        <v>#REF!</v>
      </c>
      <c r="IU219" t="e">
        <f>AND(#REF!,"AAAAAD990f4=")</f>
        <v>#REF!</v>
      </c>
      <c r="IV219" t="e">
        <f>AND(#REF!,"AAAAAD990f8=")</f>
        <v>#REF!</v>
      </c>
    </row>
    <row r="220" spans="1:256" x14ac:dyDescent="0.25">
      <c r="A220" t="e">
        <f>AND(#REF!,"AAAAAFZvbwA=")</f>
        <v>#REF!</v>
      </c>
      <c r="B220" t="e">
        <f>AND(#REF!,"AAAAAFZvbwE=")</f>
        <v>#REF!</v>
      </c>
      <c r="C220" t="e">
        <f>AND(#REF!,"AAAAAFZvbwI=")</f>
        <v>#REF!</v>
      </c>
      <c r="D220" t="e">
        <f>AND(#REF!,"AAAAAFZvbwM=")</f>
        <v>#REF!</v>
      </c>
      <c r="E220" t="e">
        <f>AND(#REF!,"AAAAAFZvbwQ=")</f>
        <v>#REF!</v>
      </c>
      <c r="F220" t="e">
        <f>AND(#REF!,"AAAAAFZvbwU=")</f>
        <v>#REF!</v>
      </c>
      <c r="G220" t="e">
        <f>AND(#REF!,"AAAAAFZvbwY=")</f>
        <v>#REF!</v>
      </c>
      <c r="H220" t="e">
        <f>AND(#REF!,"AAAAAFZvbwc=")</f>
        <v>#REF!</v>
      </c>
      <c r="I220" t="e">
        <f>AND(#REF!,"AAAAAFZvbwg=")</f>
        <v>#REF!</v>
      </c>
      <c r="J220" t="e">
        <f>AND(#REF!,"AAAAAFZvbwk=")</f>
        <v>#REF!</v>
      </c>
      <c r="K220" t="e">
        <f>AND(#REF!,"AAAAAFZvbwo=")</f>
        <v>#REF!</v>
      </c>
      <c r="L220" t="e">
        <f>AND(#REF!,"AAAAAFZvbws=")</f>
        <v>#REF!</v>
      </c>
      <c r="M220" t="e">
        <f>AND(#REF!,"AAAAAFZvbww=")</f>
        <v>#REF!</v>
      </c>
      <c r="N220" t="e">
        <f>AND(#REF!,"AAAAAFZvbw0=")</f>
        <v>#REF!</v>
      </c>
      <c r="O220" t="e">
        <f>AND(#REF!,"AAAAAFZvbw4=")</f>
        <v>#REF!</v>
      </c>
      <c r="P220" t="e">
        <f>AND(#REF!,"AAAAAFZvbw8=")</f>
        <v>#REF!</v>
      </c>
      <c r="Q220" t="e">
        <f>AND(#REF!,"AAAAAFZvbxA=")</f>
        <v>#REF!</v>
      </c>
      <c r="R220" t="e">
        <f>AND(#REF!,"AAAAAFZvbxE=")</f>
        <v>#REF!</v>
      </c>
      <c r="S220" t="e">
        <f>AND(#REF!,"AAAAAFZvbxI=")</f>
        <v>#REF!</v>
      </c>
      <c r="T220" t="e">
        <f>AND(#REF!,"AAAAAFZvbxM=")</f>
        <v>#REF!</v>
      </c>
      <c r="U220" t="e">
        <f>AND(#REF!,"AAAAAFZvbxQ=")</f>
        <v>#REF!</v>
      </c>
      <c r="V220" t="e">
        <f>AND(#REF!,"AAAAAFZvbxU=")</f>
        <v>#REF!</v>
      </c>
      <c r="W220" t="e">
        <f>AND(#REF!,"AAAAAFZvbxY=")</f>
        <v>#REF!</v>
      </c>
      <c r="X220" t="e">
        <f>AND(#REF!,"AAAAAFZvbxc=")</f>
        <v>#REF!</v>
      </c>
      <c r="Y220" t="e">
        <f>AND(#REF!,"AAAAAFZvbxg=")</f>
        <v>#REF!</v>
      </c>
      <c r="Z220" t="e">
        <f>AND(#REF!,"AAAAAFZvbxk=")</f>
        <v>#REF!</v>
      </c>
      <c r="AA220" t="e">
        <f>AND(#REF!,"AAAAAFZvbxo=")</f>
        <v>#REF!</v>
      </c>
      <c r="AB220" t="e">
        <f>AND(#REF!,"AAAAAFZvbxs=")</f>
        <v>#REF!</v>
      </c>
      <c r="AC220" t="e">
        <f>AND(#REF!,"AAAAAFZvbxw=")</f>
        <v>#REF!</v>
      </c>
      <c r="AD220" t="e">
        <f>AND(#REF!,"AAAAAFZvbx0=")</f>
        <v>#REF!</v>
      </c>
      <c r="AE220" t="e">
        <f>AND(#REF!,"AAAAAFZvbx4=")</f>
        <v>#REF!</v>
      </c>
      <c r="AF220" t="e">
        <f>AND(#REF!,"AAAAAFZvbx8=")</f>
        <v>#REF!</v>
      </c>
      <c r="AG220" t="e">
        <f>AND(#REF!,"AAAAAFZvbyA=")</f>
        <v>#REF!</v>
      </c>
      <c r="AH220" t="e">
        <f>AND(#REF!,"AAAAAFZvbyE=")</f>
        <v>#REF!</v>
      </c>
      <c r="AI220" t="e">
        <f>AND(#REF!,"AAAAAFZvbyI=")</f>
        <v>#REF!</v>
      </c>
      <c r="AJ220" t="e">
        <f>AND(#REF!,"AAAAAFZvbyM=")</f>
        <v>#REF!</v>
      </c>
      <c r="AK220" t="e">
        <f>AND(#REF!,"AAAAAFZvbyQ=")</f>
        <v>#REF!</v>
      </c>
      <c r="AL220" t="e">
        <f>AND(#REF!,"AAAAAFZvbyU=")</f>
        <v>#REF!</v>
      </c>
      <c r="AM220" t="e">
        <f>AND(#REF!,"AAAAAFZvbyY=")</f>
        <v>#REF!</v>
      </c>
      <c r="AN220" t="e">
        <f>AND(#REF!,"AAAAAFZvbyc=")</f>
        <v>#REF!</v>
      </c>
      <c r="AO220" t="e">
        <f>AND(#REF!,"AAAAAFZvbyg=")</f>
        <v>#REF!</v>
      </c>
      <c r="AP220" t="e">
        <f>AND(#REF!,"AAAAAFZvbyk=")</f>
        <v>#REF!</v>
      </c>
      <c r="AQ220" t="e">
        <f>AND(#REF!,"AAAAAFZvbyo=")</f>
        <v>#REF!</v>
      </c>
      <c r="AR220" t="e">
        <f>AND(#REF!,"AAAAAFZvbys=")</f>
        <v>#REF!</v>
      </c>
      <c r="AS220" t="e">
        <f>AND(#REF!,"AAAAAFZvbyw=")</f>
        <v>#REF!</v>
      </c>
      <c r="AT220" t="e">
        <f>AND(#REF!,"AAAAAFZvby0=")</f>
        <v>#REF!</v>
      </c>
      <c r="AU220" t="e">
        <f>AND(#REF!,"AAAAAFZvby4=")</f>
        <v>#REF!</v>
      </c>
      <c r="AV220" t="e">
        <f>AND(#REF!,"AAAAAFZvby8=")</f>
        <v>#REF!</v>
      </c>
      <c r="AW220" t="e">
        <f>AND(#REF!,"AAAAAFZvbzA=")</f>
        <v>#REF!</v>
      </c>
      <c r="AX220" t="e">
        <f>AND(#REF!,"AAAAAFZvbzE=")</f>
        <v>#REF!</v>
      </c>
      <c r="AY220" t="e">
        <f>AND(#REF!,"AAAAAFZvbzI=")</f>
        <v>#REF!</v>
      </c>
      <c r="AZ220" t="e">
        <f>AND(#REF!,"AAAAAFZvbzM=")</f>
        <v>#REF!</v>
      </c>
      <c r="BA220" t="e">
        <f>AND(#REF!,"AAAAAFZvbzQ=")</f>
        <v>#REF!</v>
      </c>
      <c r="BB220" t="e">
        <f>AND(#REF!,"AAAAAFZvbzU=")</f>
        <v>#REF!</v>
      </c>
      <c r="BC220" t="e">
        <f>AND(#REF!,"AAAAAFZvbzY=")</f>
        <v>#REF!</v>
      </c>
      <c r="BD220" t="e">
        <f>AND(#REF!,"AAAAAFZvbzc=")</f>
        <v>#REF!</v>
      </c>
      <c r="BE220" t="e">
        <f>AND(#REF!,"AAAAAFZvbzg=")</f>
        <v>#REF!</v>
      </c>
      <c r="BF220" t="e">
        <f>AND(#REF!,"AAAAAFZvbzk=")</f>
        <v>#REF!</v>
      </c>
      <c r="BG220" t="e">
        <f>AND(#REF!,"AAAAAFZvbzo=")</f>
        <v>#REF!</v>
      </c>
      <c r="BH220" t="e">
        <f>AND(#REF!,"AAAAAFZvbzs=")</f>
        <v>#REF!</v>
      </c>
      <c r="BI220" t="e">
        <f>AND(#REF!,"AAAAAFZvbzw=")</f>
        <v>#REF!</v>
      </c>
      <c r="BJ220" t="e">
        <f>IF(#REF!,"AAAAAFZvbz0=",0)</f>
        <v>#REF!</v>
      </c>
      <c r="BK220" t="e">
        <f>AND(#REF!,"AAAAAFZvbz4=")</f>
        <v>#REF!</v>
      </c>
      <c r="BL220" t="e">
        <f>AND(#REF!,"AAAAAFZvbz8=")</f>
        <v>#REF!</v>
      </c>
      <c r="BM220" t="e">
        <f>AND(#REF!,"AAAAAFZvb0A=")</f>
        <v>#REF!</v>
      </c>
      <c r="BN220" t="e">
        <f>AND(#REF!,"AAAAAFZvb0E=")</f>
        <v>#REF!</v>
      </c>
      <c r="BO220" t="e">
        <f>AND(#REF!,"AAAAAFZvb0I=")</f>
        <v>#REF!</v>
      </c>
      <c r="BP220" t="e">
        <f>AND(#REF!,"AAAAAFZvb0M=")</f>
        <v>#REF!</v>
      </c>
      <c r="BQ220" t="e">
        <f>AND(#REF!,"AAAAAFZvb0Q=")</f>
        <v>#REF!</v>
      </c>
      <c r="BR220" t="e">
        <f>AND(#REF!,"AAAAAFZvb0U=")</f>
        <v>#REF!</v>
      </c>
      <c r="BS220" t="e">
        <f>AND(#REF!,"AAAAAFZvb0Y=")</f>
        <v>#REF!</v>
      </c>
      <c r="BT220" t="e">
        <f>AND(#REF!,"AAAAAFZvb0c=")</f>
        <v>#REF!</v>
      </c>
      <c r="BU220" t="e">
        <f>AND(#REF!,"AAAAAFZvb0g=")</f>
        <v>#REF!</v>
      </c>
      <c r="BV220" t="e">
        <f>AND(#REF!,"AAAAAFZvb0k=")</f>
        <v>#REF!</v>
      </c>
      <c r="BW220" t="e">
        <f>AND(#REF!,"AAAAAFZvb0o=")</f>
        <v>#REF!</v>
      </c>
      <c r="BX220" t="e">
        <f>AND(#REF!,"AAAAAFZvb0s=")</f>
        <v>#REF!</v>
      </c>
      <c r="BY220" t="e">
        <f>AND(#REF!,"AAAAAFZvb0w=")</f>
        <v>#REF!</v>
      </c>
      <c r="BZ220" t="e">
        <f>AND(#REF!,"AAAAAFZvb00=")</f>
        <v>#REF!</v>
      </c>
      <c r="CA220" t="e">
        <f>AND(#REF!,"AAAAAFZvb04=")</f>
        <v>#REF!</v>
      </c>
      <c r="CB220" t="e">
        <f>AND(#REF!,"AAAAAFZvb08=")</f>
        <v>#REF!</v>
      </c>
      <c r="CC220" t="e">
        <f>AND(#REF!,"AAAAAFZvb1A=")</f>
        <v>#REF!</v>
      </c>
      <c r="CD220" t="e">
        <f>AND(#REF!,"AAAAAFZvb1E=")</f>
        <v>#REF!</v>
      </c>
      <c r="CE220" t="e">
        <f>AND(#REF!,"AAAAAFZvb1I=")</f>
        <v>#REF!</v>
      </c>
      <c r="CF220" t="e">
        <f>AND(#REF!,"AAAAAFZvb1M=")</f>
        <v>#REF!</v>
      </c>
      <c r="CG220" t="e">
        <f>AND(#REF!,"AAAAAFZvb1Q=")</f>
        <v>#REF!</v>
      </c>
      <c r="CH220" t="e">
        <f>AND(#REF!,"AAAAAFZvb1U=")</f>
        <v>#REF!</v>
      </c>
      <c r="CI220" t="e">
        <f>AND(#REF!,"AAAAAFZvb1Y=")</f>
        <v>#REF!</v>
      </c>
      <c r="CJ220" t="e">
        <f>AND(#REF!,"AAAAAFZvb1c=")</f>
        <v>#REF!</v>
      </c>
      <c r="CK220" t="e">
        <f>AND(#REF!,"AAAAAFZvb1g=")</f>
        <v>#REF!</v>
      </c>
      <c r="CL220" t="e">
        <f>AND(#REF!,"AAAAAFZvb1k=")</f>
        <v>#REF!</v>
      </c>
      <c r="CM220" t="e">
        <f>AND(#REF!,"AAAAAFZvb1o=")</f>
        <v>#REF!</v>
      </c>
      <c r="CN220" t="e">
        <f>AND(#REF!,"AAAAAFZvb1s=")</f>
        <v>#REF!</v>
      </c>
      <c r="CO220" t="e">
        <f>AND(#REF!,"AAAAAFZvb1w=")</f>
        <v>#REF!</v>
      </c>
      <c r="CP220" t="e">
        <f>AND(#REF!,"AAAAAFZvb10=")</f>
        <v>#REF!</v>
      </c>
      <c r="CQ220" t="e">
        <f>AND(#REF!,"AAAAAFZvb14=")</f>
        <v>#REF!</v>
      </c>
      <c r="CR220" t="e">
        <f>AND(#REF!,"AAAAAFZvb18=")</f>
        <v>#REF!</v>
      </c>
      <c r="CS220" t="e">
        <f>AND(#REF!,"AAAAAFZvb2A=")</f>
        <v>#REF!</v>
      </c>
      <c r="CT220" t="e">
        <f>AND(#REF!,"AAAAAFZvb2E=")</f>
        <v>#REF!</v>
      </c>
      <c r="CU220" t="e">
        <f>AND(#REF!,"AAAAAFZvb2I=")</f>
        <v>#REF!</v>
      </c>
      <c r="CV220" t="e">
        <f>AND(#REF!,"AAAAAFZvb2M=")</f>
        <v>#REF!</v>
      </c>
      <c r="CW220" t="e">
        <f>AND(#REF!,"AAAAAFZvb2Q=")</f>
        <v>#REF!</v>
      </c>
      <c r="CX220" t="e">
        <f>AND(#REF!,"AAAAAFZvb2U=")</f>
        <v>#REF!</v>
      </c>
      <c r="CY220" t="e">
        <f>AND(#REF!,"AAAAAFZvb2Y=")</f>
        <v>#REF!</v>
      </c>
      <c r="CZ220" t="e">
        <f>AND(#REF!,"AAAAAFZvb2c=")</f>
        <v>#REF!</v>
      </c>
      <c r="DA220" t="e">
        <f>AND(#REF!,"AAAAAFZvb2g=")</f>
        <v>#REF!</v>
      </c>
      <c r="DB220" t="e">
        <f>AND(#REF!,"AAAAAFZvb2k=")</f>
        <v>#REF!</v>
      </c>
      <c r="DC220" t="e">
        <f>AND(#REF!,"AAAAAFZvb2o=")</f>
        <v>#REF!</v>
      </c>
      <c r="DD220" t="e">
        <f>AND(#REF!,"AAAAAFZvb2s=")</f>
        <v>#REF!</v>
      </c>
      <c r="DE220" t="e">
        <f>AND(#REF!,"AAAAAFZvb2w=")</f>
        <v>#REF!</v>
      </c>
      <c r="DF220" t="e">
        <f>AND(#REF!,"AAAAAFZvb20=")</f>
        <v>#REF!</v>
      </c>
      <c r="DG220" t="e">
        <f>AND(#REF!,"AAAAAFZvb24=")</f>
        <v>#REF!</v>
      </c>
      <c r="DH220" t="e">
        <f>AND(#REF!,"AAAAAFZvb28=")</f>
        <v>#REF!</v>
      </c>
      <c r="DI220" t="e">
        <f>AND(#REF!,"AAAAAFZvb3A=")</f>
        <v>#REF!</v>
      </c>
      <c r="DJ220" t="e">
        <f>AND(#REF!,"AAAAAFZvb3E=")</f>
        <v>#REF!</v>
      </c>
      <c r="DK220" t="e">
        <f>AND(#REF!,"AAAAAFZvb3I=")</f>
        <v>#REF!</v>
      </c>
      <c r="DL220" t="e">
        <f>AND(#REF!,"AAAAAFZvb3M=")</f>
        <v>#REF!</v>
      </c>
      <c r="DM220" t="e">
        <f>AND(#REF!,"AAAAAFZvb3Q=")</f>
        <v>#REF!</v>
      </c>
      <c r="DN220" t="e">
        <f>AND(#REF!,"AAAAAFZvb3U=")</f>
        <v>#REF!</v>
      </c>
      <c r="DO220" t="e">
        <f>AND(#REF!,"AAAAAFZvb3Y=")</f>
        <v>#REF!</v>
      </c>
      <c r="DP220" t="e">
        <f>AND(#REF!,"AAAAAFZvb3c=")</f>
        <v>#REF!</v>
      </c>
      <c r="DQ220" t="e">
        <f>AND(#REF!,"AAAAAFZvb3g=")</f>
        <v>#REF!</v>
      </c>
      <c r="DR220" t="e">
        <f>AND(#REF!,"AAAAAFZvb3k=")</f>
        <v>#REF!</v>
      </c>
      <c r="DS220" t="e">
        <f>AND(#REF!,"AAAAAFZvb3o=")</f>
        <v>#REF!</v>
      </c>
      <c r="DT220" t="e">
        <f>AND(#REF!,"AAAAAFZvb3s=")</f>
        <v>#REF!</v>
      </c>
      <c r="DU220" t="e">
        <f>AND(#REF!,"AAAAAFZvb3w=")</f>
        <v>#REF!</v>
      </c>
      <c r="DV220" t="e">
        <f>AND(#REF!,"AAAAAFZvb30=")</f>
        <v>#REF!</v>
      </c>
      <c r="DW220" t="e">
        <f>AND(#REF!,"AAAAAFZvb34=")</f>
        <v>#REF!</v>
      </c>
      <c r="DX220" t="e">
        <f>AND(#REF!,"AAAAAFZvb38=")</f>
        <v>#REF!</v>
      </c>
      <c r="DY220" t="e">
        <f>AND(#REF!,"AAAAAFZvb4A=")</f>
        <v>#REF!</v>
      </c>
      <c r="DZ220" t="e">
        <f>AND(#REF!,"AAAAAFZvb4E=")</f>
        <v>#REF!</v>
      </c>
      <c r="EA220" t="e">
        <f>AND(#REF!,"AAAAAFZvb4I=")</f>
        <v>#REF!</v>
      </c>
      <c r="EB220" t="e">
        <f>AND(#REF!,"AAAAAFZvb4M=")</f>
        <v>#REF!</v>
      </c>
      <c r="EC220" t="e">
        <f>AND(#REF!,"AAAAAFZvb4Q=")</f>
        <v>#REF!</v>
      </c>
      <c r="ED220" t="e">
        <f>AND(#REF!,"AAAAAFZvb4U=")</f>
        <v>#REF!</v>
      </c>
      <c r="EE220" t="e">
        <f>AND(#REF!,"AAAAAFZvb4Y=")</f>
        <v>#REF!</v>
      </c>
      <c r="EF220" t="e">
        <f>AND(#REF!,"AAAAAFZvb4c=")</f>
        <v>#REF!</v>
      </c>
      <c r="EG220" t="e">
        <f>AND(#REF!,"AAAAAFZvb4g=")</f>
        <v>#REF!</v>
      </c>
      <c r="EH220" t="e">
        <f>AND(#REF!,"AAAAAFZvb4k=")</f>
        <v>#REF!</v>
      </c>
      <c r="EI220" t="e">
        <f>AND(#REF!,"AAAAAFZvb4o=")</f>
        <v>#REF!</v>
      </c>
      <c r="EJ220" t="e">
        <f>AND(#REF!,"AAAAAFZvb4s=")</f>
        <v>#REF!</v>
      </c>
      <c r="EK220" t="e">
        <f>AND(#REF!,"AAAAAFZvb4w=")</f>
        <v>#REF!</v>
      </c>
      <c r="EL220" t="e">
        <f>AND(#REF!,"AAAAAFZvb40=")</f>
        <v>#REF!</v>
      </c>
      <c r="EM220" t="e">
        <f>AND(#REF!,"AAAAAFZvb44=")</f>
        <v>#REF!</v>
      </c>
      <c r="EN220" t="e">
        <f>AND(#REF!,"AAAAAFZvb48=")</f>
        <v>#REF!</v>
      </c>
      <c r="EO220" t="e">
        <f>AND(#REF!,"AAAAAFZvb5A=")</f>
        <v>#REF!</v>
      </c>
      <c r="EP220" t="e">
        <f>AND(#REF!,"AAAAAFZvb5E=")</f>
        <v>#REF!</v>
      </c>
      <c r="EQ220" t="e">
        <f>AND(#REF!,"AAAAAFZvb5I=")</f>
        <v>#REF!</v>
      </c>
      <c r="ER220" t="e">
        <f>AND(#REF!,"AAAAAFZvb5M=")</f>
        <v>#REF!</v>
      </c>
      <c r="ES220" t="e">
        <f>AND(#REF!,"AAAAAFZvb5Q=")</f>
        <v>#REF!</v>
      </c>
      <c r="ET220" t="e">
        <f>AND(#REF!,"AAAAAFZvb5U=")</f>
        <v>#REF!</v>
      </c>
      <c r="EU220" t="e">
        <f>AND(#REF!,"AAAAAFZvb5Y=")</f>
        <v>#REF!</v>
      </c>
      <c r="EV220" t="e">
        <f>AND(#REF!,"AAAAAFZvb5c=")</f>
        <v>#REF!</v>
      </c>
      <c r="EW220" t="e">
        <f>AND(#REF!,"AAAAAFZvb5g=")</f>
        <v>#REF!</v>
      </c>
      <c r="EX220" t="e">
        <f>AND(#REF!,"AAAAAFZvb5k=")</f>
        <v>#REF!</v>
      </c>
      <c r="EY220" t="e">
        <f>AND(#REF!,"AAAAAFZvb5o=")</f>
        <v>#REF!</v>
      </c>
      <c r="EZ220" t="e">
        <f>AND(#REF!,"AAAAAFZvb5s=")</f>
        <v>#REF!</v>
      </c>
      <c r="FA220" t="e">
        <f>AND(#REF!,"AAAAAFZvb5w=")</f>
        <v>#REF!</v>
      </c>
      <c r="FB220" t="e">
        <f>AND(#REF!,"AAAAAFZvb50=")</f>
        <v>#REF!</v>
      </c>
      <c r="FC220" t="e">
        <f>AND(#REF!,"AAAAAFZvb54=")</f>
        <v>#REF!</v>
      </c>
      <c r="FD220" t="e">
        <f>AND(#REF!,"AAAAAFZvb58=")</f>
        <v>#REF!</v>
      </c>
      <c r="FE220" t="e">
        <f>AND(#REF!,"AAAAAFZvb6A=")</f>
        <v>#REF!</v>
      </c>
      <c r="FF220" t="e">
        <f>AND(#REF!,"AAAAAFZvb6E=")</f>
        <v>#REF!</v>
      </c>
      <c r="FG220" t="e">
        <f>AND(#REF!,"AAAAAFZvb6I=")</f>
        <v>#REF!</v>
      </c>
      <c r="FH220" t="e">
        <f>AND(#REF!,"AAAAAFZvb6M=")</f>
        <v>#REF!</v>
      </c>
      <c r="FI220" t="e">
        <f>AND(#REF!,"AAAAAFZvb6Q=")</f>
        <v>#REF!</v>
      </c>
      <c r="FJ220" t="e">
        <f>AND(#REF!,"AAAAAFZvb6U=")</f>
        <v>#REF!</v>
      </c>
      <c r="FK220" t="e">
        <f>AND(#REF!,"AAAAAFZvb6Y=")</f>
        <v>#REF!</v>
      </c>
      <c r="FL220" t="e">
        <f>AND(#REF!,"AAAAAFZvb6c=")</f>
        <v>#REF!</v>
      </c>
      <c r="FM220" t="e">
        <f>AND(#REF!,"AAAAAFZvb6g=")</f>
        <v>#REF!</v>
      </c>
      <c r="FN220" t="e">
        <f>AND(#REF!,"AAAAAFZvb6k=")</f>
        <v>#REF!</v>
      </c>
      <c r="FO220" t="e">
        <f>AND(#REF!,"AAAAAFZvb6o=")</f>
        <v>#REF!</v>
      </c>
      <c r="FP220" t="e">
        <f>AND(#REF!,"AAAAAFZvb6s=")</f>
        <v>#REF!</v>
      </c>
      <c r="FQ220" t="e">
        <f>AND(#REF!,"AAAAAFZvb6w=")</f>
        <v>#REF!</v>
      </c>
      <c r="FR220" t="e">
        <f>AND(#REF!,"AAAAAFZvb60=")</f>
        <v>#REF!</v>
      </c>
      <c r="FS220" t="e">
        <f>AND(#REF!,"AAAAAFZvb64=")</f>
        <v>#REF!</v>
      </c>
      <c r="FT220" t="e">
        <f>AND(#REF!,"AAAAAFZvb68=")</f>
        <v>#REF!</v>
      </c>
      <c r="FU220" t="e">
        <f>AND(#REF!,"AAAAAFZvb7A=")</f>
        <v>#REF!</v>
      </c>
      <c r="FV220" t="e">
        <f>AND(#REF!,"AAAAAFZvb7E=")</f>
        <v>#REF!</v>
      </c>
      <c r="FW220" t="e">
        <f>AND(#REF!,"AAAAAFZvb7I=")</f>
        <v>#REF!</v>
      </c>
      <c r="FX220" t="e">
        <f>AND(#REF!,"AAAAAFZvb7M=")</f>
        <v>#REF!</v>
      </c>
      <c r="FY220" t="e">
        <f>AND(#REF!,"AAAAAFZvb7Q=")</f>
        <v>#REF!</v>
      </c>
      <c r="FZ220" t="e">
        <f>AND(#REF!,"AAAAAFZvb7U=")</f>
        <v>#REF!</v>
      </c>
      <c r="GA220" t="e">
        <f>AND(#REF!,"AAAAAFZvb7Y=")</f>
        <v>#REF!</v>
      </c>
      <c r="GB220" t="e">
        <f>AND(#REF!,"AAAAAFZvb7c=")</f>
        <v>#REF!</v>
      </c>
      <c r="GC220" t="e">
        <f>AND(#REF!,"AAAAAFZvb7g=")</f>
        <v>#REF!</v>
      </c>
      <c r="GD220" t="e">
        <f>AND(#REF!,"AAAAAFZvb7k=")</f>
        <v>#REF!</v>
      </c>
      <c r="GE220" t="e">
        <f>AND(#REF!,"AAAAAFZvb7o=")</f>
        <v>#REF!</v>
      </c>
      <c r="GF220" t="e">
        <f>AND(#REF!,"AAAAAFZvb7s=")</f>
        <v>#REF!</v>
      </c>
      <c r="GG220" t="e">
        <f>AND(#REF!,"AAAAAFZvb7w=")</f>
        <v>#REF!</v>
      </c>
      <c r="GH220" t="e">
        <f>AND(#REF!,"AAAAAFZvb70=")</f>
        <v>#REF!</v>
      </c>
      <c r="GI220" t="e">
        <f>AND(#REF!,"AAAAAFZvb74=")</f>
        <v>#REF!</v>
      </c>
      <c r="GJ220" t="e">
        <f>AND(#REF!,"AAAAAFZvb78=")</f>
        <v>#REF!</v>
      </c>
      <c r="GK220" t="e">
        <f>AND(#REF!,"AAAAAFZvb8A=")</f>
        <v>#REF!</v>
      </c>
      <c r="GL220" t="e">
        <f>AND(#REF!,"AAAAAFZvb8E=")</f>
        <v>#REF!</v>
      </c>
      <c r="GM220" t="e">
        <f>AND(#REF!,"AAAAAFZvb8I=")</f>
        <v>#REF!</v>
      </c>
      <c r="GN220" t="e">
        <f>AND(#REF!,"AAAAAFZvb8M=")</f>
        <v>#REF!</v>
      </c>
      <c r="GO220" t="e">
        <f>AND(#REF!,"AAAAAFZvb8Q=")</f>
        <v>#REF!</v>
      </c>
      <c r="GP220" t="e">
        <f>AND(#REF!,"AAAAAFZvb8U=")</f>
        <v>#REF!</v>
      </c>
      <c r="GQ220" t="e">
        <f>AND(#REF!,"AAAAAFZvb8Y=")</f>
        <v>#REF!</v>
      </c>
      <c r="GR220" t="e">
        <f>AND(#REF!,"AAAAAFZvb8c=")</f>
        <v>#REF!</v>
      </c>
      <c r="GS220" t="e">
        <f>AND(#REF!,"AAAAAFZvb8g=")</f>
        <v>#REF!</v>
      </c>
      <c r="GT220" t="e">
        <f>AND(#REF!,"AAAAAFZvb8k=")</f>
        <v>#REF!</v>
      </c>
      <c r="GU220" t="e">
        <f>AND(#REF!,"AAAAAFZvb8o=")</f>
        <v>#REF!</v>
      </c>
      <c r="GV220" t="e">
        <f>AND(#REF!,"AAAAAFZvb8s=")</f>
        <v>#REF!</v>
      </c>
      <c r="GW220" t="e">
        <f>AND(#REF!,"AAAAAFZvb8w=")</f>
        <v>#REF!</v>
      </c>
      <c r="GX220" t="e">
        <f>AND(#REF!,"AAAAAFZvb80=")</f>
        <v>#REF!</v>
      </c>
      <c r="GY220" t="e">
        <f>AND(#REF!,"AAAAAFZvb84=")</f>
        <v>#REF!</v>
      </c>
      <c r="GZ220" t="e">
        <f>AND(#REF!,"AAAAAFZvb88=")</f>
        <v>#REF!</v>
      </c>
      <c r="HA220" t="e">
        <f>AND(#REF!,"AAAAAFZvb9A=")</f>
        <v>#REF!</v>
      </c>
      <c r="HB220" t="e">
        <f>AND(#REF!,"AAAAAFZvb9E=")</f>
        <v>#REF!</v>
      </c>
      <c r="HC220" t="e">
        <f>AND(#REF!,"AAAAAFZvb9I=")</f>
        <v>#REF!</v>
      </c>
      <c r="HD220" t="e">
        <f>AND(#REF!,"AAAAAFZvb9M=")</f>
        <v>#REF!</v>
      </c>
      <c r="HE220" t="e">
        <f>AND(#REF!,"AAAAAFZvb9Q=")</f>
        <v>#REF!</v>
      </c>
      <c r="HF220" t="e">
        <f>AND(#REF!,"AAAAAFZvb9U=")</f>
        <v>#REF!</v>
      </c>
      <c r="HG220" t="e">
        <f>AND(#REF!,"AAAAAFZvb9Y=")</f>
        <v>#REF!</v>
      </c>
      <c r="HH220" t="e">
        <f>AND(#REF!,"AAAAAFZvb9c=")</f>
        <v>#REF!</v>
      </c>
      <c r="HI220" t="e">
        <f>AND(#REF!,"AAAAAFZvb9g=")</f>
        <v>#REF!</v>
      </c>
      <c r="HJ220" t="e">
        <f>AND(#REF!,"AAAAAFZvb9k=")</f>
        <v>#REF!</v>
      </c>
      <c r="HK220" t="e">
        <f>AND(#REF!,"AAAAAFZvb9o=")</f>
        <v>#REF!</v>
      </c>
      <c r="HL220" t="e">
        <f>AND(#REF!,"AAAAAFZvb9s=")</f>
        <v>#REF!</v>
      </c>
      <c r="HM220" t="e">
        <f>AND(#REF!,"AAAAAFZvb9w=")</f>
        <v>#REF!</v>
      </c>
      <c r="HN220" t="e">
        <f>AND(#REF!,"AAAAAFZvb90=")</f>
        <v>#REF!</v>
      </c>
      <c r="HO220" t="e">
        <f>AND(#REF!,"AAAAAFZvb94=")</f>
        <v>#REF!</v>
      </c>
      <c r="HP220" t="e">
        <f>AND(#REF!,"AAAAAFZvb98=")</f>
        <v>#REF!</v>
      </c>
      <c r="HQ220" t="e">
        <f>AND(#REF!,"AAAAAFZvb+A=")</f>
        <v>#REF!</v>
      </c>
      <c r="HR220" t="e">
        <f>AND(#REF!,"AAAAAFZvb+E=")</f>
        <v>#REF!</v>
      </c>
      <c r="HS220" t="e">
        <f>AND(#REF!,"AAAAAFZvb+I=")</f>
        <v>#REF!</v>
      </c>
      <c r="HT220" t="e">
        <f>AND(#REF!,"AAAAAFZvb+M=")</f>
        <v>#REF!</v>
      </c>
      <c r="HU220" t="e">
        <f>AND(#REF!,"AAAAAFZvb+Q=")</f>
        <v>#REF!</v>
      </c>
      <c r="HV220" t="e">
        <f>AND(#REF!,"AAAAAFZvb+U=")</f>
        <v>#REF!</v>
      </c>
      <c r="HW220" t="e">
        <f>AND(#REF!,"AAAAAFZvb+Y=")</f>
        <v>#REF!</v>
      </c>
      <c r="HX220" t="e">
        <f>AND(#REF!,"AAAAAFZvb+c=")</f>
        <v>#REF!</v>
      </c>
      <c r="HY220" t="e">
        <f>AND(#REF!,"AAAAAFZvb+g=")</f>
        <v>#REF!</v>
      </c>
      <c r="HZ220" t="e">
        <f>AND(#REF!,"AAAAAFZvb+k=")</f>
        <v>#REF!</v>
      </c>
      <c r="IA220" t="e">
        <f>AND(#REF!,"AAAAAFZvb+o=")</f>
        <v>#REF!</v>
      </c>
      <c r="IB220" t="e">
        <f>AND(#REF!,"AAAAAFZvb+s=")</f>
        <v>#REF!</v>
      </c>
      <c r="IC220" t="e">
        <f>AND(#REF!,"AAAAAFZvb+w=")</f>
        <v>#REF!</v>
      </c>
      <c r="ID220" t="e">
        <f>AND(#REF!,"AAAAAFZvb+0=")</f>
        <v>#REF!</v>
      </c>
      <c r="IE220" t="e">
        <f>AND(#REF!,"AAAAAFZvb+4=")</f>
        <v>#REF!</v>
      </c>
      <c r="IF220" t="e">
        <f>AND(#REF!,"AAAAAFZvb+8=")</f>
        <v>#REF!</v>
      </c>
      <c r="IG220" t="e">
        <f>AND(#REF!,"AAAAAFZvb/A=")</f>
        <v>#REF!</v>
      </c>
      <c r="IH220" t="e">
        <f>AND(#REF!,"AAAAAFZvb/E=")</f>
        <v>#REF!</v>
      </c>
      <c r="II220" t="e">
        <f>AND(#REF!,"AAAAAFZvb/I=")</f>
        <v>#REF!</v>
      </c>
      <c r="IJ220" t="e">
        <f>AND(#REF!,"AAAAAFZvb/M=")</f>
        <v>#REF!</v>
      </c>
      <c r="IK220" t="e">
        <f>AND(#REF!,"AAAAAFZvb/Q=")</f>
        <v>#REF!</v>
      </c>
      <c r="IL220" t="e">
        <f>AND(#REF!,"AAAAAFZvb/U=")</f>
        <v>#REF!</v>
      </c>
      <c r="IM220" t="e">
        <f>AND(#REF!,"AAAAAFZvb/Y=")</f>
        <v>#REF!</v>
      </c>
      <c r="IN220" t="e">
        <f>AND(#REF!,"AAAAAFZvb/c=")</f>
        <v>#REF!</v>
      </c>
      <c r="IO220" t="e">
        <f>AND(#REF!,"AAAAAFZvb/g=")</f>
        <v>#REF!</v>
      </c>
      <c r="IP220" t="e">
        <f>AND(#REF!,"AAAAAFZvb/k=")</f>
        <v>#REF!</v>
      </c>
      <c r="IQ220" t="e">
        <f>IF(#REF!,"AAAAAFZvb/o=",0)</f>
        <v>#REF!</v>
      </c>
      <c r="IR220" t="e">
        <f>AND(#REF!,"AAAAAFZvb/s=")</f>
        <v>#REF!</v>
      </c>
      <c r="IS220" t="e">
        <f>AND(#REF!,"AAAAAFZvb/w=")</f>
        <v>#REF!</v>
      </c>
      <c r="IT220" t="e">
        <f>AND(#REF!,"AAAAAFZvb/0=")</f>
        <v>#REF!</v>
      </c>
      <c r="IU220" t="e">
        <f>AND(#REF!,"AAAAAFZvb/4=")</f>
        <v>#REF!</v>
      </c>
      <c r="IV220" t="e">
        <f>AND(#REF!,"AAAAAFZvb/8=")</f>
        <v>#REF!</v>
      </c>
    </row>
    <row r="221" spans="1:256" x14ac:dyDescent="0.25">
      <c r="A221" t="e">
        <f>AND(#REF!,"AAAAAGZLvgA=")</f>
        <v>#REF!</v>
      </c>
      <c r="B221" t="e">
        <f>AND(#REF!,"AAAAAGZLvgE=")</f>
        <v>#REF!</v>
      </c>
      <c r="C221" t="e">
        <f>AND(#REF!,"AAAAAGZLvgI=")</f>
        <v>#REF!</v>
      </c>
      <c r="D221" t="e">
        <f>AND(#REF!,"AAAAAGZLvgM=")</f>
        <v>#REF!</v>
      </c>
      <c r="E221" t="e">
        <f>AND(#REF!,"AAAAAGZLvgQ=")</f>
        <v>#REF!</v>
      </c>
      <c r="F221" t="e">
        <f>AND(#REF!,"AAAAAGZLvgU=")</f>
        <v>#REF!</v>
      </c>
      <c r="G221" t="e">
        <f>AND(#REF!,"AAAAAGZLvgY=")</f>
        <v>#REF!</v>
      </c>
      <c r="H221" t="e">
        <f>AND(#REF!,"AAAAAGZLvgc=")</f>
        <v>#REF!</v>
      </c>
      <c r="I221" t="e">
        <f>AND(#REF!,"AAAAAGZLvgg=")</f>
        <v>#REF!</v>
      </c>
      <c r="J221" t="e">
        <f>AND(#REF!,"AAAAAGZLvgk=")</f>
        <v>#REF!</v>
      </c>
      <c r="K221" t="e">
        <f>AND(#REF!,"AAAAAGZLvgo=")</f>
        <v>#REF!</v>
      </c>
      <c r="L221" t="e">
        <f>AND(#REF!,"AAAAAGZLvgs=")</f>
        <v>#REF!</v>
      </c>
      <c r="M221" t="e">
        <f>AND(#REF!,"AAAAAGZLvgw=")</f>
        <v>#REF!</v>
      </c>
      <c r="N221" t="e">
        <f>AND(#REF!,"AAAAAGZLvg0=")</f>
        <v>#REF!</v>
      </c>
      <c r="O221" t="e">
        <f>AND(#REF!,"AAAAAGZLvg4=")</f>
        <v>#REF!</v>
      </c>
      <c r="P221" t="e">
        <f>AND(#REF!,"AAAAAGZLvg8=")</f>
        <v>#REF!</v>
      </c>
      <c r="Q221" t="e">
        <f>AND(#REF!,"AAAAAGZLvhA=")</f>
        <v>#REF!</v>
      </c>
      <c r="R221" t="e">
        <f>AND(#REF!,"AAAAAGZLvhE=")</f>
        <v>#REF!</v>
      </c>
      <c r="S221" t="e">
        <f>AND(#REF!,"AAAAAGZLvhI=")</f>
        <v>#REF!</v>
      </c>
      <c r="T221" t="e">
        <f>AND(#REF!,"AAAAAGZLvhM=")</f>
        <v>#REF!</v>
      </c>
      <c r="U221" t="e">
        <f>AND(#REF!,"AAAAAGZLvhQ=")</f>
        <v>#REF!</v>
      </c>
      <c r="V221" t="e">
        <f>AND(#REF!,"AAAAAGZLvhU=")</f>
        <v>#REF!</v>
      </c>
      <c r="W221" t="e">
        <f>AND(#REF!,"AAAAAGZLvhY=")</f>
        <v>#REF!</v>
      </c>
      <c r="X221" t="e">
        <f>AND(#REF!,"AAAAAGZLvhc=")</f>
        <v>#REF!</v>
      </c>
      <c r="Y221" t="e">
        <f>AND(#REF!,"AAAAAGZLvhg=")</f>
        <v>#REF!</v>
      </c>
      <c r="Z221" t="e">
        <f>AND(#REF!,"AAAAAGZLvhk=")</f>
        <v>#REF!</v>
      </c>
      <c r="AA221" t="e">
        <f>AND(#REF!,"AAAAAGZLvho=")</f>
        <v>#REF!</v>
      </c>
      <c r="AB221" t="e">
        <f>AND(#REF!,"AAAAAGZLvhs=")</f>
        <v>#REF!</v>
      </c>
      <c r="AC221" t="e">
        <f>AND(#REF!,"AAAAAGZLvhw=")</f>
        <v>#REF!</v>
      </c>
      <c r="AD221" t="e">
        <f>AND(#REF!,"AAAAAGZLvh0=")</f>
        <v>#REF!</v>
      </c>
      <c r="AE221" t="e">
        <f>AND(#REF!,"AAAAAGZLvh4=")</f>
        <v>#REF!</v>
      </c>
      <c r="AF221" t="e">
        <f>AND(#REF!,"AAAAAGZLvh8=")</f>
        <v>#REF!</v>
      </c>
      <c r="AG221" t="e">
        <f>AND(#REF!,"AAAAAGZLviA=")</f>
        <v>#REF!</v>
      </c>
      <c r="AH221" t="e">
        <f>AND(#REF!,"AAAAAGZLviE=")</f>
        <v>#REF!</v>
      </c>
      <c r="AI221" t="e">
        <f>AND(#REF!,"AAAAAGZLviI=")</f>
        <v>#REF!</v>
      </c>
      <c r="AJ221" t="e">
        <f>AND(#REF!,"AAAAAGZLviM=")</f>
        <v>#REF!</v>
      </c>
      <c r="AK221" t="e">
        <f>AND(#REF!,"AAAAAGZLviQ=")</f>
        <v>#REF!</v>
      </c>
      <c r="AL221" t="e">
        <f>AND(#REF!,"AAAAAGZLviU=")</f>
        <v>#REF!</v>
      </c>
      <c r="AM221" t="e">
        <f>AND(#REF!,"AAAAAGZLviY=")</f>
        <v>#REF!</v>
      </c>
      <c r="AN221" t="e">
        <f>AND(#REF!,"AAAAAGZLvic=")</f>
        <v>#REF!</v>
      </c>
      <c r="AO221" t="e">
        <f>AND(#REF!,"AAAAAGZLvig=")</f>
        <v>#REF!</v>
      </c>
      <c r="AP221" t="e">
        <f>AND(#REF!,"AAAAAGZLvik=")</f>
        <v>#REF!</v>
      </c>
      <c r="AQ221" t="e">
        <f>AND(#REF!,"AAAAAGZLvio=")</f>
        <v>#REF!</v>
      </c>
      <c r="AR221" t="e">
        <f>AND(#REF!,"AAAAAGZLvis=")</f>
        <v>#REF!</v>
      </c>
      <c r="AS221" t="e">
        <f>AND(#REF!,"AAAAAGZLviw=")</f>
        <v>#REF!</v>
      </c>
      <c r="AT221" t="e">
        <f>AND(#REF!,"AAAAAGZLvi0=")</f>
        <v>#REF!</v>
      </c>
      <c r="AU221" t="e">
        <f>AND(#REF!,"AAAAAGZLvi4=")</f>
        <v>#REF!</v>
      </c>
      <c r="AV221" t="e">
        <f>AND(#REF!,"AAAAAGZLvi8=")</f>
        <v>#REF!</v>
      </c>
      <c r="AW221" t="e">
        <f>AND(#REF!,"AAAAAGZLvjA=")</f>
        <v>#REF!</v>
      </c>
      <c r="AX221" t="e">
        <f>AND(#REF!,"AAAAAGZLvjE=")</f>
        <v>#REF!</v>
      </c>
      <c r="AY221" t="e">
        <f>AND(#REF!,"AAAAAGZLvjI=")</f>
        <v>#REF!</v>
      </c>
      <c r="AZ221" t="e">
        <f>AND(#REF!,"AAAAAGZLvjM=")</f>
        <v>#REF!</v>
      </c>
      <c r="BA221" t="e">
        <f>AND(#REF!,"AAAAAGZLvjQ=")</f>
        <v>#REF!</v>
      </c>
      <c r="BB221" t="e">
        <f>AND(#REF!,"AAAAAGZLvjU=")</f>
        <v>#REF!</v>
      </c>
      <c r="BC221" t="e">
        <f>AND(#REF!,"AAAAAGZLvjY=")</f>
        <v>#REF!</v>
      </c>
      <c r="BD221" t="e">
        <f>AND(#REF!,"AAAAAGZLvjc=")</f>
        <v>#REF!</v>
      </c>
      <c r="BE221" t="e">
        <f>AND(#REF!,"AAAAAGZLvjg=")</f>
        <v>#REF!</v>
      </c>
      <c r="BF221" t="e">
        <f>AND(#REF!,"AAAAAGZLvjk=")</f>
        <v>#REF!</v>
      </c>
      <c r="BG221" t="e">
        <f>AND(#REF!,"AAAAAGZLvjo=")</f>
        <v>#REF!</v>
      </c>
      <c r="BH221" t="e">
        <f>AND(#REF!,"AAAAAGZLvjs=")</f>
        <v>#REF!</v>
      </c>
      <c r="BI221" t="e">
        <f>AND(#REF!,"AAAAAGZLvjw=")</f>
        <v>#REF!</v>
      </c>
      <c r="BJ221" t="e">
        <f>AND(#REF!,"AAAAAGZLvj0=")</f>
        <v>#REF!</v>
      </c>
      <c r="BK221" t="e">
        <f>AND(#REF!,"AAAAAGZLvj4=")</f>
        <v>#REF!</v>
      </c>
      <c r="BL221" t="e">
        <f>AND(#REF!,"AAAAAGZLvj8=")</f>
        <v>#REF!</v>
      </c>
      <c r="BM221" t="e">
        <f>AND(#REF!,"AAAAAGZLvkA=")</f>
        <v>#REF!</v>
      </c>
      <c r="BN221" t="e">
        <f>AND(#REF!,"AAAAAGZLvkE=")</f>
        <v>#REF!</v>
      </c>
      <c r="BO221" t="e">
        <f>AND(#REF!,"AAAAAGZLvkI=")</f>
        <v>#REF!</v>
      </c>
      <c r="BP221" t="e">
        <f>AND(#REF!,"AAAAAGZLvkM=")</f>
        <v>#REF!</v>
      </c>
      <c r="BQ221" t="e">
        <f>AND(#REF!,"AAAAAGZLvkQ=")</f>
        <v>#REF!</v>
      </c>
      <c r="BR221" t="e">
        <f>AND(#REF!,"AAAAAGZLvkU=")</f>
        <v>#REF!</v>
      </c>
      <c r="BS221" t="e">
        <f>AND(#REF!,"AAAAAGZLvkY=")</f>
        <v>#REF!</v>
      </c>
      <c r="BT221" t="e">
        <f>AND(#REF!,"AAAAAGZLvkc=")</f>
        <v>#REF!</v>
      </c>
      <c r="BU221" t="e">
        <f>AND(#REF!,"AAAAAGZLvkg=")</f>
        <v>#REF!</v>
      </c>
      <c r="BV221" t="e">
        <f>AND(#REF!,"AAAAAGZLvkk=")</f>
        <v>#REF!</v>
      </c>
      <c r="BW221" t="e">
        <f>AND(#REF!,"AAAAAGZLvko=")</f>
        <v>#REF!</v>
      </c>
      <c r="BX221" t="e">
        <f>AND(#REF!,"AAAAAGZLvks=")</f>
        <v>#REF!</v>
      </c>
      <c r="BY221" t="e">
        <f>AND(#REF!,"AAAAAGZLvkw=")</f>
        <v>#REF!</v>
      </c>
      <c r="BZ221" t="e">
        <f>AND(#REF!,"AAAAAGZLvk0=")</f>
        <v>#REF!</v>
      </c>
      <c r="CA221" t="e">
        <f>AND(#REF!,"AAAAAGZLvk4=")</f>
        <v>#REF!</v>
      </c>
      <c r="CB221" t="e">
        <f>AND(#REF!,"AAAAAGZLvk8=")</f>
        <v>#REF!</v>
      </c>
      <c r="CC221" t="e">
        <f>AND(#REF!,"AAAAAGZLvlA=")</f>
        <v>#REF!</v>
      </c>
      <c r="CD221" t="e">
        <f>AND(#REF!,"AAAAAGZLvlE=")</f>
        <v>#REF!</v>
      </c>
      <c r="CE221" t="e">
        <f>AND(#REF!,"AAAAAGZLvlI=")</f>
        <v>#REF!</v>
      </c>
      <c r="CF221" t="e">
        <f>AND(#REF!,"AAAAAGZLvlM=")</f>
        <v>#REF!</v>
      </c>
      <c r="CG221" t="e">
        <f>AND(#REF!,"AAAAAGZLvlQ=")</f>
        <v>#REF!</v>
      </c>
      <c r="CH221" t="e">
        <f>AND(#REF!,"AAAAAGZLvlU=")</f>
        <v>#REF!</v>
      </c>
      <c r="CI221" t="e">
        <f>AND(#REF!,"AAAAAGZLvlY=")</f>
        <v>#REF!</v>
      </c>
      <c r="CJ221" t="e">
        <f>AND(#REF!,"AAAAAGZLvlc=")</f>
        <v>#REF!</v>
      </c>
      <c r="CK221" t="e">
        <f>AND(#REF!,"AAAAAGZLvlg=")</f>
        <v>#REF!</v>
      </c>
      <c r="CL221" t="e">
        <f>AND(#REF!,"AAAAAGZLvlk=")</f>
        <v>#REF!</v>
      </c>
      <c r="CM221" t="e">
        <f>AND(#REF!,"AAAAAGZLvlo=")</f>
        <v>#REF!</v>
      </c>
      <c r="CN221" t="e">
        <f>AND(#REF!,"AAAAAGZLvls=")</f>
        <v>#REF!</v>
      </c>
      <c r="CO221" t="e">
        <f>AND(#REF!,"AAAAAGZLvlw=")</f>
        <v>#REF!</v>
      </c>
      <c r="CP221" t="e">
        <f>AND(#REF!,"AAAAAGZLvl0=")</f>
        <v>#REF!</v>
      </c>
      <c r="CQ221" t="e">
        <f>AND(#REF!,"AAAAAGZLvl4=")</f>
        <v>#REF!</v>
      </c>
      <c r="CR221" t="e">
        <f>AND(#REF!,"AAAAAGZLvl8=")</f>
        <v>#REF!</v>
      </c>
      <c r="CS221" t="e">
        <f>AND(#REF!,"AAAAAGZLvmA=")</f>
        <v>#REF!</v>
      </c>
      <c r="CT221" t="e">
        <f>AND(#REF!,"AAAAAGZLvmE=")</f>
        <v>#REF!</v>
      </c>
      <c r="CU221" t="e">
        <f>AND(#REF!,"AAAAAGZLvmI=")</f>
        <v>#REF!</v>
      </c>
      <c r="CV221" t="e">
        <f>AND(#REF!,"AAAAAGZLvmM=")</f>
        <v>#REF!</v>
      </c>
      <c r="CW221" t="e">
        <f>AND(#REF!,"AAAAAGZLvmQ=")</f>
        <v>#REF!</v>
      </c>
      <c r="CX221" t="e">
        <f>AND(#REF!,"AAAAAGZLvmU=")</f>
        <v>#REF!</v>
      </c>
      <c r="CY221" t="e">
        <f>AND(#REF!,"AAAAAGZLvmY=")</f>
        <v>#REF!</v>
      </c>
      <c r="CZ221" t="e">
        <f>AND(#REF!,"AAAAAGZLvmc=")</f>
        <v>#REF!</v>
      </c>
      <c r="DA221" t="e">
        <f>AND(#REF!,"AAAAAGZLvmg=")</f>
        <v>#REF!</v>
      </c>
      <c r="DB221" t="e">
        <f>AND(#REF!,"AAAAAGZLvmk=")</f>
        <v>#REF!</v>
      </c>
      <c r="DC221" t="e">
        <f>AND(#REF!,"AAAAAGZLvmo=")</f>
        <v>#REF!</v>
      </c>
      <c r="DD221" t="e">
        <f>AND(#REF!,"AAAAAGZLvms=")</f>
        <v>#REF!</v>
      </c>
      <c r="DE221" t="e">
        <f>AND(#REF!,"AAAAAGZLvmw=")</f>
        <v>#REF!</v>
      </c>
      <c r="DF221" t="e">
        <f>AND(#REF!,"AAAAAGZLvm0=")</f>
        <v>#REF!</v>
      </c>
      <c r="DG221" t="e">
        <f>AND(#REF!,"AAAAAGZLvm4=")</f>
        <v>#REF!</v>
      </c>
      <c r="DH221" t="e">
        <f>AND(#REF!,"AAAAAGZLvm8=")</f>
        <v>#REF!</v>
      </c>
      <c r="DI221" t="e">
        <f>AND(#REF!,"AAAAAGZLvnA=")</f>
        <v>#REF!</v>
      </c>
      <c r="DJ221" t="e">
        <f>AND(#REF!,"AAAAAGZLvnE=")</f>
        <v>#REF!</v>
      </c>
      <c r="DK221" t="e">
        <f>AND(#REF!,"AAAAAGZLvnI=")</f>
        <v>#REF!</v>
      </c>
      <c r="DL221" t="e">
        <f>AND(#REF!,"AAAAAGZLvnM=")</f>
        <v>#REF!</v>
      </c>
      <c r="DM221" t="e">
        <f>AND(#REF!,"AAAAAGZLvnQ=")</f>
        <v>#REF!</v>
      </c>
      <c r="DN221" t="e">
        <f>AND(#REF!,"AAAAAGZLvnU=")</f>
        <v>#REF!</v>
      </c>
      <c r="DO221" t="e">
        <f>AND(#REF!,"AAAAAGZLvnY=")</f>
        <v>#REF!</v>
      </c>
      <c r="DP221" t="e">
        <f>AND(#REF!,"AAAAAGZLvnc=")</f>
        <v>#REF!</v>
      </c>
      <c r="DQ221" t="e">
        <f>AND(#REF!,"AAAAAGZLvng=")</f>
        <v>#REF!</v>
      </c>
      <c r="DR221" t="e">
        <f>AND(#REF!,"AAAAAGZLvnk=")</f>
        <v>#REF!</v>
      </c>
      <c r="DS221" t="e">
        <f>AND(#REF!,"AAAAAGZLvno=")</f>
        <v>#REF!</v>
      </c>
      <c r="DT221" t="e">
        <f>AND(#REF!,"AAAAAGZLvns=")</f>
        <v>#REF!</v>
      </c>
      <c r="DU221" t="e">
        <f>AND(#REF!,"AAAAAGZLvnw=")</f>
        <v>#REF!</v>
      </c>
      <c r="DV221" t="e">
        <f>AND(#REF!,"AAAAAGZLvn0=")</f>
        <v>#REF!</v>
      </c>
      <c r="DW221" t="e">
        <f>AND(#REF!,"AAAAAGZLvn4=")</f>
        <v>#REF!</v>
      </c>
      <c r="DX221" t="e">
        <f>AND(#REF!,"AAAAAGZLvn8=")</f>
        <v>#REF!</v>
      </c>
      <c r="DY221" t="e">
        <f>AND(#REF!,"AAAAAGZLvoA=")</f>
        <v>#REF!</v>
      </c>
      <c r="DZ221" t="e">
        <f>AND(#REF!,"AAAAAGZLvoE=")</f>
        <v>#REF!</v>
      </c>
      <c r="EA221" t="e">
        <f>AND(#REF!,"AAAAAGZLvoI=")</f>
        <v>#REF!</v>
      </c>
      <c r="EB221" t="e">
        <f>AND(#REF!,"AAAAAGZLvoM=")</f>
        <v>#REF!</v>
      </c>
      <c r="EC221" t="e">
        <f>AND(#REF!,"AAAAAGZLvoQ=")</f>
        <v>#REF!</v>
      </c>
      <c r="ED221" t="e">
        <f>AND(#REF!,"AAAAAGZLvoU=")</f>
        <v>#REF!</v>
      </c>
      <c r="EE221" t="e">
        <f>AND(#REF!,"AAAAAGZLvoY=")</f>
        <v>#REF!</v>
      </c>
      <c r="EF221" t="e">
        <f>AND(#REF!,"AAAAAGZLvoc=")</f>
        <v>#REF!</v>
      </c>
      <c r="EG221" t="e">
        <f>AND(#REF!,"AAAAAGZLvog=")</f>
        <v>#REF!</v>
      </c>
      <c r="EH221" t="e">
        <f>AND(#REF!,"AAAAAGZLvok=")</f>
        <v>#REF!</v>
      </c>
      <c r="EI221" t="e">
        <f>AND(#REF!,"AAAAAGZLvoo=")</f>
        <v>#REF!</v>
      </c>
      <c r="EJ221" t="e">
        <f>AND(#REF!,"AAAAAGZLvos=")</f>
        <v>#REF!</v>
      </c>
      <c r="EK221" t="e">
        <f>AND(#REF!,"AAAAAGZLvow=")</f>
        <v>#REF!</v>
      </c>
      <c r="EL221" t="e">
        <f>AND(#REF!,"AAAAAGZLvo0=")</f>
        <v>#REF!</v>
      </c>
      <c r="EM221" t="e">
        <f>AND(#REF!,"AAAAAGZLvo4=")</f>
        <v>#REF!</v>
      </c>
      <c r="EN221" t="e">
        <f>AND(#REF!,"AAAAAGZLvo8=")</f>
        <v>#REF!</v>
      </c>
      <c r="EO221" t="e">
        <f>AND(#REF!,"AAAAAGZLvpA=")</f>
        <v>#REF!</v>
      </c>
      <c r="EP221" t="e">
        <f>AND(#REF!,"AAAAAGZLvpE=")</f>
        <v>#REF!</v>
      </c>
      <c r="EQ221" t="e">
        <f>AND(#REF!,"AAAAAGZLvpI=")</f>
        <v>#REF!</v>
      </c>
      <c r="ER221" t="e">
        <f>AND(#REF!,"AAAAAGZLvpM=")</f>
        <v>#REF!</v>
      </c>
      <c r="ES221" t="e">
        <f>AND(#REF!,"AAAAAGZLvpQ=")</f>
        <v>#REF!</v>
      </c>
      <c r="ET221" t="e">
        <f>AND(#REF!,"AAAAAGZLvpU=")</f>
        <v>#REF!</v>
      </c>
      <c r="EU221" t="e">
        <f>AND(#REF!,"AAAAAGZLvpY=")</f>
        <v>#REF!</v>
      </c>
      <c r="EV221" t="e">
        <f>AND(#REF!,"AAAAAGZLvpc=")</f>
        <v>#REF!</v>
      </c>
      <c r="EW221" t="e">
        <f>AND(#REF!,"AAAAAGZLvpg=")</f>
        <v>#REF!</v>
      </c>
      <c r="EX221" t="e">
        <f>AND(#REF!,"AAAAAGZLvpk=")</f>
        <v>#REF!</v>
      </c>
      <c r="EY221" t="e">
        <f>AND(#REF!,"AAAAAGZLvpo=")</f>
        <v>#REF!</v>
      </c>
      <c r="EZ221" t="e">
        <f>AND(#REF!,"AAAAAGZLvps=")</f>
        <v>#REF!</v>
      </c>
      <c r="FA221" t="e">
        <f>AND(#REF!,"AAAAAGZLvpw=")</f>
        <v>#REF!</v>
      </c>
      <c r="FB221" t="e">
        <f>AND(#REF!,"AAAAAGZLvp0=")</f>
        <v>#REF!</v>
      </c>
      <c r="FC221" t="e">
        <f>AND(#REF!,"AAAAAGZLvp4=")</f>
        <v>#REF!</v>
      </c>
      <c r="FD221" t="e">
        <f>AND(#REF!,"AAAAAGZLvp8=")</f>
        <v>#REF!</v>
      </c>
      <c r="FE221" t="e">
        <f>AND(#REF!,"AAAAAGZLvqA=")</f>
        <v>#REF!</v>
      </c>
      <c r="FF221" t="e">
        <f>AND(#REF!,"AAAAAGZLvqE=")</f>
        <v>#REF!</v>
      </c>
      <c r="FG221" t="e">
        <f>AND(#REF!,"AAAAAGZLvqI=")</f>
        <v>#REF!</v>
      </c>
      <c r="FH221" t="e">
        <f>AND(#REF!,"AAAAAGZLvqM=")</f>
        <v>#REF!</v>
      </c>
      <c r="FI221" t="e">
        <f>AND(#REF!,"AAAAAGZLvqQ=")</f>
        <v>#REF!</v>
      </c>
      <c r="FJ221" t="e">
        <f>AND(#REF!,"AAAAAGZLvqU=")</f>
        <v>#REF!</v>
      </c>
      <c r="FK221" t="e">
        <f>AND(#REF!,"AAAAAGZLvqY=")</f>
        <v>#REF!</v>
      </c>
      <c r="FL221" t="e">
        <f>AND(#REF!,"AAAAAGZLvqc=")</f>
        <v>#REF!</v>
      </c>
      <c r="FM221" t="e">
        <f>AND(#REF!,"AAAAAGZLvqg=")</f>
        <v>#REF!</v>
      </c>
      <c r="FN221" t="e">
        <f>AND(#REF!,"AAAAAGZLvqk=")</f>
        <v>#REF!</v>
      </c>
      <c r="FO221" t="e">
        <f>AND(#REF!,"AAAAAGZLvqo=")</f>
        <v>#REF!</v>
      </c>
      <c r="FP221" t="e">
        <f>AND(#REF!,"AAAAAGZLvqs=")</f>
        <v>#REF!</v>
      </c>
      <c r="FQ221" t="e">
        <f>AND(#REF!,"AAAAAGZLvqw=")</f>
        <v>#REF!</v>
      </c>
      <c r="FR221" t="e">
        <f>AND(#REF!,"AAAAAGZLvq0=")</f>
        <v>#REF!</v>
      </c>
      <c r="FS221" t="e">
        <f>AND(#REF!,"AAAAAGZLvq4=")</f>
        <v>#REF!</v>
      </c>
      <c r="FT221" t="e">
        <f>AND(#REF!,"AAAAAGZLvq8=")</f>
        <v>#REF!</v>
      </c>
      <c r="FU221" t="e">
        <f>AND(#REF!,"AAAAAGZLvrA=")</f>
        <v>#REF!</v>
      </c>
      <c r="FV221" t="e">
        <f>AND(#REF!,"AAAAAGZLvrE=")</f>
        <v>#REF!</v>
      </c>
      <c r="FW221" t="e">
        <f>AND(#REF!,"AAAAAGZLvrI=")</f>
        <v>#REF!</v>
      </c>
      <c r="FX221" t="e">
        <f>AND(#REF!,"AAAAAGZLvrM=")</f>
        <v>#REF!</v>
      </c>
      <c r="FY221" t="e">
        <f>AND(#REF!,"AAAAAGZLvrQ=")</f>
        <v>#REF!</v>
      </c>
      <c r="FZ221" t="e">
        <f>AND(#REF!,"AAAAAGZLvrU=")</f>
        <v>#REF!</v>
      </c>
      <c r="GA221" t="e">
        <f>AND(#REF!,"AAAAAGZLvrY=")</f>
        <v>#REF!</v>
      </c>
      <c r="GB221" t="e">
        <f>IF(#REF!,"AAAAAGZLvrc=",0)</f>
        <v>#REF!</v>
      </c>
      <c r="GC221" t="e">
        <f>AND(#REF!,"AAAAAGZLvrg=")</f>
        <v>#REF!</v>
      </c>
      <c r="GD221" t="e">
        <f>AND(#REF!,"AAAAAGZLvrk=")</f>
        <v>#REF!</v>
      </c>
      <c r="GE221" t="e">
        <f>AND(#REF!,"AAAAAGZLvro=")</f>
        <v>#REF!</v>
      </c>
      <c r="GF221" t="e">
        <f>AND(#REF!,"AAAAAGZLvrs=")</f>
        <v>#REF!</v>
      </c>
      <c r="GG221" t="e">
        <f>AND(#REF!,"AAAAAGZLvrw=")</f>
        <v>#REF!</v>
      </c>
      <c r="GH221" t="e">
        <f>AND(#REF!,"AAAAAGZLvr0=")</f>
        <v>#REF!</v>
      </c>
      <c r="GI221" t="e">
        <f>AND(#REF!,"AAAAAGZLvr4=")</f>
        <v>#REF!</v>
      </c>
      <c r="GJ221" t="e">
        <f>AND(#REF!,"AAAAAGZLvr8=")</f>
        <v>#REF!</v>
      </c>
      <c r="GK221" t="e">
        <f>AND(#REF!,"AAAAAGZLvsA=")</f>
        <v>#REF!</v>
      </c>
      <c r="GL221" t="e">
        <f>AND(#REF!,"AAAAAGZLvsE=")</f>
        <v>#REF!</v>
      </c>
      <c r="GM221" t="e">
        <f>AND(#REF!,"AAAAAGZLvsI=")</f>
        <v>#REF!</v>
      </c>
      <c r="GN221" t="e">
        <f>AND(#REF!,"AAAAAGZLvsM=")</f>
        <v>#REF!</v>
      </c>
      <c r="GO221" t="e">
        <f>AND(#REF!,"AAAAAGZLvsQ=")</f>
        <v>#REF!</v>
      </c>
      <c r="GP221" t="e">
        <f>AND(#REF!,"AAAAAGZLvsU=")</f>
        <v>#REF!</v>
      </c>
      <c r="GQ221" t="e">
        <f>AND(#REF!,"AAAAAGZLvsY=")</f>
        <v>#REF!</v>
      </c>
      <c r="GR221" t="e">
        <f>AND(#REF!,"AAAAAGZLvsc=")</f>
        <v>#REF!</v>
      </c>
      <c r="GS221" t="e">
        <f>AND(#REF!,"AAAAAGZLvsg=")</f>
        <v>#REF!</v>
      </c>
      <c r="GT221" t="e">
        <f>AND(#REF!,"AAAAAGZLvsk=")</f>
        <v>#REF!</v>
      </c>
      <c r="GU221" t="e">
        <f>AND(#REF!,"AAAAAGZLvso=")</f>
        <v>#REF!</v>
      </c>
      <c r="GV221" t="e">
        <f>AND(#REF!,"AAAAAGZLvss=")</f>
        <v>#REF!</v>
      </c>
      <c r="GW221" t="e">
        <f>AND(#REF!,"AAAAAGZLvsw=")</f>
        <v>#REF!</v>
      </c>
      <c r="GX221" t="e">
        <f>AND(#REF!,"AAAAAGZLvs0=")</f>
        <v>#REF!</v>
      </c>
      <c r="GY221" t="e">
        <f>AND(#REF!,"AAAAAGZLvs4=")</f>
        <v>#REF!</v>
      </c>
      <c r="GZ221" t="e">
        <f>AND(#REF!,"AAAAAGZLvs8=")</f>
        <v>#REF!</v>
      </c>
      <c r="HA221" t="e">
        <f>AND(#REF!,"AAAAAGZLvtA=")</f>
        <v>#REF!</v>
      </c>
      <c r="HB221" t="e">
        <f>AND(#REF!,"AAAAAGZLvtE=")</f>
        <v>#REF!</v>
      </c>
      <c r="HC221" t="e">
        <f>AND(#REF!,"AAAAAGZLvtI=")</f>
        <v>#REF!</v>
      </c>
      <c r="HD221" t="e">
        <f>AND(#REF!,"AAAAAGZLvtM=")</f>
        <v>#REF!</v>
      </c>
      <c r="HE221" t="e">
        <f>AND(#REF!,"AAAAAGZLvtQ=")</f>
        <v>#REF!</v>
      </c>
      <c r="HF221" t="e">
        <f>AND(#REF!,"AAAAAGZLvtU=")</f>
        <v>#REF!</v>
      </c>
      <c r="HG221" t="e">
        <f>AND(#REF!,"AAAAAGZLvtY=")</f>
        <v>#REF!</v>
      </c>
      <c r="HH221" t="e">
        <f>AND(#REF!,"AAAAAGZLvtc=")</f>
        <v>#REF!</v>
      </c>
      <c r="HI221" t="e">
        <f>AND(#REF!,"AAAAAGZLvtg=")</f>
        <v>#REF!</v>
      </c>
      <c r="HJ221" t="e">
        <f>AND(#REF!,"AAAAAGZLvtk=")</f>
        <v>#REF!</v>
      </c>
      <c r="HK221" t="e">
        <f>AND(#REF!,"AAAAAGZLvto=")</f>
        <v>#REF!</v>
      </c>
      <c r="HL221" t="e">
        <f>AND(#REF!,"AAAAAGZLvts=")</f>
        <v>#REF!</v>
      </c>
      <c r="HM221" t="e">
        <f>AND(#REF!,"AAAAAGZLvtw=")</f>
        <v>#REF!</v>
      </c>
      <c r="HN221" t="e">
        <f>AND(#REF!,"AAAAAGZLvt0=")</f>
        <v>#REF!</v>
      </c>
      <c r="HO221" t="e">
        <f>AND(#REF!,"AAAAAGZLvt4=")</f>
        <v>#REF!</v>
      </c>
      <c r="HP221" t="e">
        <f>AND(#REF!,"AAAAAGZLvt8=")</f>
        <v>#REF!</v>
      </c>
      <c r="HQ221" t="e">
        <f>AND(#REF!,"AAAAAGZLvuA=")</f>
        <v>#REF!</v>
      </c>
      <c r="HR221" t="e">
        <f>AND(#REF!,"AAAAAGZLvuE=")</f>
        <v>#REF!</v>
      </c>
      <c r="HS221" t="e">
        <f>AND(#REF!,"AAAAAGZLvuI=")</f>
        <v>#REF!</v>
      </c>
      <c r="HT221" t="e">
        <f>AND(#REF!,"AAAAAGZLvuM=")</f>
        <v>#REF!</v>
      </c>
      <c r="HU221" t="e">
        <f>AND(#REF!,"AAAAAGZLvuQ=")</f>
        <v>#REF!</v>
      </c>
      <c r="HV221" t="e">
        <f>AND(#REF!,"AAAAAGZLvuU=")</f>
        <v>#REF!</v>
      </c>
      <c r="HW221" t="e">
        <f>AND(#REF!,"AAAAAGZLvuY=")</f>
        <v>#REF!</v>
      </c>
      <c r="HX221" t="e">
        <f>AND(#REF!,"AAAAAGZLvuc=")</f>
        <v>#REF!</v>
      </c>
      <c r="HY221" t="e">
        <f>AND(#REF!,"AAAAAGZLvug=")</f>
        <v>#REF!</v>
      </c>
      <c r="HZ221" t="e">
        <f>AND(#REF!,"AAAAAGZLvuk=")</f>
        <v>#REF!</v>
      </c>
      <c r="IA221" t="e">
        <f>AND(#REF!,"AAAAAGZLvuo=")</f>
        <v>#REF!</v>
      </c>
      <c r="IB221" t="e">
        <f>AND(#REF!,"AAAAAGZLvus=")</f>
        <v>#REF!</v>
      </c>
      <c r="IC221" t="e">
        <f>AND(#REF!,"AAAAAGZLvuw=")</f>
        <v>#REF!</v>
      </c>
      <c r="ID221" t="e">
        <f>AND(#REF!,"AAAAAGZLvu0=")</f>
        <v>#REF!</v>
      </c>
      <c r="IE221" t="e">
        <f>AND(#REF!,"AAAAAGZLvu4=")</f>
        <v>#REF!</v>
      </c>
      <c r="IF221" t="e">
        <f>AND(#REF!,"AAAAAGZLvu8=")</f>
        <v>#REF!</v>
      </c>
      <c r="IG221" t="e">
        <f>AND(#REF!,"AAAAAGZLvvA=")</f>
        <v>#REF!</v>
      </c>
      <c r="IH221" t="e">
        <f>AND(#REF!,"AAAAAGZLvvE=")</f>
        <v>#REF!</v>
      </c>
      <c r="II221" t="e">
        <f>AND(#REF!,"AAAAAGZLvvI=")</f>
        <v>#REF!</v>
      </c>
      <c r="IJ221" t="e">
        <f>AND(#REF!,"AAAAAGZLvvM=")</f>
        <v>#REF!</v>
      </c>
      <c r="IK221" t="e">
        <f>AND(#REF!,"AAAAAGZLvvQ=")</f>
        <v>#REF!</v>
      </c>
      <c r="IL221" t="e">
        <f>AND(#REF!,"AAAAAGZLvvU=")</f>
        <v>#REF!</v>
      </c>
      <c r="IM221" t="e">
        <f>AND(#REF!,"AAAAAGZLvvY=")</f>
        <v>#REF!</v>
      </c>
      <c r="IN221" t="e">
        <f>AND(#REF!,"AAAAAGZLvvc=")</f>
        <v>#REF!</v>
      </c>
      <c r="IO221" t="e">
        <f>AND(#REF!,"AAAAAGZLvvg=")</f>
        <v>#REF!</v>
      </c>
      <c r="IP221" t="e">
        <f>AND(#REF!,"AAAAAGZLvvk=")</f>
        <v>#REF!</v>
      </c>
      <c r="IQ221" t="e">
        <f>AND(#REF!,"AAAAAGZLvvo=")</f>
        <v>#REF!</v>
      </c>
      <c r="IR221" t="e">
        <f>AND(#REF!,"AAAAAGZLvvs=")</f>
        <v>#REF!</v>
      </c>
      <c r="IS221" t="e">
        <f>AND(#REF!,"AAAAAGZLvvw=")</f>
        <v>#REF!</v>
      </c>
      <c r="IT221" t="e">
        <f>AND(#REF!,"AAAAAGZLvv0=")</f>
        <v>#REF!</v>
      </c>
      <c r="IU221" t="e">
        <f>AND(#REF!,"AAAAAGZLvv4=")</f>
        <v>#REF!</v>
      </c>
      <c r="IV221" t="e">
        <f>AND(#REF!,"AAAAAGZLvv8=")</f>
        <v>#REF!</v>
      </c>
    </row>
    <row r="222" spans="1:256" x14ac:dyDescent="0.25">
      <c r="A222" t="e">
        <f>AND(#REF!,"AAAAAH/y/AA=")</f>
        <v>#REF!</v>
      </c>
      <c r="B222" t="e">
        <f>AND(#REF!,"AAAAAH/y/AE=")</f>
        <v>#REF!</v>
      </c>
      <c r="C222" t="e">
        <f>AND(#REF!,"AAAAAH/y/AI=")</f>
        <v>#REF!</v>
      </c>
      <c r="D222" t="e">
        <f>AND(#REF!,"AAAAAH/y/AM=")</f>
        <v>#REF!</v>
      </c>
      <c r="E222" t="e">
        <f>AND(#REF!,"AAAAAH/y/AQ=")</f>
        <v>#REF!</v>
      </c>
      <c r="F222" t="e">
        <f>AND(#REF!,"AAAAAH/y/AU=")</f>
        <v>#REF!</v>
      </c>
      <c r="G222" t="e">
        <f>AND(#REF!,"AAAAAH/y/AY=")</f>
        <v>#REF!</v>
      </c>
      <c r="H222" t="e">
        <f>AND(#REF!,"AAAAAH/y/Ac=")</f>
        <v>#REF!</v>
      </c>
      <c r="I222" t="e">
        <f>AND(#REF!,"AAAAAH/y/Ag=")</f>
        <v>#REF!</v>
      </c>
      <c r="J222" t="e">
        <f>AND(#REF!,"AAAAAH/y/Ak=")</f>
        <v>#REF!</v>
      </c>
      <c r="K222" t="e">
        <f>AND(#REF!,"AAAAAH/y/Ao=")</f>
        <v>#REF!</v>
      </c>
      <c r="L222" t="e">
        <f>AND(#REF!,"AAAAAH/y/As=")</f>
        <v>#REF!</v>
      </c>
      <c r="M222" t="e">
        <f>AND(#REF!,"AAAAAH/y/Aw=")</f>
        <v>#REF!</v>
      </c>
      <c r="N222" t="e">
        <f>AND(#REF!,"AAAAAH/y/A0=")</f>
        <v>#REF!</v>
      </c>
      <c r="O222" t="e">
        <f>AND(#REF!,"AAAAAH/y/A4=")</f>
        <v>#REF!</v>
      </c>
      <c r="P222" t="e">
        <f>AND(#REF!,"AAAAAH/y/A8=")</f>
        <v>#REF!</v>
      </c>
      <c r="Q222" t="e">
        <f>AND(#REF!,"AAAAAH/y/BA=")</f>
        <v>#REF!</v>
      </c>
      <c r="R222" t="e">
        <f>AND(#REF!,"AAAAAH/y/BE=")</f>
        <v>#REF!</v>
      </c>
      <c r="S222" t="e">
        <f>AND(#REF!,"AAAAAH/y/BI=")</f>
        <v>#REF!</v>
      </c>
      <c r="T222" t="e">
        <f>AND(#REF!,"AAAAAH/y/BM=")</f>
        <v>#REF!</v>
      </c>
      <c r="U222" t="e">
        <f>AND(#REF!,"AAAAAH/y/BQ=")</f>
        <v>#REF!</v>
      </c>
      <c r="V222" t="e">
        <f>AND(#REF!,"AAAAAH/y/BU=")</f>
        <v>#REF!</v>
      </c>
      <c r="W222" t="e">
        <f>AND(#REF!,"AAAAAH/y/BY=")</f>
        <v>#REF!</v>
      </c>
      <c r="X222" t="e">
        <f>AND(#REF!,"AAAAAH/y/Bc=")</f>
        <v>#REF!</v>
      </c>
      <c r="Y222" t="e">
        <f>AND(#REF!,"AAAAAH/y/Bg=")</f>
        <v>#REF!</v>
      </c>
      <c r="Z222" t="e">
        <f>AND(#REF!,"AAAAAH/y/Bk=")</f>
        <v>#REF!</v>
      </c>
      <c r="AA222" t="e">
        <f>AND(#REF!,"AAAAAH/y/Bo=")</f>
        <v>#REF!</v>
      </c>
      <c r="AB222" t="e">
        <f>AND(#REF!,"AAAAAH/y/Bs=")</f>
        <v>#REF!</v>
      </c>
      <c r="AC222" t="e">
        <f>AND(#REF!,"AAAAAH/y/Bw=")</f>
        <v>#REF!</v>
      </c>
      <c r="AD222" t="e">
        <f>AND(#REF!,"AAAAAH/y/B0=")</f>
        <v>#REF!</v>
      </c>
      <c r="AE222" t="e">
        <f>AND(#REF!,"AAAAAH/y/B4=")</f>
        <v>#REF!</v>
      </c>
      <c r="AF222" t="e">
        <f>AND(#REF!,"AAAAAH/y/B8=")</f>
        <v>#REF!</v>
      </c>
      <c r="AG222" t="e">
        <f>AND(#REF!,"AAAAAH/y/CA=")</f>
        <v>#REF!</v>
      </c>
      <c r="AH222" t="e">
        <f>AND(#REF!,"AAAAAH/y/CE=")</f>
        <v>#REF!</v>
      </c>
      <c r="AI222" t="e">
        <f>AND(#REF!,"AAAAAH/y/CI=")</f>
        <v>#REF!</v>
      </c>
      <c r="AJ222" t="e">
        <f>AND(#REF!,"AAAAAH/y/CM=")</f>
        <v>#REF!</v>
      </c>
      <c r="AK222" t="e">
        <f>AND(#REF!,"AAAAAH/y/CQ=")</f>
        <v>#REF!</v>
      </c>
      <c r="AL222" t="e">
        <f>AND(#REF!,"AAAAAH/y/CU=")</f>
        <v>#REF!</v>
      </c>
      <c r="AM222" t="e">
        <f>AND(#REF!,"AAAAAH/y/CY=")</f>
        <v>#REF!</v>
      </c>
      <c r="AN222" t="e">
        <f>AND(#REF!,"AAAAAH/y/Cc=")</f>
        <v>#REF!</v>
      </c>
      <c r="AO222" t="e">
        <f>AND(#REF!,"AAAAAH/y/Cg=")</f>
        <v>#REF!</v>
      </c>
      <c r="AP222" t="e">
        <f>AND(#REF!,"AAAAAH/y/Ck=")</f>
        <v>#REF!</v>
      </c>
      <c r="AQ222" t="e">
        <f>AND(#REF!,"AAAAAH/y/Co=")</f>
        <v>#REF!</v>
      </c>
      <c r="AR222" t="e">
        <f>AND(#REF!,"AAAAAH/y/Cs=")</f>
        <v>#REF!</v>
      </c>
      <c r="AS222" t="e">
        <f>AND(#REF!,"AAAAAH/y/Cw=")</f>
        <v>#REF!</v>
      </c>
      <c r="AT222" t="e">
        <f>AND(#REF!,"AAAAAH/y/C0=")</f>
        <v>#REF!</v>
      </c>
      <c r="AU222" t="e">
        <f>AND(#REF!,"AAAAAH/y/C4=")</f>
        <v>#REF!</v>
      </c>
      <c r="AV222" t="e">
        <f>AND(#REF!,"AAAAAH/y/C8=")</f>
        <v>#REF!</v>
      </c>
      <c r="AW222" t="e">
        <f>AND(#REF!,"AAAAAH/y/DA=")</f>
        <v>#REF!</v>
      </c>
      <c r="AX222" t="e">
        <f>AND(#REF!,"AAAAAH/y/DE=")</f>
        <v>#REF!</v>
      </c>
      <c r="AY222" t="e">
        <f>AND(#REF!,"AAAAAH/y/DI=")</f>
        <v>#REF!</v>
      </c>
      <c r="AZ222" t="e">
        <f>AND(#REF!,"AAAAAH/y/DM=")</f>
        <v>#REF!</v>
      </c>
      <c r="BA222" t="e">
        <f>AND(#REF!,"AAAAAH/y/DQ=")</f>
        <v>#REF!</v>
      </c>
      <c r="BB222" t="e">
        <f>AND(#REF!,"AAAAAH/y/DU=")</f>
        <v>#REF!</v>
      </c>
      <c r="BC222" t="e">
        <f>AND(#REF!,"AAAAAH/y/DY=")</f>
        <v>#REF!</v>
      </c>
      <c r="BD222" t="e">
        <f>AND(#REF!,"AAAAAH/y/Dc=")</f>
        <v>#REF!</v>
      </c>
      <c r="BE222" t="e">
        <f>AND(#REF!,"AAAAAH/y/Dg=")</f>
        <v>#REF!</v>
      </c>
      <c r="BF222" t="e">
        <f>AND(#REF!,"AAAAAH/y/Dk=")</f>
        <v>#REF!</v>
      </c>
      <c r="BG222" t="e">
        <f>AND(#REF!,"AAAAAH/y/Do=")</f>
        <v>#REF!</v>
      </c>
      <c r="BH222" t="e">
        <f>AND(#REF!,"AAAAAH/y/Ds=")</f>
        <v>#REF!</v>
      </c>
      <c r="BI222" t="e">
        <f>AND(#REF!,"AAAAAH/y/Dw=")</f>
        <v>#REF!</v>
      </c>
      <c r="BJ222" t="e">
        <f>AND(#REF!,"AAAAAH/y/D0=")</f>
        <v>#REF!</v>
      </c>
      <c r="BK222" t="e">
        <f>AND(#REF!,"AAAAAH/y/D4=")</f>
        <v>#REF!</v>
      </c>
      <c r="BL222" t="e">
        <f>AND(#REF!,"AAAAAH/y/D8=")</f>
        <v>#REF!</v>
      </c>
      <c r="BM222" t="e">
        <f>AND(#REF!,"AAAAAH/y/EA=")</f>
        <v>#REF!</v>
      </c>
      <c r="BN222" t="e">
        <f>AND(#REF!,"AAAAAH/y/EE=")</f>
        <v>#REF!</v>
      </c>
      <c r="BO222" t="e">
        <f>AND(#REF!,"AAAAAH/y/EI=")</f>
        <v>#REF!</v>
      </c>
      <c r="BP222" t="e">
        <f>AND(#REF!,"AAAAAH/y/EM=")</f>
        <v>#REF!</v>
      </c>
      <c r="BQ222" t="e">
        <f>AND(#REF!,"AAAAAH/y/EQ=")</f>
        <v>#REF!</v>
      </c>
      <c r="BR222" t="e">
        <f>AND(#REF!,"AAAAAH/y/EU=")</f>
        <v>#REF!</v>
      </c>
      <c r="BS222" t="e">
        <f>AND(#REF!,"AAAAAH/y/EY=")</f>
        <v>#REF!</v>
      </c>
      <c r="BT222" t="e">
        <f>AND(#REF!,"AAAAAH/y/Ec=")</f>
        <v>#REF!</v>
      </c>
      <c r="BU222" t="e">
        <f>AND(#REF!,"AAAAAH/y/Eg=")</f>
        <v>#REF!</v>
      </c>
      <c r="BV222" t="e">
        <f>AND(#REF!,"AAAAAH/y/Ek=")</f>
        <v>#REF!</v>
      </c>
      <c r="BW222" t="e">
        <f>AND(#REF!,"AAAAAH/y/Eo=")</f>
        <v>#REF!</v>
      </c>
      <c r="BX222" t="e">
        <f>AND(#REF!,"AAAAAH/y/Es=")</f>
        <v>#REF!</v>
      </c>
      <c r="BY222" t="e">
        <f>AND(#REF!,"AAAAAH/y/Ew=")</f>
        <v>#REF!</v>
      </c>
      <c r="BZ222" t="e">
        <f>AND(#REF!,"AAAAAH/y/E0=")</f>
        <v>#REF!</v>
      </c>
      <c r="CA222" t="e">
        <f>AND(#REF!,"AAAAAH/y/E4=")</f>
        <v>#REF!</v>
      </c>
      <c r="CB222" t="e">
        <f>AND(#REF!,"AAAAAH/y/E8=")</f>
        <v>#REF!</v>
      </c>
      <c r="CC222" t="e">
        <f>AND(#REF!,"AAAAAH/y/FA=")</f>
        <v>#REF!</v>
      </c>
      <c r="CD222" t="e">
        <f>AND(#REF!,"AAAAAH/y/FE=")</f>
        <v>#REF!</v>
      </c>
      <c r="CE222" t="e">
        <f>AND(#REF!,"AAAAAH/y/FI=")</f>
        <v>#REF!</v>
      </c>
      <c r="CF222" t="e">
        <f>AND(#REF!,"AAAAAH/y/FM=")</f>
        <v>#REF!</v>
      </c>
      <c r="CG222" t="e">
        <f>AND(#REF!,"AAAAAH/y/FQ=")</f>
        <v>#REF!</v>
      </c>
      <c r="CH222" t="e">
        <f>AND(#REF!,"AAAAAH/y/FU=")</f>
        <v>#REF!</v>
      </c>
      <c r="CI222" t="e">
        <f>AND(#REF!,"AAAAAH/y/FY=")</f>
        <v>#REF!</v>
      </c>
      <c r="CJ222" t="e">
        <f>AND(#REF!,"AAAAAH/y/Fc=")</f>
        <v>#REF!</v>
      </c>
      <c r="CK222" t="e">
        <f>AND(#REF!,"AAAAAH/y/Fg=")</f>
        <v>#REF!</v>
      </c>
      <c r="CL222" t="e">
        <f>AND(#REF!,"AAAAAH/y/Fk=")</f>
        <v>#REF!</v>
      </c>
      <c r="CM222" t="e">
        <f>AND(#REF!,"AAAAAH/y/Fo=")</f>
        <v>#REF!</v>
      </c>
      <c r="CN222" t="e">
        <f>AND(#REF!,"AAAAAH/y/Fs=")</f>
        <v>#REF!</v>
      </c>
      <c r="CO222" t="e">
        <f>AND(#REF!,"AAAAAH/y/Fw=")</f>
        <v>#REF!</v>
      </c>
      <c r="CP222" t="e">
        <f>AND(#REF!,"AAAAAH/y/F0=")</f>
        <v>#REF!</v>
      </c>
      <c r="CQ222" t="e">
        <f>AND(#REF!,"AAAAAH/y/F4=")</f>
        <v>#REF!</v>
      </c>
      <c r="CR222" t="e">
        <f>AND(#REF!,"AAAAAH/y/F8=")</f>
        <v>#REF!</v>
      </c>
      <c r="CS222" t="e">
        <f>AND(#REF!,"AAAAAH/y/GA=")</f>
        <v>#REF!</v>
      </c>
      <c r="CT222" t="e">
        <f>AND(#REF!,"AAAAAH/y/GE=")</f>
        <v>#REF!</v>
      </c>
      <c r="CU222" t="e">
        <f>AND(#REF!,"AAAAAH/y/GI=")</f>
        <v>#REF!</v>
      </c>
      <c r="CV222" t="e">
        <f>AND(#REF!,"AAAAAH/y/GM=")</f>
        <v>#REF!</v>
      </c>
      <c r="CW222" t="e">
        <f>AND(#REF!,"AAAAAH/y/GQ=")</f>
        <v>#REF!</v>
      </c>
      <c r="CX222" t="e">
        <f>AND(#REF!,"AAAAAH/y/GU=")</f>
        <v>#REF!</v>
      </c>
      <c r="CY222" t="e">
        <f>AND(#REF!,"AAAAAH/y/GY=")</f>
        <v>#REF!</v>
      </c>
      <c r="CZ222" t="e">
        <f>AND(#REF!,"AAAAAH/y/Gc=")</f>
        <v>#REF!</v>
      </c>
      <c r="DA222" t="e">
        <f>AND(#REF!,"AAAAAH/y/Gg=")</f>
        <v>#REF!</v>
      </c>
      <c r="DB222" t="e">
        <f>AND(#REF!,"AAAAAH/y/Gk=")</f>
        <v>#REF!</v>
      </c>
      <c r="DC222" t="e">
        <f>AND(#REF!,"AAAAAH/y/Go=")</f>
        <v>#REF!</v>
      </c>
      <c r="DD222" t="e">
        <f>AND(#REF!,"AAAAAH/y/Gs=")</f>
        <v>#REF!</v>
      </c>
      <c r="DE222" t="e">
        <f>AND(#REF!,"AAAAAH/y/Gw=")</f>
        <v>#REF!</v>
      </c>
      <c r="DF222" t="e">
        <f>AND(#REF!,"AAAAAH/y/G0=")</f>
        <v>#REF!</v>
      </c>
      <c r="DG222" t="e">
        <f>AND(#REF!,"AAAAAH/y/G4=")</f>
        <v>#REF!</v>
      </c>
      <c r="DH222" t="e">
        <f>AND(#REF!,"AAAAAH/y/G8=")</f>
        <v>#REF!</v>
      </c>
      <c r="DI222" t="e">
        <f>AND(#REF!,"AAAAAH/y/HA=")</f>
        <v>#REF!</v>
      </c>
      <c r="DJ222" t="e">
        <f>AND(#REF!,"AAAAAH/y/HE=")</f>
        <v>#REF!</v>
      </c>
      <c r="DK222" t="e">
        <f>AND(#REF!,"AAAAAH/y/HI=")</f>
        <v>#REF!</v>
      </c>
      <c r="DL222" t="e">
        <f>AND(#REF!,"AAAAAH/y/HM=")</f>
        <v>#REF!</v>
      </c>
      <c r="DM222" t="e">
        <f>IF(#REF!,"AAAAAH/y/HQ=",0)</f>
        <v>#REF!</v>
      </c>
      <c r="DN222" t="e">
        <f>AND(#REF!,"AAAAAH/y/HU=")</f>
        <v>#REF!</v>
      </c>
      <c r="DO222" t="e">
        <f>AND(#REF!,"AAAAAH/y/HY=")</f>
        <v>#REF!</v>
      </c>
      <c r="DP222" t="e">
        <f>AND(#REF!,"AAAAAH/y/Hc=")</f>
        <v>#REF!</v>
      </c>
      <c r="DQ222" t="e">
        <f>AND(#REF!,"AAAAAH/y/Hg=")</f>
        <v>#REF!</v>
      </c>
      <c r="DR222" t="e">
        <f>AND(#REF!,"AAAAAH/y/Hk=")</f>
        <v>#REF!</v>
      </c>
      <c r="DS222" t="e">
        <f>AND(#REF!,"AAAAAH/y/Ho=")</f>
        <v>#REF!</v>
      </c>
      <c r="DT222" t="e">
        <f>AND(#REF!,"AAAAAH/y/Hs=")</f>
        <v>#REF!</v>
      </c>
      <c r="DU222" t="e">
        <f>AND(#REF!,"AAAAAH/y/Hw=")</f>
        <v>#REF!</v>
      </c>
      <c r="DV222" t="e">
        <f>AND(#REF!,"AAAAAH/y/H0=")</f>
        <v>#REF!</v>
      </c>
      <c r="DW222" t="e">
        <f>AND(#REF!,"AAAAAH/y/H4=")</f>
        <v>#REF!</v>
      </c>
      <c r="DX222" t="e">
        <f>AND(#REF!,"AAAAAH/y/H8=")</f>
        <v>#REF!</v>
      </c>
      <c r="DY222" t="e">
        <f>AND(#REF!,"AAAAAH/y/IA=")</f>
        <v>#REF!</v>
      </c>
      <c r="DZ222" t="e">
        <f>AND(#REF!,"AAAAAH/y/IE=")</f>
        <v>#REF!</v>
      </c>
      <c r="EA222" t="e">
        <f>AND(#REF!,"AAAAAH/y/II=")</f>
        <v>#REF!</v>
      </c>
      <c r="EB222" t="e">
        <f>AND(#REF!,"AAAAAH/y/IM=")</f>
        <v>#REF!</v>
      </c>
      <c r="EC222" t="e">
        <f>AND(#REF!,"AAAAAH/y/IQ=")</f>
        <v>#REF!</v>
      </c>
      <c r="ED222" t="e">
        <f>AND(#REF!,"AAAAAH/y/IU=")</f>
        <v>#REF!</v>
      </c>
      <c r="EE222" t="e">
        <f>AND(#REF!,"AAAAAH/y/IY=")</f>
        <v>#REF!</v>
      </c>
      <c r="EF222" t="e">
        <f>AND(#REF!,"AAAAAH/y/Ic=")</f>
        <v>#REF!</v>
      </c>
      <c r="EG222" t="e">
        <f>AND(#REF!,"AAAAAH/y/Ig=")</f>
        <v>#REF!</v>
      </c>
      <c r="EH222" t="e">
        <f>AND(#REF!,"AAAAAH/y/Ik=")</f>
        <v>#REF!</v>
      </c>
      <c r="EI222" t="e">
        <f>AND(#REF!,"AAAAAH/y/Io=")</f>
        <v>#REF!</v>
      </c>
      <c r="EJ222" t="e">
        <f>AND(#REF!,"AAAAAH/y/Is=")</f>
        <v>#REF!</v>
      </c>
      <c r="EK222" t="e">
        <f>AND(#REF!,"AAAAAH/y/Iw=")</f>
        <v>#REF!</v>
      </c>
      <c r="EL222" t="e">
        <f>AND(#REF!,"AAAAAH/y/I0=")</f>
        <v>#REF!</v>
      </c>
      <c r="EM222" t="e">
        <f>AND(#REF!,"AAAAAH/y/I4=")</f>
        <v>#REF!</v>
      </c>
      <c r="EN222" t="e">
        <f>AND(#REF!,"AAAAAH/y/I8=")</f>
        <v>#REF!</v>
      </c>
      <c r="EO222" t="e">
        <f>AND(#REF!,"AAAAAH/y/JA=")</f>
        <v>#REF!</v>
      </c>
      <c r="EP222" t="e">
        <f>AND(#REF!,"AAAAAH/y/JE=")</f>
        <v>#REF!</v>
      </c>
      <c r="EQ222" t="e">
        <f>AND(#REF!,"AAAAAH/y/JI=")</f>
        <v>#REF!</v>
      </c>
      <c r="ER222" t="e">
        <f>AND(#REF!,"AAAAAH/y/JM=")</f>
        <v>#REF!</v>
      </c>
      <c r="ES222" t="e">
        <f>AND(#REF!,"AAAAAH/y/JQ=")</f>
        <v>#REF!</v>
      </c>
      <c r="ET222" t="e">
        <f>AND(#REF!,"AAAAAH/y/JU=")</f>
        <v>#REF!</v>
      </c>
      <c r="EU222" t="e">
        <f>AND(#REF!,"AAAAAH/y/JY=")</f>
        <v>#REF!</v>
      </c>
      <c r="EV222" t="e">
        <f>AND(#REF!,"AAAAAH/y/Jc=")</f>
        <v>#REF!</v>
      </c>
      <c r="EW222" t="e">
        <f>AND(#REF!,"AAAAAH/y/Jg=")</f>
        <v>#REF!</v>
      </c>
      <c r="EX222" t="e">
        <f>AND(#REF!,"AAAAAH/y/Jk=")</f>
        <v>#REF!</v>
      </c>
      <c r="EY222" t="e">
        <f>AND(#REF!,"AAAAAH/y/Jo=")</f>
        <v>#REF!</v>
      </c>
      <c r="EZ222" t="e">
        <f>AND(#REF!,"AAAAAH/y/Js=")</f>
        <v>#REF!</v>
      </c>
      <c r="FA222" t="e">
        <f>AND(#REF!,"AAAAAH/y/Jw=")</f>
        <v>#REF!</v>
      </c>
      <c r="FB222" t="e">
        <f>AND(#REF!,"AAAAAH/y/J0=")</f>
        <v>#REF!</v>
      </c>
      <c r="FC222" t="e">
        <f>AND(#REF!,"AAAAAH/y/J4=")</f>
        <v>#REF!</v>
      </c>
      <c r="FD222" t="e">
        <f>AND(#REF!,"AAAAAH/y/J8=")</f>
        <v>#REF!</v>
      </c>
      <c r="FE222" t="e">
        <f>AND(#REF!,"AAAAAH/y/KA=")</f>
        <v>#REF!</v>
      </c>
      <c r="FF222" t="e">
        <f>AND(#REF!,"AAAAAH/y/KE=")</f>
        <v>#REF!</v>
      </c>
      <c r="FG222" t="e">
        <f>AND(#REF!,"AAAAAH/y/KI=")</f>
        <v>#REF!</v>
      </c>
      <c r="FH222" t="e">
        <f>AND(#REF!,"AAAAAH/y/KM=")</f>
        <v>#REF!</v>
      </c>
      <c r="FI222" t="e">
        <f>AND(#REF!,"AAAAAH/y/KQ=")</f>
        <v>#REF!</v>
      </c>
      <c r="FJ222" t="e">
        <f>AND(#REF!,"AAAAAH/y/KU=")</f>
        <v>#REF!</v>
      </c>
      <c r="FK222" t="e">
        <f>AND(#REF!,"AAAAAH/y/KY=")</f>
        <v>#REF!</v>
      </c>
      <c r="FL222" t="e">
        <f>AND(#REF!,"AAAAAH/y/Kc=")</f>
        <v>#REF!</v>
      </c>
      <c r="FM222" t="e">
        <f>AND(#REF!,"AAAAAH/y/Kg=")</f>
        <v>#REF!</v>
      </c>
      <c r="FN222" t="e">
        <f>AND(#REF!,"AAAAAH/y/Kk=")</f>
        <v>#REF!</v>
      </c>
      <c r="FO222" t="e">
        <f>AND(#REF!,"AAAAAH/y/Ko=")</f>
        <v>#REF!</v>
      </c>
      <c r="FP222" t="e">
        <f>AND(#REF!,"AAAAAH/y/Ks=")</f>
        <v>#REF!</v>
      </c>
      <c r="FQ222" t="e">
        <f>AND(#REF!,"AAAAAH/y/Kw=")</f>
        <v>#REF!</v>
      </c>
      <c r="FR222" t="e">
        <f>AND(#REF!,"AAAAAH/y/K0=")</f>
        <v>#REF!</v>
      </c>
      <c r="FS222" t="e">
        <f>AND(#REF!,"AAAAAH/y/K4=")</f>
        <v>#REF!</v>
      </c>
      <c r="FT222" t="e">
        <f>AND(#REF!,"AAAAAH/y/K8=")</f>
        <v>#REF!</v>
      </c>
      <c r="FU222" t="e">
        <f>AND(#REF!,"AAAAAH/y/LA=")</f>
        <v>#REF!</v>
      </c>
      <c r="FV222" t="e">
        <f>AND(#REF!,"AAAAAH/y/LE=")</f>
        <v>#REF!</v>
      </c>
      <c r="FW222" t="e">
        <f>AND(#REF!,"AAAAAH/y/LI=")</f>
        <v>#REF!</v>
      </c>
      <c r="FX222" t="e">
        <f>AND(#REF!,"AAAAAH/y/LM=")</f>
        <v>#REF!</v>
      </c>
      <c r="FY222" t="e">
        <f>AND(#REF!,"AAAAAH/y/LQ=")</f>
        <v>#REF!</v>
      </c>
      <c r="FZ222" t="e">
        <f>AND(#REF!,"AAAAAH/y/LU=")</f>
        <v>#REF!</v>
      </c>
      <c r="GA222" t="e">
        <f>AND(#REF!,"AAAAAH/y/LY=")</f>
        <v>#REF!</v>
      </c>
      <c r="GB222" t="e">
        <f>AND(#REF!,"AAAAAH/y/Lc=")</f>
        <v>#REF!</v>
      </c>
      <c r="GC222" t="e">
        <f>AND(#REF!,"AAAAAH/y/Lg=")</f>
        <v>#REF!</v>
      </c>
      <c r="GD222" t="e">
        <f>AND(#REF!,"AAAAAH/y/Lk=")</f>
        <v>#REF!</v>
      </c>
      <c r="GE222" t="e">
        <f>AND(#REF!,"AAAAAH/y/Lo=")</f>
        <v>#REF!</v>
      </c>
      <c r="GF222" t="e">
        <f>AND(#REF!,"AAAAAH/y/Ls=")</f>
        <v>#REF!</v>
      </c>
      <c r="GG222" t="e">
        <f>AND(#REF!,"AAAAAH/y/Lw=")</f>
        <v>#REF!</v>
      </c>
      <c r="GH222" t="e">
        <f>AND(#REF!,"AAAAAH/y/L0=")</f>
        <v>#REF!</v>
      </c>
      <c r="GI222" t="e">
        <f>AND(#REF!,"AAAAAH/y/L4=")</f>
        <v>#REF!</v>
      </c>
      <c r="GJ222" t="e">
        <f>AND(#REF!,"AAAAAH/y/L8=")</f>
        <v>#REF!</v>
      </c>
      <c r="GK222" t="e">
        <f>AND(#REF!,"AAAAAH/y/MA=")</f>
        <v>#REF!</v>
      </c>
      <c r="GL222" t="e">
        <f>AND(#REF!,"AAAAAH/y/ME=")</f>
        <v>#REF!</v>
      </c>
      <c r="GM222" t="e">
        <f>AND(#REF!,"AAAAAH/y/MI=")</f>
        <v>#REF!</v>
      </c>
      <c r="GN222" t="e">
        <f>AND(#REF!,"AAAAAH/y/MM=")</f>
        <v>#REF!</v>
      </c>
      <c r="GO222" t="e">
        <f>AND(#REF!,"AAAAAH/y/MQ=")</f>
        <v>#REF!</v>
      </c>
      <c r="GP222" t="e">
        <f>AND(#REF!,"AAAAAH/y/MU=")</f>
        <v>#REF!</v>
      </c>
      <c r="GQ222" t="e">
        <f>AND(#REF!,"AAAAAH/y/MY=")</f>
        <v>#REF!</v>
      </c>
      <c r="GR222" t="e">
        <f>AND(#REF!,"AAAAAH/y/Mc=")</f>
        <v>#REF!</v>
      </c>
      <c r="GS222" t="e">
        <f>AND(#REF!,"AAAAAH/y/Mg=")</f>
        <v>#REF!</v>
      </c>
      <c r="GT222" t="e">
        <f>AND(#REF!,"AAAAAH/y/Mk=")</f>
        <v>#REF!</v>
      </c>
      <c r="GU222" t="e">
        <f>AND(#REF!,"AAAAAH/y/Mo=")</f>
        <v>#REF!</v>
      </c>
      <c r="GV222" t="e">
        <f>AND(#REF!,"AAAAAH/y/Ms=")</f>
        <v>#REF!</v>
      </c>
      <c r="GW222" t="e">
        <f>AND(#REF!,"AAAAAH/y/Mw=")</f>
        <v>#REF!</v>
      </c>
      <c r="GX222" t="e">
        <f>AND(#REF!,"AAAAAH/y/M0=")</f>
        <v>#REF!</v>
      </c>
      <c r="GY222" t="e">
        <f>AND(#REF!,"AAAAAH/y/M4=")</f>
        <v>#REF!</v>
      </c>
      <c r="GZ222" t="e">
        <f>AND(#REF!,"AAAAAH/y/M8=")</f>
        <v>#REF!</v>
      </c>
      <c r="HA222" t="e">
        <f>AND(#REF!,"AAAAAH/y/NA=")</f>
        <v>#REF!</v>
      </c>
      <c r="HB222" t="e">
        <f>AND(#REF!,"AAAAAH/y/NE=")</f>
        <v>#REF!</v>
      </c>
      <c r="HC222" t="e">
        <f>AND(#REF!,"AAAAAH/y/NI=")</f>
        <v>#REF!</v>
      </c>
      <c r="HD222" t="e">
        <f>AND(#REF!,"AAAAAH/y/NM=")</f>
        <v>#REF!</v>
      </c>
      <c r="HE222" t="e">
        <f>AND(#REF!,"AAAAAH/y/NQ=")</f>
        <v>#REF!</v>
      </c>
      <c r="HF222" t="e">
        <f>AND(#REF!,"AAAAAH/y/NU=")</f>
        <v>#REF!</v>
      </c>
      <c r="HG222" t="e">
        <f>AND(#REF!,"AAAAAH/y/NY=")</f>
        <v>#REF!</v>
      </c>
      <c r="HH222" t="e">
        <f>AND(#REF!,"AAAAAH/y/Nc=")</f>
        <v>#REF!</v>
      </c>
      <c r="HI222" t="e">
        <f>AND(#REF!,"AAAAAH/y/Ng=")</f>
        <v>#REF!</v>
      </c>
      <c r="HJ222" t="e">
        <f>AND(#REF!,"AAAAAH/y/Nk=")</f>
        <v>#REF!</v>
      </c>
      <c r="HK222" t="e">
        <f>AND(#REF!,"AAAAAH/y/No=")</f>
        <v>#REF!</v>
      </c>
      <c r="HL222" t="e">
        <f>AND(#REF!,"AAAAAH/y/Ns=")</f>
        <v>#REF!</v>
      </c>
      <c r="HM222" t="e">
        <f>AND(#REF!,"AAAAAH/y/Nw=")</f>
        <v>#REF!</v>
      </c>
      <c r="HN222" t="e">
        <f>AND(#REF!,"AAAAAH/y/N0=")</f>
        <v>#REF!</v>
      </c>
      <c r="HO222" t="e">
        <f>AND(#REF!,"AAAAAH/y/N4=")</f>
        <v>#REF!</v>
      </c>
      <c r="HP222" t="e">
        <f>AND(#REF!,"AAAAAH/y/N8=")</f>
        <v>#REF!</v>
      </c>
      <c r="HQ222" t="e">
        <f>AND(#REF!,"AAAAAH/y/OA=")</f>
        <v>#REF!</v>
      </c>
      <c r="HR222" t="e">
        <f>AND(#REF!,"AAAAAH/y/OE=")</f>
        <v>#REF!</v>
      </c>
      <c r="HS222" t="e">
        <f>AND(#REF!,"AAAAAH/y/OI=")</f>
        <v>#REF!</v>
      </c>
      <c r="HT222" t="e">
        <f>AND(#REF!,"AAAAAH/y/OM=")</f>
        <v>#REF!</v>
      </c>
      <c r="HU222" t="e">
        <f>AND(#REF!,"AAAAAH/y/OQ=")</f>
        <v>#REF!</v>
      </c>
      <c r="HV222" t="e">
        <f>AND(#REF!,"AAAAAH/y/OU=")</f>
        <v>#REF!</v>
      </c>
      <c r="HW222" t="e">
        <f>AND(#REF!,"AAAAAH/y/OY=")</f>
        <v>#REF!</v>
      </c>
      <c r="HX222" t="e">
        <f>AND(#REF!,"AAAAAH/y/Oc=")</f>
        <v>#REF!</v>
      </c>
      <c r="HY222" t="e">
        <f>AND(#REF!,"AAAAAH/y/Og=")</f>
        <v>#REF!</v>
      </c>
      <c r="HZ222" t="e">
        <f>AND(#REF!,"AAAAAH/y/Ok=")</f>
        <v>#REF!</v>
      </c>
      <c r="IA222" t="e">
        <f>AND(#REF!,"AAAAAH/y/Oo=")</f>
        <v>#REF!</v>
      </c>
      <c r="IB222" t="e">
        <f>AND(#REF!,"AAAAAH/y/Os=")</f>
        <v>#REF!</v>
      </c>
      <c r="IC222" t="e">
        <f>AND(#REF!,"AAAAAH/y/Ow=")</f>
        <v>#REF!</v>
      </c>
      <c r="ID222" t="e">
        <f>AND(#REF!,"AAAAAH/y/O0=")</f>
        <v>#REF!</v>
      </c>
      <c r="IE222" t="e">
        <f>AND(#REF!,"AAAAAH/y/O4=")</f>
        <v>#REF!</v>
      </c>
      <c r="IF222" t="e">
        <f>AND(#REF!,"AAAAAH/y/O8=")</f>
        <v>#REF!</v>
      </c>
      <c r="IG222" t="e">
        <f>AND(#REF!,"AAAAAH/y/PA=")</f>
        <v>#REF!</v>
      </c>
      <c r="IH222" t="e">
        <f>AND(#REF!,"AAAAAH/y/PE=")</f>
        <v>#REF!</v>
      </c>
      <c r="II222" t="e">
        <f>AND(#REF!,"AAAAAH/y/PI=")</f>
        <v>#REF!</v>
      </c>
      <c r="IJ222" t="e">
        <f>AND(#REF!,"AAAAAH/y/PM=")</f>
        <v>#REF!</v>
      </c>
      <c r="IK222" t="e">
        <f>AND(#REF!,"AAAAAH/y/PQ=")</f>
        <v>#REF!</v>
      </c>
      <c r="IL222" t="e">
        <f>AND(#REF!,"AAAAAH/y/PU=")</f>
        <v>#REF!</v>
      </c>
      <c r="IM222" t="e">
        <f>AND(#REF!,"AAAAAH/y/PY=")</f>
        <v>#REF!</v>
      </c>
      <c r="IN222" t="e">
        <f>AND(#REF!,"AAAAAH/y/Pc=")</f>
        <v>#REF!</v>
      </c>
      <c r="IO222" t="e">
        <f>AND(#REF!,"AAAAAH/y/Pg=")</f>
        <v>#REF!</v>
      </c>
      <c r="IP222" t="e">
        <f>AND(#REF!,"AAAAAH/y/Pk=")</f>
        <v>#REF!</v>
      </c>
      <c r="IQ222" t="e">
        <f>AND(#REF!,"AAAAAH/y/Po=")</f>
        <v>#REF!</v>
      </c>
      <c r="IR222" t="e">
        <f>AND(#REF!,"AAAAAH/y/Ps=")</f>
        <v>#REF!</v>
      </c>
      <c r="IS222" t="e">
        <f>AND(#REF!,"AAAAAH/y/Pw=")</f>
        <v>#REF!</v>
      </c>
      <c r="IT222" t="e">
        <f>AND(#REF!,"AAAAAH/y/P0=")</f>
        <v>#REF!</v>
      </c>
      <c r="IU222" t="e">
        <f>AND(#REF!,"AAAAAH/y/P4=")</f>
        <v>#REF!</v>
      </c>
      <c r="IV222" t="e">
        <f>AND(#REF!,"AAAAAH/y/P8=")</f>
        <v>#REF!</v>
      </c>
    </row>
    <row r="223" spans="1:256" x14ac:dyDescent="0.25">
      <c r="A223" t="e">
        <f>AND(#REF!,"AAAAAH0f/wA=")</f>
        <v>#REF!</v>
      </c>
      <c r="B223" t="e">
        <f>AND(#REF!,"AAAAAH0f/wE=")</f>
        <v>#REF!</v>
      </c>
      <c r="C223" t="e">
        <f>AND(#REF!,"AAAAAH0f/wI=")</f>
        <v>#REF!</v>
      </c>
      <c r="D223" t="e">
        <f>AND(#REF!,"AAAAAH0f/wM=")</f>
        <v>#REF!</v>
      </c>
      <c r="E223" t="e">
        <f>AND(#REF!,"AAAAAH0f/wQ=")</f>
        <v>#REF!</v>
      </c>
      <c r="F223" t="e">
        <f>AND(#REF!,"AAAAAH0f/wU=")</f>
        <v>#REF!</v>
      </c>
      <c r="G223" t="e">
        <f>AND(#REF!,"AAAAAH0f/wY=")</f>
        <v>#REF!</v>
      </c>
      <c r="H223" t="e">
        <f>AND(#REF!,"AAAAAH0f/wc=")</f>
        <v>#REF!</v>
      </c>
      <c r="I223" t="e">
        <f>AND(#REF!,"AAAAAH0f/wg=")</f>
        <v>#REF!</v>
      </c>
      <c r="J223" t="e">
        <f>AND(#REF!,"AAAAAH0f/wk=")</f>
        <v>#REF!</v>
      </c>
      <c r="K223" t="e">
        <f>AND(#REF!,"AAAAAH0f/wo=")</f>
        <v>#REF!</v>
      </c>
      <c r="L223" t="e">
        <f>AND(#REF!,"AAAAAH0f/ws=")</f>
        <v>#REF!</v>
      </c>
      <c r="M223" t="e">
        <f>AND(#REF!,"AAAAAH0f/ww=")</f>
        <v>#REF!</v>
      </c>
      <c r="N223" t="e">
        <f>AND(#REF!,"AAAAAH0f/w0=")</f>
        <v>#REF!</v>
      </c>
      <c r="O223" t="e">
        <f>AND(#REF!,"AAAAAH0f/w4=")</f>
        <v>#REF!</v>
      </c>
      <c r="P223" t="e">
        <f>AND(#REF!,"AAAAAH0f/w8=")</f>
        <v>#REF!</v>
      </c>
      <c r="Q223" t="e">
        <f>AND(#REF!,"AAAAAH0f/xA=")</f>
        <v>#REF!</v>
      </c>
      <c r="R223" t="e">
        <f>AND(#REF!,"AAAAAH0f/xE=")</f>
        <v>#REF!</v>
      </c>
      <c r="S223" t="e">
        <f>AND(#REF!,"AAAAAH0f/xI=")</f>
        <v>#REF!</v>
      </c>
      <c r="T223" t="e">
        <f>AND(#REF!,"AAAAAH0f/xM=")</f>
        <v>#REF!</v>
      </c>
      <c r="U223" t="e">
        <f>AND(#REF!,"AAAAAH0f/xQ=")</f>
        <v>#REF!</v>
      </c>
      <c r="V223" t="e">
        <f>AND(#REF!,"AAAAAH0f/xU=")</f>
        <v>#REF!</v>
      </c>
      <c r="W223" t="e">
        <f>AND(#REF!,"AAAAAH0f/xY=")</f>
        <v>#REF!</v>
      </c>
      <c r="X223" t="e">
        <f>AND(#REF!,"AAAAAH0f/xc=")</f>
        <v>#REF!</v>
      </c>
      <c r="Y223" t="e">
        <f>AND(#REF!,"AAAAAH0f/xg=")</f>
        <v>#REF!</v>
      </c>
      <c r="Z223" t="e">
        <f>AND(#REF!,"AAAAAH0f/xk=")</f>
        <v>#REF!</v>
      </c>
      <c r="AA223" t="e">
        <f>AND(#REF!,"AAAAAH0f/xo=")</f>
        <v>#REF!</v>
      </c>
      <c r="AB223" t="e">
        <f>AND(#REF!,"AAAAAH0f/xs=")</f>
        <v>#REF!</v>
      </c>
      <c r="AC223" t="e">
        <f>AND(#REF!,"AAAAAH0f/xw=")</f>
        <v>#REF!</v>
      </c>
      <c r="AD223" t="e">
        <f>AND(#REF!,"AAAAAH0f/x0=")</f>
        <v>#REF!</v>
      </c>
      <c r="AE223" t="e">
        <f>AND(#REF!,"AAAAAH0f/x4=")</f>
        <v>#REF!</v>
      </c>
      <c r="AF223" t="e">
        <f>AND(#REF!,"AAAAAH0f/x8=")</f>
        <v>#REF!</v>
      </c>
      <c r="AG223" t="e">
        <f>AND(#REF!,"AAAAAH0f/yA=")</f>
        <v>#REF!</v>
      </c>
      <c r="AH223" t="e">
        <f>AND(#REF!,"AAAAAH0f/yE=")</f>
        <v>#REF!</v>
      </c>
      <c r="AI223" t="e">
        <f>AND(#REF!,"AAAAAH0f/yI=")</f>
        <v>#REF!</v>
      </c>
      <c r="AJ223" t="e">
        <f>AND(#REF!,"AAAAAH0f/yM=")</f>
        <v>#REF!</v>
      </c>
      <c r="AK223" t="e">
        <f>AND(#REF!,"AAAAAH0f/yQ=")</f>
        <v>#REF!</v>
      </c>
      <c r="AL223" t="e">
        <f>AND(#REF!,"AAAAAH0f/yU=")</f>
        <v>#REF!</v>
      </c>
      <c r="AM223" t="e">
        <f>AND(#REF!,"AAAAAH0f/yY=")</f>
        <v>#REF!</v>
      </c>
      <c r="AN223" t="e">
        <f>AND(#REF!,"AAAAAH0f/yc=")</f>
        <v>#REF!</v>
      </c>
      <c r="AO223" t="e">
        <f>AND(#REF!,"AAAAAH0f/yg=")</f>
        <v>#REF!</v>
      </c>
      <c r="AP223" t="e">
        <f>AND(#REF!,"AAAAAH0f/yk=")</f>
        <v>#REF!</v>
      </c>
      <c r="AQ223" t="e">
        <f>AND(#REF!,"AAAAAH0f/yo=")</f>
        <v>#REF!</v>
      </c>
      <c r="AR223" t="e">
        <f>AND(#REF!,"AAAAAH0f/ys=")</f>
        <v>#REF!</v>
      </c>
      <c r="AS223" t="e">
        <f>AND(#REF!,"AAAAAH0f/yw=")</f>
        <v>#REF!</v>
      </c>
      <c r="AT223" t="e">
        <f>AND(#REF!,"AAAAAH0f/y0=")</f>
        <v>#REF!</v>
      </c>
      <c r="AU223" t="e">
        <f>AND(#REF!,"AAAAAH0f/y4=")</f>
        <v>#REF!</v>
      </c>
      <c r="AV223" t="e">
        <f>AND(#REF!,"AAAAAH0f/y8=")</f>
        <v>#REF!</v>
      </c>
      <c r="AW223" t="e">
        <f>AND(#REF!,"AAAAAH0f/zA=")</f>
        <v>#REF!</v>
      </c>
      <c r="AX223" t="e">
        <f>IF(#REF!,"AAAAAH0f/zE=",0)</f>
        <v>#REF!</v>
      </c>
      <c r="AY223" t="e">
        <f>AND(#REF!,"AAAAAH0f/zI=")</f>
        <v>#REF!</v>
      </c>
      <c r="AZ223" t="e">
        <f>AND(#REF!,"AAAAAH0f/zM=")</f>
        <v>#REF!</v>
      </c>
      <c r="BA223" t="e">
        <f>AND(#REF!,"AAAAAH0f/zQ=")</f>
        <v>#REF!</v>
      </c>
      <c r="BB223" t="e">
        <f>AND(#REF!,"AAAAAH0f/zU=")</f>
        <v>#REF!</v>
      </c>
      <c r="BC223" t="e">
        <f>AND(#REF!,"AAAAAH0f/zY=")</f>
        <v>#REF!</v>
      </c>
      <c r="BD223" t="e">
        <f>AND(#REF!,"AAAAAH0f/zc=")</f>
        <v>#REF!</v>
      </c>
      <c r="BE223" t="e">
        <f>AND(#REF!,"AAAAAH0f/zg=")</f>
        <v>#REF!</v>
      </c>
      <c r="BF223" t="e">
        <f>AND(#REF!,"AAAAAH0f/zk=")</f>
        <v>#REF!</v>
      </c>
      <c r="BG223" t="e">
        <f>AND(#REF!,"AAAAAH0f/zo=")</f>
        <v>#REF!</v>
      </c>
      <c r="BH223" t="e">
        <f>AND(#REF!,"AAAAAH0f/zs=")</f>
        <v>#REF!</v>
      </c>
      <c r="BI223" t="e">
        <f>AND(#REF!,"AAAAAH0f/zw=")</f>
        <v>#REF!</v>
      </c>
      <c r="BJ223" t="e">
        <f>AND(#REF!,"AAAAAH0f/z0=")</f>
        <v>#REF!</v>
      </c>
      <c r="BK223" t="e">
        <f>AND(#REF!,"AAAAAH0f/z4=")</f>
        <v>#REF!</v>
      </c>
      <c r="BL223" t="e">
        <f>AND(#REF!,"AAAAAH0f/z8=")</f>
        <v>#REF!</v>
      </c>
      <c r="BM223" t="e">
        <f>AND(#REF!,"AAAAAH0f/0A=")</f>
        <v>#REF!</v>
      </c>
      <c r="BN223" t="e">
        <f>AND(#REF!,"AAAAAH0f/0E=")</f>
        <v>#REF!</v>
      </c>
      <c r="BO223" t="e">
        <f>AND(#REF!,"AAAAAH0f/0I=")</f>
        <v>#REF!</v>
      </c>
      <c r="BP223" t="e">
        <f>AND(#REF!,"AAAAAH0f/0M=")</f>
        <v>#REF!</v>
      </c>
      <c r="BQ223" t="e">
        <f>AND(#REF!,"AAAAAH0f/0Q=")</f>
        <v>#REF!</v>
      </c>
      <c r="BR223" t="e">
        <f>AND(#REF!,"AAAAAH0f/0U=")</f>
        <v>#REF!</v>
      </c>
      <c r="BS223" t="e">
        <f>AND(#REF!,"AAAAAH0f/0Y=")</f>
        <v>#REF!</v>
      </c>
      <c r="BT223" t="e">
        <f>AND(#REF!,"AAAAAH0f/0c=")</f>
        <v>#REF!</v>
      </c>
      <c r="BU223" t="e">
        <f>AND(#REF!,"AAAAAH0f/0g=")</f>
        <v>#REF!</v>
      </c>
      <c r="BV223" t="e">
        <f>AND(#REF!,"AAAAAH0f/0k=")</f>
        <v>#REF!</v>
      </c>
      <c r="BW223" t="e">
        <f>AND(#REF!,"AAAAAH0f/0o=")</f>
        <v>#REF!</v>
      </c>
      <c r="BX223" t="e">
        <f>AND(#REF!,"AAAAAH0f/0s=")</f>
        <v>#REF!</v>
      </c>
      <c r="BY223" t="e">
        <f>AND(#REF!,"AAAAAH0f/0w=")</f>
        <v>#REF!</v>
      </c>
      <c r="BZ223" t="e">
        <f>AND(#REF!,"AAAAAH0f/00=")</f>
        <v>#REF!</v>
      </c>
      <c r="CA223" t="e">
        <f>AND(#REF!,"AAAAAH0f/04=")</f>
        <v>#REF!</v>
      </c>
      <c r="CB223" t="e">
        <f>AND(#REF!,"AAAAAH0f/08=")</f>
        <v>#REF!</v>
      </c>
      <c r="CC223" t="e">
        <f>AND(#REF!,"AAAAAH0f/1A=")</f>
        <v>#REF!</v>
      </c>
      <c r="CD223" t="e">
        <f>AND(#REF!,"AAAAAH0f/1E=")</f>
        <v>#REF!</v>
      </c>
      <c r="CE223" t="e">
        <f>AND(#REF!,"AAAAAH0f/1I=")</f>
        <v>#REF!</v>
      </c>
      <c r="CF223" t="e">
        <f>AND(#REF!,"AAAAAH0f/1M=")</f>
        <v>#REF!</v>
      </c>
      <c r="CG223" t="e">
        <f>AND(#REF!,"AAAAAH0f/1Q=")</f>
        <v>#REF!</v>
      </c>
      <c r="CH223" t="e">
        <f>AND(#REF!,"AAAAAH0f/1U=")</f>
        <v>#REF!</v>
      </c>
      <c r="CI223" t="e">
        <f>AND(#REF!,"AAAAAH0f/1Y=")</f>
        <v>#REF!</v>
      </c>
      <c r="CJ223" t="e">
        <f>AND(#REF!,"AAAAAH0f/1c=")</f>
        <v>#REF!</v>
      </c>
      <c r="CK223" t="e">
        <f>AND(#REF!,"AAAAAH0f/1g=")</f>
        <v>#REF!</v>
      </c>
      <c r="CL223" t="e">
        <f>AND(#REF!,"AAAAAH0f/1k=")</f>
        <v>#REF!</v>
      </c>
      <c r="CM223" t="e">
        <f>AND(#REF!,"AAAAAH0f/1o=")</f>
        <v>#REF!</v>
      </c>
      <c r="CN223" t="e">
        <f>AND(#REF!,"AAAAAH0f/1s=")</f>
        <v>#REF!</v>
      </c>
      <c r="CO223" t="e">
        <f>AND(#REF!,"AAAAAH0f/1w=")</f>
        <v>#REF!</v>
      </c>
      <c r="CP223" t="e">
        <f>AND(#REF!,"AAAAAH0f/10=")</f>
        <v>#REF!</v>
      </c>
      <c r="CQ223" t="e">
        <f>AND(#REF!,"AAAAAH0f/14=")</f>
        <v>#REF!</v>
      </c>
      <c r="CR223" t="e">
        <f>AND(#REF!,"AAAAAH0f/18=")</f>
        <v>#REF!</v>
      </c>
      <c r="CS223" t="e">
        <f>AND(#REF!,"AAAAAH0f/2A=")</f>
        <v>#REF!</v>
      </c>
      <c r="CT223" t="e">
        <f>AND(#REF!,"AAAAAH0f/2E=")</f>
        <v>#REF!</v>
      </c>
      <c r="CU223" t="e">
        <f>AND(#REF!,"AAAAAH0f/2I=")</f>
        <v>#REF!</v>
      </c>
      <c r="CV223" t="e">
        <f>AND(#REF!,"AAAAAH0f/2M=")</f>
        <v>#REF!</v>
      </c>
      <c r="CW223" t="e">
        <f>AND(#REF!,"AAAAAH0f/2Q=")</f>
        <v>#REF!</v>
      </c>
      <c r="CX223" t="e">
        <f>AND(#REF!,"AAAAAH0f/2U=")</f>
        <v>#REF!</v>
      </c>
      <c r="CY223" t="e">
        <f>AND(#REF!,"AAAAAH0f/2Y=")</f>
        <v>#REF!</v>
      </c>
      <c r="CZ223" t="e">
        <f>AND(#REF!,"AAAAAH0f/2c=")</f>
        <v>#REF!</v>
      </c>
      <c r="DA223" t="e">
        <f>AND(#REF!,"AAAAAH0f/2g=")</f>
        <v>#REF!</v>
      </c>
      <c r="DB223" t="e">
        <f>AND(#REF!,"AAAAAH0f/2k=")</f>
        <v>#REF!</v>
      </c>
      <c r="DC223" t="e">
        <f>AND(#REF!,"AAAAAH0f/2o=")</f>
        <v>#REF!</v>
      </c>
      <c r="DD223" t="e">
        <f>AND(#REF!,"AAAAAH0f/2s=")</f>
        <v>#REF!</v>
      </c>
      <c r="DE223" t="e">
        <f>AND(#REF!,"AAAAAH0f/2w=")</f>
        <v>#REF!</v>
      </c>
      <c r="DF223" t="e">
        <f>AND(#REF!,"AAAAAH0f/20=")</f>
        <v>#REF!</v>
      </c>
      <c r="DG223" t="e">
        <f>AND(#REF!,"AAAAAH0f/24=")</f>
        <v>#REF!</v>
      </c>
      <c r="DH223" t="e">
        <f>AND(#REF!,"AAAAAH0f/28=")</f>
        <v>#REF!</v>
      </c>
      <c r="DI223" t="e">
        <f>AND(#REF!,"AAAAAH0f/3A=")</f>
        <v>#REF!</v>
      </c>
      <c r="DJ223" t="e">
        <f>AND(#REF!,"AAAAAH0f/3E=")</f>
        <v>#REF!</v>
      </c>
      <c r="DK223" t="e">
        <f>AND(#REF!,"AAAAAH0f/3I=")</f>
        <v>#REF!</v>
      </c>
      <c r="DL223" t="e">
        <f>AND(#REF!,"AAAAAH0f/3M=")</f>
        <v>#REF!</v>
      </c>
      <c r="DM223" t="e">
        <f>AND(#REF!,"AAAAAH0f/3Q=")</f>
        <v>#REF!</v>
      </c>
      <c r="DN223" t="e">
        <f>AND(#REF!,"AAAAAH0f/3U=")</f>
        <v>#REF!</v>
      </c>
      <c r="DO223" t="e">
        <f>AND(#REF!,"AAAAAH0f/3Y=")</f>
        <v>#REF!</v>
      </c>
      <c r="DP223" t="e">
        <f>AND(#REF!,"AAAAAH0f/3c=")</f>
        <v>#REF!</v>
      </c>
      <c r="DQ223" t="e">
        <f>AND(#REF!,"AAAAAH0f/3g=")</f>
        <v>#REF!</v>
      </c>
      <c r="DR223" t="e">
        <f>AND(#REF!,"AAAAAH0f/3k=")</f>
        <v>#REF!</v>
      </c>
      <c r="DS223" t="e">
        <f>AND(#REF!,"AAAAAH0f/3o=")</f>
        <v>#REF!</v>
      </c>
      <c r="DT223" t="e">
        <f>AND(#REF!,"AAAAAH0f/3s=")</f>
        <v>#REF!</v>
      </c>
      <c r="DU223" t="e">
        <f>AND(#REF!,"AAAAAH0f/3w=")</f>
        <v>#REF!</v>
      </c>
      <c r="DV223" t="e">
        <f>AND(#REF!,"AAAAAH0f/30=")</f>
        <v>#REF!</v>
      </c>
      <c r="DW223" t="e">
        <f>AND(#REF!,"AAAAAH0f/34=")</f>
        <v>#REF!</v>
      </c>
      <c r="DX223" t="e">
        <f>AND(#REF!,"AAAAAH0f/38=")</f>
        <v>#REF!</v>
      </c>
      <c r="DY223" t="e">
        <f>AND(#REF!,"AAAAAH0f/4A=")</f>
        <v>#REF!</v>
      </c>
      <c r="DZ223" t="e">
        <f>AND(#REF!,"AAAAAH0f/4E=")</f>
        <v>#REF!</v>
      </c>
      <c r="EA223" t="e">
        <f>AND(#REF!,"AAAAAH0f/4I=")</f>
        <v>#REF!</v>
      </c>
      <c r="EB223" t="e">
        <f>AND(#REF!,"AAAAAH0f/4M=")</f>
        <v>#REF!</v>
      </c>
      <c r="EC223" t="e">
        <f>AND(#REF!,"AAAAAH0f/4Q=")</f>
        <v>#REF!</v>
      </c>
      <c r="ED223" t="e">
        <f>AND(#REF!,"AAAAAH0f/4U=")</f>
        <v>#REF!</v>
      </c>
      <c r="EE223" t="e">
        <f>AND(#REF!,"AAAAAH0f/4Y=")</f>
        <v>#REF!</v>
      </c>
      <c r="EF223" t="e">
        <f>AND(#REF!,"AAAAAH0f/4c=")</f>
        <v>#REF!</v>
      </c>
      <c r="EG223" t="e">
        <f>AND(#REF!,"AAAAAH0f/4g=")</f>
        <v>#REF!</v>
      </c>
      <c r="EH223" t="e">
        <f>AND(#REF!,"AAAAAH0f/4k=")</f>
        <v>#REF!</v>
      </c>
      <c r="EI223" t="e">
        <f>AND(#REF!,"AAAAAH0f/4o=")</f>
        <v>#REF!</v>
      </c>
      <c r="EJ223" t="e">
        <f>AND(#REF!,"AAAAAH0f/4s=")</f>
        <v>#REF!</v>
      </c>
      <c r="EK223" t="e">
        <f>AND(#REF!,"AAAAAH0f/4w=")</f>
        <v>#REF!</v>
      </c>
      <c r="EL223" t="e">
        <f>AND(#REF!,"AAAAAH0f/40=")</f>
        <v>#REF!</v>
      </c>
      <c r="EM223" t="e">
        <f>AND(#REF!,"AAAAAH0f/44=")</f>
        <v>#REF!</v>
      </c>
      <c r="EN223" t="e">
        <f>AND(#REF!,"AAAAAH0f/48=")</f>
        <v>#REF!</v>
      </c>
      <c r="EO223" t="e">
        <f>AND(#REF!,"AAAAAH0f/5A=")</f>
        <v>#REF!</v>
      </c>
      <c r="EP223" t="e">
        <f>AND(#REF!,"AAAAAH0f/5E=")</f>
        <v>#REF!</v>
      </c>
      <c r="EQ223" t="e">
        <f>AND(#REF!,"AAAAAH0f/5I=")</f>
        <v>#REF!</v>
      </c>
      <c r="ER223" t="e">
        <f>AND(#REF!,"AAAAAH0f/5M=")</f>
        <v>#REF!</v>
      </c>
      <c r="ES223" t="e">
        <f>AND(#REF!,"AAAAAH0f/5Q=")</f>
        <v>#REF!</v>
      </c>
      <c r="ET223" t="e">
        <f>AND(#REF!,"AAAAAH0f/5U=")</f>
        <v>#REF!</v>
      </c>
      <c r="EU223" t="e">
        <f>AND(#REF!,"AAAAAH0f/5Y=")</f>
        <v>#REF!</v>
      </c>
      <c r="EV223" t="e">
        <f>AND(#REF!,"AAAAAH0f/5c=")</f>
        <v>#REF!</v>
      </c>
      <c r="EW223" t="e">
        <f>AND(#REF!,"AAAAAH0f/5g=")</f>
        <v>#REF!</v>
      </c>
      <c r="EX223" t="e">
        <f>AND(#REF!,"AAAAAH0f/5k=")</f>
        <v>#REF!</v>
      </c>
      <c r="EY223" t="e">
        <f>AND(#REF!,"AAAAAH0f/5o=")</f>
        <v>#REF!</v>
      </c>
      <c r="EZ223" t="e">
        <f>AND(#REF!,"AAAAAH0f/5s=")</f>
        <v>#REF!</v>
      </c>
      <c r="FA223" t="e">
        <f>AND(#REF!,"AAAAAH0f/5w=")</f>
        <v>#REF!</v>
      </c>
      <c r="FB223" t="e">
        <f>AND(#REF!,"AAAAAH0f/50=")</f>
        <v>#REF!</v>
      </c>
      <c r="FC223" t="e">
        <f>AND(#REF!,"AAAAAH0f/54=")</f>
        <v>#REF!</v>
      </c>
      <c r="FD223" t="e">
        <f>AND(#REF!,"AAAAAH0f/58=")</f>
        <v>#REF!</v>
      </c>
      <c r="FE223" t="e">
        <f>AND(#REF!,"AAAAAH0f/6A=")</f>
        <v>#REF!</v>
      </c>
      <c r="FF223" t="e">
        <f>AND(#REF!,"AAAAAH0f/6E=")</f>
        <v>#REF!</v>
      </c>
      <c r="FG223" t="e">
        <f>AND(#REF!,"AAAAAH0f/6I=")</f>
        <v>#REF!</v>
      </c>
      <c r="FH223" t="e">
        <f>AND(#REF!,"AAAAAH0f/6M=")</f>
        <v>#REF!</v>
      </c>
      <c r="FI223" t="e">
        <f>AND(#REF!,"AAAAAH0f/6Q=")</f>
        <v>#REF!</v>
      </c>
      <c r="FJ223" t="e">
        <f>AND(#REF!,"AAAAAH0f/6U=")</f>
        <v>#REF!</v>
      </c>
      <c r="FK223" t="e">
        <f>AND(#REF!,"AAAAAH0f/6Y=")</f>
        <v>#REF!</v>
      </c>
      <c r="FL223" t="e">
        <f>AND(#REF!,"AAAAAH0f/6c=")</f>
        <v>#REF!</v>
      </c>
      <c r="FM223" t="e">
        <f>AND(#REF!,"AAAAAH0f/6g=")</f>
        <v>#REF!</v>
      </c>
      <c r="FN223" t="e">
        <f>AND(#REF!,"AAAAAH0f/6k=")</f>
        <v>#REF!</v>
      </c>
      <c r="FO223" t="e">
        <f>AND(#REF!,"AAAAAH0f/6o=")</f>
        <v>#REF!</v>
      </c>
      <c r="FP223" t="e">
        <f>AND(#REF!,"AAAAAH0f/6s=")</f>
        <v>#REF!</v>
      </c>
      <c r="FQ223" t="e">
        <f>AND(#REF!,"AAAAAH0f/6w=")</f>
        <v>#REF!</v>
      </c>
      <c r="FR223" t="e">
        <f>AND(#REF!,"AAAAAH0f/60=")</f>
        <v>#REF!</v>
      </c>
      <c r="FS223" t="e">
        <f>AND(#REF!,"AAAAAH0f/64=")</f>
        <v>#REF!</v>
      </c>
      <c r="FT223" t="e">
        <f>AND(#REF!,"AAAAAH0f/68=")</f>
        <v>#REF!</v>
      </c>
      <c r="FU223" t="e">
        <f>AND(#REF!,"AAAAAH0f/7A=")</f>
        <v>#REF!</v>
      </c>
      <c r="FV223" t="e">
        <f>AND(#REF!,"AAAAAH0f/7E=")</f>
        <v>#REF!</v>
      </c>
      <c r="FW223" t="e">
        <f>AND(#REF!,"AAAAAH0f/7I=")</f>
        <v>#REF!</v>
      </c>
      <c r="FX223" t="e">
        <f>AND(#REF!,"AAAAAH0f/7M=")</f>
        <v>#REF!</v>
      </c>
      <c r="FY223" t="e">
        <f>AND(#REF!,"AAAAAH0f/7Q=")</f>
        <v>#REF!</v>
      </c>
      <c r="FZ223" t="e">
        <f>AND(#REF!,"AAAAAH0f/7U=")</f>
        <v>#REF!</v>
      </c>
      <c r="GA223" t="e">
        <f>AND(#REF!,"AAAAAH0f/7Y=")</f>
        <v>#REF!</v>
      </c>
      <c r="GB223" t="e">
        <f>AND(#REF!,"AAAAAH0f/7c=")</f>
        <v>#REF!</v>
      </c>
      <c r="GC223" t="e">
        <f>AND(#REF!,"AAAAAH0f/7g=")</f>
        <v>#REF!</v>
      </c>
      <c r="GD223" t="e">
        <f>AND(#REF!,"AAAAAH0f/7k=")</f>
        <v>#REF!</v>
      </c>
      <c r="GE223" t="e">
        <f>AND(#REF!,"AAAAAH0f/7o=")</f>
        <v>#REF!</v>
      </c>
      <c r="GF223" t="e">
        <f>AND(#REF!,"AAAAAH0f/7s=")</f>
        <v>#REF!</v>
      </c>
      <c r="GG223" t="e">
        <f>AND(#REF!,"AAAAAH0f/7w=")</f>
        <v>#REF!</v>
      </c>
      <c r="GH223" t="e">
        <f>AND(#REF!,"AAAAAH0f/70=")</f>
        <v>#REF!</v>
      </c>
      <c r="GI223" t="e">
        <f>AND(#REF!,"AAAAAH0f/74=")</f>
        <v>#REF!</v>
      </c>
      <c r="GJ223" t="e">
        <f>AND(#REF!,"AAAAAH0f/78=")</f>
        <v>#REF!</v>
      </c>
      <c r="GK223" t="e">
        <f>AND(#REF!,"AAAAAH0f/8A=")</f>
        <v>#REF!</v>
      </c>
      <c r="GL223" t="e">
        <f>AND(#REF!,"AAAAAH0f/8E=")</f>
        <v>#REF!</v>
      </c>
      <c r="GM223" t="e">
        <f>AND(#REF!,"AAAAAH0f/8I=")</f>
        <v>#REF!</v>
      </c>
      <c r="GN223" t="e">
        <f>AND(#REF!,"AAAAAH0f/8M=")</f>
        <v>#REF!</v>
      </c>
      <c r="GO223" t="e">
        <f>AND(#REF!,"AAAAAH0f/8Q=")</f>
        <v>#REF!</v>
      </c>
      <c r="GP223" t="e">
        <f>AND(#REF!,"AAAAAH0f/8U=")</f>
        <v>#REF!</v>
      </c>
      <c r="GQ223" t="e">
        <f>AND(#REF!,"AAAAAH0f/8Y=")</f>
        <v>#REF!</v>
      </c>
      <c r="GR223" t="e">
        <f>AND(#REF!,"AAAAAH0f/8c=")</f>
        <v>#REF!</v>
      </c>
      <c r="GS223" t="e">
        <f>AND(#REF!,"AAAAAH0f/8g=")</f>
        <v>#REF!</v>
      </c>
      <c r="GT223" t="e">
        <f>AND(#REF!,"AAAAAH0f/8k=")</f>
        <v>#REF!</v>
      </c>
      <c r="GU223" t="e">
        <f>AND(#REF!,"AAAAAH0f/8o=")</f>
        <v>#REF!</v>
      </c>
      <c r="GV223" t="e">
        <f>AND(#REF!,"AAAAAH0f/8s=")</f>
        <v>#REF!</v>
      </c>
      <c r="GW223" t="e">
        <f>AND(#REF!,"AAAAAH0f/8w=")</f>
        <v>#REF!</v>
      </c>
      <c r="GX223" t="e">
        <f>AND(#REF!,"AAAAAH0f/80=")</f>
        <v>#REF!</v>
      </c>
      <c r="GY223" t="e">
        <f>AND(#REF!,"AAAAAH0f/84=")</f>
        <v>#REF!</v>
      </c>
      <c r="GZ223" t="e">
        <f>AND(#REF!,"AAAAAH0f/88=")</f>
        <v>#REF!</v>
      </c>
      <c r="HA223" t="e">
        <f>AND(#REF!,"AAAAAH0f/9A=")</f>
        <v>#REF!</v>
      </c>
      <c r="HB223" t="e">
        <f>AND(#REF!,"AAAAAH0f/9E=")</f>
        <v>#REF!</v>
      </c>
      <c r="HC223" t="e">
        <f>AND(#REF!,"AAAAAH0f/9I=")</f>
        <v>#REF!</v>
      </c>
      <c r="HD223" t="e">
        <f>AND(#REF!,"AAAAAH0f/9M=")</f>
        <v>#REF!</v>
      </c>
      <c r="HE223" t="e">
        <f>AND(#REF!,"AAAAAH0f/9Q=")</f>
        <v>#REF!</v>
      </c>
      <c r="HF223" t="e">
        <f>AND(#REF!,"AAAAAH0f/9U=")</f>
        <v>#REF!</v>
      </c>
      <c r="HG223" t="e">
        <f>AND(#REF!,"AAAAAH0f/9Y=")</f>
        <v>#REF!</v>
      </c>
      <c r="HH223" t="e">
        <f>AND(#REF!,"AAAAAH0f/9c=")</f>
        <v>#REF!</v>
      </c>
      <c r="HI223" t="e">
        <f>AND(#REF!,"AAAAAH0f/9g=")</f>
        <v>#REF!</v>
      </c>
      <c r="HJ223" t="e">
        <f>AND(#REF!,"AAAAAH0f/9k=")</f>
        <v>#REF!</v>
      </c>
      <c r="HK223" t="e">
        <f>AND(#REF!,"AAAAAH0f/9o=")</f>
        <v>#REF!</v>
      </c>
      <c r="HL223" t="e">
        <f>AND(#REF!,"AAAAAH0f/9s=")</f>
        <v>#REF!</v>
      </c>
      <c r="HM223" t="e">
        <f>AND(#REF!,"AAAAAH0f/9w=")</f>
        <v>#REF!</v>
      </c>
      <c r="HN223" t="e">
        <f>AND(#REF!,"AAAAAH0f/90=")</f>
        <v>#REF!</v>
      </c>
      <c r="HO223" t="e">
        <f>AND(#REF!,"AAAAAH0f/94=")</f>
        <v>#REF!</v>
      </c>
      <c r="HP223" t="e">
        <f>AND(#REF!,"AAAAAH0f/98=")</f>
        <v>#REF!</v>
      </c>
      <c r="HQ223" t="e">
        <f>AND(#REF!,"AAAAAH0f/+A=")</f>
        <v>#REF!</v>
      </c>
      <c r="HR223" t="e">
        <f>AND(#REF!,"AAAAAH0f/+E=")</f>
        <v>#REF!</v>
      </c>
      <c r="HS223" t="e">
        <f>AND(#REF!,"AAAAAH0f/+I=")</f>
        <v>#REF!</v>
      </c>
      <c r="HT223" t="e">
        <f>AND(#REF!,"AAAAAH0f/+M=")</f>
        <v>#REF!</v>
      </c>
      <c r="HU223" t="e">
        <f>AND(#REF!,"AAAAAH0f/+Q=")</f>
        <v>#REF!</v>
      </c>
      <c r="HV223" t="e">
        <f>AND(#REF!,"AAAAAH0f/+U=")</f>
        <v>#REF!</v>
      </c>
      <c r="HW223" t="e">
        <f>AND(#REF!,"AAAAAH0f/+Y=")</f>
        <v>#REF!</v>
      </c>
      <c r="HX223" t="e">
        <f>AND(#REF!,"AAAAAH0f/+c=")</f>
        <v>#REF!</v>
      </c>
      <c r="HY223" t="e">
        <f>AND(#REF!,"AAAAAH0f/+g=")</f>
        <v>#REF!</v>
      </c>
      <c r="HZ223" t="e">
        <f>AND(#REF!,"AAAAAH0f/+k=")</f>
        <v>#REF!</v>
      </c>
      <c r="IA223" t="e">
        <f>AND(#REF!,"AAAAAH0f/+o=")</f>
        <v>#REF!</v>
      </c>
      <c r="IB223" t="e">
        <f>AND(#REF!,"AAAAAH0f/+s=")</f>
        <v>#REF!</v>
      </c>
      <c r="IC223" t="e">
        <f>AND(#REF!,"AAAAAH0f/+w=")</f>
        <v>#REF!</v>
      </c>
      <c r="ID223" t="e">
        <f>AND(#REF!,"AAAAAH0f/+0=")</f>
        <v>#REF!</v>
      </c>
      <c r="IE223" t="e">
        <f>IF(#REF!,"AAAAAH0f/+4=",0)</f>
        <v>#REF!</v>
      </c>
      <c r="IF223" t="e">
        <f>AND(#REF!,"AAAAAH0f/+8=")</f>
        <v>#REF!</v>
      </c>
      <c r="IG223" t="e">
        <f>AND(#REF!,"AAAAAH0f//A=")</f>
        <v>#REF!</v>
      </c>
      <c r="IH223" t="e">
        <f>AND(#REF!,"AAAAAH0f//E=")</f>
        <v>#REF!</v>
      </c>
      <c r="II223" t="e">
        <f>AND(#REF!,"AAAAAH0f//I=")</f>
        <v>#REF!</v>
      </c>
      <c r="IJ223" t="e">
        <f>AND(#REF!,"AAAAAH0f//M=")</f>
        <v>#REF!</v>
      </c>
      <c r="IK223" t="e">
        <f>AND(#REF!,"AAAAAH0f//Q=")</f>
        <v>#REF!</v>
      </c>
      <c r="IL223" t="e">
        <f>AND(#REF!,"AAAAAH0f//U=")</f>
        <v>#REF!</v>
      </c>
      <c r="IM223" t="e">
        <f>AND(#REF!,"AAAAAH0f//Y=")</f>
        <v>#REF!</v>
      </c>
      <c r="IN223" t="e">
        <f>AND(#REF!,"AAAAAH0f//c=")</f>
        <v>#REF!</v>
      </c>
      <c r="IO223" t="e">
        <f>AND(#REF!,"AAAAAH0f//g=")</f>
        <v>#REF!</v>
      </c>
      <c r="IP223" t="e">
        <f>AND(#REF!,"AAAAAH0f//k=")</f>
        <v>#REF!</v>
      </c>
      <c r="IQ223" t="e">
        <f>AND(#REF!,"AAAAAH0f//o=")</f>
        <v>#REF!</v>
      </c>
      <c r="IR223" t="e">
        <f>AND(#REF!,"AAAAAH0f//s=")</f>
        <v>#REF!</v>
      </c>
      <c r="IS223" t="e">
        <f>AND(#REF!,"AAAAAH0f//w=")</f>
        <v>#REF!</v>
      </c>
      <c r="IT223" t="e">
        <f>AND(#REF!,"AAAAAH0f//0=")</f>
        <v>#REF!</v>
      </c>
      <c r="IU223" t="e">
        <f>AND(#REF!,"AAAAAH0f//4=")</f>
        <v>#REF!</v>
      </c>
      <c r="IV223" t="e">
        <f>AND(#REF!,"AAAAAH0f//8=")</f>
        <v>#REF!</v>
      </c>
    </row>
    <row r="224" spans="1:256" x14ac:dyDescent="0.25">
      <c r="A224" t="e">
        <f>AND(#REF!,"AAAAAE75PgA=")</f>
        <v>#REF!</v>
      </c>
      <c r="B224" t="e">
        <f>AND(#REF!,"AAAAAE75PgE=")</f>
        <v>#REF!</v>
      </c>
      <c r="C224" t="e">
        <f>AND(#REF!,"AAAAAE75PgI=")</f>
        <v>#REF!</v>
      </c>
      <c r="D224" t="e">
        <f>AND(#REF!,"AAAAAE75PgM=")</f>
        <v>#REF!</v>
      </c>
      <c r="E224" t="e">
        <f>AND(#REF!,"AAAAAE75PgQ=")</f>
        <v>#REF!</v>
      </c>
      <c r="F224" t="e">
        <f>AND(#REF!,"AAAAAE75PgU=")</f>
        <v>#REF!</v>
      </c>
      <c r="G224" t="e">
        <f>AND(#REF!,"AAAAAE75PgY=")</f>
        <v>#REF!</v>
      </c>
      <c r="H224" t="e">
        <f>AND(#REF!,"AAAAAE75Pgc=")</f>
        <v>#REF!</v>
      </c>
      <c r="I224" t="e">
        <f>AND(#REF!,"AAAAAE75Pgg=")</f>
        <v>#REF!</v>
      </c>
      <c r="J224" t="e">
        <f>AND(#REF!,"AAAAAE75Pgk=")</f>
        <v>#REF!</v>
      </c>
      <c r="K224" t="e">
        <f>AND(#REF!,"AAAAAE75Pgo=")</f>
        <v>#REF!</v>
      </c>
      <c r="L224" t="e">
        <f>AND(#REF!,"AAAAAE75Pgs=")</f>
        <v>#REF!</v>
      </c>
      <c r="M224" t="e">
        <f>AND(#REF!,"AAAAAE75Pgw=")</f>
        <v>#REF!</v>
      </c>
      <c r="N224" t="e">
        <f>AND(#REF!,"AAAAAE75Pg0=")</f>
        <v>#REF!</v>
      </c>
      <c r="O224" t="e">
        <f>AND(#REF!,"AAAAAE75Pg4=")</f>
        <v>#REF!</v>
      </c>
      <c r="P224" t="e">
        <f>AND(#REF!,"AAAAAE75Pg8=")</f>
        <v>#REF!</v>
      </c>
      <c r="Q224" t="e">
        <f>AND(#REF!,"AAAAAE75PhA=")</f>
        <v>#REF!</v>
      </c>
      <c r="R224" t="e">
        <f>AND(#REF!,"AAAAAE75PhE=")</f>
        <v>#REF!</v>
      </c>
      <c r="S224" t="e">
        <f>AND(#REF!,"AAAAAE75PhI=")</f>
        <v>#REF!</v>
      </c>
      <c r="T224" t="e">
        <f>AND(#REF!,"AAAAAE75PhM=")</f>
        <v>#REF!</v>
      </c>
      <c r="U224" t="e">
        <f>AND(#REF!,"AAAAAE75PhQ=")</f>
        <v>#REF!</v>
      </c>
      <c r="V224" t="e">
        <f>AND(#REF!,"AAAAAE75PhU=")</f>
        <v>#REF!</v>
      </c>
      <c r="W224" t="e">
        <f>AND(#REF!,"AAAAAE75PhY=")</f>
        <v>#REF!</v>
      </c>
      <c r="X224" t="e">
        <f>AND(#REF!,"AAAAAE75Phc=")</f>
        <v>#REF!</v>
      </c>
      <c r="Y224" t="e">
        <f>AND(#REF!,"AAAAAE75Phg=")</f>
        <v>#REF!</v>
      </c>
      <c r="Z224" t="e">
        <f>AND(#REF!,"AAAAAE75Phk=")</f>
        <v>#REF!</v>
      </c>
      <c r="AA224" t="e">
        <f>AND(#REF!,"AAAAAE75Pho=")</f>
        <v>#REF!</v>
      </c>
      <c r="AB224" t="e">
        <f>AND(#REF!,"AAAAAE75Phs=")</f>
        <v>#REF!</v>
      </c>
      <c r="AC224" t="e">
        <f>AND(#REF!,"AAAAAE75Phw=")</f>
        <v>#REF!</v>
      </c>
      <c r="AD224" t="e">
        <f>AND(#REF!,"AAAAAE75Ph0=")</f>
        <v>#REF!</v>
      </c>
      <c r="AE224" t="e">
        <f>AND(#REF!,"AAAAAE75Ph4=")</f>
        <v>#REF!</v>
      </c>
      <c r="AF224" t="e">
        <f>AND(#REF!,"AAAAAE75Ph8=")</f>
        <v>#REF!</v>
      </c>
      <c r="AG224" t="e">
        <f>AND(#REF!,"AAAAAE75PiA=")</f>
        <v>#REF!</v>
      </c>
      <c r="AH224" t="e">
        <f>AND(#REF!,"AAAAAE75PiE=")</f>
        <v>#REF!</v>
      </c>
      <c r="AI224" t="e">
        <f>AND(#REF!,"AAAAAE75PiI=")</f>
        <v>#REF!</v>
      </c>
      <c r="AJ224" t="e">
        <f>AND(#REF!,"AAAAAE75PiM=")</f>
        <v>#REF!</v>
      </c>
      <c r="AK224" t="e">
        <f>AND(#REF!,"AAAAAE75PiQ=")</f>
        <v>#REF!</v>
      </c>
      <c r="AL224" t="e">
        <f>AND(#REF!,"AAAAAE75PiU=")</f>
        <v>#REF!</v>
      </c>
      <c r="AM224" t="e">
        <f>AND(#REF!,"AAAAAE75PiY=")</f>
        <v>#REF!</v>
      </c>
      <c r="AN224" t="e">
        <f>AND(#REF!,"AAAAAE75Pic=")</f>
        <v>#REF!</v>
      </c>
      <c r="AO224" t="e">
        <f>AND(#REF!,"AAAAAE75Pig=")</f>
        <v>#REF!</v>
      </c>
      <c r="AP224" t="e">
        <f>AND(#REF!,"AAAAAE75Pik=")</f>
        <v>#REF!</v>
      </c>
      <c r="AQ224" t="e">
        <f>AND(#REF!,"AAAAAE75Pio=")</f>
        <v>#REF!</v>
      </c>
      <c r="AR224" t="e">
        <f>AND(#REF!,"AAAAAE75Pis=")</f>
        <v>#REF!</v>
      </c>
      <c r="AS224" t="e">
        <f>AND(#REF!,"AAAAAE75Piw=")</f>
        <v>#REF!</v>
      </c>
      <c r="AT224" t="e">
        <f>AND(#REF!,"AAAAAE75Pi0=")</f>
        <v>#REF!</v>
      </c>
      <c r="AU224" t="e">
        <f>AND(#REF!,"AAAAAE75Pi4=")</f>
        <v>#REF!</v>
      </c>
      <c r="AV224" t="e">
        <f>AND(#REF!,"AAAAAE75Pi8=")</f>
        <v>#REF!</v>
      </c>
      <c r="AW224" t="e">
        <f>AND(#REF!,"AAAAAE75PjA=")</f>
        <v>#REF!</v>
      </c>
      <c r="AX224" t="e">
        <f>AND(#REF!,"AAAAAE75PjE=")</f>
        <v>#REF!</v>
      </c>
      <c r="AY224" t="e">
        <f>AND(#REF!,"AAAAAE75PjI=")</f>
        <v>#REF!</v>
      </c>
      <c r="AZ224" t="e">
        <f>AND(#REF!,"AAAAAE75PjM=")</f>
        <v>#REF!</v>
      </c>
      <c r="BA224" t="e">
        <f>AND(#REF!,"AAAAAE75PjQ=")</f>
        <v>#REF!</v>
      </c>
      <c r="BB224" t="e">
        <f>AND(#REF!,"AAAAAE75PjU=")</f>
        <v>#REF!</v>
      </c>
      <c r="BC224" t="e">
        <f>AND(#REF!,"AAAAAE75PjY=")</f>
        <v>#REF!</v>
      </c>
      <c r="BD224" t="e">
        <f>AND(#REF!,"AAAAAE75Pjc=")</f>
        <v>#REF!</v>
      </c>
      <c r="BE224" t="e">
        <f>AND(#REF!,"AAAAAE75Pjg=")</f>
        <v>#REF!</v>
      </c>
      <c r="BF224" t="e">
        <f>AND(#REF!,"AAAAAE75Pjk=")</f>
        <v>#REF!</v>
      </c>
      <c r="BG224" t="e">
        <f>AND(#REF!,"AAAAAE75Pjo=")</f>
        <v>#REF!</v>
      </c>
      <c r="BH224" t="e">
        <f>AND(#REF!,"AAAAAE75Pjs=")</f>
        <v>#REF!</v>
      </c>
      <c r="BI224" t="e">
        <f>AND(#REF!,"AAAAAE75Pjw=")</f>
        <v>#REF!</v>
      </c>
      <c r="BJ224" t="e">
        <f>AND(#REF!,"AAAAAE75Pj0=")</f>
        <v>#REF!</v>
      </c>
      <c r="BK224" t="e">
        <f>AND(#REF!,"AAAAAE75Pj4=")</f>
        <v>#REF!</v>
      </c>
      <c r="BL224" t="e">
        <f>AND(#REF!,"AAAAAE75Pj8=")</f>
        <v>#REF!</v>
      </c>
      <c r="BM224" t="e">
        <f>AND(#REF!,"AAAAAE75PkA=")</f>
        <v>#REF!</v>
      </c>
      <c r="BN224" t="e">
        <f>AND(#REF!,"AAAAAE75PkE=")</f>
        <v>#REF!</v>
      </c>
      <c r="BO224" t="e">
        <f>AND(#REF!,"AAAAAE75PkI=")</f>
        <v>#REF!</v>
      </c>
      <c r="BP224" t="e">
        <f>AND(#REF!,"AAAAAE75PkM=")</f>
        <v>#REF!</v>
      </c>
      <c r="BQ224" t="e">
        <f>AND(#REF!,"AAAAAE75PkQ=")</f>
        <v>#REF!</v>
      </c>
      <c r="BR224" t="e">
        <f>AND(#REF!,"AAAAAE75PkU=")</f>
        <v>#REF!</v>
      </c>
      <c r="BS224" t="e">
        <f>AND(#REF!,"AAAAAE75PkY=")</f>
        <v>#REF!</v>
      </c>
      <c r="BT224" t="e">
        <f>AND(#REF!,"AAAAAE75Pkc=")</f>
        <v>#REF!</v>
      </c>
      <c r="BU224" t="e">
        <f>AND(#REF!,"AAAAAE75Pkg=")</f>
        <v>#REF!</v>
      </c>
      <c r="BV224" t="e">
        <f>AND(#REF!,"AAAAAE75Pkk=")</f>
        <v>#REF!</v>
      </c>
      <c r="BW224" t="e">
        <f>AND(#REF!,"AAAAAE75Pko=")</f>
        <v>#REF!</v>
      </c>
      <c r="BX224" t="e">
        <f>AND(#REF!,"AAAAAE75Pks=")</f>
        <v>#REF!</v>
      </c>
      <c r="BY224" t="e">
        <f>AND(#REF!,"AAAAAE75Pkw=")</f>
        <v>#REF!</v>
      </c>
      <c r="BZ224" t="e">
        <f>AND(#REF!,"AAAAAE75Pk0=")</f>
        <v>#REF!</v>
      </c>
      <c r="CA224" t="e">
        <f>AND(#REF!,"AAAAAE75Pk4=")</f>
        <v>#REF!</v>
      </c>
      <c r="CB224" t="e">
        <f>AND(#REF!,"AAAAAE75Pk8=")</f>
        <v>#REF!</v>
      </c>
      <c r="CC224" t="e">
        <f>AND(#REF!,"AAAAAE75PlA=")</f>
        <v>#REF!</v>
      </c>
      <c r="CD224" t="e">
        <f>AND(#REF!,"AAAAAE75PlE=")</f>
        <v>#REF!</v>
      </c>
      <c r="CE224" t="e">
        <f>AND(#REF!,"AAAAAE75PlI=")</f>
        <v>#REF!</v>
      </c>
      <c r="CF224" t="e">
        <f>AND(#REF!,"AAAAAE75PlM=")</f>
        <v>#REF!</v>
      </c>
      <c r="CG224" t="e">
        <f>AND(#REF!,"AAAAAE75PlQ=")</f>
        <v>#REF!</v>
      </c>
      <c r="CH224" t="e">
        <f>AND(#REF!,"AAAAAE75PlU=")</f>
        <v>#REF!</v>
      </c>
      <c r="CI224" t="e">
        <f>AND(#REF!,"AAAAAE75PlY=")</f>
        <v>#REF!</v>
      </c>
      <c r="CJ224" t="e">
        <f>AND(#REF!,"AAAAAE75Plc=")</f>
        <v>#REF!</v>
      </c>
      <c r="CK224" t="e">
        <f>AND(#REF!,"AAAAAE75Plg=")</f>
        <v>#REF!</v>
      </c>
      <c r="CL224" t="e">
        <f>AND(#REF!,"AAAAAE75Plk=")</f>
        <v>#REF!</v>
      </c>
      <c r="CM224" t="e">
        <f>AND(#REF!,"AAAAAE75Plo=")</f>
        <v>#REF!</v>
      </c>
      <c r="CN224" t="e">
        <f>AND(#REF!,"AAAAAE75Pls=")</f>
        <v>#REF!</v>
      </c>
      <c r="CO224" t="e">
        <f>AND(#REF!,"AAAAAE75Plw=")</f>
        <v>#REF!</v>
      </c>
      <c r="CP224" t="e">
        <f>AND(#REF!,"AAAAAE75Pl0=")</f>
        <v>#REF!</v>
      </c>
      <c r="CQ224" t="e">
        <f>AND(#REF!,"AAAAAE75Pl4=")</f>
        <v>#REF!</v>
      </c>
      <c r="CR224" t="e">
        <f>AND(#REF!,"AAAAAE75Pl8=")</f>
        <v>#REF!</v>
      </c>
      <c r="CS224" t="e">
        <f>AND(#REF!,"AAAAAE75PmA=")</f>
        <v>#REF!</v>
      </c>
      <c r="CT224" t="e">
        <f>AND(#REF!,"AAAAAE75PmE=")</f>
        <v>#REF!</v>
      </c>
      <c r="CU224" t="e">
        <f>AND(#REF!,"AAAAAE75PmI=")</f>
        <v>#REF!</v>
      </c>
      <c r="CV224" t="e">
        <f>AND(#REF!,"AAAAAE75PmM=")</f>
        <v>#REF!</v>
      </c>
      <c r="CW224" t="e">
        <f>AND(#REF!,"AAAAAE75PmQ=")</f>
        <v>#REF!</v>
      </c>
      <c r="CX224" t="e">
        <f>AND(#REF!,"AAAAAE75PmU=")</f>
        <v>#REF!</v>
      </c>
      <c r="CY224" t="e">
        <f>AND(#REF!,"AAAAAE75PmY=")</f>
        <v>#REF!</v>
      </c>
      <c r="CZ224" t="e">
        <f>AND(#REF!,"AAAAAE75Pmc=")</f>
        <v>#REF!</v>
      </c>
      <c r="DA224" t="e">
        <f>AND(#REF!,"AAAAAE75Pmg=")</f>
        <v>#REF!</v>
      </c>
      <c r="DB224" t="e">
        <f>AND(#REF!,"AAAAAE75Pmk=")</f>
        <v>#REF!</v>
      </c>
      <c r="DC224" t="e">
        <f>AND(#REF!,"AAAAAE75Pmo=")</f>
        <v>#REF!</v>
      </c>
      <c r="DD224" t="e">
        <f>AND(#REF!,"AAAAAE75Pms=")</f>
        <v>#REF!</v>
      </c>
      <c r="DE224" t="e">
        <f>AND(#REF!,"AAAAAE75Pmw=")</f>
        <v>#REF!</v>
      </c>
      <c r="DF224" t="e">
        <f>AND(#REF!,"AAAAAE75Pm0=")</f>
        <v>#REF!</v>
      </c>
      <c r="DG224" t="e">
        <f>AND(#REF!,"AAAAAE75Pm4=")</f>
        <v>#REF!</v>
      </c>
      <c r="DH224" t="e">
        <f>AND(#REF!,"AAAAAE75Pm8=")</f>
        <v>#REF!</v>
      </c>
      <c r="DI224" t="e">
        <f>AND(#REF!,"AAAAAE75PnA=")</f>
        <v>#REF!</v>
      </c>
      <c r="DJ224" t="e">
        <f>AND(#REF!,"AAAAAE75PnE=")</f>
        <v>#REF!</v>
      </c>
      <c r="DK224" t="e">
        <f>AND(#REF!,"AAAAAE75PnI=")</f>
        <v>#REF!</v>
      </c>
      <c r="DL224" t="e">
        <f>AND(#REF!,"AAAAAE75PnM=")</f>
        <v>#REF!</v>
      </c>
      <c r="DM224" t="e">
        <f>AND(#REF!,"AAAAAE75PnQ=")</f>
        <v>#REF!</v>
      </c>
      <c r="DN224" t="e">
        <f>AND(#REF!,"AAAAAE75PnU=")</f>
        <v>#REF!</v>
      </c>
      <c r="DO224" t="e">
        <f>AND(#REF!,"AAAAAE75PnY=")</f>
        <v>#REF!</v>
      </c>
      <c r="DP224" t="e">
        <f>AND(#REF!,"AAAAAE75Pnc=")</f>
        <v>#REF!</v>
      </c>
      <c r="DQ224" t="e">
        <f>AND(#REF!,"AAAAAE75Png=")</f>
        <v>#REF!</v>
      </c>
      <c r="DR224" t="e">
        <f>AND(#REF!,"AAAAAE75Pnk=")</f>
        <v>#REF!</v>
      </c>
      <c r="DS224" t="e">
        <f>AND(#REF!,"AAAAAE75Pno=")</f>
        <v>#REF!</v>
      </c>
      <c r="DT224" t="e">
        <f>AND(#REF!,"AAAAAE75Pns=")</f>
        <v>#REF!</v>
      </c>
      <c r="DU224" t="e">
        <f>AND(#REF!,"AAAAAE75Pnw=")</f>
        <v>#REF!</v>
      </c>
      <c r="DV224" t="e">
        <f>AND(#REF!,"AAAAAE75Pn0=")</f>
        <v>#REF!</v>
      </c>
      <c r="DW224" t="e">
        <f>AND(#REF!,"AAAAAE75Pn4=")</f>
        <v>#REF!</v>
      </c>
      <c r="DX224" t="e">
        <f>AND(#REF!,"AAAAAE75Pn8=")</f>
        <v>#REF!</v>
      </c>
      <c r="DY224" t="e">
        <f>AND(#REF!,"AAAAAE75PoA=")</f>
        <v>#REF!</v>
      </c>
      <c r="DZ224" t="e">
        <f>AND(#REF!,"AAAAAE75PoE=")</f>
        <v>#REF!</v>
      </c>
      <c r="EA224" t="e">
        <f>AND(#REF!,"AAAAAE75PoI=")</f>
        <v>#REF!</v>
      </c>
      <c r="EB224" t="e">
        <f>AND(#REF!,"AAAAAE75PoM=")</f>
        <v>#REF!</v>
      </c>
      <c r="EC224" t="e">
        <f>AND(#REF!,"AAAAAE75PoQ=")</f>
        <v>#REF!</v>
      </c>
      <c r="ED224" t="e">
        <f>AND(#REF!,"AAAAAE75PoU=")</f>
        <v>#REF!</v>
      </c>
      <c r="EE224" t="e">
        <f>AND(#REF!,"AAAAAE75PoY=")</f>
        <v>#REF!</v>
      </c>
      <c r="EF224" t="e">
        <f>AND(#REF!,"AAAAAE75Poc=")</f>
        <v>#REF!</v>
      </c>
      <c r="EG224" t="e">
        <f>AND(#REF!,"AAAAAE75Pog=")</f>
        <v>#REF!</v>
      </c>
      <c r="EH224" t="e">
        <f>AND(#REF!,"AAAAAE75Pok=")</f>
        <v>#REF!</v>
      </c>
      <c r="EI224" t="e">
        <f>AND(#REF!,"AAAAAE75Poo=")</f>
        <v>#REF!</v>
      </c>
      <c r="EJ224" t="e">
        <f>AND(#REF!,"AAAAAE75Pos=")</f>
        <v>#REF!</v>
      </c>
      <c r="EK224" t="e">
        <f>AND(#REF!,"AAAAAE75Pow=")</f>
        <v>#REF!</v>
      </c>
      <c r="EL224" t="e">
        <f>AND(#REF!,"AAAAAE75Po0=")</f>
        <v>#REF!</v>
      </c>
      <c r="EM224" t="e">
        <f>AND(#REF!,"AAAAAE75Po4=")</f>
        <v>#REF!</v>
      </c>
      <c r="EN224" t="e">
        <f>AND(#REF!,"AAAAAE75Po8=")</f>
        <v>#REF!</v>
      </c>
      <c r="EO224" t="e">
        <f>AND(#REF!,"AAAAAE75PpA=")</f>
        <v>#REF!</v>
      </c>
      <c r="EP224" t="e">
        <f>AND(#REF!,"AAAAAE75PpE=")</f>
        <v>#REF!</v>
      </c>
      <c r="EQ224" t="e">
        <f>AND(#REF!,"AAAAAE75PpI=")</f>
        <v>#REF!</v>
      </c>
      <c r="ER224" t="e">
        <f>AND(#REF!,"AAAAAE75PpM=")</f>
        <v>#REF!</v>
      </c>
      <c r="ES224" t="e">
        <f>AND(#REF!,"AAAAAE75PpQ=")</f>
        <v>#REF!</v>
      </c>
      <c r="ET224" t="e">
        <f>AND(#REF!,"AAAAAE75PpU=")</f>
        <v>#REF!</v>
      </c>
      <c r="EU224" t="e">
        <f>AND(#REF!,"AAAAAE75PpY=")</f>
        <v>#REF!</v>
      </c>
      <c r="EV224" t="e">
        <f>AND(#REF!,"AAAAAE75Ppc=")</f>
        <v>#REF!</v>
      </c>
      <c r="EW224" t="e">
        <f>AND(#REF!,"AAAAAE75Ppg=")</f>
        <v>#REF!</v>
      </c>
      <c r="EX224" t="e">
        <f>AND(#REF!,"AAAAAE75Ppk=")</f>
        <v>#REF!</v>
      </c>
      <c r="EY224" t="e">
        <f>AND(#REF!,"AAAAAE75Ppo=")</f>
        <v>#REF!</v>
      </c>
      <c r="EZ224" t="e">
        <f>AND(#REF!,"AAAAAE75Pps=")</f>
        <v>#REF!</v>
      </c>
      <c r="FA224" t="e">
        <f>AND(#REF!,"AAAAAE75Ppw=")</f>
        <v>#REF!</v>
      </c>
      <c r="FB224" t="e">
        <f>AND(#REF!,"AAAAAE75Pp0=")</f>
        <v>#REF!</v>
      </c>
      <c r="FC224" t="e">
        <f>AND(#REF!,"AAAAAE75Pp4=")</f>
        <v>#REF!</v>
      </c>
      <c r="FD224" t="e">
        <f>AND(#REF!,"AAAAAE75Pp8=")</f>
        <v>#REF!</v>
      </c>
      <c r="FE224" t="e">
        <f>AND(#REF!,"AAAAAE75PqA=")</f>
        <v>#REF!</v>
      </c>
      <c r="FF224" t="e">
        <f>AND(#REF!,"AAAAAE75PqE=")</f>
        <v>#REF!</v>
      </c>
      <c r="FG224" t="e">
        <f>AND(#REF!,"AAAAAE75PqI=")</f>
        <v>#REF!</v>
      </c>
      <c r="FH224" t="e">
        <f>AND(#REF!,"AAAAAE75PqM=")</f>
        <v>#REF!</v>
      </c>
      <c r="FI224" t="e">
        <f>AND(#REF!,"AAAAAE75PqQ=")</f>
        <v>#REF!</v>
      </c>
      <c r="FJ224" t="e">
        <f>AND(#REF!,"AAAAAE75PqU=")</f>
        <v>#REF!</v>
      </c>
      <c r="FK224" t="e">
        <f>AND(#REF!,"AAAAAE75PqY=")</f>
        <v>#REF!</v>
      </c>
      <c r="FL224" t="e">
        <f>AND(#REF!,"AAAAAE75Pqc=")</f>
        <v>#REF!</v>
      </c>
      <c r="FM224" t="e">
        <f>AND(#REF!,"AAAAAE75Pqg=")</f>
        <v>#REF!</v>
      </c>
      <c r="FN224" t="e">
        <f>AND(#REF!,"AAAAAE75Pqk=")</f>
        <v>#REF!</v>
      </c>
      <c r="FO224" t="e">
        <f>AND(#REF!,"AAAAAE75Pqo=")</f>
        <v>#REF!</v>
      </c>
      <c r="FP224" t="e">
        <f>IF(#REF!,"AAAAAE75Pqs=",0)</f>
        <v>#REF!</v>
      </c>
      <c r="FQ224" t="e">
        <f>AND(#REF!,"AAAAAE75Pqw=")</f>
        <v>#REF!</v>
      </c>
      <c r="FR224" t="e">
        <f>AND(#REF!,"AAAAAE75Pq0=")</f>
        <v>#REF!</v>
      </c>
      <c r="FS224" t="e">
        <f>AND(#REF!,"AAAAAE75Pq4=")</f>
        <v>#REF!</v>
      </c>
      <c r="FT224" t="e">
        <f>AND(#REF!,"AAAAAE75Pq8=")</f>
        <v>#REF!</v>
      </c>
      <c r="FU224" t="e">
        <f>AND(#REF!,"AAAAAE75PrA=")</f>
        <v>#REF!</v>
      </c>
      <c r="FV224" t="e">
        <f>AND(#REF!,"AAAAAE75PrE=")</f>
        <v>#REF!</v>
      </c>
      <c r="FW224" t="e">
        <f>AND(#REF!,"AAAAAE75PrI=")</f>
        <v>#REF!</v>
      </c>
      <c r="FX224" t="e">
        <f>AND(#REF!,"AAAAAE75PrM=")</f>
        <v>#REF!</v>
      </c>
      <c r="FY224" t="e">
        <f>AND(#REF!,"AAAAAE75PrQ=")</f>
        <v>#REF!</v>
      </c>
      <c r="FZ224" t="e">
        <f>AND(#REF!,"AAAAAE75PrU=")</f>
        <v>#REF!</v>
      </c>
      <c r="GA224" t="e">
        <f>AND(#REF!,"AAAAAE75PrY=")</f>
        <v>#REF!</v>
      </c>
      <c r="GB224" t="e">
        <f>AND(#REF!,"AAAAAE75Prc=")</f>
        <v>#REF!</v>
      </c>
      <c r="GC224" t="e">
        <f>AND(#REF!,"AAAAAE75Prg=")</f>
        <v>#REF!</v>
      </c>
      <c r="GD224" t="e">
        <f>AND(#REF!,"AAAAAE75Prk=")</f>
        <v>#REF!</v>
      </c>
      <c r="GE224" t="e">
        <f>AND(#REF!,"AAAAAE75Pro=")</f>
        <v>#REF!</v>
      </c>
      <c r="GF224" t="e">
        <f>AND(#REF!,"AAAAAE75Prs=")</f>
        <v>#REF!</v>
      </c>
      <c r="GG224" t="e">
        <f>AND(#REF!,"AAAAAE75Prw=")</f>
        <v>#REF!</v>
      </c>
      <c r="GH224" t="e">
        <f>AND(#REF!,"AAAAAE75Pr0=")</f>
        <v>#REF!</v>
      </c>
      <c r="GI224" t="e">
        <f>AND(#REF!,"AAAAAE75Pr4=")</f>
        <v>#REF!</v>
      </c>
      <c r="GJ224" t="e">
        <f>AND(#REF!,"AAAAAE75Pr8=")</f>
        <v>#REF!</v>
      </c>
      <c r="GK224" t="e">
        <f>AND(#REF!,"AAAAAE75PsA=")</f>
        <v>#REF!</v>
      </c>
      <c r="GL224" t="e">
        <f>AND(#REF!,"AAAAAE75PsE=")</f>
        <v>#REF!</v>
      </c>
      <c r="GM224" t="e">
        <f>AND(#REF!,"AAAAAE75PsI=")</f>
        <v>#REF!</v>
      </c>
      <c r="GN224" t="e">
        <f>AND(#REF!,"AAAAAE75PsM=")</f>
        <v>#REF!</v>
      </c>
      <c r="GO224" t="e">
        <f>AND(#REF!,"AAAAAE75PsQ=")</f>
        <v>#REF!</v>
      </c>
      <c r="GP224" t="e">
        <f>AND(#REF!,"AAAAAE75PsU=")</f>
        <v>#REF!</v>
      </c>
      <c r="GQ224" t="e">
        <f>AND(#REF!,"AAAAAE75PsY=")</f>
        <v>#REF!</v>
      </c>
      <c r="GR224" t="e">
        <f>AND(#REF!,"AAAAAE75Psc=")</f>
        <v>#REF!</v>
      </c>
      <c r="GS224" t="e">
        <f>AND(#REF!,"AAAAAE75Psg=")</f>
        <v>#REF!</v>
      </c>
      <c r="GT224" t="e">
        <f>AND(#REF!,"AAAAAE75Psk=")</f>
        <v>#REF!</v>
      </c>
      <c r="GU224" t="e">
        <f>AND(#REF!,"AAAAAE75Pso=")</f>
        <v>#REF!</v>
      </c>
      <c r="GV224" t="e">
        <f>AND(#REF!,"AAAAAE75Pss=")</f>
        <v>#REF!</v>
      </c>
      <c r="GW224" t="e">
        <f>AND(#REF!,"AAAAAE75Psw=")</f>
        <v>#REF!</v>
      </c>
      <c r="GX224" t="e">
        <f>AND(#REF!,"AAAAAE75Ps0=")</f>
        <v>#REF!</v>
      </c>
      <c r="GY224" t="e">
        <f>AND(#REF!,"AAAAAE75Ps4=")</f>
        <v>#REF!</v>
      </c>
      <c r="GZ224" t="e">
        <f>AND(#REF!,"AAAAAE75Ps8=")</f>
        <v>#REF!</v>
      </c>
      <c r="HA224" t="e">
        <f>AND(#REF!,"AAAAAE75PtA=")</f>
        <v>#REF!</v>
      </c>
      <c r="HB224" t="e">
        <f>AND(#REF!,"AAAAAE75PtE=")</f>
        <v>#REF!</v>
      </c>
      <c r="HC224" t="e">
        <f>AND(#REF!,"AAAAAE75PtI=")</f>
        <v>#REF!</v>
      </c>
      <c r="HD224" t="e">
        <f>AND(#REF!,"AAAAAE75PtM=")</f>
        <v>#REF!</v>
      </c>
      <c r="HE224" t="e">
        <f>AND(#REF!,"AAAAAE75PtQ=")</f>
        <v>#REF!</v>
      </c>
      <c r="HF224" t="e">
        <f>AND(#REF!,"AAAAAE75PtU=")</f>
        <v>#REF!</v>
      </c>
      <c r="HG224" t="e">
        <f>AND(#REF!,"AAAAAE75PtY=")</f>
        <v>#REF!</v>
      </c>
      <c r="HH224" t="e">
        <f>AND(#REF!,"AAAAAE75Ptc=")</f>
        <v>#REF!</v>
      </c>
      <c r="HI224" t="e">
        <f>AND(#REF!,"AAAAAE75Ptg=")</f>
        <v>#REF!</v>
      </c>
      <c r="HJ224" t="e">
        <f>AND(#REF!,"AAAAAE75Ptk=")</f>
        <v>#REF!</v>
      </c>
      <c r="HK224" t="e">
        <f>AND(#REF!,"AAAAAE75Pto=")</f>
        <v>#REF!</v>
      </c>
      <c r="HL224" t="e">
        <f>AND(#REF!,"AAAAAE75Pts=")</f>
        <v>#REF!</v>
      </c>
      <c r="HM224" t="e">
        <f>AND(#REF!,"AAAAAE75Ptw=")</f>
        <v>#REF!</v>
      </c>
      <c r="HN224" t="e">
        <f>AND(#REF!,"AAAAAE75Pt0=")</f>
        <v>#REF!</v>
      </c>
      <c r="HO224" t="e">
        <f>AND(#REF!,"AAAAAE75Pt4=")</f>
        <v>#REF!</v>
      </c>
      <c r="HP224" t="e">
        <f>AND(#REF!,"AAAAAE75Pt8=")</f>
        <v>#REF!</v>
      </c>
      <c r="HQ224" t="e">
        <f>AND(#REF!,"AAAAAE75PuA=")</f>
        <v>#REF!</v>
      </c>
      <c r="HR224" t="e">
        <f>AND(#REF!,"AAAAAE75PuE=")</f>
        <v>#REF!</v>
      </c>
      <c r="HS224" t="e">
        <f>AND(#REF!,"AAAAAE75PuI=")</f>
        <v>#REF!</v>
      </c>
      <c r="HT224" t="e">
        <f>AND(#REF!,"AAAAAE75PuM=")</f>
        <v>#REF!</v>
      </c>
      <c r="HU224" t="e">
        <f>AND(#REF!,"AAAAAE75PuQ=")</f>
        <v>#REF!</v>
      </c>
      <c r="HV224" t="e">
        <f>AND(#REF!,"AAAAAE75PuU=")</f>
        <v>#REF!</v>
      </c>
      <c r="HW224" t="e">
        <f>AND(#REF!,"AAAAAE75PuY=")</f>
        <v>#REF!</v>
      </c>
      <c r="HX224" t="e">
        <f>AND(#REF!,"AAAAAE75Puc=")</f>
        <v>#REF!</v>
      </c>
      <c r="HY224" t="e">
        <f>AND(#REF!,"AAAAAE75Pug=")</f>
        <v>#REF!</v>
      </c>
      <c r="HZ224" t="e">
        <f>AND(#REF!,"AAAAAE75Puk=")</f>
        <v>#REF!</v>
      </c>
      <c r="IA224" t="e">
        <f>AND(#REF!,"AAAAAE75Puo=")</f>
        <v>#REF!</v>
      </c>
      <c r="IB224" t="e">
        <f>AND(#REF!,"AAAAAE75Pus=")</f>
        <v>#REF!</v>
      </c>
      <c r="IC224" t="e">
        <f>AND(#REF!,"AAAAAE75Puw=")</f>
        <v>#REF!</v>
      </c>
      <c r="ID224" t="e">
        <f>AND(#REF!,"AAAAAE75Pu0=")</f>
        <v>#REF!</v>
      </c>
      <c r="IE224" t="e">
        <f>AND(#REF!,"AAAAAE75Pu4=")</f>
        <v>#REF!</v>
      </c>
      <c r="IF224" t="e">
        <f>AND(#REF!,"AAAAAE75Pu8=")</f>
        <v>#REF!</v>
      </c>
      <c r="IG224" t="e">
        <f>AND(#REF!,"AAAAAE75PvA=")</f>
        <v>#REF!</v>
      </c>
      <c r="IH224" t="e">
        <f>AND(#REF!,"AAAAAE75PvE=")</f>
        <v>#REF!</v>
      </c>
      <c r="II224" t="e">
        <f>AND(#REF!,"AAAAAE75PvI=")</f>
        <v>#REF!</v>
      </c>
      <c r="IJ224" t="e">
        <f>AND(#REF!,"AAAAAE75PvM=")</f>
        <v>#REF!</v>
      </c>
      <c r="IK224" t="e">
        <f>AND(#REF!,"AAAAAE75PvQ=")</f>
        <v>#REF!</v>
      </c>
      <c r="IL224" t="e">
        <f>AND(#REF!,"AAAAAE75PvU=")</f>
        <v>#REF!</v>
      </c>
      <c r="IM224" t="e">
        <f>AND(#REF!,"AAAAAE75PvY=")</f>
        <v>#REF!</v>
      </c>
      <c r="IN224" t="e">
        <f>AND(#REF!,"AAAAAE75Pvc=")</f>
        <v>#REF!</v>
      </c>
      <c r="IO224" t="e">
        <f>AND(#REF!,"AAAAAE75Pvg=")</f>
        <v>#REF!</v>
      </c>
      <c r="IP224" t="e">
        <f>AND(#REF!,"AAAAAE75Pvk=")</f>
        <v>#REF!</v>
      </c>
      <c r="IQ224" t="e">
        <f>AND(#REF!,"AAAAAE75Pvo=")</f>
        <v>#REF!</v>
      </c>
      <c r="IR224" t="e">
        <f>AND(#REF!,"AAAAAE75Pvs=")</f>
        <v>#REF!</v>
      </c>
      <c r="IS224" t="e">
        <f>AND(#REF!,"AAAAAE75Pvw=")</f>
        <v>#REF!</v>
      </c>
      <c r="IT224" t="e">
        <f>AND(#REF!,"AAAAAE75Pv0=")</f>
        <v>#REF!</v>
      </c>
      <c r="IU224" t="e">
        <f>AND(#REF!,"AAAAAE75Pv4=")</f>
        <v>#REF!</v>
      </c>
      <c r="IV224" t="e">
        <f>AND(#REF!,"AAAAAE75Pv8=")</f>
        <v>#REF!</v>
      </c>
    </row>
    <row r="225" spans="1:256" x14ac:dyDescent="0.25">
      <c r="A225" t="e">
        <f>AND(#REF!,"AAAAAH+zeQA=")</f>
        <v>#REF!</v>
      </c>
      <c r="B225" t="e">
        <f>AND(#REF!,"AAAAAH+zeQE=")</f>
        <v>#REF!</v>
      </c>
      <c r="C225" t="e">
        <f>AND(#REF!,"AAAAAH+zeQI=")</f>
        <v>#REF!</v>
      </c>
      <c r="D225" t="e">
        <f>AND(#REF!,"AAAAAH+zeQM=")</f>
        <v>#REF!</v>
      </c>
      <c r="E225" t="e">
        <f>AND(#REF!,"AAAAAH+zeQQ=")</f>
        <v>#REF!</v>
      </c>
      <c r="F225" t="e">
        <f>AND(#REF!,"AAAAAH+zeQU=")</f>
        <v>#REF!</v>
      </c>
      <c r="G225" t="e">
        <f>AND(#REF!,"AAAAAH+zeQY=")</f>
        <v>#REF!</v>
      </c>
      <c r="H225" t="e">
        <f>AND(#REF!,"AAAAAH+zeQc=")</f>
        <v>#REF!</v>
      </c>
      <c r="I225" t="e">
        <f>AND(#REF!,"AAAAAH+zeQg=")</f>
        <v>#REF!</v>
      </c>
      <c r="J225" t="e">
        <f>AND(#REF!,"AAAAAH+zeQk=")</f>
        <v>#REF!</v>
      </c>
      <c r="K225" t="e">
        <f>AND(#REF!,"AAAAAH+zeQo=")</f>
        <v>#REF!</v>
      </c>
      <c r="L225" t="e">
        <f>AND(#REF!,"AAAAAH+zeQs=")</f>
        <v>#REF!</v>
      </c>
      <c r="M225" t="e">
        <f>AND(#REF!,"AAAAAH+zeQw=")</f>
        <v>#REF!</v>
      </c>
      <c r="N225" t="e">
        <f>AND(#REF!,"AAAAAH+zeQ0=")</f>
        <v>#REF!</v>
      </c>
      <c r="O225" t="e">
        <f>AND(#REF!,"AAAAAH+zeQ4=")</f>
        <v>#REF!</v>
      </c>
      <c r="P225" t="e">
        <f>AND(#REF!,"AAAAAH+zeQ8=")</f>
        <v>#REF!</v>
      </c>
      <c r="Q225" t="e">
        <f>AND(#REF!,"AAAAAH+zeRA=")</f>
        <v>#REF!</v>
      </c>
      <c r="R225" t="e">
        <f>AND(#REF!,"AAAAAH+zeRE=")</f>
        <v>#REF!</v>
      </c>
      <c r="S225" t="e">
        <f>AND(#REF!,"AAAAAH+zeRI=")</f>
        <v>#REF!</v>
      </c>
      <c r="T225" t="e">
        <f>AND(#REF!,"AAAAAH+zeRM=")</f>
        <v>#REF!</v>
      </c>
      <c r="U225" t="e">
        <f>AND(#REF!,"AAAAAH+zeRQ=")</f>
        <v>#REF!</v>
      </c>
      <c r="V225" t="e">
        <f>AND(#REF!,"AAAAAH+zeRU=")</f>
        <v>#REF!</v>
      </c>
      <c r="W225" t="e">
        <f>AND(#REF!,"AAAAAH+zeRY=")</f>
        <v>#REF!</v>
      </c>
      <c r="X225" t="e">
        <f>AND(#REF!,"AAAAAH+zeRc=")</f>
        <v>#REF!</v>
      </c>
      <c r="Y225" t="e">
        <f>AND(#REF!,"AAAAAH+zeRg=")</f>
        <v>#REF!</v>
      </c>
      <c r="Z225" t="e">
        <f>AND(#REF!,"AAAAAH+zeRk=")</f>
        <v>#REF!</v>
      </c>
      <c r="AA225" t="e">
        <f>AND(#REF!,"AAAAAH+zeRo=")</f>
        <v>#REF!</v>
      </c>
      <c r="AB225" t="e">
        <f>AND(#REF!,"AAAAAH+zeRs=")</f>
        <v>#REF!</v>
      </c>
      <c r="AC225" t="e">
        <f>AND(#REF!,"AAAAAH+zeRw=")</f>
        <v>#REF!</v>
      </c>
      <c r="AD225" t="e">
        <f>AND(#REF!,"AAAAAH+zeR0=")</f>
        <v>#REF!</v>
      </c>
      <c r="AE225" t="e">
        <f>AND(#REF!,"AAAAAH+zeR4=")</f>
        <v>#REF!</v>
      </c>
      <c r="AF225" t="e">
        <f>AND(#REF!,"AAAAAH+zeR8=")</f>
        <v>#REF!</v>
      </c>
      <c r="AG225" t="e">
        <f>AND(#REF!,"AAAAAH+zeSA=")</f>
        <v>#REF!</v>
      </c>
      <c r="AH225" t="e">
        <f>AND(#REF!,"AAAAAH+zeSE=")</f>
        <v>#REF!</v>
      </c>
      <c r="AI225" t="e">
        <f>AND(#REF!,"AAAAAH+zeSI=")</f>
        <v>#REF!</v>
      </c>
      <c r="AJ225" t="e">
        <f>AND(#REF!,"AAAAAH+zeSM=")</f>
        <v>#REF!</v>
      </c>
      <c r="AK225" t="e">
        <f>AND(#REF!,"AAAAAH+zeSQ=")</f>
        <v>#REF!</v>
      </c>
      <c r="AL225" t="e">
        <f>AND(#REF!,"AAAAAH+zeSU=")</f>
        <v>#REF!</v>
      </c>
      <c r="AM225" t="e">
        <f>AND(#REF!,"AAAAAH+zeSY=")</f>
        <v>#REF!</v>
      </c>
      <c r="AN225" t="e">
        <f>AND(#REF!,"AAAAAH+zeSc=")</f>
        <v>#REF!</v>
      </c>
      <c r="AO225" t="e">
        <f>AND(#REF!,"AAAAAH+zeSg=")</f>
        <v>#REF!</v>
      </c>
      <c r="AP225" t="e">
        <f>AND(#REF!,"AAAAAH+zeSk=")</f>
        <v>#REF!</v>
      </c>
      <c r="AQ225" t="e">
        <f>AND(#REF!,"AAAAAH+zeSo=")</f>
        <v>#REF!</v>
      </c>
      <c r="AR225" t="e">
        <f>AND(#REF!,"AAAAAH+zeSs=")</f>
        <v>#REF!</v>
      </c>
      <c r="AS225" t="e">
        <f>AND(#REF!,"AAAAAH+zeSw=")</f>
        <v>#REF!</v>
      </c>
      <c r="AT225" t="e">
        <f>AND(#REF!,"AAAAAH+zeS0=")</f>
        <v>#REF!</v>
      </c>
      <c r="AU225" t="e">
        <f>AND(#REF!,"AAAAAH+zeS4=")</f>
        <v>#REF!</v>
      </c>
      <c r="AV225" t="e">
        <f>AND(#REF!,"AAAAAH+zeS8=")</f>
        <v>#REF!</v>
      </c>
      <c r="AW225" t="e">
        <f>AND(#REF!,"AAAAAH+zeTA=")</f>
        <v>#REF!</v>
      </c>
      <c r="AX225" t="e">
        <f>AND(#REF!,"AAAAAH+zeTE=")</f>
        <v>#REF!</v>
      </c>
      <c r="AY225" t="e">
        <f>AND(#REF!,"AAAAAH+zeTI=")</f>
        <v>#REF!</v>
      </c>
      <c r="AZ225" t="e">
        <f>AND(#REF!,"AAAAAH+zeTM=")</f>
        <v>#REF!</v>
      </c>
      <c r="BA225" t="e">
        <f>AND(#REF!,"AAAAAH+zeTQ=")</f>
        <v>#REF!</v>
      </c>
      <c r="BB225" t="e">
        <f>AND(#REF!,"AAAAAH+zeTU=")</f>
        <v>#REF!</v>
      </c>
      <c r="BC225" t="e">
        <f>AND(#REF!,"AAAAAH+zeTY=")</f>
        <v>#REF!</v>
      </c>
      <c r="BD225" t="e">
        <f>AND(#REF!,"AAAAAH+zeTc=")</f>
        <v>#REF!</v>
      </c>
      <c r="BE225" t="e">
        <f>AND(#REF!,"AAAAAH+zeTg=")</f>
        <v>#REF!</v>
      </c>
      <c r="BF225" t="e">
        <f>AND(#REF!,"AAAAAH+zeTk=")</f>
        <v>#REF!</v>
      </c>
      <c r="BG225" t="e">
        <f>AND(#REF!,"AAAAAH+zeTo=")</f>
        <v>#REF!</v>
      </c>
      <c r="BH225" t="e">
        <f>AND(#REF!,"AAAAAH+zeTs=")</f>
        <v>#REF!</v>
      </c>
      <c r="BI225" t="e">
        <f>AND(#REF!,"AAAAAH+zeTw=")</f>
        <v>#REF!</v>
      </c>
      <c r="BJ225" t="e">
        <f>AND(#REF!,"AAAAAH+zeT0=")</f>
        <v>#REF!</v>
      </c>
      <c r="BK225" t="e">
        <f>AND(#REF!,"AAAAAH+zeT4=")</f>
        <v>#REF!</v>
      </c>
      <c r="BL225" t="e">
        <f>AND(#REF!,"AAAAAH+zeT8=")</f>
        <v>#REF!</v>
      </c>
      <c r="BM225" t="e">
        <f>AND(#REF!,"AAAAAH+zeUA=")</f>
        <v>#REF!</v>
      </c>
      <c r="BN225" t="e">
        <f>AND(#REF!,"AAAAAH+zeUE=")</f>
        <v>#REF!</v>
      </c>
      <c r="BO225" t="e">
        <f>AND(#REF!,"AAAAAH+zeUI=")</f>
        <v>#REF!</v>
      </c>
      <c r="BP225" t="e">
        <f>AND(#REF!,"AAAAAH+zeUM=")</f>
        <v>#REF!</v>
      </c>
      <c r="BQ225" t="e">
        <f>AND(#REF!,"AAAAAH+zeUQ=")</f>
        <v>#REF!</v>
      </c>
      <c r="BR225" t="e">
        <f>AND(#REF!,"AAAAAH+zeUU=")</f>
        <v>#REF!</v>
      </c>
      <c r="BS225" t="e">
        <f>AND(#REF!,"AAAAAH+zeUY=")</f>
        <v>#REF!</v>
      </c>
      <c r="BT225" t="e">
        <f>AND(#REF!,"AAAAAH+zeUc=")</f>
        <v>#REF!</v>
      </c>
      <c r="BU225" t="e">
        <f>AND(#REF!,"AAAAAH+zeUg=")</f>
        <v>#REF!</v>
      </c>
      <c r="BV225" t="e">
        <f>AND(#REF!,"AAAAAH+zeUk=")</f>
        <v>#REF!</v>
      </c>
      <c r="BW225" t="e">
        <f>AND(#REF!,"AAAAAH+zeUo=")</f>
        <v>#REF!</v>
      </c>
      <c r="BX225" t="e">
        <f>AND(#REF!,"AAAAAH+zeUs=")</f>
        <v>#REF!</v>
      </c>
      <c r="BY225" t="e">
        <f>AND(#REF!,"AAAAAH+zeUw=")</f>
        <v>#REF!</v>
      </c>
      <c r="BZ225" t="e">
        <f>AND(#REF!,"AAAAAH+zeU0=")</f>
        <v>#REF!</v>
      </c>
      <c r="CA225" t="e">
        <f>AND(#REF!,"AAAAAH+zeU4=")</f>
        <v>#REF!</v>
      </c>
      <c r="CB225" t="e">
        <f>AND(#REF!,"AAAAAH+zeU8=")</f>
        <v>#REF!</v>
      </c>
      <c r="CC225" t="e">
        <f>AND(#REF!,"AAAAAH+zeVA=")</f>
        <v>#REF!</v>
      </c>
      <c r="CD225" t="e">
        <f>AND(#REF!,"AAAAAH+zeVE=")</f>
        <v>#REF!</v>
      </c>
      <c r="CE225" t="e">
        <f>AND(#REF!,"AAAAAH+zeVI=")</f>
        <v>#REF!</v>
      </c>
      <c r="CF225" t="e">
        <f>AND(#REF!,"AAAAAH+zeVM=")</f>
        <v>#REF!</v>
      </c>
      <c r="CG225" t="e">
        <f>AND(#REF!,"AAAAAH+zeVQ=")</f>
        <v>#REF!</v>
      </c>
      <c r="CH225" t="e">
        <f>AND(#REF!,"AAAAAH+zeVU=")</f>
        <v>#REF!</v>
      </c>
      <c r="CI225" t="e">
        <f>AND(#REF!,"AAAAAH+zeVY=")</f>
        <v>#REF!</v>
      </c>
      <c r="CJ225" t="e">
        <f>AND(#REF!,"AAAAAH+zeVc=")</f>
        <v>#REF!</v>
      </c>
      <c r="CK225" t="e">
        <f>AND(#REF!,"AAAAAH+zeVg=")</f>
        <v>#REF!</v>
      </c>
      <c r="CL225" t="e">
        <f>AND(#REF!,"AAAAAH+zeVk=")</f>
        <v>#REF!</v>
      </c>
      <c r="CM225" t="e">
        <f>AND(#REF!,"AAAAAH+zeVo=")</f>
        <v>#REF!</v>
      </c>
      <c r="CN225" t="e">
        <f>AND(#REF!,"AAAAAH+zeVs=")</f>
        <v>#REF!</v>
      </c>
      <c r="CO225" t="e">
        <f>AND(#REF!,"AAAAAH+zeVw=")</f>
        <v>#REF!</v>
      </c>
      <c r="CP225" t="e">
        <f>AND(#REF!,"AAAAAH+zeV0=")</f>
        <v>#REF!</v>
      </c>
      <c r="CQ225" t="e">
        <f>AND(#REF!,"AAAAAH+zeV4=")</f>
        <v>#REF!</v>
      </c>
      <c r="CR225" t="e">
        <f>AND(#REF!,"AAAAAH+zeV8=")</f>
        <v>#REF!</v>
      </c>
      <c r="CS225" t="e">
        <f>AND(#REF!,"AAAAAH+zeWA=")</f>
        <v>#REF!</v>
      </c>
      <c r="CT225" t="e">
        <f>AND(#REF!,"AAAAAH+zeWE=")</f>
        <v>#REF!</v>
      </c>
      <c r="CU225" t="e">
        <f>AND(#REF!,"AAAAAH+zeWI=")</f>
        <v>#REF!</v>
      </c>
      <c r="CV225" t="e">
        <f>AND(#REF!,"AAAAAH+zeWM=")</f>
        <v>#REF!</v>
      </c>
      <c r="CW225" t="e">
        <f>AND(#REF!,"AAAAAH+zeWQ=")</f>
        <v>#REF!</v>
      </c>
      <c r="CX225" t="e">
        <f>AND(#REF!,"AAAAAH+zeWU=")</f>
        <v>#REF!</v>
      </c>
      <c r="CY225" t="e">
        <f>AND(#REF!,"AAAAAH+zeWY=")</f>
        <v>#REF!</v>
      </c>
      <c r="CZ225" t="e">
        <f>AND(#REF!,"AAAAAH+zeWc=")</f>
        <v>#REF!</v>
      </c>
      <c r="DA225" t="e">
        <f>IF(#REF!,"AAAAAH+zeWg=",0)</f>
        <v>#REF!</v>
      </c>
      <c r="DB225" t="e">
        <f>AND(#REF!,"AAAAAH+zeWk=")</f>
        <v>#REF!</v>
      </c>
      <c r="DC225" t="e">
        <f>AND(#REF!,"AAAAAH+zeWo=")</f>
        <v>#REF!</v>
      </c>
      <c r="DD225" t="e">
        <f>AND(#REF!,"AAAAAH+zeWs=")</f>
        <v>#REF!</v>
      </c>
      <c r="DE225" t="e">
        <f>AND(#REF!,"AAAAAH+zeWw=")</f>
        <v>#REF!</v>
      </c>
      <c r="DF225" t="e">
        <f>AND(#REF!,"AAAAAH+zeW0=")</f>
        <v>#REF!</v>
      </c>
      <c r="DG225" t="e">
        <f>AND(#REF!,"AAAAAH+zeW4=")</f>
        <v>#REF!</v>
      </c>
      <c r="DH225" t="e">
        <f>AND(#REF!,"AAAAAH+zeW8=")</f>
        <v>#REF!</v>
      </c>
      <c r="DI225" t="e">
        <f>AND(#REF!,"AAAAAH+zeXA=")</f>
        <v>#REF!</v>
      </c>
      <c r="DJ225" t="e">
        <f>AND(#REF!,"AAAAAH+zeXE=")</f>
        <v>#REF!</v>
      </c>
      <c r="DK225" t="e">
        <f>AND(#REF!,"AAAAAH+zeXI=")</f>
        <v>#REF!</v>
      </c>
      <c r="DL225" t="e">
        <f>AND(#REF!,"AAAAAH+zeXM=")</f>
        <v>#REF!</v>
      </c>
      <c r="DM225" t="e">
        <f>AND(#REF!,"AAAAAH+zeXQ=")</f>
        <v>#REF!</v>
      </c>
      <c r="DN225" t="e">
        <f>AND(#REF!,"AAAAAH+zeXU=")</f>
        <v>#REF!</v>
      </c>
      <c r="DO225" t="e">
        <f>AND(#REF!,"AAAAAH+zeXY=")</f>
        <v>#REF!</v>
      </c>
      <c r="DP225" t="e">
        <f>AND(#REF!,"AAAAAH+zeXc=")</f>
        <v>#REF!</v>
      </c>
      <c r="DQ225" t="e">
        <f>AND(#REF!,"AAAAAH+zeXg=")</f>
        <v>#REF!</v>
      </c>
      <c r="DR225" t="e">
        <f>AND(#REF!,"AAAAAH+zeXk=")</f>
        <v>#REF!</v>
      </c>
      <c r="DS225" t="e">
        <f>AND(#REF!,"AAAAAH+zeXo=")</f>
        <v>#REF!</v>
      </c>
      <c r="DT225" t="e">
        <f>AND(#REF!,"AAAAAH+zeXs=")</f>
        <v>#REF!</v>
      </c>
      <c r="DU225" t="e">
        <f>AND(#REF!,"AAAAAH+zeXw=")</f>
        <v>#REF!</v>
      </c>
      <c r="DV225" t="e">
        <f>AND(#REF!,"AAAAAH+zeX0=")</f>
        <v>#REF!</v>
      </c>
      <c r="DW225" t="e">
        <f>AND(#REF!,"AAAAAH+zeX4=")</f>
        <v>#REF!</v>
      </c>
      <c r="DX225" t="e">
        <f>AND(#REF!,"AAAAAH+zeX8=")</f>
        <v>#REF!</v>
      </c>
      <c r="DY225" t="e">
        <f>AND(#REF!,"AAAAAH+zeYA=")</f>
        <v>#REF!</v>
      </c>
      <c r="DZ225" t="e">
        <f>AND(#REF!,"AAAAAH+zeYE=")</f>
        <v>#REF!</v>
      </c>
      <c r="EA225" t="e">
        <f>AND(#REF!,"AAAAAH+zeYI=")</f>
        <v>#REF!</v>
      </c>
      <c r="EB225" t="e">
        <f>AND(#REF!,"AAAAAH+zeYM=")</f>
        <v>#REF!</v>
      </c>
      <c r="EC225" t="e">
        <f>AND(#REF!,"AAAAAH+zeYQ=")</f>
        <v>#REF!</v>
      </c>
      <c r="ED225" t="e">
        <f>AND(#REF!,"AAAAAH+zeYU=")</f>
        <v>#REF!</v>
      </c>
      <c r="EE225" t="e">
        <f>AND(#REF!,"AAAAAH+zeYY=")</f>
        <v>#REF!</v>
      </c>
      <c r="EF225" t="e">
        <f>AND(#REF!,"AAAAAH+zeYc=")</f>
        <v>#REF!</v>
      </c>
      <c r="EG225" t="e">
        <f>AND(#REF!,"AAAAAH+zeYg=")</f>
        <v>#REF!</v>
      </c>
      <c r="EH225" t="e">
        <f>AND(#REF!,"AAAAAH+zeYk=")</f>
        <v>#REF!</v>
      </c>
      <c r="EI225" t="e">
        <f>AND(#REF!,"AAAAAH+zeYo=")</f>
        <v>#REF!</v>
      </c>
      <c r="EJ225" t="e">
        <f>AND(#REF!,"AAAAAH+zeYs=")</f>
        <v>#REF!</v>
      </c>
      <c r="EK225" t="e">
        <f>AND(#REF!,"AAAAAH+zeYw=")</f>
        <v>#REF!</v>
      </c>
      <c r="EL225" t="e">
        <f>AND(#REF!,"AAAAAH+zeY0=")</f>
        <v>#REF!</v>
      </c>
      <c r="EM225" t="e">
        <f>AND(#REF!,"AAAAAH+zeY4=")</f>
        <v>#REF!</v>
      </c>
      <c r="EN225" t="e">
        <f>AND(#REF!,"AAAAAH+zeY8=")</f>
        <v>#REF!</v>
      </c>
      <c r="EO225" t="e">
        <f>AND(#REF!,"AAAAAH+zeZA=")</f>
        <v>#REF!</v>
      </c>
      <c r="EP225" t="e">
        <f>AND(#REF!,"AAAAAH+zeZE=")</f>
        <v>#REF!</v>
      </c>
      <c r="EQ225" t="e">
        <f>AND(#REF!,"AAAAAH+zeZI=")</f>
        <v>#REF!</v>
      </c>
      <c r="ER225" t="e">
        <f>AND(#REF!,"AAAAAH+zeZM=")</f>
        <v>#REF!</v>
      </c>
      <c r="ES225" t="e">
        <f>AND(#REF!,"AAAAAH+zeZQ=")</f>
        <v>#REF!</v>
      </c>
      <c r="ET225" t="e">
        <f>AND(#REF!,"AAAAAH+zeZU=")</f>
        <v>#REF!</v>
      </c>
      <c r="EU225" t="e">
        <f>AND(#REF!,"AAAAAH+zeZY=")</f>
        <v>#REF!</v>
      </c>
      <c r="EV225" t="e">
        <f>AND(#REF!,"AAAAAH+zeZc=")</f>
        <v>#REF!</v>
      </c>
      <c r="EW225" t="e">
        <f>AND(#REF!,"AAAAAH+zeZg=")</f>
        <v>#REF!</v>
      </c>
      <c r="EX225" t="e">
        <f>AND(#REF!,"AAAAAH+zeZk=")</f>
        <v>#REF!</v>
      </c>
      <c r="EY225" t="e">
        <f>AND(#REF!,"AAAAAH+zeZo=")</f>
        <v>#REF!</v>
      </c>
      <c r="EZ225" t="e">
        <f>AND(#REF!,"AAAAAH+zeZs=")</f>
        <v>#REF!</v>
      </c>
      <c r="FA225" t="e">
        <f>AND(#REF!,"AAAAAH+zeZw=")</f>
        <v>#REF!</v>
      </c>
      <c r="FB225" t="e">
        <f>AND(#REF!,"AAAAAH+zeZ0=")</f>
        <v>#REF!</v>
      </c>
      <c r="FC225" t="e">
        <f>AND(#REF!,"AAAAAH+zeZ4=")</f>
        <v>#REF!</v>
      </c>
      <c r="FD225" t="e">
        <f>AND(#REF!,"AAAAAH+zeZ8=")</f>
        <v>#REF!</v>
      </c>
      <c r="FE225" t="e">
        <f>AND(#REF!,"AAAAAH+zeaA=")</f>
        <v>#REF!</v>
      </c>
      <c r="FF225" t="e">
        <f>AND(#REF!,"AAAAAH+zeaE=")</f>
        <v>#REF!</v>
      </c>
      <c r="FG225" t="e">
        <f>AND(#REF!,"AAAAAH+zeaI=")</f>
        <v>#REF!</v>
      </c>
      <c r="FH225" t="e">
        <f>AND(#REF!,"AAAAAH+zeaM=")</f>
        <v>#REF!</v>
      </c>
      <c r="FI225" t="e">
        <f>AND(#REF!,"AAAAAH+zeaQ=")</f>
        <v>#REF!</v>
      </c>
      <c r="FJ225" t="e">
        <f>AND(#REF!,"AAAAAH+zeaU=")</f>
        <v>#REF!</v>
      </c>
      <c r="FK225" t="e">
        <f>AND(#REF!,"AAAAAH+zeaY=")</f>
        <v>#REF!</v>
      </c>
      <c r="FL225" t="e">
        <f>AND(#REF!,"AAAAAH+zeac=")</f>
        <v>#REF!</v>
      </c>
      <c r="FM225" t="e">
        <f>AND(#REF!,"AAAAAH+zeag=")</f>
        <v>#REF!</v>
      </c>
      <c r="FN225" t="e">
        <f>AND(#REF!,"AAAAAH+zeak=")</f>
        <v>#REF!</v>
      </c>
      <c r="FO225" t="e">
        <f>AND(#REF!,"AAAAAH+zeao=")</f>
        <v>#REF!</v>
      </c>
      <c r="FP225" t="e">
        <f>AND(#REF!,"AAAAAH+zeas=")</f>
        <v>#REF!</v>
      </c>
      <c r="FQ225" t="e">
        <f>AND(#REF!,"AAAAAH+zeaw=")</f>
        <v>#REF!</v>
      </c>
      <c r="FR225" t="e">
        <f>AND(#REF!,"AAAAAH+zea0=")</f>
        <v>#REF!</v>
      </c>
      <c r="FS225" t="e">
        <f>AND(#REF!,"AAAAAH+zea4=")</f>
        <v>#REF!</v>
      </c>
      <c r="FT225" t="e">
        <f>AND(#REF!,"AAAAAH+zea8=")</f>
        <v>#REF!</v>
      </c>
      <c r="FU225" t="e">
        <f>AND(#REF!,"AAAAAH+zebA=")</f>
        <v>#REF!</v>
      </c>
      <c r="FV225" t="e">
        <f>AND(#REF!,"AAAAAH+zebE=")</f>
        <v>#REF!</v>
      </c>
      <c r="FW225" t="e">
        <f>AND(#REF!,"AAAAAH+zebI=")</f>
        <v>#REF!</v>
      </c>
      <c r="FX225" t="e">
        <f>AND(#REF!,"AAAAAH+zebM=")</f>
        <v>#REF!</v>
      </c>
      <c r="FY225" t="e">
        <f>AND(#REF!,"AAAAAH+zebQ=")</f>
        <v>#REF!</v>
      </c>
      <c r="FZ225" t="e">
        <f>AND(#REF!,"AAAAAH+zebU=")</f>
        <v>#REF!</v>
      </c>
      <c r="GA225" t="e">
        <f>AND(#REF!,"AAAAAH+zebY=")</f>
        <v>#REF!</v>
      </c>
      <c r="GB225" t="e">
        <f>AND(#REF!,"AAAAAH+zebc=")</f>
        <v>#REF!</v>
      </c>
      <c r="GC225" t="e">
        <f>AND(#REF!,"AAAAAH+zebg=")</f>
        <v>#REF!</v>
      </c>
      <c r="GD225" t="e">
        <f>AND(#REF!,"AAAAAH+zebk=")</f>
        <v>#REF!</v>
      </c>
      <c r="GE225" t="e">
        <f>AND(#REF!,"AAAAAH+zebo=")</f>
        <v>#REF!</v>
      </c>
      <c r="GF225" t="e">
        <f>AND(#REF!,"AAAAAH+zebs=")</f>
        <v>#REF!</v>
      </c>
      <c r="GG225" t="e">
        <f>AND(#REF!,"AAAAAH+zebw=")</f>
        <v>#REF!</v>
      </c>
      <c r="GH225" t="e">
        <f>AND(#REF!,"AAAAAH+zeb0=")</f>
        <v>#REF!</v>
      </c>
      <c r="GI225" t="e">
        <f>AND(#REF!,"AAAAAH+zeb4=")</f>
        <v>#REF!</v>
      </c>
      <c r="GJ225" t="e">
        <f>AND(#REF!,"AAAAAH+zeb8=")</f>
        <v>#REF!</v>
      </c>
      <c r="GK225" t="e">
        <f>AND(#REF!,"AAAAAH+zecA=")</f>
        <v>#REF!</v>
      </c>
      <c r="GL225" t="e">
        <f>AND(#REF!,"AAAAAH+zecE=")</f>
        <v>#REF!</v>
      </c>
      <c r="GM225" t="e">
        <f>AND(#REF!,"AAAAAH+zecI=")</f>
        <v>#REF!</v>
      </c>
      <c r="GN225" t="e">
        <f>AND(#REF!,"AAAAAH+zecM=")</f>
        <v>#REF!</v>
      </c>
      <c r="GO225" t="e">
        <f>AND(#REF!,"AAAAAH+zecQ=")</f>
        <v>#REF!</v>
      </c>
      <c r="GP225" t="e">
        <f>AND(#REF!,"AAAAAH+zecU=")</f>
        <v>#REF!</v>
      </c>
      <c r="GQ225" t="e">
        <f>AND(#REF!,"AAAAAH+zecY=")</f>
        <v>#REF!</v>
      </c>
      <c r="GR225" t="e">
        <f>AND(#REF!,"AAAAAH+zecc=")</f>
        <v>#REF!</v>
      </c>
      <c r="GS225" t="e">
        <f>AND(#REF!,"AAAAAH+zecg=")</f>
        <v>#REF!</v>
      </c>
      <c r="GT225" t="e">
        <f>AND(#REF!,"AAAAAH+zeck=")</f>
        <v>#REF!</v>
      </c>
      <c r="GU225" t="e">
        <f>AND(#REF!,"AAAAAH+zeco=")</f>
        <v>#REF!</v>
      </c>
      <c r="GV225" t="e">
        <f>AND(#REF!,"AAAAAH+zecs=")</f>
        <v>#REF!</v>
      </c>
      <c r="GW225" t="e">
        <f>AND(#REF!,"AAAAAH+zecw=")</f>
        <v>#REF!</v>
      </c>
      <c r="GX225" t="e">
        <f>AND(#REF!,"AAAAAH+zec0=")</f>
        <v>#REF!</v>
      </c>
      <c r="GY225" t="e">
        <f>AND(#REF!,"AAAAAH+zec4=")</f>
        <v>#REF!</v>
      </c>
      <c r="GZ225" t="e">
        <f>AND(#REF!,"AAAAAH+zec8=")</f>
        <v>#REF!</v>
      </c>
      <c r="HA225" t="e">
        <f>AND(#REF!,"AAAAAH+zedA=")</f>
        <v>#REF!</v>
      </c>
      <c r="HB225" t="e">
        <f>AND(#REF!,"AAAAAH+zedE=")</f>
        <v>#REF!</v>
      </c>
      <c r="HC225" t="e">
        <f>AND(#REF!,"AAAAAH+zedI=")</f>
        <v>#REF!</v>
      </c>
      <c r="HD225" t="e">
        <f>AND(#REF!,"AAAAAH+zedM=")</f>
        <v>#REF!</v>
      </c>
      <c r="HE225" t="e">
        <f>AND(#REF!,"AAAAAH+zedQ=")</f>
        <v>#REF!</v>
      </c>
      <c r="HF225" t="e">
        <f>AND(#REF!,"AAAAAH+zedU=")</f>
        <v>#REF!</v>
      </c>
      <c r="HG225" t="e">
        <f>AND(#REF!,"AAAAAH+zedY=")</f>
        <v>#REF!</v>
      </c>
      <c r="HH225" t="e">
        <f>AND(#REF!,"AAAAAH+zedc=")</f>
        <v>#REF!</v>
      </c>
      <c r="HI225" t="e">
        <f>AND(#REF!,"AAAAAH+zedg=")</f>
        <v>#REF!</v>
      </c>
      <c r="HJ225" t="e">
        <f>AND(#REF!,"AAAAAH+zedk=")</f>
        <v>#REF!</v>
      </c>
      <c r="HK225" t="e">
        <f>AND(#REF!,"AAAAAH+zedo=")</f>
        <v>#REF!</v>
      </c>
      <c r="HL225" t="e">
        <f>AND(#REF!,"AAAAAH+zeds=")</f>
        <v>#REF!</v>
      </c>
      <c r="HM225" t="e">
        <f>AND(#REF!,"AAAAAH+zedw=")</f>
        <v>#REF!</v>
      </c>
      <c r="HN225" t="e">
        <f>AND(#REF!,"AAAAAH+zed0=")</f>
        <v>#REF!</v>
      </c>
      <c r="HO225" t="e">
        <f>AND(#REF!,"AAAAAH+zed4=")</f>
        <v>#REF!</v>
      </c>
      <c r="HP225" t="e">
        <f>AND(#REF!,"AAAAAH+zed8=")</f>
        <v>#REF!</v>
      </c>
      <c r="HQ225" t="e">
        <f>AND(#REF!,"AAAAAH+zeeA=")</f>
        <v>#REF!</v>
      </c>
      <c r="HR225" t="e">
        <f>AND(#REF!,"AAAAAH+zeeE=")</f>
        <v>#REF!</v>
      </c>
      <c r="HS225" t="e">
        <f>AND(#REF!,"AAAAAH+zeeI=")</f>
        <v>#REF!</v>
      </c>
      <c r="HT225" t="e">
        <f>AND(#REF!,"AAAAAH+zeeM=")</f>
        <v>#REF!</v>
      </c>
      <c r="HU225" t="e">
        <f>AND(#REF!,"AAAAAH+zeeQ=")</f>
        <v>#REF!</v>
      </c>
      <c r="HV225" t="e">
        <f>AND(#REF!,"AAAAAH+zeeU=")</f>
        <v>#REF!</v>
      </c>
      <c r="HW225" t="e">
        <f>AND(#REF!,"AAAAAH+zeeY=")</f>
        <v>#REF!</v>
      </c>
      <c r="HX225" t="e">
        <f>AND(#REF!,"AAAAAH+zeec=")</f>
        <v>#REF!</v>
      </c>
      <c r="HY225" t="e">
        <f>AND(#REF!,"AAAAAH+zeeg=")</f>
        <v>#REF!</v>
      </c>
      <c r="HZ225" t="e">
        <f>AND(#REF!,"AAAAAH+zeek=")</f>
        <v>#REF!</v>
      </c>
      <c r="IA225" t="e">
        <f>AND(#REF!,"AAAAAH+zeeo=")</f>
        <v>#REF!</v>
      </c>
      <c r="IB225" t="e">
        <f>AND(#REF!,"AAAAAH+zees=")</f>
        <v>#REF!</v>
      </c>
      <c r="IC225" t="e">
        <f>AND(#REF!,"AAAAAH+zeew=")</f>
        <v>#REF!</v>
      </c>
      <c r="ID225" t="e">
        <f>AND(#REF!,"AAAAAH+zee0=")</f>
        <v>#REF!</v>
      </c>
      <c r="IE225" t="e">
        <f>AND(#REF!,"AAAAAH+zee4=")</f>
        <v>#REF!</v>
      </c>
      <c r="IF225" t="e">
        <f>AND(#REF!,"AAAAAH+zee8=")</f>
        <v>#REF!</v>
      </c>
      <c r="IG225" t="e">
        <f>AND(#REF!,"AAAAAH+zefA=")</f>
        <v>#REF!</v>
      </c>
      <c r="IH225" t="e">
        <f>AND(#REF!,"AAAAAH+zefE=")</f>
        <v>#REF!</v>
      </c>
      <c r="II225" t="e">
        <f>AND(#REF!,"AAAAAH+zefI=")</f>
        <v>#REF!</v>
      </c>
      <c r="IJ225" t="e">
        <f>AND(#REF!,"AAAAAH+zefM=")</f>
        <v>#REF!</v>
      </c>
      <c r="IK225" t="e">
        <f>AND(#REF!,"AAAAAH+zefQ=")</f>
        <v>#REF!</v>
      </c>
      <c r="IL225" t="e">
        <f>AND(#REF!,"AAAAAH+zefU=")</f>
        <v>#REF!</v>
      </c>
      <c r="IM225" t="e">
        <f>AND(#REF!,"AAAAAH+zefY=")</f>
        <v>#REF!</v>
      </c>
      <c r="IN225" t="e">
        <f>AND(#REF!,"AAAAAH+zefc=")</f>
        <v>#REF!</v>
      </c>
      <c r="IO225" t="e">
        <f>AND(#REF!,"AAAAAH+zefg=")</f>
        <v>#REF!</v>
      </c>
      <c r="IP225" t="e">
        <f>AND(#REF!,"AAAAAH+zefk=")</f>
        <v>#REF!</v>
      </c>
      <c r="IQ225" t="e">
        <f>AND(#REF!,"AAAAAH+zefo=")</f>
        <v>#REF!</v>
      </c>
      <c r="IR225" t="e">
        <f>AND(#REF!,"AAAAAH+zefs=")</f>
        <v>#REF!</v>
      </c>
      <c r="IS225" t="e">
        <f>AND(#REF!,"AAAAAH+zefw=")</f>
        <v>#REF!</v>
      </c>
      <c r="IT225" t="e">
        <f>AND(#REF!,"AAAAAH+zef0=")</f>
        <v>#REF!</v>
      </c>
      <c r="IU225" t="e">
        <f>AND(#REF!,"AAAAAH+zef4=")</f>
        <v>#REF!</v>
      </c>
      <c r="IV225" t="e">
        <f>AND(#REF!,"AAAAAH+zef8=")</f>
        <v>#REF!</v>
      </c>
    </row>
    <row r="226" spans="1:256" x14ac:dyDescent="0.25">
      <c r="A226" t="e">
        <f>AND(#REF!,"AAAAAH+7/QA=")</f>
        <v>#REF!</v>
      </c>
      <c r="B226" t="e">
        <f>AND(#REF!,"AAAAAH+7/QE=")</f>
        <v>#REF!</v>
      </c>
      <c r="C226" t="e">
        <f>AND(#REF!,"AAAAAH+7/QI=")</f>
        <v>#REF!</v>
      </c>
      <c r="D226" t="e">
        <f>AND(#REF!,"AAAAAH+7/QM=")</f>
        <v>#REF!</v>
      </c>
      <c r="E226" t="e">
        <f>AND(#REF!,"AAAAAH+7/QQ=")</f>
        <v>#REF!</v>
      </c>
      <c r="F226" t="e">
        <f>AND(#REF!,"AAAAAH+7/QU=")</f>
        <v>#REF!</v>
      </c>
      <c r="G226" t="e">
        <f>AND(#REF!,"AAAAAH+7/QY=")</f>
        <v>#REF!</v>
      </c>
      <c r="H226" t="e">
        <f>AND(#REF!,"AAAAAH+7/Qc=")</f>
        <v>#REF!</v>
      </c>
      <c r="I226" t="e">
        <f>AND(#REF!,"AAAAAH+7/Qg=")</f>
        <v>#REF!</v>
      </c>
      <c r="J226" t="e">
        <f>AND(#REF!,"AAAAAH+7/Qk=")</f>
        <v>#REF!</v>
      </c>
      <c r="K226" t="e">
        <f>AND(#REF!,"AAAAAH+7/Qo=")</f>
        <v>#REF!</v>
      </c>
      <c r="L226" t="e">
        <f>AND(#REF!,"AAAAAH+7/Qs=")</f>
        <v>#REF!</v>
      </c>
      <c r="M226" t="e">
        <f>AND(#REF!,"AAAAAH+7/Qw=")</f>
        <v>#REF!</v>
      </c>
      <c r="N226" t="e">
        <f>AND(#REF!,"AAAAAH+7/Q0=")</f>
        <v>#REF!</v>
      </c>
      <c r="O226" t="e">
        <f>AND(#REF!,"AAAAAH+7/Q4=")</f>
        <v>#REF!</v>
      </c>
      <c r="P226" t="e">
        <f>AND(#REF!,"AAAAAH+7/Q8=")</f>
        <v>#REF!</v>
      </c>
      <c r="Q226" t="e">
        <f>AND(#REF!,"AAAAAH+7/RA=")</f>
        <v>#REF!</v>
      </c>
      <c r="R226" t="e">
        <f>AND(#REF!,"AAAAAH+7/RE=")</f>
        <v>#REF!</v>
      </c>
      <c r="S226" t="e">
        <f>AND(#REF!,"AAAAAH+7/RI=")</f>
        <v>#REF!</v>
      </c>
      <c r="T226" t="e">
        <f>AND(#REF!,"AAAAAH+7/RM=")</f>
        <v>#REF!</v>
      </c>
      <c r="U226" t="e">
        <f>AND(#REF!,"AAAAAH+7/RQ=")</f>
        <v>#REF!</v>
      </c>
      <c r="V226" t="e">
        <f>AND(#REF!,"AAAAAH+7/RU=")</f>
        <v>#REF!</v>
      </c>
      <c r="W226" t="e">
        <f>AND(#REF!,"AAAAAH+7/RY=")</f>
        <v>#REF!</v>
      </c>
      <c r="X226" t="e">
        <f>AND(#REF!,"AAAAAH+7/Rc=")</f>
        <v>#REF!</v>
      </c>
      <c r="Y226" t="e">
        <f>AND(#REF!,"AAAAAH+7/Rg=")</f>
        <v>#REF!</v>
      </c>
      <c r="Z226" t="e">
        <f>AND(#REF!,"AAAAAH+7/Rk=")</f>
        <v>#REF!</v>
      </c>
      <c r="AA226" t="e">
        <f>AND(#REF!,"AAAAAH+7/Ro=")</f>
        <v>#REF!</v>
      </c>
      <c r="AB226" t="e">
        <f>AND(#REF!,"AAAAAH+7/Rs=")</f>
        <v>#REF!</v>
      </c>
      <c r="AC226" t="e">
        <f>AND(#REF!,"AAAAAH+7/Rw=")</f>
        <v>#REF!</v>
      </c>
      <c r="AD226" t="e">
        <f>AND(#REF!,"AAAAAH+7/R0=")</f>
        <v>#REF!</v>
      </c>
      <c r="AE226" t="e">
        <f>AND(#REF!,"AAAAAH+7/R4=")</f>
        <v>#REF!</v>
      </c>
      <c r="AF226" t="e">
        <f>AND(#REF!,"AAAAAH+7/R8=")</f>
        <v>#REF!</v>
      </c>
      <c r="AG226" t="e">
        <f>AND(#REF!,"AAAAAH+7/SA=")</f>
        <v>#REF!</v>
      </c>
      <c r="AH226" t="e">
        <f>AND(#REF!,"AAAAAH+7/SE=")</f>
        <v>#REF!</v>
      </c>
      <c r="AI226" t="e">
        <f>AND(#REF!,"AAAAAH+7/SI=")</f>
        <v>#REF!</v>
      </c>
      <c r="AJ226" t="e">
        <f>AND(#REF!,"AAAAAH+7/SM=")</f>
        <v>#REF!</v>
      </c>
      <c r="AK226" t="e">
        <f>AND(#REF!,"AAAAAH+7/SQ=")</f>
        <v>#REF!</v>
      </c>
      <c r="AL226" t="e">
        <f>IF(#REF!,"AAAAAH+7/SU=",0)</f>
        <v>#REF!</v>
      </c>
      <c r="AM226" t="e">
        <f>AND(#REF!,"AAAAAH+7/SY=")</f>
        <v>#REF!</v>
      </c>
      <c r="AN226" t="e">
        <f>AND(#REF!,"AAAAAH+7/Sc=")</f>
        <v>#REF!</v>
      </c>
      <c r="AO226" t="e">
        <f>AND(#REF!,"AAAAAH+7/Sg=")</f>
        <v>#REF!</v>
      </c>
      <c r="AP226" t="e">
        <f>AND(#REF!,"AAAAAH+7/Sk=")</f>
        <v>#REF!</v>
      </c>
      <c r="AQ226" t="e">
        <f>AND(#REF!,"AAAAAH+7/So=")</f>
        <v>#REF!</v>
      </c>
      <c r="AR226" t="e">
        <f>AND(#REF!,"AAAAAH+7/Ss=")</f>
        <v>#REF!</v>
      </c>
      <c r="AS226" t="e">
        <f>AND(#REF!,"AAAAAH+7/Sw=")</f>
        <v>#REF!</v>
      </c>
      <c r="AT226" t="e">
        <f>AND(#REF!,"AAAAAH+7/S0=")</f>
        <v>#REF!</v>
      </c>
      <c r="AU226" t="e">
        <f>AND(#REF!,"AAAAAH+7/S4=")</f>
        <v>#REF!</v>
      </c>
      <c r="AV226" t="e">
        <f>AND(#REF!,"AAAAAH+7/S8=")</f>
        <v>#REF!</v>
      </c>
      <c r="AW226" t="e">
        <f>AND(#REF!,"AAAAAH+7/TA=")</f>
        <v>#REF!</v>
      </c>
      <c r="AX226" t="e">
        <f>AND(#REF!,"AAAAAH+7/TE=")</f>
        <v>#REF!</v>
      </c>
      <c r="AY226" t="e">
        <f>AND(#REF!,"AAAAAH+7/TI=")</f>
        <v>#REF!</v>
      </c>
      <c r="AZ226" t="e">
        <f>AND(#REF!,"AAAAAH+7/TM=")</f>
        <v>#REF!</v>
      </c>
      <c r="BA226" t="e">
        <f>AND(#REF!,"AAAAAH+7/TQ=")</f>
        <v>#REF!</v>
      </c>
      <c r="BB226" t="e">
        <f>AND(#REF!,"AAAAAH+7/TU=")</f>
        <v>#REF!</v>
      </c>
      <c r="BC226" t="e">
        <f>AND(#REF!,"AAAAAH+7/TY=")</f>
        <v>#REF!</v>
      </c>
      <c r="BD226" t="e">
        <f>AND(#REF!,"AAAAAH+7/Tc=")</f>
        <v>#REF!</v>
      </c>
      <c r="BE226" t="e">
        <f>AND(#REF!,"AAAAAH+7/Tg=")</f>
        <v>#REF!</v>
      </c>
      <c r="BF226" t="e">
        <f>AND(#REF!,"AAAAAH+7/Tk=")</f>
        <v>#REF!</v>
      </c>
      <c r="BG226" t="e">
        <f>AND(#REF!,"AAAAAH+7/To=")</f>
        <v>#REF!</v>
      </c>
      <c r="BH226" t="e">
        <f>AND(#REF!,"AAAAAH+7/Ts=")</f>
        <v>#REF!</v>
      </c>
      <c r="BI226" t="e">
        <f>AND(#REF!,"AAAAAH+7/Tw=")</f>
        <v>#REF!</v>
      </c>
      <c r="BJ226" t="e">
        <f>AND(#REF!,"AAAAAH+7/T0=")</f>
        <v>#REF!</v>
      </c>
      <c r="BK226" t="e">
        <f>AND(#REF!,"AAAAAH+7/T4=")</f>
        <v>#REF!</v>
      </c>
      <c r="BL226" t="e">
        <f>AND(#REF!,"AAAAAH+7/T8=")</f>
        <v>#REF!</v>
      </c>
      <c r="BM226" t="e">
        <f>AND(#REF!,"AAAAAH+7/UA=")</f>
        <v>#REF!</v>
      </c>
      <c r="BN226" t="e">
        <f>AND(#REF!,"AAAAAH+7/UE=")</f>
        <v>#REF!</v>
      </c>
      <c r="BO226" t="e">
        <f>AND(#REF!,"AAAAAH+7/UI=")</f>
        <v>#REF!</v>
      </c>
      <c r="BP226" t="e">
        <f>AND(#REF!,"AAAAAH+7/UM=")</f>
        <v>#REF!</v>
      </c>
      <c r="BQ226" t="e">
        <f>AND(#REF!,"AAAAAH+7/UQ=")</f>
        <v>#REF!</v>
      </c>
      <c r="BR226" t="e">
        <f>AND(#REF!,"AAAAAH+7/UU=")</f>
        <v>#REF!</v>
      </c>
      <c r="BS226" t="e">
        <f>AND(#REF!,"AAAAAH+7/UY=")</f>
        <v>#REF!</v>
      </c>
      <c r="BT226" t="e">
        <f>AND(#REF!,"AAAAAH+7/Uc=")</f>
        <v>#REF!</v>
      </c>
      <c r="BU226" t="e">
        <f>AND(#REF!,"AAAAAH+7/Ug=")</f>
        <v>#REF!</v>
      </c>
      <c r="BV226" t="e">
        <f>AND(#REF!,"AAAAAH+7/Uk=")</f>
        <v>#REF!</v>
      </c>
      <c r="BW226" t="e">
        <f>AND(#REF!,"AAAAAH+7/Uo=")</f>
        <v>#REF!</v>
      </c>
      <c r="BX226" t="e">
        <f>AND(#REF!,"AAAAAH+7/Us=")</f>
        <v>#REF!</v>
      </c>
      <c r="BY226" t="e">
        <f>AND(#REF!,"AAAAAH+7/Uw=")</f>
        <v>#REF!</v>
      </c>
      <c r="BZ226" t="e">
        <f>AND(#REF!,"AAAAAH+7/U0=")</f>
        <v>#REF!</v>
      </c>
      <c r="CA226" t="e">
        <f>AND(#REF!,"AAAAAH+7/U4=")</f>
        <v>#REF!</v>
      </c>
      <c r="CB226" t="e">
        <f>AND(#REF!,"AAAAAH+7/U8=")</f>
        <v>#REF!</v>
      </c>
      <c r="CC226" t="e">
        <f>AND(#REF!,"AAAAAH+7/VA=")</f>
        <v>#REF!</v>
      </c>
      <c r="CD226" t="e">
        <f>AND(#REF!,"AAAAAH+7/VE=")</f>
        <v>#REF!</v>
      </c>
      <c r="CE226" t="e">
        <f>AND(#REF!,"AAAAAH+7/VI=")</f>
        <v>#REF!</v>
      </c>
      <c r="CF226" t="e">
        <f>AND(#REF!,"AAAAAH+7/VM=")</f>
        <v>#REF!</v>
      </c>
      <c r="CG226" t="e">
        <f>AND(#REF!,"AAAAAH+7/VQ=")</f>
        <v>#REF!</v>
      </c>
      <c r="CH226" t="e">
        <f>AND(#REF!,"AAAAAH+7/VU=")</f>
        <v>#REF!</v>
      </c>
      <c r="CI226" t="e">
        <f>AND(#REF!,"AAAAAH+7/VY=")</f>
        <v>#REF!</v>
      </c>
      <c r="CJ226" t="e">
        <f>AND(#REF!,"AAAAAH+7/Vc=")</f>
        <v>#REF!</v>
      </c>
      <c r="CK226" t="e">
        <f>AND(#REF!,"AAAAAH+7/Vg=")</f>
        <v>#REF!</v>
      </c>
      <c r="CL226" t="e">
        <f>AND(#REF!,"AAAAAH+7/Vk=")</f>
        <v>#REF!</v>
      </c>
      <c r="CM226" t="e">
        <f>AND(#REF!,"AAAAAH+7/Vo=")</f>
        <v>#REF!</v>
      </c>
      <c r="CN226" t="e">
        <f>AND(#REF!,"AAAAAH+7/Vs=")</f>
        <v>#REF!</v>
      </c>
      <c r="CO226" t="e">
        <f>AND(#REF!,"AAAAAH+7/Vw=")</f>
        <v>#REF!</v>
      </c>
      <c r="CP226" t="e">
        <f>AND(#REF!,"AAAAAH+7/V0=")</f>
        <v>#REF!</v>
      </c>
      <c r="CQ226" t="e">
        <f>AND(#REF!,"AAAAAH+7/V4=")</f>
        <v>#REF!</v>
      </c>
      <c r="CR226" t="e">
        <f>AND(#REF!,"AAAAAH+7/V8=")</f>
        <v>#REF!</v>
      </c>
      <c r="CS226" t="e">
        <f>AND(#REF!,"AAAAAH+7/WA=")</f>
        <v>#REF!</v>
      </c>
      <c r="CT226" t="e">
        <f>AND(#REF!,"AAAAAH+7/WE=")</f>
        <v>#REF!</v>
      </c>
      <c r="CU226" t="e">
        <f>AND(#REF!,"AAAAAH+7/WI=")</f>
        <v>#REF!</v>
      </c>
      <c r="CV226" t="e">
        <f>AND(#REF!,"AAAAAH+7/WM=")</f>
        <v>#REF!</v>
      </c>
      <c r="CW226" t="e">
        <f>AND(#REF!,"AAAAAH+7/WQ=")</f>
        <v>#REF!</v>
      </c>
      <c r="CX226" t="e">
        <f>AND(#REF!,"AAAAAH+7/WU=")</f>
        <v>#REF!</v>
      </c>
      <c r="CY226" t="e">
        <f>AND(#REF!,"AAAAAH+7/WY=")</f>
        <v>#REF!</v>
      </c>
      <c r="CZ226" t="e">
        <f>AND(#REF!,"AAAAAH+7/Wc=")</f>
        <v>#REF!</v>
      </c>
      <c r="DA226" t="e">
        <f>AND(#REF!,"AAAAAH+7/Wg=")</f>
        <v>#REF!</v>
      </c>
      <c r="DB226" t="e">
        <f>AND(#REF!,"AAAAAH+7/Wk=")</f>
        <v>#REF!</v>
      </c>
      <c r="DC226" t="e">
        <f>AND(#REF!,"AAAAAH+7/Wo=")</f>
        <v>#REF!</v>
      </c>
      <c r="DD226" t="e">
        <f>AND(#REF!,"AAAAAH+7/Ws=")</f>
        <v>#REF!</v>
      </c>
      <c r="DE226" t="e">
        <f>AND(#REF!,"AAAAAH+7/Ww=")</f>
        <v>#REF!</v>
      </c>
      <c r="DF226" t="e">
        <f>AND(#REF!,"AAAAAH+7/W0=")</f>
        <v>#REF!</v>
      </c>
      <c r="DG226" t="e">
        <f>AND(#REF!,"AAAAAH+7/W4=")</f>
        <v>#REF!</v>
      </c>
      <c r="DH226" t="e">
        <f>AND(#REF!,"AAAAAH+7/W8=")</f>
        <v>#REF!</v>
      </c>
      <c r="DI226" t="e">
        <f>AND(#REF!,"AAAAAH+7/XA=")</f>
        <v>#REF!</v>
      </c>
      <c r="DJ226" t="e">
        <f>AND(#REF!,"AAAAAH+7/XE=")</f>
        <v>#REF!</v>
      </c>
      <c r="DK226" t="e">
        <f>AND(#REF!,"AAAAAH+7/XI=")</f>
        <v>#REF!</v>
      </c>
      <c r="DL226" t="e">
        <f>AND(#REF!,"AAAAAH+7/XM=")</f>
        <v>#REF!</v>
      </c>
      <c r="DM226" t="e">
        <f>AND(#REF!,"AAAAAH+7/XQ=")</f>
        <v>#REF!</v>
      </c>
      <c r="DN226" t="e">
        <f>AND(#REF!,"AAAAAH+7/XU=")</f>
        <v>#REF!</v>
      </c>
      <c r="DO226" t="e">
        <f>AND(#REF!,"AAAAAH+7/XY=")</f>
        <v>#REF!</v>
      </c>
      <c r="DP226" t="e">
        <f>AND(#REF!,"AAAAAH+7/Xc=")</f>
        <v>#REF!</v>
      </c>
      <c r="DQ226" t="e">
        <f>AND(#REF!,"AAAAAH+7/Xg=")</f>
        <v>#REF!</v>
      </c>
      <c r="DR226" t="e">
        <f>AND(#REF!,"AAAAAH+7/Xk=")</f>
        <v>#REF!</v>
      </c>
      <c r="DS226" t="e">
        <f>AND(#REF!,"AAAAAH+7/Xo=")</f>
        <v>#REF!</v>
      </c>
      <c r="DT226" t="e">
        <f>AND(#REF!,"AAAAAH+7/Xs=")</f>
        <v>#REF!</v>
      </c>
      <c r="DU226" t="e">
        <f>AND(#REF!,"AAAAAH+7/Xw=")</f>
        <v>#REF!</v>
      </c>
      <c r="DV226" t="e">
        <f>AND(#REF!,"AAAAAH+7/X0=")</f>
        <v>#REF!</v>
      </c>
      <c r="DW226" t="e">
        <f>AND(#REF!,"AAAAAH+7/X4=")</f>
        <v>#REF!</v>
      </c>
      <c r="DX226" t="e">
        <f>AND(#REF!,"AAAAAH+7/X8=")</f>
        <v>#REF!</v>
      </c>
      <c r="DY226" t="e">
        <f>AND(#REF!,"AAAAAH+7/YA=")</f>
        <v>#REF!</v>
      </c>
      <c r="DZ226" t="e">
        <f>AND(#REF!,"AAAAAH+7/YE=")</f>
        <v>#REF!</v>
      </c>
      <c r="EA226" t="e">
        <f>AND(#REF!,"AAAAAH+7/YI=")</f>
        <v>#REF!</v>
      </c>
      <c r="EB226" t="e">
        <f>AND(#REF!,"AAAAAH+7/YM=")</f>
        <v>#REF!</v>
      </c>
      <c r="EC226" t="e">
        <f>AND(#REF!,"AAAAAH+7/YQ=")</f>
        <v>#REF!</v>
      </c>
      <c r="ED226" t="e">
        <f>AND(#REF!,"AAAAAH+7/YU=")</f>
        <v>#REF!</v>
      </c>
      <c r="EE226" t="e">
        <f>AND(#REF!,"AAAAAH+7/YY=")</f>
        <v>#REF!</v>
      </c>
      <c r="EF226" t="e">
        <f>AND(#REF!,"AAAAAH+7/Yc=")</f>
        <v>#REF!</v>
      </c>
      <c r="EG226" t="e">
        <f>AND(#REF!,"AAAAAH+7/Yg=")</f>
        <v>#REF!</v>
      </c>
      <c r="EH226" t="e">
        <f>AND(#REF!,"AAAAAH+7/Yk=")</f>
        <v>#REF!</v>
      </c>
      <c r="EI226" t="e">
        <f>AND(#REF!,"AAAAAH+7/Yo=")</f>
        <v>#REF!</v>
      </c>
      <c r="EJ226" t="e">
        <f>AND(#REF!,"AAAAAH+7/Ys=")</f>
        <v>#REF!</v>
      </c>
      <c r="EK226" t="e">
        <f>AND(#REF!,"AAAAAH+7/Yw=")</f>
        <v>#REF!</v>
      </c>
      <c r="EL226" t="e">
        <f>AND(#REF!,"AAAAAH+7/Y0=")</f>
        <v>#REF!</v>
      </c>
      <c r="EM226" t="e">
        <f>AND(#REF!,"AAAAAH+7/Y4=")</f>
        <v>#REF!</v>
      </c>
      <c r="EN226" t="e">
        <f>AND(#REF!,"AAAAAH+7/Y8=")</f>
        <v>#REF!</v>
      </c>
      <c r="EO226" t="e">
        <f>AND(#REF!,"AAAAAH+7/ZA=")</f>
        <v>#REF!</v>
      </c>
      <c r="EP226" t="e">
        <f>AND(#REF!,"AAAAAH+7/ZE=")</f>
        <v>#REF!</v>
      </c>
      <c r="EQ226" t="e">
        <f>AND(#REF!,"AAAAAH+7/ZI=")</f>
        <v>#REF!</v>
      </c>
      <c r="ER226" t="e">
        <f>AND(#REF!,"AAAAAH+7/ZM=")</f>
        <v>#REF!</v>
      </c>
      <c r="ES226" t="e">
        <f>AND(#REF!,"AAAAAH+7/ZQ=")</f>
        <v>#REF!</v>
      </c>
      <c r="ET226" t="e">
        <f>AND(#REF!,"AAAAAH+7/ZU=")</f>
        <v>#REF!</v>
      </c>
      <c r="EU226" t="e">
        <f>AND(#REF!,"AAAAAH+7/ZY=")</f>
        <v>#REF!</v>
      </c>
      <c r="EV226" t="e">
        <f>AND(#REF!,"AAAAAH+7/Zc=")</f>
        <v>#REF!</v>
      </c>
      <c r="EW226" t="e">
        <f>AND(#REF!,"AAAAAH+7/Zg=")</f>
        <v>#REF!</v>
      </c>
      <c r="EX226" t="e">
        <f>AND(#REF!,"AAAAAH+7/Zk=")</f>
        <v>#REF!</v>
      </c>
      <c r="EY226" t="e">
        <f>AND(#REF!,"AAAAAH+7/Zo=")</f>
        <v>#REF!</v>
      </c>
      <c r="EZ226" t="e">
        <f>AND(#REF!,"AAAAAH+7/Zs=")</f>
        <v>#REF!</v>
      </c>
      <c r="FA226" t="e">
        <f>AND(#REF!,"AAAAAH+7/Zw=")</f>
        <v>#REF!</v>
      </c>
      <c r="FB226" t="e">
        <f>AND(#REF!,"AAAAAH+7/Z0=")</f>
        <v>#REF!</v>
      </c>
      <c r="FC226" t="e">
        <f>AND(#REF!,"AAAAAH+7/Z4=")</f>
        <v>#REF!</v>
      </c>
      <c r="FD226" t="e">
        <f>AND(#REF!,"AAAAAH+7/Z8=")</f>
        <v>#REF!</v>
      </c>
      <c r="FE226" t="e">
        <f>AND(#REF!,"AAAAAH+7/aA=")</f>
        <v>#REF!</v>
      </c>
      <c r="FF226" t="e">
        <f>AND(#REF!,"AAAAAH+7/aE=")</f>
        <v>#REF!</v>
      </c>
      <c r="FG226" t="e">
        <f>AND(#REF!,"AAAAAH+7/aI=")</f>
        <v>#REF!</v>
      </c>
      <c r="FH226" t="e">
        <f>AND(#REF!,"AAAAAH+7/aM=")</f>
        <v>#REF!</v>
      </c>
      <c r="FI226" t="e">
        <f>AND(#REF!,"AAAAAH+7/aQ=")</f>
        <v>#REF!</v>
      </c>
      <c r="FJ226" t="e">
        <f>AND(#REF!,"AAAAAH+7/aU=")</f>
        <v>#REF!</v>
      </c>
      <c r="FK226" t="e">
        <f>AND(#REF!,"AAAAAH+7/aY=")</f>
        <v>#REF!</v>
      </c>
      <c r="FL226" t="e">
        <f>AND(#REF!,"AAAAAH+7/ac=")</f>
        <v>#REF!</v>
      </c>
      <c r="FM226" t="e">
        <f>AND(#REF!,"AAAAAH+7/ag=")</f>
        <v>#REF!</v>
      </c>
      <c r="FN226" t="e">
        <f>AND(#REF!,"AAAAAH+7/ak=")</f>
        <v>#REF!</v>
      </c>
      <c r="FO226" t="e">
        <f>AND(#REF!,"AAAAAH+7/ao=")</f>
        <v>#REF!</v>
      </c>
      <c r="FP226" t="e">
        <f>AND(#REF!,"AAAAAH+7/as=")</f>
        <v>#REF!</v>
      </c>
      <c r="FQ226" t="e">
        <f>AND(#REF!,"AAAAAH+7/aw=")</f>
        <v>#REF!</v>
      </c>
      <c r="FR226" t="e">
        <f>AND(#REF!,"AAAAAH+7/a0=")</f>
        <v>#REF!</v>
      </c>
      <c r="FS226" t="e">
        <f>AND(#REF!,"AAAAAH+7/a4=")</f>
        <v>#REF!</v>
      </c>
      <c r="FT226" t="e">
        <f>AND(#REF!,"AAAAAH+7/a8=")</f>
        <v>#REF!</v>
      </c>
      <c r="FU226" t="e">
        <f>AND(#REF!,"AAAAAH+7/bA=")</f>
        <v>#REF!</v>
      </c>
      <c r="FV226" t="e">
        <f>AND(#REF!,"AAAAAH+7/bE=")</f>
        <v>#REF!</v>
      </c>
      <c r="FW226" t="e">
        <f>AND(#REF!,"AAAAAH+7/bI=")</f>
        <v>#REF!</v>
      </c>
      <c r="FX226" t="e">
        <f>AND(#REF!,"AAAAAH+7/bM=")</f>
        <v>#REF!</v>
      </c>
      <c r="FY226" t="e">
        <f>AND(#REF!,"AAAAAH+7/bQ=")</f>
        <v>#REF!</v>
      </c>
      <c r="FZ226" t="e">
        <f>AND(#REF!,"AAAAAH+7/bU=")</f>
        <v>#REF!</v>
      </c>
      <c r="GA226" t="e">
        <f>AND(#REF!,"AAAAAH+7/bY=")</f>
        <v>#REF!</v>
      </c>
      <c r="GB226" t="e">
        <f>AND(#REF!,"AAAAAH+7/bc=")</f>
        <v>#REF!</v>
      </c>
      <c r="GC226" t="e">
        <f>AND(#REF!,"AAAAAH+7/bg=")</f>
        <v>#REF!</v>
      </c>
      <c r="GD226" t="e">
        <f>AND(#REF!,"AAAAAH+7/bk=")</f>
        <v>#REF!</v>
      </c>
      <c r="GE226" t="e">
        <f>AND(#REF!,"AAAAAH+7/bo=")</f>
        <v>#REF!</v>
      </c>
      <c r="GF226" t="e">
        <f>AND(#REF!,"AAAAAH+7/bs=")</f>
        <v>#REF!</v>
      </c>
      <c r="GG226" t="e">
        <f>AND(#REF!,"AAAAAH+7/bw=")</f>
        <v>#REF!</v>
      </c>
      <c r="GH226" t="e">
        <f>AND(#REF!,"AAAAAH+7/b0=")</f>
        <v>#REF!</v>
      </c>
      <c r="GI226" t="e">
        <f>AND(#REF!,"AAAAAH+7/b4=")</f>
        <v>#REF!</v>
      </c>
      <c r="GJ226" t="e">
        <f>AND(#REF!,"AAAAAH+7/b8=")</f>
        <v>#REF!</v>
      </c>
      <c r="GK226" t="e">
        <f>AND(#REF!,"AAAAAH+7/cA=")</f>
        <v>#REF!</v>
      </c>
      <c r="GL226" t="e">
        <f>AND(#REF!,"AAAAAH+7/cE=")</f>
        <v>#REF!</v>
      </c>
      <c r="GM226" t="e">
        <f>AND(#REF!,"AAAAAH+7/cI=")</f>
        <v>#REF!</v>
      </c>
      <c r="GN226" t="e">
        <f>AND(#REF!,"AAAAAH+7/cM=")</f>
        <v>#REF!</v>
      </c>
      <c r="GO226" t="e">
        <f>AND(#REF!,"AAAAAH+7/cQ=")</f>
        <v>#REF!</v>
      </c>
      <c r="GP226" t="e">
        <f>AND(#REF!,"AAAAAH+7/cU=")</f>
        <v>#REF!</v>
      </c>
      <c r="GQ226" t="e">
        <f>AND(#REF!,"AAAAAH+7/cY=")</f>
        <v>#REF!</v>
      </c>
      <c r="GR226" t="e">
        <f>AND(#REF!,"AAAAAH+7/cc=")</f>
        <v>#REF!</v>
      </c>
      <c r="GS226" t="e">
        <f>AND(#REF!,"AAAAAH+7/cg=")</f>
        <v>#REF!</v>
      </c>
      <c r="GT226" t="e">
        <f>AND(#REF!,"AAAAAH+7/ck=")</f>
        <v>#REF!</v>
      </c>
      <c r="GU226" t="e">
        <f>AND(#REF!,"AAAAAH+7/co=")</f>
        <v>#REF!</v>
      </c>
      <c r="GV226" t="e">
        <f>AND(#REF!,"AAAAAH+7/cs=")</f>
        <v>#REF!</v>
      </c>
      <c r="GW226" t="e">
        <f>AND(#REF!,"AAAAAH+7/cw=")</f>
        <v>#REF!</v>
      </c>
      <c r="GX226" t="e">
        <f>AND(#REF!,"AAAAAH+7/c0=")</f>
        <v>#REF!</v>
      </c>
      <c r="GY226" t="e">
        <f>AND(#REF!,"AAAAAH+7/c4=")</f>
        <v>#REF!</v>
      </c>
      <c r="GZ226" t="e">
        <f>AND(#REF!,"AAAAAH+7/c8=")</f>
        <v>#REF!</v>
      </c>
      <c r="HA226" t="e">
        <f>AND(#REF!,"AAAAAH+7/dA=")</f>
        <v>#REF!</v>
      </c>
      <c r="HB226" t="e">
        <f>AND(#REF!,"AAAAAH+7/dE=")</f>
        <v>#REF!</v>
      </c>
      <c r="HC226" t="e">
        <f>AND(#REF!,"AAAAAH+7/dI=")</f>
        <v>#REF!</v>
      </c>
      <c r="HD226" t="e">
        <f>AND(#REF!,"AAAAAH+7/dM=")</f>
        <v>#REF!</v>
      </c>
      <c r="HE226" t="e">
        <f>AND(#REF!,"AAAAAH+7/dQ=")</f>
        <v>#REF!</v>
      </c>
      <c r="HF226" t="e">
        <f>AND(#REF!,"AAAAAH+7/dU=")</f>
        <v>#REF!</v>
      </c>
      <c r="HG226" t="e">
        <f>AND(#REF!,"AAAAAH+7/dY=")</f>
        <v>#REF!</v>
      </c>
      <c r="HH226" t="e">
        <f>AND(#REF!,"AAAAAH+7/dc=")</f>
        <v>#REF!</v>
      </c>
      <c r="HI226" t="e">
        <f>AND(#REF!,"AAAAAH+7/dg=")</f>
        <v>#REF!</v>
      </c>
      <c r="HJ226" t="e">
        <f>AND(#REF!,"AAAAAH+7/dk=")</f>
        <v>#REF!</v>
      </c>
      <c r="HK226" t="e">
        <f>AND(#REF!,"AAAAAH+7/do=")</f>
        <v>#REF!</v>
      </c>
      <c r="HL226" t="e">
        <f>AND(#REF!,"AAAAAH+7/ds=")</f>
        <v>#REF!</v>
      </c>
      <c r="HM226" t="e">
        <f>AND(#REF!,"AAAAAH+7/dw=")</f>
        <v>#REF!</v>
      </c>
      <c r="HN226" t="e">
        <f>AND(#REF!,"AAAAAH+7/d0=")</f>
        <v>#REF!</v>
      </c>
      <c r="HO226" t="e">
        <f>AND(#REF!,"AAAAAH+7/d4=")</f>
        <v>#REF!</v>
      </c>
      <c r="HP226" t="e">
        <f>AND(#REF!,"AAAAAH+7/d8=")</f>
        <v>#REF!</v>
      </c>
      <c r="HQ226" t="e">
        <f>AND(#REF!,"AAAAAH+7/eA=")</f>
        <v>#REF!</v>
      </c>
      <c r="HR226" t="e">
        <f>AND(#REF!,"AAAAAH+7/eE=")</f>
        <v>#REF!</v>
      </c>
      <c r="HS226" t="e">
        <f>IF(#REF!,"AAAAAH+7/eI=",0)</f>
        <v>#REF!</v>
      </c>
      <c r="HT226" t="e">
        <f>AND(#REF!,"AAAAAH+7/eM=")</f>
        <v>#REF!</v>
      </c>
      <c r="HU226" t="e">
        <f>AND(#REF!,"AAAAAH+7/eQ=")</f>
        <v>#REF!</v>
      </c>
      <c r="HV226" t="e">
        <f>AND(#REF!,"AAAAAH+7/eU=")</f>
        <v>#REF!</v>
      </c>
      <c r="HW226" t="e">
        <f>AND(#REF!,"AAAAAH+7/eY=")</f>
        <v>#REF!</v>
      </c>
      <c r="HX226" t="e">
        <f>AND(#REF!,"AAAAAH+7/ec=")</f>
        <v>#REF!</v>
      </c>
      <c r="HY226" t="e">
        <f>AND(#REF!,"AAAAAH+7/eg=")</f>
        <v>#REF!</v>
      </c>
      <c r="HZ226" t="e">
        <f>AND(#REF!,"AAAAAH+7/ek=")</f>
        <v>#REF!</v>
      </c>
      <c r="IA226" t="e">
        <f>AND(#REF!,"AAAAAH+7/eo=")</f>
        <v>#REF!</v>
      </c>
      <c r="IB226" t="e">
        <f>AND(#REF!,"AAAAAH+7/es=")</f>
        <v>#REF!</v>
      </c>
      <c r="IC226" t="e">
        <f>AND(#REF!,"AAAAAH+7/ew=")</f>
        <v>#REF!</v>
      </c>
      <c r="ID226" t="e">
        <f>AND(#REF!,"AAAAAH+7/e0=")</f>
        <v>#REF!</v>
      </c>
      <c r="IE226" t="e">
        <f>AND(#REF!,"AAAAAH+7/e4=")</f>
        <v>#REF!</v>
      </c>
      <c r="IF226" t="e">
        <f>AND(#REF!,"AAAAAH+7/e8=")</f>
        <v>#REF!</v>
      </c>
      <c r="IG226" t="e">
        <f>AND(#REF!,"AAAAAH+7/fA=")</f>
        <v>#REF!</v>
      </c>
      <c r="IH226" t="e">
        <f>AND(#REF!,"AAAAAH+7/fE=")</f>
        <v>#REF!</v>
      </c>
      <c r="II226" t="e">
        <f>AND(#REF!,"AAAAAH+7/fI=")</f>
        <v>#REF!</v>
      </c>
      <c r="IJ226" t="e">
        <f>AND(#REF!,"AAAAAH+7/fM=")</f>
        <v>#REF!</v>
      </c>
      <c r="IK226" t="e">
        <f>AND(#REF!,"AAAAAH+7/fQ=")</f>
        <v>#REF!</v>
      </c>
      <c r="IL226" t="e">
        <f>AND(#REF!,"AAAAAH+7/fU=")</f>
        <v>#REF!</v>
      </c>
      <c r="IM226" t="e">
        <f>AND(#REF!,"AAAAAH+7/fY=")</f>
        <v>#REF!</v>
      </c>
      <c r="IN226" t="e">
        <f>AND(#REF!,"AAAAAH+7/fc=")</f>
        <v>#REF!</v>
      </c>
      <c r="IO226" t="e">
        <f>AND(#REF!,"AAAAAH+7/fg=")</f>
        <v>#REF!</v>
      </c>
      <c r="IP226" t="e">
        <f>AND(#REF!,"AAAAAH+7/fk=")</f>
        <v>#REF!</v>
      </c>
      <c r="IQ226" t="e">
        <f>AND(#REF!,"AAAAAH+7/fo=")</f>
        <v>#REF!</v>
      </c>
      <c r="IR226" t="e">
        <f>AND(#REF!,"AAAAAH+7/fs=")</f>
        <v>#REF!</v>
      </c>
      <c r="IS226" t="e">
        <f>AND(#REF!,"AAAAAH+7/fw=")</f>
        <v>#REF!</v>
      </c>
      <c r="IT226" t="e">
        <f>AND(#REF!,"AAAAAH+7/f0=")</f>
        <v>#REF!</v>
      </c>
      <c r="IU226" t="e">
        <f>AND(#REF!,"AAAAAH+7/f4=")</f>
        <v>#REF!</v>
      </c>
      <c r="IV226" t="e">
        <f>AND(#REF!,"AAAAAH+7/f8=")</f>
        <v>#REF!</v>
      </c>
    </row>
    <row r="227" spans="1:256" x14ac:dyDescent="0.25">
      <c r="A227" t="e">
        <f>AND(#REF!,"AAAAAD/3+wA=")</f>
        <v>#REF!</v>
      </c>
      <c r="B227" t="e">
        <f>AND(#REF!,"AAAAAD/3+wE=")</f>
        <v>#REF!</v>
      </c>
      <c r="C227" t="e">
        <f>AND(#REF!,"AAAAAD/3+wI=")</f>
        <v>#REF!</v>
      </c>
      <c r="D227" t="e">
        <f>AND(#REF!,"AAAAAD/3+wM=")</f>
        <v>#REF!</v>
      </c>
      <c r="E227" t="e">
        <f>AND(#REF!,"AAAAAD/3+wQ=")</f>
        <v>#REF!</v>
      </c>
      <c r="F227" t="e">
        <f>AND(#REF!,"AAAAAD/3+wU=")</f>
        <v>#REF!</v>
      </c>
      <c r="G227" t="e">
        <f>AND(#REF!,"AAAAAD/3+wY=")</f>
        <v>#REF!</v>
      </c>
      <c r="H227" t="e">
        <f>AND(#REF!,"AAAAAD/3+wc=")</f>
        <v>#REF!</v>
      </c>
      <c r="I227" t="e">
        <f>AND(#REF!,"AAAAAD/3+wg=")</f>
        <v>#REF!</v>
      </c>
      <c r="J227" t="e">
        <f>AND(#REF!,"AAAAAD/3+wk=")</f>
        <v>#REF!</v>
      </c>
      <c r="K227" t="e">
        <f>AND(#REF!,"AAAAAD/3+wo=")</f>
        <v>#REF!</v>
      </c>
      <c r="L227" t="e">
        <f>AND(#REF!,"AAAAAD/3+ws=")</f>
        <v>#REF!</v>
      </c>
      <c r="M227" t="e">
        <f>AND(#REF!,"AAAAAD/3+ww=")</f>
        <v>#REF!</v>
      </c>
      <c r="N227" t="e">
        <f>AND(#REF!,"AAAAAD/3+w0=")</f>
        <v>#REF!</v>
      </c>
      <c r="O227" t="e">
        <f>AND(#REF!,"AAAAAD/3+w4=")</f>
        <v>#REF!</v>
      </c>
      <c r="P227" t="e">
        <f>AND(#REF!,"AAAAAD/3+w8=")</f>
        <v>#REF!</v>
      </c>
      <c r="Q227" t="e">
        <f>AND(#REF!,"AAAAAD/3+xA=")</f>
        <v>#REF!</v>
      </c>
      <c r="R227" t="e">
        <f>AND(#REF!,"AAAAAD/3+xE=")</f>
        <v>#REF!</v>
      </c>
      <c r="S227" t="e">
        <f>AND(#REF!,"AAAAAD/3+xI=")</f>
        <v>#REF!</v>
      </c>
      <c r="T227" t="e">
        <f>AND(#REF!,"AAAAAD/3+xM=")</f>
        <v>#REF!</v>
      </c>
      <c r="U227" t="e">
        <f>AND(#REF!,"AAAAAD/3+xQ=")</f>
        <v>#REF!</v>
      </c>
      <c r="V227" t="e">
        <f>AND(#REF!,"AAAAAD/3+xU=")</f>
        <v>#REF!</v>
      </c>
      <c r="W227" t="e">
        <f>AND(#REF!,"AAAAAD/3+xY=")</f>
        <v>#REF!</v>
      </c>
      <c r="X227" t="e">
        <f>AND(#REF!,"AAAAAD/3+xc=")</f>
        <v>#REF!</v>
      </c>
      <c r="Y227" t="e">
        <f>AND(#REF!,"AAAAAD/3+xg=")</f>
        <v>#REF!</v>
      </c>
      <c r="Z227" t="e">
        <f>AND(#REF!,"AAAAAD/3+xk=")</f>
        <v>#REF!</v>
      </c>
      <c r="AA227" t="e">
        <f>AND(#REF!,"AAAAAD/3+xo=")</f>
        <v>#REF!</v>
      </c>
      <c r="AB227" t="e">
        <f>AND(#REF!,"AAAAAD/3+xs=")</f>
        <v>#REF!</v>
      </c>
      <c r="AC227" t="e">
        <f>AND(#REF!,"AAAAAD/3+xw=")</f>
        <v>#REF!</v>
      </c>
      <c r="AD227" t="e">
        <f>AND(#REF!,"AAAAAD/3+x0=")</f>
        <v>#REF!</v>
      </c>
      <c r="AE227" t="e">
        <f>AND(#REF!,"AAAAAD/3+x4=")</f>
        <v>#REF!</v>
      </c>
      <c r="AF227" t="e">
        <f>AND(#REF!,"AAAAAD/3+x8=")</f>
        <v>#REF!</v>
      </c>
      <c r="AG227" t="e">
        <f>AND(#REF!,"AAAAAD/3+yA=")</f>
        <v>#REF!</v>
      </c>
      <c r="AH227" t="e">
        <f>AND(#REF!,"AAAAAD/3+yE=")</f>
        <v>#REF!</v>
      </c>
      <c r="AI227" t="e">
        <f>AND(#REF!,"AAAAAD/3+yI=")</f>
        <v>#REF!</v>
      </c>
      <c r="AJ227" t="e">
        <f>AND(#REF!,"AAAAAD/3+yM=")</f>
        <v>#REF!</v>
      </c>
      <c r="AK227" t="e">
        <f>AND(#REF!,"AAAAAD/3+yQ=")</f>
        <v>#REF!</v>
      </c>
      <c r="AL227" t="e">
        <f>AND(#REF!,"AAAAAD/3+yU=")</f>
        <v>#REF!</v>
      </c>
      <c r="AM227" t="e">
        <f>AND(#REF!,"AAAAAD/3+yY=")</f>
        <v>#REF!</v>
      </c>
      <c r="AN227" t="e">
        <f>AND(#REF!,"AAAAAD/3+yc=")</f>
        <v>#REF!</v>
      </c>
      <c r="AO227" t="e">
        <f>AND(#REF!,"AAAAAD/3+yg=")</f>
        <v>#REF!</v>
      </c>
      <c r="AP227" t="e">
        <f>AND(#REF!,"AAAAAD/3+yk=")</f>
        <v>#REF!</v>
      </c>
      <c r="AQ227" t="e">
        <f>AND(#REF!,"AAAAAD/3+yo=")</f>
        <v>#REF!</v>
      </c>
      <c r="AR227" t="e">
        <f>AND(#REF!,"AAAAAD/3+ys=")</f>
        <v>#REF!</v>
      </c>
      <c r="AS227" t="e">
        <f>AND(#REF!,"AAAAAD/3+yw=")</f>
        <v>#REF!</v>
      </c>
      <c r="AT227" t="e">
        <f>AND(#REF!,"AAAAAD/3+y0=")</f>
        <v>#REF!</v>
      </c>
      <c r="AU227" t="e">
        <f>AND(#REF!,"AAAAAD/3+y4=")</f>
        <v>#REF!</v>
      </c>
      <c r="AV227" t="e">
        <f>AND(#REF!,"AAAAAD/3+y8=")</f>
        <v>#REF!</v>
      </c>
      <c r="AW227" t="e">
        <f>AND(#REF!,"AAAAAD/3+zA=")</f>
        <v>#REF!</v>
      </c>
      <c r="AX227" t="e">
        <f>AND(#REF!,"AAAAAD/3+zE=")</f>
        <v>#REF!</v>
      </c>
      <c r="AY227" t="e">
        <f>AND(#REF!,"AAAAAD/3+zI=")</f>
        <v>#REF!</v>
      </c>
      <c r="AZ227" t="e">
        <f>AND(#REF!,"AAAAAD/3+zM=")</f>
        <v>#REF!</v>
      </c>
      <c r="BA227" t="e">
        <f>AND(#REF!,"AAAAAD/3+zQ=")</f>
        <v>#REF!</v>
      </c>
      <c r="BB227" t="e">
        <f>AND(#REF!,"AAAAAD/3+zU=")</f>
        <v>#REF!</v>
      </c>
      <c r="BC227" t="e">
        <f>AND(#REF!,"AAAAAD/3+zY=")</f>
        <v>#REF!</v>
      </c>
      <c r="BD227" t="e">
        <f>AND(#REF!,"AAAAAD/3+zc=")</f>
        <v>#REF!</v>
      </c>
      <c r="BE227" t="e">
        <f>AND(#REF!,"AAAAAD/3+zg=")</f>
        <v>#REF!</v>
      </c>
      <c r="BF227" t="e">
        <f>AND(#REF!,"AAAAAD/3+zk=")</f>
        <v>#REF!</v>
      </c>
      <c r="BG227" t="e">
        <f>AND(#REF!,"AAAAAD/3+zo=")</f>
        <v>#REF!</v>
      </c>
      <c r="BH227" t="e">
        <f>AND(#REF!,"AAAAAD/3+zs=")</f>
        <v>#REF!</v>
      </c>
      <c r="BI227" t="e">
        <f>AND(#REF!,"AAAAAD/3+zw=")</f>
        <v>#REF!</v>
      </c>
      <c r="BJ227" t="e">
        <f>AND(#REF!,"AAAAAD/3+z0=")</f>
        <v>#REF!</v>
      </c>
      <c r="BK227" t="e">
        <f>AND(#REF!,"AAAAAD/3+z4=")</f>
        <v>#REF!</v>
      </c>
      <c r="BL227" t="e">
        <f>AND(#REF!,"AAAAAD/3+z8=")</f>
        <v>#REF!</v>
      </c>
      <c r="BM227" t="e">
        <f>AND(#REF!,"AAAAAD/3+0A=")</f>
        <v>#REF!</v>
      </c>
      <c r="BN227" t="e">
        <f>AND(#REF!,"AAAAAD/3+0E=")</f>
        <v>#REF!</v>
      </c>
      <c r="BO227" t="e">
        <f>AND(#REF!,"AAAAAD/3+0I=")</f>
        <v>#REF!</v>
      </c>
      <c r="BP227" t="e">
        <f>AND(#REF!,"AAAAAD/3+0M=")</f>
        <v>#REF!</v>
      </c>
      <c r="BQ227" t="e">
        <f>AND(#REF!,"AAAAAD/3+0Q=")</f>
        <v>#REF!</v>
      </c>
      <c r="BR227" t="e">
        <f>AND(#REF!,"AAAAAD/3+0U=")</f>
        <v>#REF!</v>
      </c>
      <c r="BS227" t="e">
        <f>AND(#REF!,"AAAAAD/3+0Y=")</f>
        <v>#REF!</v>
      </c>
      <c r="BT227" t="e">
        <f>AND(#REF!,"AAAAAD/3+0c=")</f>
        <v>#REF!</v>
      </c>
      <c r="BU227" t="e">
        <f>AND(#REF!,"AAAAAD/3+0g=")</f>
        <v>#REF!</v>
      </c>
      <c r="BV227" t="e">
        <f>AND(#REF!,"AAAAAD/3+0k=")</f>
        <v>#REF!</v>
      </c>
      <c r="BW227" t="e">
        <f>AND(#REF!,"AAAAAD/3+0o=")</f>
        <v>#REF!</v>
      </c>
      <c r="BX227" t="e">
        <f>AND(#REF!,"AAAAAD/3+0s=")</f>
        <v>#REF!</v>
      </c>
      <c r="BY227" t="e">
        <f>AND(#REF!,"AAAAAD/3+0w=")</f>
        <v>#REF!</v>
      </c>
      <c r="BZ227" t="e">
        <f>AND(#REF!,"AAAAAD/3+00=")</f>
        <v>#REF!</v>
      </c>
      <c r="CA227" t="e">
        <f>AND(#REF!,"AAAAAD/3+04=")</f>
        <v>#REF!</v>
      </c>
      <c r="CB227" t="e">
        <f>AND(#REF!,"AAAAAD/3+08=")</f>
        <v>#REF!</v>
      </c>
      <c r="CC227" t="e">
        <f>AND(#REF!,"AAAAAD/3+1A=")</f>
        <v>#REF!</v>
      </c>
      <c r="CD227" t="e">
        <f>AND(#REF!,"AAAAAD/3+1E=")</f>
        <v>#REF!</v>
      </c>
      <c r="CE227" t="e">
        <f>AND(#REF!,"AAAAAD/3+1I=")</f>
        <v>#REF!</v>
      </c>
      <c r="CF227" t="e">
        <f>AND(#REF!,"AAAAAD/3+1M=")</f>
        <v>#REF!</v>
      </c>
      <c r="CG227" t="e">
        <f>AND(#REF!,"AAAAAD/3+1Q=")</f>
        <v>#REF!</v>
      </c>
      <c r="CH227" t="e">
        <f>AND(#REF!,"AAAAAD/3+1U=")</f>
        <v>#REF!</v>
      </c>
      <c r="CI227" t="e">
        <f>AND(#REF!,"AAAAAD/3+1Y=")</f>
        <v>#REF!</v>
      </c>
      <c r="CJ227" t="e">
        <f>AND(#REF!,"AAAAAD/3+1c=")</f>
        <v>#REF!</v>
      </c>
      <c r="CK227" t="e">
        <f>AND(#REF!,"AAAAAD/3+1g=")</f>
        <v>#REF!</v>
      </c>
      <c r="CL227" t="e">
        <f>AND(#REF!,"AAAAAD/3+1k=")</f>
        <v>#REF!</v>
      </c>
      <c r="CM227" t="e">
        <f>AND(#REF!,"AAAAAD/3+1o=")</f>
        <v>#REF!</v>
      </c>
      <c r="CN227" t="e">
        <f>AND(#REF!,"AAAAAD/3+1s=")</f>
        <v>#REF!</v>
      </c>
      <c r="CO227" t="e">
        <f>AND(#REF!,"AAAAAD/3+1w=")</f>
        <v>#REF!</v>
      </c>
      <c r="CP227" t="e">
        <f>AND(#REF!,"AAAAAD/3+10=")</f>
        <v>#REF!</v>
      </c>
      <c r="CQ227" t="e">
        <f>AND(#REF!,"AAAAAD/3+14=")</f>
        <v>#REF!</v>
      </c>
      <c r="CR227" t="e">
        <f>AND(#REF!,"AAAAAD/3+18=")</f>
        <v>#REF!</v>
      </c>
      <c r="CS227" t="e">
        <f>AND(#REF!,"AAAAAD/3+2A=")</f>
        <v>#REF!</v>
      </c>
      <c r="CT227" t="e">
        <f>AND(#REF!,"AAAAAD/3+2E=")</f>
        <v>#REF!</v>
      </c>
      <c r="CU227" t="e">
        <f>AND(#REF!,"AAAAAD/3+2I=")</f>
        <v>#REF!</v>
      </c>
      <c r="CV227" t="e">
        <f>AND(#REF!,"AAAAAD/3+2M=")</f>
        <v>#REF!</v>
      </c>
      <c r="CW227" t="e">
        <f>AND(#REF!,"AAAAAD/3+2Q=")</f>
        <v>#REF!</v>
      </c>
      <c r="CX227" t="e">
        <f>AND(#REF!,"AAAAAD/3+2U=")</f>
        <v>#REF!</v>
      </c>
      <c r="CY227" t="e">
        <f>AND(#REF!,"AAAAAD/3+2Y=")</f>
        <v>#REF!</v>
      </c>
      <c r="CZ227" t="e">
        <f>AND(#REF!,"AAAAAD/3+2c=")</f>
        <v>#REF!</v>
      </c>
      <c r="DA227" t="e">
        <f>AND(#REF!,"AAAAAD/3+2g=")</f>
        <v>#REF!</v>
      </c>
      <c r="DB227" t="e">
        <f>AND(#REF!,"AAAAAD/3+2k=")</f>
        <v>#REF!</v>
      </c>
      <c r="DC227" t="e">
        <f>AND(#REF!,"AAAAAD/3+2o=")</f>
        <v>#REF!</v>
      </c>
      <c r="DD227" t="e">
        <f>AND(#REF!,"AAAAAD/3+2s=")</f>
        <v>#REF!</v>
      </c>
      <c r="DE227" t="e">
        <f>AND(#REF!,"AAAAAD/3+2w=")</f>
        <v>#REF!</v>
      </c>
      <c r="DF227" t="e">
        <f>AND(#REF!,"AAAAAD/3+20=")</f>
        <v>#REF!</v>
      </c>
      <c r="DG227" t="e">
        <f>AND(#REF!,"AAAAAD/3+24=")</f>
        <v>#REF!</v>
      </c>
      <c r="DH227" t="e">
        <f>AND(#REF!,"AAAAAD/3+28=")</f>
        <v>#REF!</v>
      </c>
      <c r="DI227" t="e">
        <f>AND(#REF!,"AAAAAD/3+3A=")</f>
        <v>#REF!</v>
      </c>
      <c r="DJ227" t="e">
        <f>AND(#REF!,"AAAAAD/3+3E=")</f>
        <v>#REF!</v>
      </c>
      <c r="DK227" t="e">
        <f>AND(#REF!,"AAAAAD/3+3I=")</f>
        <v>#REF!</v>
      </c>
      <c r="DL227" t="e">
        <f>AND(#REF!,"AAAAAD/3+3M=")</f>
        <v>#REF!</v>
      </c>
      <c r="DM227" t="e">
        <f>AND(#REF!,"AAAAAD/3+3Q=")</f>
        <v>#REF!</v>
      </c>
      <c r="DN227" t="e">
        <f>AND(#REF!,"AAAAAD/3+3U=")</f>
        <v>#REF!</v>
      </c>
      <c r="DO227" t="e">
        <f>AND(#REF!,"AAAAAD/3+3Y=")</f>
        <v>#REF!</v>
      </c>
      <c r="DP227" t="e">
        <f>AND(#REF!,"AAAAAD/3+3c=")</f>
        <v>#REF!</v>
      </c>
      <c r="DQ227" t="e">
        <f>AND(#REF!,"AAAAAD/3+3g=")</f>
        <v>#REF!</v>
      </c>
      <c r="DR227" t="e">
        <f>AND(#REF!,"AAAAAD/3+3k=")</f>
        <v>#REF!</v>
      </c>
      <c r="DS227" t="e">
        <f>AND(#REF!,"AAAAAD/3+3o=")</f>
        <v>#REF!</v>
      </c>
      <c r="DT227" t="e">
        <f>AND(#REF!,"AAAAAD/3+3s=")</f>
        <v>#REF!</v>
      </c>
      <c r="DU227" t="e">
        <f>AND(#REF!,"AAAAAD/3+3w=")</f>
        <v>#REF!</v>
      </c>
      <c r="DV227" t="e">
        <f>AND(#REF!,"AAAAAD/3+30=")</f>
        <v>#REF!</v>
      </c>
      <c r="DW227" t="e">
        <f>AND(#REF!,"AAAAAD/3+34=")</f>
        <v>#REF!</v>
      </c>
      <c r="DX227" t="e">
        <f>AND(#REF!,"AAAAAD/3+38=")</f>
        <v>#REF!</v>
      </c>
      <c r="DY227" t="e">
        <f>AND(#REF!,"AAAAAD/3+4A=")</f>
        <v>#REF!</v>
      </c>
      <c r="DZ227" t="e">
        <f>AND(#REF!,"AAAAAD/3+4E=")</f>
        <v>#REF!</v>
      </c>
      <c r="EA227" t="e">
        <f>AND(#REF!,"AAAAAD/3+4I=")</f>
        <v>#REF!</v>
      </c>
      <c r="EB227" t="e">
        <f>AND(#REF!,"AAAAAD/3+4M=")</f>
        <v>#REF!</v>
      </c>
      <c r="EC227" t="e">
        <f>AND(#REF!,"AAAAAD/3+4Q=")</f>
        <v>#REF!</v>
      </c>
      <c r="ED227" t="e">
        <f>AND(#REF!,"AAAAAD/3+4U=")</f>
        <v>#REF!</v>
      </c>
      <c r="EE227" t="e">
        <f>AND(#REF!,"AAAAAD/3+4Y=")</f>
        <v>#REF!</v>
      </c>
      <c r="EF227" t="e">
        <f>AND(#REF!,"AAAAAD/3+4c=")</f>
        <v>#REF!</v>
      </c>
      <c r="EG227" t="e">
        <f>AND(#REF!,"AAAAAD/3+4g=")</f>
        <v>#REF!</v>
      </c>
      <c r="EH227" t="e">
        <f>AND(#REF!,"AAAAAD/3+4k=")</f>
        <v>#REF!</v>
      </c>
      <c r="EI227" t="e">
        <f>AND(#REF!,"AAAAAD/3+4o=")</f>
        <v>#REF!</v>
      </c>
      <c r="EJ227" t="e">
        <f>AND(#REF!,"AAAAAD/3+4s=")</f>
        <v>#REF!</v>
      </c>
      <c r="EK227" t="e">
        <f>AND(#REF!,"AAAAAD/3+4w=")</f>
        <v>#REF!</v>
      </c>
      <c r="EL227" t="e">
        <f>AND(#REF!,"AAAAAD/3+40=")</f>
        <v>#REF!</v>
      </c>
      <c r="EM227" t="e">
        <f>AND(#REF!,"AAAAAD/3+44=")</f>
        <v>#REF!</v>
      </c>
      <c r="EN227" t="e">
        <f>AND(#REF!,"AAAAAD/3+48=")</f>
        <v>#REF!</v>
      </c>
      <c r="EO227" t="e">
        <f>AND(#REF!,"AAAAAD/3+5A=")</f>
        <v>#REF!</v>
      </c>
      <c r="EP227" t="e">
        <f>AND(#REF!,"AAAAAD/3+5E=")</f>
        <v>#REF!</v>
      </c>
      <c r="EQ227" t="e">
        <f>AND(#REF!,"AAAAAD/3+5I=")</f>
        <v>#REF!</v>
      </c>
      <c r="ER227" t="e">
        <f>AND(#REF!,"AAAAAD/3+5M=")</f>
        <v>#REF!</v>
      </c>
      <c r="ES227" t="e">
        <f>AND(#REF!,"AAAAAD/3+5Q=")</f>
        <v>#REF!</v>
      </c>
      <c r="ET227" t="e">
        <f>AND(#REF!,"AAAAAD/3+5U=")</f>
        <v>#REF!</v>
      </c>
      <c r="EU227" t="e">
        <f>AND(#REF!,"AAAAAD/3+5Y=")</f>
        <v>#REF!</v>
      </c>
      <c r="EV227" t="e">
        <f>AND(#REF!,"AAAAAD/3+5c=")</f>
        <v>#REF!</v>
      </c>
      <c r="EW227" t="e">
        <f>AND(#REF!,"AAAAAD/3+5g=")</f>
        <v>#REF!</v>
      </c>
      <c r="EX227" t="e">
        <f>AND(#REF!,"AAAAAD/3+5k=")</f>
        <v>#REF!</v>
      </c>
      <c r="EY227" t="e">
        <f>AND(#REF!,"AAAAAD/3+5o=")</f>
        <v>#REF!</v>
      </c>
      <c r="EZ227" t="e">
        <f>AND(#REF!,"AAAAAD/3+5s=")</f>
        <v>#REF!</v>
      </c>
      <c r="FA227" t="e">
        <f>AND(#REF!,"AAAAAD/3+5w=")</f>
        <v>#REF!</v>
      </c>
      <c r="FB227" t="e">
        <f>AND(#REF!,"AAAAAD/3+50=")</f>
        <v>#REF!</v>
      </c>
      <c r="FC227" t="e">
        <f>AND(#REF!,"AAAAAD/3+54=")</f>
        <v>#REF!</v>
      </c>
      <c r="FD227" t="e">
        <f>IF(#REF!,"AAAAAD/3+58=",0)</f>
        <v>#REF!</v>
      </c>
      <c r="FE227" t="e">
        <f>AND(#REF!,"AAAAAD/3+6A=")</f>
        <v>#REF!</v>
      </c>
      <c r="FF227" t="e">
        <f>AND(#REF!,"AAAAAD/3+6E=")</f>
        <v>#REF!</v>
      </c>
      <c r="FG227" t="e">
        <f>AND(#REF!,"AAAAAD/3+6I=")</f>
        <v>#REF!</v>
      </c>
      <c r="FH227" t="e">
        <f>AND(#REF!,"AAAAAD/3+6M=")</f>
        <v>#REF!</v>
      </c>
      <c r="FI227" t="e">
        <f>AND(#REF!,"AAAAAD/3+6Q=")</f>
        <v>#REF!</v>
      </c>
      <c r="FJ227" t="e">
        <f>AND(#REF!,"AAAAAD/3+6U=")</f>
        <v>#REF!</v>
      </c>
      <c r="FK227" t="e">
        <f>AND(#REF!,"AAAAAD/3+6Y=")</f>
        <v>#REF!</v>
      </c>
      <c r="FL227" t="e">
        <f>AND(#REF!,"AAAAAD/3+6c=")</f>
        <v>#REF!</v>
      </c>
      <c r="FM227" t="e">
        <f>AND(#REF!,"AAAAAD/3+6g=")</f>
        <v>#REF!</v>
      </c>
      <c r="FN227" t="e">
        <f>AND(#REF!,"AAAAAD/3+6k=")</f>
        <v>#REF!</v>
      </c>
      <c r="FO227" t="e">
        <f>AND(#REF!,"AAAAAD/3+6o=")</f>
        <v>#REF!</v>
      </c>
      <c r="FP227" t="e">
        <f>AND(#REF!,"AAAAAD/3+6s=")</f>
        <v>#REF!</v>
      </c>
      <c r="FQ227" t="e">
        <f>AND(#REF!,"AAAAAD/3+6w=")</f>
        <v>#REF!</v>
      </c>
      <c r="FR227" t="e">
        <f>AND(#REF!,"AAAAAD/3+60=")</f>
        <v>#REF!</v>
      </c>
      <c r="FS227" t="e">
        <f>AND(#REF!,"AAAAAD/3+64=")</f>
        <v>#REF!</v>
      </c>
      <c r="FT227" t="e">
        <f>AND(#REF!,"AAAAAD/3+68=")</f>
        <v>#REF!</v>
      </c>
      <c r="FU227" t="e">
        <f>AND(#REF!,"AAAAAD/3+7A=")</f>
        <v>#REF!</v>
      </c>
      <c r="FV227" t="e">
        <f>AND(#REF!,"AAAAAD/3+7E=")</f>
        <v>#REF!</v>
      </c>
      <c r="FW227" t="e">
        <f>AND(#REF!,"AAAAAD/3+7I=")</f>
        <v>#REF!</v>
      </c>
      <c r="FX227" t="e">
        <f>AND(#REF!,"AAAAAD/3+7M=")</f>
        <v>#REF!</v>
      </c>
      <c r="FY227" t="e">
        <f>AND(#REF!,"AAAAAD/3+7Q=")</f>
        <v>#REF!</v>
      </c>
      <c r="FZ227" t="e">
        <f>AND(#REF!,"AAAAAD/3+7U=")</f>
        <v>#REF!</v>
      </c>
      <c r="GA227" t="e">
        <f>AND(#REF!,"AAAAAD/3+7Y=")</f>
        <v>#REF!</v>
      </c>
      <c r="GB227" t="e">
        <f>AND(#REF!,"AAAAAD/3+7c=")</f>
        <v>#REF!</v>
      </c>
      <c r="GC227" t="e">
        <f>AND(#REF!,"AAAAAD/3+7g=")</f>
        <v>#REF!</v>
      </c>
      <c r="GD227" t="e">
        <f>AND(#REF!,"AAAAAD/3+7k=")</f>
        <v>#REF!</v>
      </c>
      <c r="GE227" t="e">
        <f>AND(#REF!,"AAAAAD/3+7o=")</f>
        <v>#REF!</v>
      </c>
      <c r="GF227" t="e">
        <f>AND(#REF!,"AAAAAD/3+7s=")</f>
        <v>#REF!</v>
      </c>
      <c r="GG227" t="e">
        <f>AND(#REF!,"AAAAAD/3+7w=")</f>
        <v>#REF!</v>
      </c>
      <c r="GH227" t="e">
        <f>AND(#REF!,"AAAAAD/3+70=")</f>
        <v>#REF!</v>
      </c>
      <c r="GI227" t="e">
        <f>AND(#REF!,"AAAAAD/3+74=")</f>
        <v>#REF!</v>
      </c>
      <c r="GJ227" t="e">
        <f>AND(#REF!,"AAAAAD/3+78=")</f>
        <v>#REF!</v>
      </c>
      <c r="GK227" t="e">
        <f>AND(#REF!,"AAAAAD/3+8A=")</f>
        <v>#REF!</v>
      </c>
      <c r="GL227" t="e">
        <f>AND(#REF!,"AAAAAD/3+8E=")</f>
        <v>#REF!</v>
      </c>
      <c r="GM227" t="e">
        <f>AND(#REF!,"AAAAAD/3+8I=")</f>
        <v>#REF!</v>
      </c>
      <c r="GN227" t="e">
        <f>AND(#REF!,"AAAAAD/3+8M=")</f>
        <v>#REF!</v>
      </c>
      <c r="GO227" t="e">
        <f>AND(#REF!,"AAAAAD/3+8Q=")</f>
        <v>#REF!</v>
      </c>
      <c r="GP227" t="e">
        <f>AND(#REF!,"AAAAAD/3+8U=")</f>
        <v>#REF!</v>
      </c>
      <c r="GQ227" t="e">
        <f>AND(#REF!,"AAAAAD/3+8Y=")</f>
        <v>#REF!</v>
      </c>
      <c r="GR227" t="e">
        <f>AND(#REF!,"AAAAAD/3+8c=")</f>
        <v>#REF!</v>
      </c>
      <c r="GS227" t="e">
        <f>AND(#REF!,"AAAAAD/3+8g=")</f>
        <v>#REF!</v>
      </c>
      <c r="GT227" t="e">
        <f>AND(#REF!,"AAAAAD/3+8k=")</f>
        <v>#REF!</v>
      </c>
      <c r="GU227" t="e">
        <f>AND(#REF!,"AAAAAD/3+8o=")</f>
        <v>#REF!</v>
      </c>
      <c r="GV227" t="e">
        <f>AND(#REF!,"AAAAAD/3+8s=")</f>
        <v>#REF!</v>
      </c>
      <c r="GW227" t="e">
        <f>AND(#REF!,"AAAAAD/3+8w=")</f>
        <v>#REF!</v>
      </c>
      <c r="GX227" t="e">
        <f>AND(#REF!,"AAAAAD/3+80=")</f>
        <v>#REF!</v>
      </c>
      <c r="GY227" t="e">
        <f>AND(#REF!,"AAAAAD/3+84=")</f>
        <v>#REF!</v>
      </c>
      <c r="GZ227" t="e">
        <f>AND(#REF!,"AAAAAD/3+88=")</f>
        <v>#REF!</v>
      </c>
      <c r="HA227" t="e">
        <f>AND(#REF!,"AAAAAD/3+9A=")</f>
        <v>#REF!</v>
      </c>
      <c r="HB227" t="e">
        <f>AND(#REF!,"AAAAAD/3+9E=")</f>
        <v>#REF!</v>
      </c>
      <c r="HC227" t="e">
        <f>AND(#REF!,"AAAAAD/3+9I=")</f>
        <v>#REF!</v>
      </c>
      <c r="HD227" t="e">
        <f>AND(#REF!,"AAAAAD/3+9M=")</f>
        <v>#REF!</v>
      </c>
      <c r="HE227" t="e">
        <f>AND(#REF!,"AAAAAD/3+9Q=")</f>
        <v>#REF!</v>
      </c>
      <c r="HF227" t="e">
        <f>AND(#REF!,"AAAAAD/3+9U=")</f>
        <v>#REF!</v>
      </c>
      <c r="HG227" t="e">
        <f>AND(#REF!,"AAAAAD/3+9Y=")</f>
        <v>#REF!</v>
      </c>
      <c r="HH227" t="e">
        <f>AND(#REF!,"AAAAAD/3+9c=")</f>
        <v>#REF!</v>
      </c>
      <c r="HI227" t="e">
        <f>AND(#REF!,"AAAAAD/3+9g=")</f>
        <v>#REF!</v>
      </c>
      <c r="HJ227" t="e">
        <f>AND(#REF!,"AAAAAD/3+9k=")</f>
        <v>#REF!</v>
      </c>
      <c r="HK227" t="e">
        <f>AND(#REF!,"AAAAAD/3+9o=")</f>
        <v>#REF!</v>
      </c>
      <c r="HL227" t="e">
        <f>AND(#REF!,"AAAAAD/3+9s=")</f>
        <v>#REF!</v>
      </c>
      <c r="HM227" t="e">
        <f>AND(#REF!,"AAAAAD/3+9w=")</f>
        <v>#REF!</v>
      </c>
      <c r="HN227" t="e">
        <f>AND(#REF!,"AAAAAD/3+90=")</f>
        <v>#REF!</v>
      </c>
      <c r="HO227" t="e">
        <f>AND(#REF!,"AAAAAD/3+94=")</f>
        <v>#REF!</v>
      </c>
      <c r="HP227" t="e">
        <f>AND(#REF!,"AAAAAD/3+98=")</f>
        <v>#REF!</v>
      </c>
      <c r="HQ227" t="e">
        <f>AND(#REF!,"AAAAAD/3++A=")</f>
        <v>#REF!</v>
      </c>
      <c r="HR227" t="e">
        <f>AND(#REF!,"AAAAAD/3++E=")</f>
        <v>#REF!</v>
      </c>
      <c r="HS227" t="e">
        <f>AND(#REF!,"AAAAAD/3++I=")</f>
        <v>#REF!</v>
      </c>
      <c r="HT227" t="e">
        <f>AND(#REF!,"AAAAAD/3++M=")</f>
        <v>#REF!</v>
      </c>
      <c r="HU227" t="e">
        <f>AND(#REF!,"AAAAAD/3++Q=")</f>
        <v>#REF!</v>
      </c>
      <c r="HV227" t="e">
        <f>AND(#REF!,"AAAAAD/3++U=")</f>
        <v>#REF!</v>
      </c>
      <c r="HW227" t="e">
        <f>AND(#REF!,"AAAAAD/3++Y=")</f>
        <v>#REF!</v>
      </c>
      <c r="HX227" t="e">
        <f>AND(#REF!,"AAAAAD/3++c=")</f>
        <v>#REF!</v>
      </c>
      <c r="HY227" t="e">
        <f>AND(#REF!,"AAAAAD/3++g=")</f>
        <v>#REF!</v>
      </c>
      <c r="HZ227" t="e">
        <f>AND(#REF!,"AAAAAD/3++k=")</f>
        <v>#REF!</v>
      </c>
      <c r="IA227" t="e">
        <f>AND(#REF!,"AAAAAD/3++o=")</f>
        <v>#REF!</v>
      </c>
      <c r="IB227" t="e">
        <f>AND(#REF!,"AAAAAD/3++s=")</f>
        <v>#REF!</v>
      </c>
      <c r="IC227" t="e">
        <f>AND(#REF!,"AAAAAD/3++w=")</f>
        <v>#REF!</v>
      </c>
      <c r="ID227" t="e">
        <f>AND(#REF!,"AAAAAD/3++0=")</f>
        <v>#REF!</v>
      </c>
      <c r="IE227" t="e">
        <f>AND(#REF!,"AAAAAD/3++4=")</f>
        <v>#REF!</v>
      </c>
      <c r="IF227" t="e">
        <f>AND(#REF!,"AAAAAD/3++8=")</f>
        <v>#REF!</v>
      </c>
      <c r="IG227" t="e">
        <f>AND(#REF!,"AAAAAD/3+/A=")</f>
        <v>#REF!</v>
      </c>
      <c r="IH227" t="e">
        <f>AND(#REF!,"AAAAAD/3+/E=")</f>
        <v>#REF!</v>
      </c>
      <c r="II227" t="e">
        <f>AND(#REF!,"AAAAAD/3+/I=")</f>
        <v>#REF!</v>
      </c>
      <c r="IJ227" t="e">
        <f>AND(#REF!,"AAAAAD/3+/M=")</f>
        <v>#REF!</v>
      </c>
      <c r="IK227" t="e">
        <f>AND(#REF!,"AAAAAD/3+/Q=")</f>
        <v>#REF!</v>
      </c>
      <c r="IL227" t="e">
        <f>AND(#REF!,"AAAAAD/3+/U=")</f>
        <v>#REF!</v>
      </c>
      <c r="IM227" t="e">
        <f>AND(#REF!,"AAAAAD/3+/Y=")</f>
        <v>#REF!</v>
      </c>
      <c r="IN227" t="e">
        <f>AND(#REF!,"AAAAAD/3+/c=")</f>
        <v>#REF!</v>
      </c>
      <c r="IO227" t="e">
        <f>AND(#REF!,"AAAAAD/3+/g=")</f>
        <v>#REF!</v>
      </c>
      <c r="IP227" t="e">
        <f>AND(#REF!,"AAAAAD/3+/k=")</f>
        <v>#REF!</v>
      </c>
      <c r="IQ227" t="e">
        <f>AND(#REF!,"AAAAAD/3+/o=")</f>
        <v>#REF!</v>
      </c>
      <c r="IR227" t="e">
        <f>AND(#REF!,"AAAAAD/3+/s=")</f>
        <v>#REF!</v>
      </c>
      <c r="IS227" t="e">
        <f>AND(#REF!,"AAAAAD/3+/w=")</f>
        <v>#REF!</v>
      </c>
      <c r="IT227" t="e">
        <f>AND(#REF!,"AAAAAD/3+/0=")</f>
        <v>#REF!</v>
      </c>
      <c r="IU227" t="e">
        <f>AND(#REF!,"AAAAAD/3+/4=")</f>
        <v>#REF!</v>
      </c>
      <c r="IV227" t="e">
        <f>AND(#REF!,"AAAAAD/3+/8=")</f>
        <v>#REF!</v>
      </c>
    </row>
    <row r="228" spans="1:256" x14ac:dyDescent="0.25">
      <c r="A228" t="e">
        <f>AND(#REF!,"AAAAAFe//QA=")</f>
        <v>#REF!</v>
      </c>
      <c r="B228" t="e">
        <f>AND(#REF!,"AAAAAFe//QE=")</f>
        <v>#REF!</v>
      </c>
      <c r="C228" t="e">
        <f>AND(#REF!,"AAAAAFe//QI=")</f>
        <v>#REF!</v>
      </c>
      <c r="D228" t="e">
        <f>AND(#REF!,"AAAAAFe//QM=")</f>
        <v>#REF!</v>
      </c>
      <c r="E228" t="e">
        <f>AND(#REF!,"AAAAAFe//QQ=")</f>
        <v>#REF!</v>
      </c>
      <c r="F228" t="e">
        <f>AND(#REF!,"AAAAAFe//QU=")</f>
        <v>#REF!</v>
      </c>
      <c r="G228" t="e">
        <f>AND(#REF!,"AAAAAFe//QY=")</f>
        <v>#REF!</v>
      </c>
      <c r="H228" t="e">
        <f>AND(#REF!,"AAAAAFe//Qc=")</f>
        <v>#REF!</v>
      </c>
      <c r="I228" t="e">
        <f>AND(#REF!,"AAAAAFe//Qg=")</f>
        <v>#REF!</v>
      </c>
      <c r="J228" t="e">
        <f>AND(#REF!,"AAAAAFe//Qk=")</f>
        <v>#REF!</v>
      </c>
      <c r="K228" t="e">
        <f>AND(#REF!,"AAAAAFe//Qo=")</f>
        <v>#REF!</v>
      </c>
      <c r="L228" t="e">
        <f>AND(#REF!,"AAAAAFe//Qs=")</f>
        <v>#REF!</v>
      </c>
      <c r="M228" t="e">
        <f>AND(#REF!,"AAAAAFe//Qw=")</f>
        <v>#REF!</v>
      </c>
      <c r="N228" t="e">
        <f>AND(#REF!,"AAAAAFe//Q0=")</f>
        <v>#REF!</v>
      </c>
      <c r="O228" t="e">
        <f>AND(#REF!,"AAAAAFe//Q4=")</f>
        <v>#REF!</v>
      </c>
      <c r="P228" t="e">
        <f>AND(#REF!,"AAAAAFe//Q8=")</f>
        <v>#REF!</v>
      </c>
      <c r="Q228" t="e">
        <f>AND(#REF!,"AAAAAFe//RA=")</f>
        <v>#REF!</v>
      </c>
      <c r="R228" t="e">
        <f>AND(#REF!,"AAAAAFe//RE=")</f>
        <v>#REF!</v>
      </c>
      <c r="S228" t="e">
        <f>AND(#REF!,"AAAAAFe//RI=")</f>
        <v>#REF!</v>
      </c>
      <c r="T228" t="e">
        <f>AND(#REF!,"AAAAAFe//RM=")</f>
        <v>#REF!</v>
      </c>
      <c r="U228" t="e">
        <f>AND(#REF!,"AAAAAFe//RQ=")</f>
        <v>#REF!</v>
      </c>
      <c r="V228" t="e">
        <f>AND(#REF!,"AAAAAFe//RU=")</f>
        <v>#REF!</v>
      </c>
      <c r="W228" t="e">
        <f>AND(#REF!,"AAAAAFe//RY=")</f>
        <v>#REF!</v>
      </c>
      <c r="X228" t="e">
        <f>AND(#REF!,"AAAAAFe//Rc=")</f>
        <v>#REF!</v>
      </c>
      <c r="Y228" t="e">
        <f>AND(#REF!,"AAAAAFe//Rg=")</f>
        <v>#REF!</v>
      </c>
      <c r="Z228" t="e">
        <f>AND(#REF!,"AAAAAFe//Rk=")</f>
        <v>#REF!</v>
      </c>
      <c r="AA228" t="e">
        <f>AND(#REF!,"AAAAAFe//Ro=")</f>
        <v>#REF!</v>
      </c>
      <c r="AB228" t="e">
        <f>AND(#REF!,"AAAAAFe//Rs=")</f>
        <v>#REF!</v>
      </c>
      <c r="AC228" t="e">
        <f>AND(#REF!,"AAAAAFe//Rw=")</f>
        <v>#REF!</v>
      </c>
      <c r="AD228" t="e">
        <f>AND(#REF!,"AAAAAFe//R0=")</f>
        <v>#REF!</v>
      </c>
      <c r="AE228" t="e">
        <f>AND(#REF!,"AAAAAFe//R4=")</f>
        <v>#REF!</v>
      </c>
      <c r="AF228" t="e">
        <f>AND(#REF!,"AAAAAFe//R8=")</f>
        <v>#REF!</v>
      </c>
      <c r="AG228" t="e">
        <f>AND(#REF!,"AAAAAFe//SA=")</f>
        <v>#REF!</v>
      </c>
      <c r="AH228" t="e">
        <f>AND(#REF!,"AAAAAFe//SE=")</f>
        <v>#REF!</v>
      </c>
      <c r="AI228" t="e">
        <f>AND(#REF!,"AAAAAFe//SI=")</f>
        <v>#REF!</v>
      </c>
      <c r="AJ228" t="e">
        <f>AND(#REF!,"AAAAAFe//SM=")</f>
        <v>#REF!</v>
      </c>
      <c r="AK228" t="e">
        <f>AND(#REF!,"AAAAAFe//SQ=")</f>
        <v>#REF!</v>
      </c>
      <c r="AL228" t="e">
        <f>AND(#REF!,"AAAAAFe//SU=")</f>
        <v>#REF!</v>
      </c>
      <c r="AM228" t="e">
        <f>AND(#REF!,"AAAAAFe//SY=")</f>
        <v>#REF!</v>
      </c>
      <c r="AN228" t="e">
        <f>AND(#REF!,"AAAAAFe//Sc=")</f>
        <v>#REF!</v>
      </c>
      <c r="AO228" t="e">
        <f>AND(#REF!,"AAAAAFe//Sg=")</f>
        <v>#REF!</v>
      </c>
      <c r="AP228" t="e">
        <f>AND(#REF!,"AAAAAFe//Sk=")</f>
        <v>#REF!</v>
      </c>
      <c r="AQ228" t="e">
        <f>AND(#REF!,"AAAAAFe//So=")</f>
        <v>#REF!</v>
      </c>
      <c r="AR228" t="e">
        <f>AND(#REF!,"AAAAAFe//Ss=")</f>
        <v>#REF!</v>
      </c>
      <c r="AS228" t="e">
        <f>AND(#REF!,"AAAAAFe//Sw=")</f>
        <v>#REF!</v>
      </c>
      <c r="AT228" t="e">
        <f>AND(#REF!,"AAAAAFe//S0=")</f>
        <v>#REF!</v>
      </c>
      <c r="AU228" t="e">
        <f>AND(#REF!,"AAAAAFe//S4=")</f>
        <v>#REF!</v>
      </c>
      <c r="AV228" t="e">
        <f>AND(#REF!,"AAAAAFe//S8=")</f>
        <v>#REF!</v>
      </c>
      <c r="AW228" t="e">
        <f>AND(#REF!,"AAAAAFe//TA=")</f>
        <v>#REF!</v>
      </c>
      <c r="AX228" t="e">
        <f>AND(#REF!,"AAAAAFe//TE=")</f>
        <v>#REF!</v>
      </c>
      <c r="AY228" t="e">
        <f>AND(#REF!,"AAAAAFe//TI=")</f>
        <v>#REF!</v>
      </c>
      <c r="AZ228" t="e">
        <f>AND(#REF!,"AAAAAFe//TM=")</f>
        <v>#REF!</v>
      </c>
      <c r="BA228" t="e">
        <f>AND(#REF!,"AAAAAFe//TQ=")</f>
        <v>#REF!</v>
      </c>
      <c r="BB228" t="e">
        <f>AND(#REF!,"AAAAAFe//TU=")</f>
        <v>#REF!</v>
      </c>
      <c r="BC228" t="e">
        <f>AND(#REF!,"AAAAAFe//TY=")</f>
        <v>#REF!</v>
      </c>
      <c r="BD228" t="e">
        <f>AND(#REF!,"AAAAAFe//Tc=")</f>
        <v>#REF!</v>
      </c>
      <c r="BE228" t="e">
        <f>AND(#REF!,"AAAAAFe//Tg=")</f>
        <v>#REF!</v>
      </c>
      <c r="BF228" t="e">
        <f>AND(#REF!,"AAAAAFe//Tk=")</f>
        <v>#REF!</v>
      </c>
      <c r="BG228" t="e">
        <f>AND(#REF!,"AAAAAFe//To=")</f>
        <v>#REF!</v>
      </c>
      <c r="BH228" t="e">
        <f>AND(#REF!,"AAAAAFe//Ts=")</f>
        <v>#REF!</v>
      </c>
      <c r="BI228" t="e">
        <f>AND(#REF!,"AAAAAFe//Tw=")</f>
        <v>#REF!</v>
      </c>
      <c r="BJ228" t="e">
        <f>AND(#REF!,"AAAAAFe//T0=")</f>
        <v>#REF!</v>
      </c>
      <c r="BK228" t="e">
        <f>AND(#REF!,"AAAAAFe//T4=")</f>
        <v>#REF!</v>
      </c>
      <c r="BL228" t="e">
        <f>AND(#REF!,"AAAAAFe//T8=")</f>
        <v>#REF!</v>
      </c>
      <c r="BM228" t="e">
        <f>AND(#REF!,"AAAAAFe//UA=")</f>
        <v>#REF!</v>
      </c>
      <c r="BN228" t="e">
        <f>AND(#REF!,"AAAAAFe//UE=")</f>
        <v>#REF!</v>
      </c>
      <c r="BO228" t="e">
        <f>AND(#REF!,"AAAAAFe//UI=")</f>
        <v>#REF!</v>
      </c>
      <c r="BP228" t="e">
        <f>AND(#REF!,"AAAAAFe//UM=")</f>
        <v>#REF!</v>
      </c>
      <c r="BQ228" t="e">
        <f>AND(#REF!,"AAAAAFe//UQ=")</f>
        <v>#REF!</v>
      </c>
      <c r="BR228" t="e">
        <f>AND(#REF!,"AAAAAFe//UU=")</f>
        <v>#REF!</v>
      </c>
      <c r="BS228" t="e">
        <f>AND(#REF!,"AAAAAFe//UY=")</f>
        <v>#REF!</v>
      </c>
      <c r="BT228" t="e">
        <f>AND(#REF!,"AAAAAFe//Uc=")</f>
        <v>#REF!</v>
      </c>
      <c r="BU228" t="e">
        <f>AND(#REF!,"AAAAAFe//Ug=")</f>
        <v>#REF!</v>
      </c>
      <c r="BV228" t="e">
        <f>AND(#REF!,"AAAAAFe//Uk=")</f>
        <v>#REF!</v>
      </c>
      <c r="BW228" t="e">
        <f>AND(#REF!,"AAAAAFe//Uo=")</f>
        <v>#REF!</v>
      </c>
      <c r="BX228" t="e">
        <f>AND(#REF!,"AAAAAFe//Us=")</f>
        <v>#REF!</v>
      </c>
      <c r="BY228" t="e">
        <f>AND(#REF!,"AAAAAFe//Uw=")</f>
        <v>#REF!</v>
      </c>
      <c r="BZ228" t="e">
        <f>AND(#REF!,"AAAAAFe//U0=")</f>
        <v>#REF!</v>
      </c>
      <c r="CA228" t="e">
        <f>AND(#REF!,"AAAAAFe//U4=")</f>
        <v>#REF!</v>
      </c>
      <c r="CB228" t="e">
        <f>AND(#REF!,"AAAAAFe//U8=")</f>
        <v>#REF!</v>
      </c>
      <c r="CC228" t="e">
        <f>AND(#REF!,"AAAAAFe//VA=")</f>
        <v>#REF!</v>
      </c>
      <c r="CD228" t="e">
        <f>AND(#REF!,"AAAAAFe//VE=")</f>
        <v>#REF!</v>
      </c>
      <c r="CE228" t="e">
        <f>AND(#REF!,"AAAAAFe//VI=")</f>
        <v>#REF!</v>
      </c>
      <c r="CF228" t="e">
        <f>AND(#REF!,"AAAAAFe//VM=")</f>
        <v>#REF!</v>
      </c>
      <c r="CG228" t="e">
        <f>AND(#REF!,"AAAAAFe//VQ=")</f>
        <v>#REF!</v>
      </c>
      <c r="CH228" t="e">
        <f>AND(#REF!,"AAAAAFe//VU=")</f>
        <v>#REF!</v>
      </c>
      <c r="CI228" t="e">
        <f>AND(#REF!,"AAAAAFe//VY=")</f>
        <v>#REF!</v>
      </c>
      <c r="CJ228" t="e">
        <f>AND(#REF!,"AAAAAFe//Vc=")</f>
        <v>#REF!</v>
      </c>
      <c r="CK228" t="e">
        <f>AND(#REF!,"AAAAAFe//Vg=")</f>
        <v>#REF!</v>
      </c>
      <c r="CL228" t="e">
        <f>AND(#REF!,"AAAAAFe//Vk=")</f>
        <v>#REF!</v>
      </c>
      <c r="CM228" t="e">
        <f>AND(#REF!,"AAAAAFe//Vo=")</f>
        <v>#REF!</v>
      </c>
      <c r="CN228" t="e">
        <f>AND(#REF!,"AAAAAFe//Vs=")</f>
        <v>#REF!</v>
      </c>
      <c r="CO228" t="e">
        <f>IF(#REF!,"AAAAAFe//Vw=",0)</f>
        <v>#REF!</v>
      </c>
      <c r="CP228" t="e">
        <f>AND(#REF!,"AAAAAFe//V0=")</f>
        <v>#REF!</v>
      </c>
      <c r="CQ228" t="e">
        <f>AND(#REF!,"AAAAAFe//V4=")</f>
        <v>#REF!</v>
      </c>
      <c r="CR228" t="e">
        <f>AND(#REF!,"AAAAAFe//V8=")</f>
        <v>#REF!</v>
      </c>
      <c r="CS228" t="e">
        <f>AND(#REF!,"AAAAAFe//WA=")</f>
        <v>#REF!</v>
      </c>
      <c r="CT228" t="e">
        <f>AND(#REF!,"AAAAAFe//WE=")</f>
        <v>#REF!</v>
      </c>
      <c r="CU228" t="e">
        <f>AND(#REF!,"AAAAAFe//WI=")</f>
        <v>#REF!</v>
      </c>
      <c r="CV228" t="e">
        <f>AND(#REF!,"AAAAAFe//WM=")</f>
        <v>#REF!</v>
      </c>
      <c r="CW228" t="e">
        <f>AND(#REF!,"AAAAAFe//WQ=")</f>
        <v>#REF!</v>
      </c>
      <c r="CX228" t="e">
        <f>AND(#REF!,"AAAAAFe//WU=")</f>
        <v>#REF!</v>
      </c>
      <c r="CY228" t="e">
        <f>AND(#REF!,"AAAAAFe//WY=")</f>
        <v>#REF!</v>
      </c>
      <c r="CZ228" t="e">
        <f>AND(#REF!,"AAAAAFe//Wc=")</f>
        <v>#REF!</v>
      </c>
      <c r="DA228" t="e">
        <f>AND(#REF!,"AAAAAFe//Wg=")</f>
        <v>#REF!</v>
      </c>
      <c r="DB228" t="e">
        <f>AND(#REF!,"AAAAAFe//Wk=")</f>
        <v>#REF!</v>
      </c>
      <c r="DC228" t="e">
        <f>AND(#REF!,"AAAAAFe//Wo=")</f>
        <v>#REF!</v>
      </c>
      <c r="DD228" t="e">
        <f>AND(#REF!,"AAAAAFe//Ws=")</f>
        <v>#REF!</v>
      </c>
      <c r="DE228" t="e">
        <f>AND(#REF!,"AAAAAFe//Ww=")</f>
        <v>#REF!</v>
      </c>
      <c r="DF228" t="e">
        <f>AND(#REF!,"AAAAAFe//W0=")</f>
        <v>#REF!</v>
      </c>
      <c r="DG228" t="e">
        <f>AND(#REF!,"AAAAAFe//W4=")</f>
        <v>#REF!</v>
      </c>
      <c r="DH228" t="e">
        <f>AND(#REF!,"AAAAAFe//W8=")</f>
        <v>#REF!</v>
      </c>
      <c r="DI228" t="e">
        <f>AND(#REF!,"AAAAAFe//XA=")</f>
        <v>#REF!</v>
      </c>
      <c r="DJ228" t="e">
        <f>AND(#REF!,"AAAAAFe//XE=")</f>
        <v>#REF!</v>
      </c>
      <c r="DK228" t="e">
        <f>AND(#REF!,"AAAAAFe//XI=")</f>
        <v>#REF!</v>
      </c>
      <c r="DL228" t="e">
        <f>AND(#REF!,"AAAAAFe//XM=")</f>
        <v>#REF!</v>
      </c>
      <c r="DM228" t="e">
        <f>AND(#REF!,"AAAAAFe//XQ=")</f>
        <v>#REF!</v>
      </c>
      <c r="DN228" t="e">
        <f>AND(#REF!,"AAAAAFe//XU=")</f>
        <v>#REF!</v>
      </c>
      <c r="DO228" t="e">
        <f>AND(#REF!,"AAAAAFe//XY=")</f>
        <v>#REF!</v>
      </c>
      <c r="DP228" t="e">
        <f>AND(#REF!,"AAAAAFe//Xc=")</f>
        <v>#REF!</v>
      </c>
      <c r="DQ228" t="e">
        <f>AND(#REF!,"AAAAAFe//Xg=")</f>
        <v>#REF!</v>
      </c>
      <c r="DR228" t="e">
        <f>AND(#REF!,"AAAAAFe//Xk=")</f>
        <v>#REF!</v>
      </c>
      <c r="DS228" t="e">
        <f>AND(#REF!,"AAAAAFe//Xo=")</f>
        <v>#REF!</v>
      </c>
      <c r="DT228" t="e">
        <f>AND(#REF!,"AAAAAFe//Xs=")</f>
        <v>#REF!</v>
      </c>
      <c r="DU228" t="e">
        <f>AND(#REF!,"AAAAAFe//Xw=")</f>
        <v>#REF!</v>
      </c>
      <c r="DV228" t="e">
        <f>AND(#REF!,"AAAAAFe//X0=")</f>
        <v>#REF!</v>
      </c>
      <c r="DW228" t="e">
        <f>AND(#REF!,"AAAAAFe//X4=")</f>
        <v>#REF!</v>
      </c>
      <c r="DX228" t="e">
        <f>AND(#REF!,"AAAAAFe//X8=")</f>
        <v>#REF!</v>
      </c>
      <c r="DY228" t="e">
        <f>AND(#REF!,"AAAAAFe//YA=")</f>
        <v>#REF!</v>
      </c>
      <c r="DZ228" t="e">
        <f>AND(#REF!,"AAAAAFe//YE=")</f>
        <v>#REF!</v>
      </c>
      <c r="EA228" t="e">
        <f>AND(#REF!,"AAAAAFe//YI=")</f>
        <v>#REF!</v>
      </c>
      <c r="EB228" t="e">
        <f>AND(#REF!,"AAAAAFe//YM=")</f>
        <v>#REF!</v>
      </c>
      <c r="EC228" t="e">
        <f>AND(#REF!,"AAAAAFe//YQ=")</f>
        <v>#REF!</v>
      </c>
      <c r="ED228" t="e">
        <f>AND(#REF!,"AAAAAFe//YU=")</f>
        <v>#REF!</v>
      </c>
      <c r="EE228" t="e">
        <f>AND(#REF!,"AAAAAFe//YY=")</f>
        <v>#REF!</v>
      </c>
      <c r="EF228" t="e">
        <f>AND(#REF!,"AAAAAFe//Yc=")</f>
        <v>#REF!</v>
      </c>
      <c r="EG228" t="e">
        <f>AND(#REF!,"AAAAAFe//Yg=")</f>
        <v>#REF!</v>
      </c>
      <c r="EH228" t="e">
        <f>AND(#REF!,"AAAAAFe//Yk=")</f>
        <v>#REF!</v>
      </c>
      <c r="EI228" t="e">
        <f>AND(#REF!,"AAAAAFe//Yo=")</f>
        <v>#REF!</v>
      </c>
      <c r="EJ228" t="e">
        <f>AND(#REF!,"AAAAAFe//Ys=")</f>
        <v>#REF!</v>
      </c>
      <c r="EK228" t="e">
        <f>AND(#REF!,"AAAAAFe//Yw=")</f>
        <v>#REF!</v>
      </c>
      <c r="EL228" t="e">
        <f>AND(#REF!,"AAAAAFe//Y0=")</f>
        <v>#REF!</v>
      </c>
      <c r="EM228" t="e">
        <f>AND(#REF!,"AAAAAFe//Y4=")</f>
        <v>#REF!</v>
      </c>
      <c r="EN228" t="e">
        <f>AND(#REF!,"AAAAAFe//Y8=")</f>
        <v>#REF!</v>
      </c>
      <c r="EO228" t="e">
        <f>AND(#REF!,"AAAAAFe//ZA=")</f>
        <v>#REF!</v>
      </c>
      <c r="EP228" t="e">
        <f>AND(#REF!,"AAAAAFe//ZE=")</f>
        <v>#REF!</v>
      </c>
      <c r="EQ228" t="e">
        <f>AND(#REF!,"AAAAAFe//ZI=")</f>
        <v>#REF!</v>
      </c>
      <c r="ER228" t="e">
        <f>AND(#REF!,"AAAAAFe//ZM=")</f>
        <v>#REF!</v>
      </c>
      <c r="ES228" t="e">
        <f>AND(#REF!,"AAAAAFe//ZQ=")</f>
        <v>#REF!</v>
      </c>
      <c r="ET228" t="e">
        <f>AND(#REF!,"AAAAAFe//ZU=")</f>
        <v>#REF!</v>
      </c>
      <c r="EU228" t="e">
        <f>AND(#REF!,"AAAAAFe//ZY=")</f>
        <v>#REF!</v>
      </c>
      <c r="EV228" t="e">
        <f>AND(#REF!,"AAAAAFe//Zc=")</f>
        <v>#REF!</v>
      </c>
      <c r="EW228" t="e">
        <f>AND(#REF!,"AAAAAFe//Zg=")</f>
        <v>#REF!</v>
      </c>
      <c r="EX228" t="e">
        <f>AND(#REF!,"AAAAAFe//Zk=")</f>
        <v>#REF!</v>
      </c>
      <c r="EY228" t="e">
        <f>AND(#REF!,"AAAAAFe//Zo=")</f>
        <v>#REF!</v>
      </c>
      <c r="EZ228" t="e">
        <f>AND(#REF!,"AAAAAFe//Zs=")</f>
        <v>#REF!</v>
      </c>
      <c r="FA228" t="e">
        <f>AND(#REF!,"AAAAAFe//Zw=")</f>
        <v>#REF!</v>
      </c>
      <c r="FB228" t="e">
        <f>AND(#REF!,"AAAAAFe//Z0=")</f>
        <v>#REF!</v>
      </c>
      <c r="FC228" t="e">
        <f>AND(#REF!,"AAAAAFe//Z4=")</f>
        <v>#REF!</v>
      </c>
      <c r="FD228" t="e">
        <f>AND(#REF!,"AAAAAFe//Z8=")</f>
        <v>#REF!</v>
      </c>
      <c r="FE228" t="e">
        <f>AND(#REF!,"AAAAAFe//aA=")</f>
        <v>#REF!</v>
      </c>
      <c r="FF228" t="e">
        <f>AND(#REF!,"AAAAAFe//aE=")</f>
        <v>#REF!</v>
      </c>
      <c r="FG228" t="e">
        <f>AND(#REF!,"AAAAAFe//aI=")</f>
        <v>#REF!</v>
      </c>
      <c r="FH228" t="e">
        <f>AND(#REF!,"AAAAAFe//aM=")</f>
        <v>#REF!</v>
      </c>
      <c r="FI228" t="e">
        <f>AND(#REF!,"AAAAAFe//aQ=")</f>
        <v>#REF!</v>
      </c>
      <c r="FJ228" t="e">
        <f>AND(#REF!,"AAAAAFe//aU=")</f>
        <v>#REF!</v>
      </c>
      <c r="FK228" t="e">
        <f>AND(#REF!,"AAAAAFe//aY=")</f>
        <v>#REF!</v>
      </c>
      <c r="FL228" t="e">
        <f>AND(#REF!,"AAAAAFe//ac=")</f>
        <v>#REF!</v>
      </c>
      <c r="FM228" t="e">
        <f>AND(#REF!,"AAAAAFe//ag=")</f>
        <v>#REF!</v>
      </c>
      <c r="FN228" t="e">
        <f>AND(#REF!,"AAAAAFe//ak=")</f>
        <v>#REF!</v>
      </c>
      <c r="FO228" t="e">
        <f>AND(#REF!,"AAAAAFe//ao=")</f>
        <v>#REF!</v>
      </c>
      <c r="FP228" t="e">
        <f>AND(#REF!,"AAAAAFe//as=")</f>
        <v>#REF!</v>
      </c>
      <c r="FQ228" t="e">
        <f>AND(#REF!,"AAAAAFe//aw=")</f>
        <v>#REF!</v>
      </c>
      <c r="FR228" t="e">
        <f>AND(#REF!,"AAAAAFe//a0=")</f>
        <v>#REF!</v>
      </c>
      <c r="FS228" t="e">
        <f>AND(#REF!,"AAAAAFe//a4=")</f>
        <v>#REF!</v>
      </c>
      <c r="FT228" t="e">
        <f>AND(#REF!,"AAAAAFe//a8=")</f>
        <v>#REF!</v>
      </c>
      <c r="FU228" t="e">
        <f>AND(#REF!,"AAAAAFe//bA=")</f>
        <v>#REF!</v>
      </c>
      <c r="FV228" t="e">
        <f>AND(#REF!,"AAAAAFe//bE=")</f>
        <v>#REF!</v>
      </c>
      <c r="FW228" t="e">
        <f>AND(#REF!,"AAAAAFe//bI=")</f>
        <v>#REF!</v>
      </c>
      <c r="FX228" t="e">
        <f>AND(#REF!,"AAAAAFe//bM=")</f>
        <v>#REF!</v>
      </c>
      <c r="FY228" t="e">
        <f>AND(#REF!,"AAAAAFe//bQ=")</f>
        <v>#REF!</v>
      </c>
      <c r="FZ228" t="e">
        <f>AND(#REF!,"AAAAAFe//bU=")</f>
        <v>#REF!</v>
      </c>
      <c r="GA228" t="e">
        <f>AND(#REF!,"AAAAAFe//bY=")</f>
        <v>#REF!</v>
      </c>
      <c r="GB228" t="e">
        <f>AND(#REF!,"AAAAAFe//bc=")</f>
        <v>#REF!</v>
      </c>
      <c r="GC228" t="e">
        <f>AND(#REF!,"AAAAAFe//bg=")</f>
        <v>#REF!</v>
      </c>
      <c r="GD228" t="e">
        <f>AND(#REF!,"AAAAAFe//bk=")</f>
        <v>#REF!</v>
      </c>
      <c r="GE228" t="e">
        <f>AND(#REF!,"AAAAAFe//bo=")</f>
        <v>#REF!</v>
      </c>
      <c r="GF228" t="e">
        <f>AND(#REF!,"AAAAAFe//bs=")</f>
        <v>#REF!</v>
      </c>
      <c r="GG228" t="e">
        <f>AND(#REF!,"AAAAAFe//bw=")</f>
        <v>#REF!</v>
      </c>
      <c r="GH228" t="e">
        <f>AND(#REF!,"AAAAAFe//b0=")</f>
        <v>#REF!</v>
      </c>
      <c r="GI228" t="e">
        <f>AND(#REF!,"AAAAAFe//b4=")</f>
        <v>#REF!</v>
      </c>
      <c r="GJ228" t="e">
        <f>AND(#REF!,"AAAAAFe//b8=")</f>
        <v>#REF!</v>
      </c>
      <c r="GK228" t="e">
        <f>AND(#REF!,"AAAAAFe//cA=")</f>
        <v>#REF!</v>
      </c>
      <c r="GL228" t="e">
        <f>AND(#REF!,"AAAAAFe//cE=")</f>
        <v>#REF!</v>
      </c>
      <c r="GM228" t="e">
        <f>AND(#REF!,"AAAAAFe//cI=")</f>
        <v>#REF!</v>
      </c>
      <c r="GN228" t="e">
        <f>AND(#REF!,"AAAAAFe//cM=")</f>
        <v>#REF!</v>
      </c>
      <c r="GO228" t="e">
        <f>AND(#REF!,"AAAAAFe//cQ=")</f>
        <v>#REF!</v>
      </c>
      <c r="GP228" t="e">
        <f>AND(#REF!,"AAAAAFe//cU=")</f>
        <v>#REF!</v>
      </c>
      <c r="GQ228" t="e">
        <f>AND(#REF!,"AAAAAFe//cY=")</f>
        <v>#REF!</v>
      </c>
      <c r="GR228" t="e">
        <f>AND(#REF!,"AAAAAFe//cc=")</f>
        <v>#REF!</v>
      </c>
      <c r="GS228" t="e">
        <f>AND(#REF!,"AAAAAFe//cg=")</f>
        <v>#REF!</v>
      </c>
      <c r="GT228" t="e">
        <f>AND(#REF!,"AAAAAFe//ck=")</f>
        <v>#REF!</v>
      </c>
      <c r="GU228" t="e">
        <f>AND(#REF!,"AAAAAFe//co=")</f>
        <v>#REF!</v>
      </c>
      <c r="GV228" t="e">
        <f>AND(#REF!,"AAAAAFe//cs=")</f>
        <v>#REF!</v>
      </c>
      <c r="GW228" t="e">
        <f>AND(#REF!,"AAAAAFe//cw=")</f>
        <v>#REF!</v>
      </c>
      <c r="GX228" t="e">
        <f>AND(#REF!,"AAAAAFe//c0=")</f>
        <v>#REF!</v>
      </c>
      <c r="GY228" t="e">
        <f>AND(#REF!,"AAAAAFe//c4=")</f>
        <v>#REF!</v>
      </c>
      <c r="GZ228" t="e">
        <f>AND(#REF!,"AAAAAFe//c8=")</f>
        <v>#REF!</v>
      </c>
      <c r="HA228" t="e">
        <f>AND(#REF!,"AAAAAFe//dA=")</f>
        <v>#REF!</v>
      </c>
      <c r="HB228" t="e">
        <f>AND(#REF!,"AAAAAFe//dE=")</f>
        <v>#REF!</v>
      </c>
      <c r="HC228" t="e">
        <f>AND(#REF!,"AAAAAFe//dI=")</f>
        <v>#REF!</v>
      </c>
      <c r="HD228" t="e">
        <f>AND(#REF!,"AAAAAFe//dM=")</f>
        <v>#REF!</v>
      </c>
      <c r="HE228" t="e">
        <f>AND(#REF!,"AAAAAFe//dQ=")</f>
        <v>#REF!</v>
      </c>
      <c r="HF228" t="e">
        <f>AND(#REF!,"AAAAAFe//dU=")</f>
        <v>#REF!</v>
      </c>
      <c r="HG228" t="e">
        <f>AND(#REF!,"AAAAAFe//dY=")</f>
        <v>#REF!</v>
      </c>
      <c r="HH228" t="e">
        <f>AND(#REF!,"AAAAAFe//dc=")</f>
        <v>#REF!</v>
      </c>
      <c r="HI228" t="e">
        <f>AND(#REF!,"AAAAAFe//dg=")</f>
        <v>#REF!</v>
      </c>
      <c r="HJ228" t="e">
        <f>AND(#REF!,"AAAAAFe//dk=")</f>
        <v>#REF!</v>
      </c>
      <c r="HK228" t="e">
        <f>AND(#REF!,"AAAAAFe//do=")</f>
        <v>#REF!</v>
      </c>
      <c r="HL228" t="e">
        <f>AND(#REF!,"AAAAAFe//ds=")</f>
        <v>#REF!</v>
      </c>
      <c r="HM228" t="e">
        <f>AND(#REF!,"AAAAAFe//dw=")</f>
        <v>#REF!</v>
      </c>
      <c r="HN228" t="e">
        <f>AND(#REF!,"AAAAAFe//d0=")</f>
        <v>#REF!</v>
      </c>
      <c r="HO228" t="e">
        <f>AND(#REF!,"AAAAAFe//d4=")</f>
        <v>#REF!</v>
      </c>
      <c r="HP228" t="e">
        <f>AND(#REF!,"AAAAAFe//d8=")</f>
        <v>#REF!</v>
      </c>
      <c r="HQ228" t="e">
        <f>AND(#REF!,"AAAAAFe//eA=")</f>
        <v>#REF!</v>
      </c>
      <c r="HR228" t="e">
        <f>AND(#REF!,"AAAAAFe//eE=")</f>
        <v>#REF!</v>
      </c>
      <c r="HS228" t="e">
        <f>AND(#REF!,"AAAAAFe//eI=")</f>
        <v>#REF!</v>
      </c>
      <c r="HT228" t="e">
        <f>AND(#REF!,"AAAAAFe//eM=")</f>
        <v>#REF!</v>
      </c>
      <c r="HU228" t="e">
        <f>AND(#REF!,"AAAAAFe//eQ=")</f>
        <v>#REF!</v>
      </c>
      <c r="HV228" t="e">
        <f>AND(#REF!,"AAAAAFe//eU=")</f>
        <v>#REF!</v>
      </c>
      <c r="HW228" t="e">
        <f>AND(#REF!,"AAAAAFe//eY=")</f>
        <v>#REF!</v>
      </c>
      <c r="HX228" t="e">
        <f>AND(#REF!,"AAAAAFe//ec=")</f>
        <v>#REF!</v>
      </c>
      <c r="HY228" t="e">
        <f>AND(#REF!,"AAAAAFe//eg=")</f>
        <v>#REF!</v>
      </c>
      <c r="HZ228" t="e">
        <f>AND(#REF!,"AAAAAFe//ek=")</f>
        <v>#REF!</v>
      </c>
      <c r="IA228" t="e">
        <f>AND(#REF!,"AAAAAFe//eo=")</f>
        <v>#REF!</v>
      </c>
      <c r="IB228" t="e">
        <f>AND(#REF!,"AAAAAFe//es=")</f>
        <v>#REF!</v>
      </c>
      <c r="IC228" t="e">
        <f>AND(#REF!,"AAAAAFe//ew=")</f>
        <v>#REF!</v>
      </c>
      <c r="ID228" t="e">
        <f>AND(#REF!,"AAAAAFe//e0=")</f>
        <v>#REF!</v>
      </c>
      <c r="IE228" t="e">
        <f>AND(#REF!,"AAAAAFe//e4=")</f>
        <v>#REF!</v>
      </c>
      <c r="IF228" t="e">
        <f>AND(#REF!,"AAAAAFe//e8=")</f>
        <v>#REF!</v>
      </c>
      <c r="IG228" t="e">
        <f>AND(#REF!,"AAAAAFe//fA=")</f>
        <v>#REF!</v>
      </c>
      <c r="IH228" t="e">
        <f>AND(#REF!,"AAAAAFe//fE=")</f>
        <v>#REF!</v>
      </c>
      <c r="II228" t="e">
        <f>AND(#REF!,"AAAAAFe//fI=")</f>
        <v>#REF!</v>
      </c>
      <c r="IJ228" t="e">
        <f>AND(#REF!,"AAAAAFe//fM=")</f>
        <v>#REF!</v>
      </c>
      <c r="IK228" t="e">
        <f>AND(#REF!,"AAAAAFe//fQ=")</f>
        <v>#REF!</v>
      </c>
      <c r="IL228" t="e">
        <f>AND(#REF!,"AAAAAFe//fU=")</f>
        <v>#REF!</v>
      </c>
      <c r="IM228" t="e">
        <f>AND(#REF!,"AAAAAFe//fY=")</f>
        <v>#REF!</v>
      </c>
      <c r="IN228" t="e">
        <f>AND(#REF!,"AAAAAFe//fc=")</f>
        <v>#REF!</v>
      </c>
      <c r="IO228" t="e">
        <f>AND(#REF!,"AAAAAFe//fg=")</f>
        <v>#REF!</v>
      </c>
      <c r="IP228" t="e">
        <f>AND(#REF!,"AAAAAFe//fk=")</f>
        <v>#REF!</v>
      </c>
      <c r="IQ228" t="e">
        <f>AND(#REF!,"AAAAAFe//fo=")</f>
        <v>#REF!</v>
      </c>
      <c r="IR228" t="e">
        <f>AND(#REF!,"AAAAAFe//fs=")</f>
        <v>#REF!</v>
      </c>
      <c r="IS228" t="e">
        <f>AND(#REF!,"AAAAAFe//fw=")</f>
        <v>#REF!</v>
      </c>
      <c r="IT228" t="e">
        <f>AND(#REF!,"AAAAAFe//f0=")</f>
        <v>#REF!</v>
      </c>
      <c r="IU228" t="e">
        <f>AND(#REF!,"AAAAAFe//f4=")</f>
        <v>#REF!</v>
      </c>
      <c r="IV228" t="e">
        <f>AND(#REF!,"AAAAAFe//f8=")</f>
        <v>#REF!</v>
      </c>
    </row>
    <row r="229" spans="1:256" x14ac:dyDescent="0.25">
      <c r="A229" t="e">
        <f>AND(#REF!,"AAAAAHn9tQA=")</f>
        <v>#REF!</v>
      </c>
      <c r="B229" t="e">
        <f>AND(#REF!,"AAAAAHn9tQE=")</f>
        <v>#REF!</v>
      </c>
      <c r="C229" t="e">
        <f>AND(#REF!,"AAAAAHn9tQI=")</f>
        <v>#REF!</v>
      </c>
      <c r="D229" t="e">
        <f>AND(#REF!,"AAAAAHn9tQM=")</f>
        <v>#REF!</v>
      </c>
      <c r="E229" t="e">
        <f>AND(#REF!,"AAAAAHn9tQQ=")</f>
        <v>#REF!</v>
      </c>
      <c r="F229" t="e">
        <f>AND(#REF!,"AAAAAHn9tQU=")</f>
        <v>#REF!</v>
      </c>
      <c r="G229" t="e">
        <f>AND(#REF!,"AAAAAHn9tQY=")</f>
        <v>#REF!</v>
      </c>
      <c r="H229" t="e">
        <f>AND(#REF!,"AAAAAHn9tQc=")</f>
        <v>#REF!</v>
      </c>
      <c r="I229" t="e">
        <f>AND(#REF!,"AAAAAHn9tQg=")</f>
        <v>#REF!</v>
      </c>
      <c r="J229" t="e">
        <f>AND(#REF!,"AAAAAHn9tQk=")</f>
        <v>#REF!</v>
      </c>
      <c r="K229" t="e">
        <f>AND(#REF!,"AAAAAHn9tQo=")</f>
        <v>#REF!</v>
      </c>
      <c r="L229" t="e">
        <f>AND(#REF!,"AAAAAHn9tQs=")</f>
        <v>#REF!</v>
      </c>
      <c r="M229" t="e">
        <f>AND(#REF!,"AAAAAHn9tQw=")</f>
        <v>#REF!</v>
      </c>
      <c r="N229" t="e">
        <f>AND(#REF!,"AAAAAHn9tQ0=")</f>
        <v>#REF!</v>
      </c>
      <c r="O229" t="e">
        <f>AND(#REF!,"AAAAAHn9tQ4=")</f>
        <v>#REF!</v>
      </c>
      <c r="P229" t="e">
        <f>AND(#REF!,"AAAAAHn9tQ8=")</f>
        <v>#REF!</v>
      </c>
      <c r="Q229" t="e">
        <f>AND(#REF!,"AAAAAHn9tRA=")</f>
        <v>#REF!</v>
      </c>
      <c r="R229" t="e">
        <f>AND(#REF!,"AAAAAHn9tRE=")</f>
        <v>#REF!</v>
      </c>
      <c r="S229" t="e">
        <f>AND(#REF!,"AAAAAHn9tRI=")</f>
        <v>#REF!</v>
      </c>
      <c r="T229" t="e">
        <f>AND(#REF!,"AAAAAHn9tRM=")</f>
        <v>#REF!</v>
      </c>
      <c r="U229" t="e">
        <f>AND(#REF!,"AAAAAHn9tRQ=")</f>
        <v>#REF!</v>
      </c>
      <c r="V229" t="e">
        <f>AND(#REF!,"AAAAAHn9tRU=")</f>
        <v>#REF!</v>
      </c>
      <c r="W229" t="e">
        <f>AND(#REF!,"AAAAAHn9tRY=")</f>
        <v>#REF!</v>
      </c>
      <c r="X229" t="e">
        <f>AND(#REF!,"AAAAAHn9tRc=")</f>
        <v>#REF!</v>
      </c>
      <c r="Y229" t="e">
        <f>AND(#REF!,"AAAAAHn9tRg=")</f>
        <v>#REF!</v>
      </c>
      <c r="Z229" t="e">
        <f>IF(#REF!,"AAAAAHn9tRk=",0)</f>
        <v>#REF!</v>
      </c>
      <c r="AA229" t="e">
        <f>AND(#REF!,"AAAAAHn9tRo=")</f>
        <v>#REF!</v>
      </c>
      <c r="AB229" t="e">
        <f>AND(#REF!,"AAAAAHn9tRs=")</f>
        <v>#REF!</v>
      </c>
      <c r="AC229" t="e">
        <f>AND(#REF!,"AAAAAHn9tRw=")</f>
        <v>#REF!</v>
      </c>
      <c r="AD229" t="e">
        <f>AND(#REF!,"AAAAAHn9tR0=")</f>
        <v>#REF!</v>
      </c>
      <c r="AE229" t="e">
        <f>AND(#REF!,"AAAAAHn9tR4=")</f>
        <v>#REF!</v>
      </c>
      <c r="AF229" t="e">
        <f>AND(#REF!,"AAAAAHn9tR8=")</f>
        <v>#REF!</v>
      </c>
      <c r="AG229" t="e">
        <f>AND(#REF!,"AAAAAHn9tSA=")</f>
        <v>#REF!</v>
      </c>
      <c r="AH229" t="e">
        <f>AND(#REF!,"AAAAAHn9tSE=")</f>
        <v>#REF!</v>
      </c>
      <c r="AI229" t="e">
        <f>AND(#REF!,"AAAAAHn9tSI=")</f>
        <v>#REF!</v>
      </c>
      <c r="AJ229" t="e">
        <f>AND(#REF!,"AAAAAHn9tSM=")</f>
        <v>#REF!</v>
      </c>
      <c r="AK229" t="e">
        <f>AND(#REF!,"AAAAAHn9tSQ=")</f>
        <v>#REF!</v>
      </c>
      <c r="AL229" t="e">
        <f>AND(#REF!,"AAAAAHn9tSU=")</f>
        <v>#REF!</v>
      </c>
      <c r="AM229" t="e">
        <f>AND(#REF!,"AAAAAHn9tSY=")</f>
        <v>#REF!</v>
      </c>
      <c r="AN229" t="e">
        <f>AND(#REF!,"AAAAAHn9tSc=")</f>
        <v>#REF!</v>
      </c>
      <c r="AO229" t="e">
        <f>AND(#REF!,"AAAAAHn9tSg=")</f>
        <v>#REF!</v>
      </c>
      <c r="AP229" t="e">
        <f>AND(#REF!,"AAAAAHn9tSk=")</f>
        <v>#REF!</v>
      </c>
      <c r="AQ229" t="e">
        <f>AND(#REF!,"AAAAAHn9tSo=")</f>
        <v>#REF!</v>
      </c>
      <c r="AR229" t="e">
        <f>AND(#REF!,"AAAAAHn9tSs=")</f>
        <v>#REF!</v>
      </c>
      <c r="AS229" t="e">
        <f>AND(#REF!,"AAAAAHn9tSw=")</f>
        <v>#REF!</v>
      </c>
      <c r="AT229" t="e">
        <f>AND(#REF!,"AAAAAHn9tS0=")</f>
        <v>#REF!</v>
      </c>
      <c r="AU229" t="e">
        <f>AND(#REF!,"AAAAAHn9tS4=")</f>
        <v>#REF!</v>
      </c>
      <c r="AV229" t="e">
        <f>AND(#REF!,"AAAAAHn9tS8=")</f>
        <v>#REF!</v>
      </c>
      <c r="AW229" t="e">
        <f>AND(#REF!,"AAAAAHn9tTA=")</f>
        <v>#REF!</v>
      </c>
      <c r="AX229" t="e">
        <f>AND(#REF!,"AAAAAHn9tTE=")</f>
        <v>#REF!</v>
      </c>
      <c r="AY229" t="e">
        <f>AND(#REF!,"AAAAAHn9tTI=")</f>
        <v>#REF!</v>
      </c>
      <c r="AZ229" t="e">
        <f>AND(#REF!,"AAAAAHn9tTM=")</f>
        <v>#REF!</v>
      </c>
      <c r="BA229" t="e">
        <f>AND(#REF!,"AAAAAHn9tTQ=")</f>
        <v>#REF!</v>
      </c>
      <c r="BB229" t="e">
        <f>AND(#REF!,"AAAAAHn9tTU=")</f>
        <v>#REF!</v>
      </c>
      <c r="BC229" t="e">
        <f>AND(#REF!,"AAAAAHn9tTY=")</f>
        <v>#REF!</v>
      </c>
      <c r="BD229" t="e">
        <f>AND(#REF!,"AAAAAHn9tTc=")</f>
        <v>#REF!</v>
      </c>
      <c r="BE229" t="e">
        <f>AND(#REF!,"AAAAAHn9tTg=")</f>
        <v>#REF!</v>
      </c>
      <c r="BF229" t="e">
        <f>AND(#REF!,"AAAAAHn9tTk=")</f>
        <v>#REF!</v>
      </c>
      <c r="BG229" t="e">
        <f>AND(#REF!,"AAAAAHn9tTo=")</f>
        <v>#REF!</v>
      </c>
      <c r="BH229" t="e">
        <f>AND(#REF!,"AAAAAHn9tTs=")</f>
        <v>#REF!</v>
      </c>
      <c r="BI229" t="e">
        <f>AND(#REF!,"AAAAAHn9tTw=")</f>
        <v>#REF!</v>
      </c>
      <c r="BJ229" t="e">
        <f>AND(#REF!,"AAAAAHn9tT0=")</f>
        <v>#REF!</v>
      </c>
      <c r="BK229" t="e">
        <f>AND(#REF!,"AAAAAHn9tT4=")</f>
        <v>#REF!</v>
      </c>
      <c r="BL229" t="e">
        <f>AND(#REF!,"AAAAAHn9tT8=")</f>
        <v>#REF!</v>
      </c>
      <c r="BM229" t="e">
        <f>AND(#REF!,"AAAAAHn9tUA=")</f>
        <v>#REF!</v>
      </c>
      <c r="BN229" t="e">
        <f>AND(#REF!,"AAAAAHn9tUE=")</f>
        <v>#REF!</v>
      </c>
      <c r="BO229" t="e">
        <f>AND(#REF!,"AAAAAHn9tUI=")</f>
        <v>#REF!</v>
      </c>
      <c r="BP229" t="e">
        <f>AND(#REF!,"AAAAAHn9tUM=")</f>
        <v>#REF!</v>
      </c>
      <c r="BQ229" t="e">
        <f>AND(#REF!,"AAAAAHn9tUQ=")</f>
        <v>#REF!</v>
      </c>
      <c r="BR229" t="e">
        <f>AND(#REF!,"AAAAAHn9tUU=")</f>
        <v>#REF!</v>
      </c>
      <c r="BS229" t="e">
        <f>AND(#REF!,"AAAAAHn9tUY=")</f>
        <v>#REF!</v>
      </c>
      <c r="BT229" t="e">
        <f>AND(#REF!,"AAAAAHn9tUc=")</f>
        <v>#REF!</v>
      </c>
      <c r="BU229" t="e">
        <f>AND(#REF!,"AAAAAHn9tUg=")</f>
        <v>#REF!</v>
      </c>
      <c r="BV229" t="e">
        <f>AND(#REF!,"AAAAAHn9tUk=")</f>
        <v>#REF!</v>
      </c>
      <c r="BW229" t="e">
        <f>AND(#REF!,"AAAAAHn9tUo=")</f>
        <v>#REF!</v>
      </c>
      <c r="BX229" t="e">
        <f>AND(#REF!,"AAAAAHn9tUs=")</f>
        <v>#REF!</v>
      </c>
      <c r="BY229" t="e">
        <f>AND(#REF!,"AAAAAHn9tUw=")</f>
        <v>#REF!</v>
      </c>
      <c r="BZ229" t="e">
        <f>AND(#REF!,"AAAAAHn9tU0=")</f>
        <v>#REF!</v>
      </c>
      <c r="CA229" t="e">
        <f>AND(#REF!,"AAAAAHn9tU4=")</f>
        <v>#REF!</v>
      </c>
      <c r="CB229" t="e">
        <f>AND(#REF!,"AAAAAHn9tU8=")</f>
        <v>#REF!</v>
      </c>
      <c r="CC229" t="e">
        <f>AND(#REF!,"AAAAAHn9tVA=")</f>
        <v>#REF!</v>
      </c>
      <c r="CD229" t="e">
        <f>AND(#REF!,"AAAAAHn9tVE=")</f>
        <v>#REF!</v>
      </c>
      <c r="CE229" t="e">
        <f>AND(#REF!,"AAAAAHn9tVI=")</f>
        <v>#REF!</v>
      </c>
      <c r="CF229" t="e">
        <f>AND(#REF!,"AAAAAHn9tVM=")</f>
        <v>#REF!</v>
      </c>
      <c r="CG229" t="e">
        <f>AND(#REF!,"AAAAAHn9tVQ=")</f>
        <v>#REF!</v>
      </c>
      <c r="CH229" t="e">
        <f>AND(#REF!,"AAAAAHn9tVU=")</f>
        <v>#REF!</v>
      </c>
      <c r="CI229" t="e">
        <f>AND(#REF!,"AAAAAHn9tVY=")</f>
        <v>#REF!</v>
      </c>
      <c r="CJ229" t="e">
        <f>AND(#REF!,"AAAAAHn9tVc=")</f>
        <v>#REF!</v>
      </c>
      <c r="CK229" t="e">
        <f>AND(#REF!,"AAAAAHn9tVg=")</f>
        <v>#REF!</v>
      </c>
      <c r="CL229" t="e">
        <f>AND(#REF!,"AAAAAHn9tVk=")</f>
        <v>#REF!</v>
      </c>
      <c r="CM229" t="e">
        <f>AND(#REF!,"AAAAAHn9tVo=")</f>
        <v>#REF!</v>
      </c>
      <c r="CN229" t="e">
        <f>AND(#REF!,"AAAAAHn9tVs=")</f>
        <v>#REF!</v>
      </c>
      <c r="CO229" t="e">
        <f>AND(#REF!,"AAAAAHn9tVw=")</f>
        <v>#REF!</v>
      </c>
      <c r="CP229" t="e">
        <f>AND(#REF!,"AAAAAHn9tV0=")</f>
        <v>#REF!</v>
      </c>
      <c r="CQ229" t="e">
        <f>AND(#REF!,"AAAAAHn9tV4=")</f>
        <v>#REF!</v>
      </c>
      <c r="CR229" t="e">
        <f>AND(#REF!,"AAAAAHn9tV8=")</f>
        <v>#REF!</v>
      </c>
      <c r="CS229" t="e">
        <f>AND(#REF!,"AAAAAHn9tWA=")</f>
        <v>#REF!</v>
      </c>
      <c r="CT229" t="e">
        <f>AND(#REF!,"AAAAAHn9tWE=")</f>
        <v>#REF!</v>
      </c>
      <c r="CU229" t="e">
        <f>AND(#REF!,"AAAAAHn9tWI=")</f>
        <v>#REF!</v>
      </c>
      <c r="CV229" t="e">
        <f>AND(#REF!,"AAAAAHn9tWM=")</f>
        <v>#REF!</v>
      </c>
      <c r="CW229" t="e">
        <f>AND(#REF!,"AAAAAHn9tWQ=")</f>
        <v>#REF!</v>
      </c>
      <c r="CX229" t="e">
        <f>AND(#REF!,"AAAAAHn9tWU=")</f>
        <v>#REF!</v>
      </c>
      <c r="CY229" t="e">
        <f>AND(#REF!,"AAAAAHn9tWY=")</f>
        <v>#REF!</v>
      </c>
      <c r="CZ229" t="e">
        <f>AND(#REF!,"AAAAAHn9tWc=")</f>
        <v>#REF!</v>
      </c>
      <c r="DA229" t="e">
        <f>AND(#REF!,"AAAAAHn9tWg=")</f>
        <v>#REF!</v>
      </c>
      <c r="DB229" t="e">
        <f>AND(#REF!,"AAAAAHn9tWk=")</f>
        <v>#REF!</v>
      </c>
      <c r="DC229" t="e">
        <f>AND(#REF!,"AAAAAHn9tWo=")</f>
        <v>#REF!</v>
      </c>
      <c r="DD229" t="e">
        <f>AND(#REF!,"AAAAAHn9tWs=")</f>
        <v>#REF!</v>
      </c>
      <c r="DE229" t="e">
        <f>AND(#REF!,"AAAAAHn9tWw=")</f>
        <v>#REF!</v>
      </c>
      <c r="DF229" t="e">
        <f>AND(#REF!,"AAAAAHn9tW0=")</f>
        <v>#REF!</v>
      </c>
      <c r="DG229" t="e">
        <f>AND(#REF!,"AAAAAHn9tW4=")</f>
        <v>#REF!</v>
      </c>
      <c r="DH229" t="e">
        <f>AND(#REF!,"AAAAAHn9tW8=")</f>
        <v>#REF!</v>
      </c>
      <c r="DI229" t="e">
        <f>AND(#REF!,"AAAAAHn9tXA=")</f>
        <v>#REF!</v>
      </c>
      <c r="DJ229" t="e">
        <f>AND(#REF!,"AAAAAHn9tXE=")</f>
        <v>#REF!</v>
      </c>
      <c r="DK229" t="e">
        <f>AND(#REF!,"AAAAAHn9tXI=")</f>
        <v>#REF!</v>
      </c>
      <c r="DL229" t="e">
        <f>AND(#REF!,"AAAAAHn9tXM=")</f>
        <v>#REF!</v>
      </c>
      <c r="DM229" t="e">
        <f>AND(#REF!,"AAAAAHn9tXQ=")</f>
        <v>#REF!</v>
      </c>
      <c r="DN229" t="e">
        <f>AND(#REF!,"AAAAAHn9tXU=")</f>
        <v>#REF!</v>
      </c>
      <c r="DO229" t="e">
        <f>AND(#REF!,"AAAAAHn9tXY=")</f>
        <v>#REF!</v>
      </c>
      <c r="DP229" t="e">
        <f>AND(#REF!,"AAAAAHn9tXc=")</f>
        <v>#REF!</v>
      </c>
      <c r="DQ229" t="e">
        <f>AND(#REF!,"AAAAAHn9tXg=")</f>
        <v>#REF!</v>
      </c>
      <c r="DR229" t="e">
        <f>AND(#REF!,"AAAAAHn9tXk=")</f>
        <v>#REF!</v>
      </c>
      <c r="DS229" t="e">
        <f>AND(#REF!,"AAAAAHn9tXo=")</f>
        <v>#REF!</v>
      </c>
      <c r="DT229" t="e">
        <f>AND(#REF!,"AAAAAHn9tXs=")</f>
        <v>#REF!</v>
      </c>
      <c r="DU229" t="e">
        <f>AND(#REF!,"AAAAAHn9tXw=")</f>
        <v>#REF!</v>
      </c>
      <c r="DV229" t="e">
        <f>AND(#REF!,"AAAAAHn9tX0=")</f>
        <v>#REF!</v>
      </c>
      <c r="DW229" t="e">
        <f>AND(#REF!,"AAAAAHn9tX4=")</f>
        <v>#REF!</v>
      </c>
      <c r="DX229" t="e">
        <f>AND(#REF!,"AAAAAHn9tX8=")</f>
        <v>#REF!</v>
      </c>
      <c r="DY229" t="e">
        <f>AND(#REF!,"AAAAAHn9tYA=")</f>
        <v>#REF!</v>
      </c>
      <c r="DZ229" t="e">
        <f>AND(#REF!,"AAAAAHn9tYE=")</f>
        <v>#REF!</v>
      </c>
      <c r="EA229" t="e">
        <f>AND(#REF!,"AAAAAHn9tYI=")</f>
        <v>#REF!</v>
      </c>
      <c r="EB229" t="e">
        <f>AND(#REF!,"AAAAAHn9tYM=")</f>
        <v>#REF!</v>
      </c>
      <c r="EC229" t="e">
        <f>AND(#REF!,"AAAAAHn9tYQ=")</f>
        <v>#REF!</v>
      </c>
      <c r="ED229" t="e">
        <f>AND(#REF!,"AAAAAHn9tYU=")</f>
        <v>#REF!</v>
      </c>
      <c r="EE229" t="e">
        <f>AND(#REF!,"AAAAAHn9tYY=")</f>
        <v>#REF!</v>
      </c>
      <c r="EF229" t="e">
        <f>AND(#REF!,"AAAAAHn9tYc=")</f>
        <v>#REF!</v>
      </c>
      <c r="EG229" t="e">
        <f>AND(#REF!,"AAAAAHn9tYg=")</f>
        <v>#REF!</v>
      </c>
      <c r="EH229" t="e">
        <f>AND(#REF!,"AAAAAHn9tYk=")</f>
        <v>#REF!</v>
      </c>
      <c r="EI229" t="e">
        <f>AND(#REF!,"AAAAAHn9tYo=")</f>
        <v>#REF!</v>
      </c>
      <c r="EJ229" t="e">
        <f>AND(#REF!,"AAAAAHn9tYs=")</f>
        <v>#REF!</v>
      </c>
      <c r="EK229" t="e">
        <f>AND(#REF!,"AAAAAHn9tYw=")</f>
        <v>#REF!</v>
      </c>
      <c r="EL229" t="e">
        <f>AND(#REF!,"AAAAAHn9tY0=")</f>
        <v>#REF!</v>
      </c>
      <c r="EM229" t="e">
        <f>AND(#REF!,"AAAAAHn9tY4=")</f>
        <v>#REF!</v>
      </c>
      <c r="EN229" t="e">
        <f>AND(#REF!,"AAAAAHn9tY8=")</f>
        <v>#REF!</v>
      </c>
      <c r="EO229" t="e">
        <f>AND(#REF!,"AAAAAHn9tZA=")</f>
        <v>#REF!</v>
      </c>
      <c r="EP229" t="e">
        <f>AND(#REF!,"AAAAAHn9tZE=")</f>
        <v>#REF!</v>
      </c>
      <c r="EQ229" t="e">
        <f>AND(#REF!,"AAAAAHn9tZI=")</f>
        <v>#REF!</v>
      </c>
      <c r="ER229" t="e">
        <f>AND(#REF!,"AAAAAHn9tZM=")</f>
        <v>#REF!</v>
      </c>
      <c r="ES229" t="e">
        <f>AND(#REF!,"AAAAAHn9tZQ=")</f>
        <v>#REF!</v>
      </c>
      <c r="ET229" t="e">
        <f>AND(#REF!,"AAAAAHn9tZU=")</f>
        <v>#REF!</v>
      </c>
      <c r="EU229" t="e">
        <f>AND(#REF!,"AAAAAHn9tZY=")</f>
        <v>#REF!</v>
      </c>
      <c r="EV229" t="e">
        <f>AND(#REF!,"AAAAAHn9tZc=")</f>
        <v>#REF!</v>
      </c>
      <c r="EW229" t="e">
        <f>AND(#REF!,"AAAAAHn9tZg=")</f>
        <v>#REF!</v>
      </c>
      <c r="EX229" t="e">
        <f>AND(#REF!,"AAAAAHn9tZk=")</f>
        <v>#REF!</v>
      </c>
      <c r="EY229" t="e">
        <f>AND(#REF!,"AAAAAHn9tZo=")</f>
        <v>#REF!</v>
      </c>
      <c r="EZ229" t="e">
        <f>AND(#REF!,"AAAAAHn9tZs=")</f>
        <v>#REF!</v>
      </c>
      <c r="FA229" t="e">
        <f>AND(#REF!,"AAAAAHn9tZw=")</f>
        <v>#REF!</v>
      </c>
      <c r="FB229" t="e">
        <f>AND(#REF!,"AAAAAHn9tZ0=")</f>
        <v>#REF!</v>
      </c>
      <c r="FC229" t="e">
        <f>AND(#REF!,"AAAAAHn9tZ4=")</f>
        <v>#REF!</v>
      </c>
      <c r="FD229" t="e">
        <f>AND(#REF!,"AAAAAHn9tZ8=")</f>
        <v>#REF!</v>
      </c>
      <c r="FE229" t="e">
        <f>AND(#REF!,"AAAAAHn9taA=")</f>
        <v>#REF!</v>
      </c>
      <c r="FF229" t="e">
        <f>AND(#REF!,"AAAAAHn9taE=")</f>
        <v>#REF!</v>
      </c>
      <c r="FG229" t="e">
        <f>AND(#REF!,"AAAAAHn9taI=")</f>
        <v>#REF!</v>
      </c>
      <c r="FH229" t="e">
        <f>AND(#REF!,"AAAAAHn9taM=")</f>
        <v>#REF!</v>
      </c>
      <c r="FI229" t="e">
        <f>AND(#REF!,"AAAAAHn9taQ=")</f>
        <v>#REF!</v>
      </c>
      <c r="FJ229" t="e">
        <f>AND(#REF!,"AAAAAHn9taU=")</f>
        <v>#REF!</v>
      </c>
      <c r="FK229" t="e">
        <f>AND(#REF!,"AAAAAHn9taY=")</f>
        <v>#REF!</v>
      </c>
      <c r="FL229" t="e">
        <f>AND(#REF!,"AAAAAHn9tac=")</f>
        <v>#REF!</v>
      </c>
      <c r="FM229" t="e">
        <f>AND(#REF!,"AAAAAHn9tag=")</f>
        <v>#REF!</v>
      </c>
      <c r="FN229" t="e">
        <f>AND(#REF!,"AAAAAHn9tak=")</f>
        <v>#REF!</v>
      </c>
      <c r="FO229" t="e">
        <f>AND(#REF!,"AAAAAHn9tao=")</f>
        <v>#REF!</v>
      </c>
      <c r="FP229" t="e">
        <f>AND(#REF!,"AAAAAHn9tas=")</f>
        <v>#REF!</v>
      </c>
      <c r="FQ229" t="e">
        <f>AND(#REF!,"AAAAAHn9taw=")</f>
        <v>#REF!</v>
      </c>
      <c r="FR229" t="e">
        <f>AND(#REF!,"AAAAAHn9ta0=")</f>
        <v>#REF!</v>
      </c>
      <c r="FS229" t="e">
        <f>AND(#REF!,"AAAAAHn9ta4=")</f>
        <v>#REF!</v>
      </c>
      <c r="FT229" t="e">
        <f>AND(#REF!,"AAAAAHn9ta8=")</f>
        <v>#REF!</v>
      </c>
      <c r="FU229" t="e">
        <f>AND(#REF!,"AAAAAHn9tbA=")</f>
        <v>#REF!</v>
      </c>
      <c r="FV229" t="e">
        <f>AND(#REF!,"AAAAAHn9tbE=")</f>
        <v>#REF!</v>
      </c>
      <c r="FW229" t="e">
        <f>AND(#REF!,"AAAAAHn9tbI=")</f>
        <v>#REF!</v>
      </c>
      <c r="FX229" t="e">
        <f>AND(#REF!,"AAAAAHn9tbM=")</f>
        <v>#REF!</v>
      </c>
      <c r="FY229" t="e">
        <f>AND(#REF!,"AAAAAHn9tbQ=")</f>
        <v>#REF!</v>
      </c>
      <c r="FZ229" t="e">
        <f>AND(#REF!,"AAAAAHn9tbU=")</f>
        <v>#REF!</v>
      </c>
      <c r="GA229" t="e">
        <f>AND(#REF!,"AAAAAHn9tbY=")</f>
        <v>#REF!</v>
      </c>
      <c r="GB229" t="e">
        <f>AND(#REF!,"AAAAAHn9tbc=")</f>
        <v>#REF!</v>
      </c>
      <c r="GC229" t="e">
        <f>AND(#REF!,"AAAAAHn9tbg=")</f>
        <v>#REF!</v>
      </c>
      <c r="GD229" t="e">
        <f>AND(#REF!,"AAAAAHn9tbk=")</f>
        <v>#REF!</v>
      </c>
      <c r="GE229" t="e">
        <f>AND(#REF!,"AAAAAHn9tbo=")</f>
        <v>#REF!</v>
      </c>
      <c r="GF229" t="e">
        <f>AND(#REF!,"AAAAAHn9tbs=")</f>
        <v>#REF!</v>
      </c>
      <c r="GG229" t="e">
        <f>AND(#REF!,"AAAAAHn9tbw=")</f>
        <v>#REF!</v>
      </c>
      <c r="GH229" t="e">
        <f>AND(#REF!,"AAAAAHn9tb0=")</f>
        <v>#REF!</v>
      </c>
      <c r="GI229" t="e">
        <f>AND(#REF!,"AAAAAHn9tb4=")</f>
        <v>#REF!</v>
      </c>
      <c r="GJ229" t="e">
        <f>AND(#REF!,"AAAAAHn9tb8=")</f>
        <v>#REF!</v>
      </c>
      <c r="GK229" t="e">
        <f>AND(#REF!,"AAAAAHn9tcA=")</f>
        <v>#REF!</v>
      </c>
      <c r="GL229" t="e">
        <f>AND(#REF!,"AAAAAHn9tcE=")</f>
        <v>#REF!</v>
      </c>
      <c r="GM229" t="e">
        <f>AND(#REF!,"AAAAAHn9tcI=")</f>
        <v>#REF!</v>
      </c>
      <c r="GN229" t="e">
        <f>AND(#REF!,"AAAAAHn9tcM=")</f>
        <v>#REF!</v>
      </c>
      <c r="GO229" t="e">
        <f>AND(#REF!,"AAAAAHn9tcQ=")</f>
        <v>#REF!</v>
      </c>
      <c r="GP229" t="e">
        <f>AND(#REF!,"AAAAAHn9tcU=")</f>
        <v>#REF!</v>
      </c>
      <c r="GQ229" t="e">
        <f>AND(#REF!,"AAAAAHn9tcY=")</f>
        <v>#REF!</v>
      </c>
      <c r="GR229" t="e">
        <f>AND(#REF!,"AAAAAHn9tcc=")</f>
        <v>#REF!</v>
      </c>
      <c r="GS229" t="e">
        <f>AND(#REF!,"AAAAAHn9tcg=")</f>
        <v>#REF!</v>
      </c>
      <c r="GT229" t="e">
        <f>AND(#REF!,"AAAAAHn9tck=")</f>
        <v>#REF!</v>
      </c>
      <c r="GU229" t="e">
        <f>AND(#REF!,"AAAAAHn9tco=")</f>
        <v>#REF!</v>
      </c>
      <c r="GV229" t="e">
        <f>AND(#REF!,"AAAAAHn9tcs=")</f>
        <v>#REF!</v>
      </c>
      <c r="GW229" t="e">
        <f>AND(#REF!,"AAAAAHn9tcw=")</f>
        <v>#REF!</v>
      </c>
      <c r="GX229" t="e">
        <f>AND(#REF!,"AAAAAHn9tc0=")</f>
        <v>#REF!</v>
      </c>
      <c r="GY229" t="e">
        <f>AND(#REF!,"AAAAAHn9tc4=")</f>
        <v>#REF!</v>
      </c>
      <c r="GZ229" t="e">
        <f>AND(#REF!,"AAAAAHn9tc8=")</f>
        <v>#REF!</v>
      </c>
      <c r="HA229" t="e">
        <f>AND(#REF!,"AAAAAHn9tdA=")</f>
        <v>#REF!</v>
      </c>
      <c r="HB229" t="e">
        <f>AND(#REF!,"AAAAAHn9tdE=")</f>
        <v>#REF!</v>
      </c>
      <c r="HC229" t="e">
        <f>AND(#REF!,"AAAAAHn9tdI=")</f>
        <v>#REF!</v>
      </c>
      <c r="HD229" t="e">
        <f>AND(#REF!,"AAAAAHn9tdM=")</f>
        <v>#REF!</v>
      </c>
      <c r="HE229" t="e">
        <f>AND(#REF!,"AAAAAHn9tdQ=")</f>
        <v>#REF!</v>
      </c>
      <c r="HF229" t="e">
        <f>AND(#REF!,"AAAAAHn9tdU=")</f>
        <v>#REF!</v>
      </c>
      <c r="HG229" t="e">
        <f>IF(#REF!,"AAAAAHn9tdY=",0)</f>
        <v>#REF!</v>
      </c>
      <c r="HH229" t="e">
        <f>AND(#REF!,"AAAAAHn9tdc=")</f>
        <v>#REF!</v>
      </c>
      <c r="HI229" t="e">
        <f>AND(#REF!,"AAAAAHn9tdg=")</f>
        <v>#REF!</v>
      </c>
      <c r="HJ229" t="e">
        <f>AND(#REF!,"AAAAAHn9tdk=")</f>
        <v>#REF!</v>
      </c>
      <c r="HK229" t="e">
        <f>AND(#REF!,"AAAAAHn9tdo=")</f>
        <v>#REF!</v>
      </c>
      <c r="HL229" t="e">
        <f>AND(#REF!,"AAAAAHn9tds=")</f>
        <v>#REF!</v>
      </c>
      <c r="HM229" t="e">
        <f>AND(#REF!,"AAAAAHn9tdw=")</f>
        <v>#REF!</v>
      </c>
      <c r="HN229" t="e">
        <f>AND(#REF!,"AAAAAHn9td0=")</f>
        <v>#REF!</v>
      </c>
      <c r="HO229" t="e">
        <f>AND(#REF!,"AAAAAHn9td4=")</f>
        <v>#REF!</v>
      </c>
      <c r="HP229" t="e">
        <f>AND(#REF!,"AAAAAHn9td8=")</f>
        <v>#REF!</v>
      </c>
      <c r="HQ229" t="e">
        <f>AND(#REF!,"AAAAAHn9teA=")</f>
        <v>#REF!</v>
      </c>
      <c r="HR229" t="e">
        <f>AND(#REF!,"AAAAAHn9teE=")</f>
        <v>#REF!</v>
      </c>
      <c r="HS229" t="e">
        <f>AND(#REF!,"AAAAAHn9teI=")</f>
        <v>#REF!</v>
      </c>
      <c r="HT229" t="e">
        <f>AND(#REF!,"AAAAAHn9teM=")</f>
        <v>#REF!</v>
      </c>
      <c r="HU229" t="e">
        <f>AND(#REF!,"AAAAAHn9teQ=")</f>
        <v>#REF!</v>
      </c>
      <c r="HV229" t="e">
        <f>AND(#REF!,"AAAAAHn9teU=")</f>
        <v>#REF!</v>
      </c>
      <c r="HW229" t="e">
        <f>AND(#REF!,"AAAAAHn9teY=")</f>
        <v>#REF!</v>
      </c>
      <c r="HX229" t="e">
        <f>AND(#REF!,"AAAAAHn9tec=")</f>
        <v>#REF!</v>
      </c>
      <c r="HY229" t="e">
        <f>AND(#REF!,"AAAAAHn9teg=")</f>
        <v>#REF!</v>
      </c>
      <c r="HZ229" t="e">
        <f>AND(#REF!,"AAAAAHn9tek=")</f>
        <v>#REF!</v>
      </c>
      <c r="IA229" t="e">
        <f>AND(#REF!,"AAAAAHn9teo=")</f>
        <v>#REF!</v>
      </c>
      <c r="IB229" t="e">
        <f>AND(#REF!,"AAAAAHn9tes=")</f>
        <v>#REF!</v>
      </c>
      <c r="IC229" t="e">
        <f>AND(#REF!,"AAAAAHn9tew=")</f>
        <v>#REF!</v>
      </c>
      <c r="ID229" t="e">
        <f>AND(#REF!,"AAAAAHn9te0=")</f>
        <v>#REF!</v>
      </c>
      <c r="IE229" t="e">
        <f>AND(#REF!,"AAAAAHn9te4=")</f>
        <v>#REF!</v>
      </c>
      <c r="IF229" t="e">
        <f>AND(#REF!,"AAAAAHn9te8=")</f>
        <v>#REF!</v>
      </c>
      <c r="IG229" t="e">
        <f>AND(#REF!,"AAAAAHn9tfA=")</f>
        <v>#REF!</v>
      </c>
      <c r="IH229" t="e">
        <f>AND(#REF!,"AAAAAHn9tfE=")</f>
        <v>#REF!</v>
      </c>
      <c r="II229" t="e">
        <f>AND(#REF!,"AAAAAHn9tfI=")</f>
        <v>#REF!</v>
      </c>
      <c r="IJ229" t="e">
        <f>AND(#REF!,"AAAAAHn9tfM=")</f>
        <v>#REF!</v>
      </c>
      <c r="IK229" t="e">
        <f>AND(#REF!,"AAAAAHn9tfQ=")</f>
        <v>#REF!</v>
      </c>
      <c r="IL229" t="e">
        <f>AND(#REF!,"AAAAAHn9tfU=")</f>
        <v>#REF!</v>
      </c>
      <c r="IM229" t="e">
        <f>AND(#REF!,"AAAAAHn9tfY=")</f>
        <v>#REF!</v>
      </c>
      <c r="IN229" t="e">
        <f>AND(#REF!,"AAAAAHn9tfc=")</f>
        <v>#REF!</v>
      </c>
      <c r="IO229" t="e">
        <f>AND(#REF!,"AAAAAHn9tfg=")</f>
        <v>#REF!</v>
      </c>
      <c r="IP229" t="e">
        <f>AND(#REF!,"AAAAAHn9tfk=")</f>
        <v>#REF!</v>
      </c>
      <c r="IQ229" t="e">
        <f>AND(#REF!,"AAAAAHn9tfo=")</f>
        <v>#REF!</v>
      </c>
      <c r="IR229" t="e">
        <f>AND(#REF!,"AAAAAHn9tfs=")</f>
        <v>#REF!</v>
      </c>
      <c r="IS229" t="e">
        <f>AND(#REF!,"AAAAAHn9tfw=")</f>
        <v>#REF!</v>
      </c>
      <c r="IT229" t="e">
        <f>AND(#REF!,"AAAAAHn9tf0=")</f>
        <v>#REF!</v>
      </c>
      <c r="IU229" t="e">
        <f>AND(#REF!,"AAAAAHn9tf4=")</f>
        <v>#REF!</v>
      </c>
      <c r="IV229" t="e">
        <f>AND(#REF!,"AAAAAHn9tf8=")</f>
        <v>#REF!</v>
      </c>
    </row>
    <row r="230" spans="1:256" x14ac:dyDescent="0.25">
      <c r="A230" t="e">
        <f>AND(#REF!,"AAAAAD1rXQA=")</f>
        <v>#REF!</v>
      </c>
      <c r="B230" t="e">
        <f>AND(#REF!,"AAAAAD1rXQE=")</f>
        <v>#REF!</v>
      </c>
      <c r="C230" t="e">
        <f>AND(#REF!,"AAAAAD1rXQI=")</f>
        <v>#REF!</v>
      </c>
      <c r="D230" t="e">
        <f>AND(#REF!,"AAAAAD1rXQM=")</f>
        <v>#REF!</v>
      </c>
      <c r="E230" t="e">
        <f>AND(#REF!,"AAAAAD1rXQQ=")</f>
        <v>#REF!</v>
      </c>
      <c r="F230" t="e">
        <f>AND(#REF!,"AAAAAD1rXQU=")</f>
        <v>#REF!</v>
      </c>
      <c r="G230" t="e">
        <f>AND(#REF!,"AAAAAD1rXQY=")</f>
        <v>#REF!</v>
      </c>
      <c r="H230" t="e">
        <f>AND(#REF!,"AAAAAD1rXQc=")</f>
        <v>#REF!</v>
      </c>
      <c r="I230" t="e">
        <f>AND(#REF!,"AAAAAD1rXQg=")</f>
        <v>#REF!</v>
      </c>
      <c r="J230" t="e">
        <f>AND(#REF!,"AAAAAD1rXQk=")</f>
        <v>#REF!</v>
      </c>
      <c r="K230" t="e">
        <f>AND(#REF!,"AAAAAD1rXQo=")</f>
        <v>#REF!</v>
      </c>
      <c r="L230" t="e">
        <f>AND(#REF!,"AAAAAD1rXQs=")</f>
        <v>#REF!</v>
      </c>
      <c r="M230" t="e">
        <f>AND(#REF!,"AAAAAD1rXQw=")</f>
        <v>#REF!</v>
      </c>
      <c r="N230" t="e">
        <f>AND(#REF!,"AAAAAD1rXQ0=")</f>
        <v>#REF!</v>
      </c>
      <c r="O230" t="e">
        <f>AND(#REF!,"AAAAAD1rXQ4=")</f>
        <v>#REF!</v>
      </c>
      <c r="P230" t="e">
        <f>AND(#REF!,"AAAAAD1rXQ8=")</f>
        <v>#REF!</v>
      </c>
      <c r="Q230" t="e">
        <f>AND(#REF!,"AAAAAD1rXRA=")</f>
        <v>#REF!</v>
      </c>
      <c r="R230" t="e">
        <f>AND(#REF!,"AAAAAD1rXRE=")</f>
        <v>#REF!</v>
      </c>
      <c r="S230" t="e">
        <f>AND(#REF!,"AAAAAD1rXRI=")</f>
        <v>#REF!</v>
      </c>
      <c r="T230" t="e">
        <f>AND(#REF!,"AAAAAD1rXRM=")</f>
        <v>#REF!</v>
      </c>
      <c r="U230" t="e">
        <f>AND(#REF!,"AAAAAD1rXRQ=")</f>
        <v>#REF!</v>
      </c>
      <c r="V230" t="e">
        <f>AND(#REF!,"AAAAAD1rXRU=")</f>
        <v>#REF!</v>
      </c>
      <c r="W230" t="e">
        <f>AND(#REF!,"AAAAAD1rXRY=")</f>
        <v>#REF!</v>
      </c>
      <c r="X230" t="e">
        <f>AND(#REF!,"AAAAAD1rXRc=")</f>
        <v>#REF!</v>
      </c>
      <c r="Y230" t="e">
        <f>AND(#REF!,"AAAAAD1rXRg=")</f>
        <v>#REF!</v>
      </c>
      <c r="Z230" t="e">
        <f>AND(#REF!,"AAAAAD1rXRk=")</f>
        <v>#REF!</v>
      </c>
      <c r="AA230" t="e">
        <f>AND(#REF!,"AAAAAD1rXRo=")</f>
        <v>#REF!</v>
      </c>
      <c r="AB230" t="e">
        <f>AND(#REF!,"AAAAAD1rXRs=")</f>
        <v>#REF!</v>
      </c>
      <c r="AC230" t="e">
        <f>AND(#REF!,"AAAAAD1rXRw=")</f>
        <v>#REF!</v>
      </c>
      <c r="AD230" t="e">
        <f>AND(#REF!,"AAAAAD1rXR0=")</f>
        <v>#REF!</v>
      </c>
      <c r="AE230" t="e">
        <f>AND(#REF!,"AAAAAD1rXR4=")</f>
        <v>#REF!</v>
      </c>
      <c r="AF230" t="e">
        <f>AND(#REF!,"AAAAAD1rXR8=")</f>
        <v>#REF!</v>
      </c>
      <c r="AG230" t="e">
        <f>AND(#REF!,"AAAAAD1rXSA=")</f>
        <v>#REF!</v>
      </c>
      <c r="AH230" t="e">
        <f>AND(#REF!,"AAAAAD1rXSE=")</f>
        <v>#REF!</v>
      </c>
      <c r="AI230" t="e">
        <f>AND(#REF!,"AAAAAD1rXSI=")</f>
        <v>#REF!</v>
      </c>
      <c r="AJ230" t="e">
        <f>AND(#REF!,"AAAAAD1rXSM=")</f>
        <v>#REF!</v>
      </c>
      <c r="AK230" t="e">
        <f>AND(#REF!,"AAAAAD1rXSQ=")</f>
        <v>#REF!</v>
      </c>
      <c r="AL230" t="e">
        <f>AND(#REF!,"AAAAAD1rXSU=")</f>
        <v>#REF!</v>
      </c>
      <c r="AM230" t="e">
        <f>AND(#REF!,"AAAAAD1rXSY=")</f>
        <v>#REF!</v>
      </c>
      <c r="AN230" t="e">
        <f>AND(#REF!,"AAAAAD1rXSc=")</f>
        <v>#REF!</v>
      </c>
      <c r="AO230" t="e">
        <f>AND(#REF!,"AAAAAD1rXSg=")</f>
        <v>#REF!</v>
      </c>
      <c r="AP230" t="e">
        <f>AND(#REF!,"AAAAAD1rXSk=")</f>
        <v>#REF!</v>
      </c>
      <c r="AQ230" t="e">
        <f>AND(#REF!,"AAAAAD1rXSo=")</f>
        <v>#REF!</v>
      </c>
      <c r="AR230" t="e">
        <f>AND(#REF!,"AAAAAD1rXSs=")</f>
        <v>#REF!</v>
      </c>
      <c r="AS230" t="e">
        <f>AND(#REF!,"AAAAAD1rXSw=")</f>
        <v>#REF!</v>
      </c>
      <c r="AT230" t="e">
        <f>AND(#REF!,"AAAAAD1rXS0=")</f>
        <v>#REF!</v>
      </c>
      <c r="AU230" t="e">
        <f>AND(#REF!,"AAAAAD1rXS4=")</f>
        <v>#REF!</v>
      </c>
      <c r="AV230" t="e">
        <f>AND(#REF!,"AAAAAD1rXS8=")</f>
        <v>#REF!</v>
      </c>
      <c r="AW230" t="e">
        <f>AND(#REF!,"AAAAAD1rXTA=")</f>
        <v>#REF!</v>
      </c>
      <c r="AX230" t="e">
        <f>AND(#REF!,"AAAAAD1rXTE=")</f>
        <v>#REF!</v>
      </c>
      <c r="AY230" t="e">
        <f>AND(#REF!,"AAAAAD1rXTI=")</f>
        <v>#REF!</v>
      </c>
      <c r="AZ230" t="e">
        <f>AND(#REF!,"AAAAAD1rXTM=")</f>
        <v>#REF!</v>
      </c>
      <c r="BA230" t="e">
        <f>AND(#REF!,"AAAAAD1rXTQ=")</f>
        <v>#REF!</v>
      </c>
      <c r="BB230" t="e">
        <f>AND(#REF!,"AAAAAD1rXTU=")</f>
        <v>#REF!</v>
      </c>
      <c r="BC230" t="e">
        <f>AND(#REF!,"AAAAAD1rXTY=")</f>
        <v>#REF!</v>
      </c>
      <c r="BD230" t="e">
        <f>AND(#REF!,"AAAAAD1rXTc=")</f>
        <v>#REF!</v>
      </c>
      <c r="BE230" t="e">
        <f>AND(#REF!,"AAAAAD1rXTg=")</f>
        <v>#REF!</v>
      </c>
      <c r="BF230" t="e">
        <f>AND(#REF!,"AAAAAD1rXTk=")</f>
        <v>#REF!</v>
      </c>
      <c r="BG230" t="e">
        <f>AND(#REF!,"AAAAAD1rXTo=")</f>
        <v>#REF!</v>
      </c>
      <c r="BH230" t="e">
        <f>AND(#REF!,"AAAAAD1rXTs=")</f>
        <v>#REF!</v>
      </c>
      <c r="BI230" t="e">
        <f>AND(#REF!,"AAAAAD1rXTw=")</f>
        <v>#REF!</v>
      </c>
      <c r="BJ230" t="e">
        <f>AND(#REF!,"AAAAAD1rXT0=")</f>
        <v>#REF!</v>
      </c>
      <c r="BK230" t="e">
        <f>AND(#REF!,"AAAAAD1rXT4=")</f>
        <v>#REF!</v>
      </c>
      <c r="BL230" t="e">
        <f>AND(#REF!,"AAAAAD1rXT8=")</f>
        <v>#REF!</v>
      </c>
      <c r="BM230" t="e">
        <f>AND(#REF!,"AAAAAD1rXUA=")</f>
        <v>#REF!</v>
      </c>
      <c r="BN230" t="e">
        <f>AND(#REF!,"AAAAAD1rXUE=")</f>
        <v>#REF!</v>
      </c>
      <c r="BO230" t="e">
        <f>AND(#REF!,"AAAAAD1rXUI=")</f>
        <v>#REF!</v>
      </c>
      <c r="BP230" t="e">
        <f>AND(#REF!,"AAAAAD1rXUM=")</f>
        <v>#REF!</v>
      </c>
      <c r="BQ230" t="e">
        <f>AND(#REF!,"AAAAAD1rXUQ=")</f>
        <v>#REF!</v>
      </c>
      <c r="BR230" t="e">
        <f>AND(#REF!,"AAAAAD1rXUU=")</f>
        <v>#REF!</v>
      </c>
      <c r="BS230" t="e">
        <f>AND(#REF!,"AAAAAD1rXUY=")</f>
        <v>#REF!</v>
      </c>
      <c r="BT230" t="e">
        <f>AND(#REF!,"AAAAAD1rXUc=")</f>
        <v>#REF!</v>
      </c>
      <c r="BU230" t="e">
        <f>AND(#REF!,"AAAAAD1rXUg=")</f>
        <v>#REF!</v>
      </c>
      <c r="BV230" t="e">
        <f>AND(#REF!,"AAAAAD1rXUk=")</f>
        <v>#REF!</v>
      </c>
      <c r="BW230" t="e">
        <f>AND(#REF!,"AAAAAD1rXUo=")</f>
        <v>#REF!</v>
      </c>
      <c r="BX230" t="e">
        <f>AND(#REF!,"AAAAAD1rXUs=")</f>
        <v>#REF!</v>
      </c>
      <c r="BY230" t="e">
        <f>AND(#REF!,"AAAAAD1rXUw=")</f>
        <v>#REF!</v>
      </c>
      <c r="BZ230" t="e">
        <f>AND(#REF!,"AAAAAD1rXU0=")</f>
        <v>#REF!</v>
      </c>
      <c r="CA230" t="e">
        <f>AND(#REF!,"AAAAAD1rXU4=")</f>
        <v>#REF!</v>
      </c>
      <c r="CB230" t="e">
        <f>AND(#REF!,"AAAAAD1rXU8=")</f>
        <v>#REF!</v>
      </c>
      <c r="CC230" t="e">
        <f>AND(#REF!,"AAAAAD1rXVA=")</f>
        <v>#REF!</v>
      </c>
      <c r="CD230" t="e">
        <f>AND(#REF!,"AAAAAD1rXVE=")</f>
        <v>#REF!</v>
      </c>
      <c r="CE230" t="e">
        <f>AND(#REF!,"AAAAAD1rXVI=")</f>
        <v>#REF!</v>
      </c>
      <c r="CF230" t="e">
        <f>AND(#REF!,"AAAAAD1rXVM=")</f>
        <v>#REF!</v>
      </c>
      <c r="CG230" t="e">
        <f>AND(#REF!,"AAAAAD1rXVQ=")</f>
        <v>#REF!</v>
      </c>
      <c r="CH230" t="e">
        <f>AND(#REF!,"AAAAAD1rXVU=")</f>
        <v>#REF!</v>
      </c>
      <c r="CI230" t="e">
        <f>AND(#REF!,"AAAAAD1rXVY=")</f>
        <v>#REF!</v>
      </c>
      <c r="CJ230" t="e">
        <f>AND(#REF!,"AAAAAD1rXVc=")</f>
        <v>#REF!</v>
      </c>
      <c r="CK230" t="e">
        <f>AND(#REF!,"AAAAAD1rXVg=")</f>
        <v>#REF!</v>
      </c>
      <c r="CL230" t="e">
        <f>AND(#REF!,"AAAAAD1rXVk=")</f>
        <v>#REF!</v>
      </c>
      <c r="CM230" t="e">
        <f>AND(#REF!,"AAAAAD1rXVo=")</f>
        <v>#REF!</v>
      </c>
      <c r="CN230" t="e">
        <f>AND(#REF!,"AAAAAD1rXVs=")</f>
        <v>#REF!</v>
      </c>
      <c r="CO230" t="e">
        <f>AND(#REF!,"AAAAAD1rXVw=")</f>
        <v>#REF!</v>
      </c>
      <c r="CP230" t="e">
        <f>AND(#REF!,"AAAAAD1rXV0=")</f>
        <v>#REF!</v>
      </c>
      <c r="CQ230" t="e">
        <f>AND(#REF!,"AAAAAD1rXV4=")</f>
        <v>#REF!</v>
      </c>
      <c r="CR230" t="e">
        <f>AND(#REF!,"AAAAAD1rXV8=")</f>
        <v>#REF!</v>
      </c>
      <c r="CS230" t="e">
        <f>AND(#REF!,"AAAAAD1rXWA=")</f>
        <v>#REF!</v>
      </c>
      <c r="CT230" t="e">
        <f>AND(#REF!,"AAAAAD1rXWE=")</f>
        <v>#REF!</v>
      </c>
      <c r="CU230" t="e">
        <f>AND(#REF!,"AAAAAD1rXWI=")</f>
        <v>#REF!</v>
      </c>
      <c r="CV230" t="e">
        <f>AND(#REF!,"AAAAAD1rXWM=")</f>
        <v>#REF!</v>
      </c>
      <c r="CW230" t="e">
        <f>AND(#REF!,"AAAAAD1rXWQ=")</f>
        <v>#REF!</v>
      </c>
      <c r="CX230" t="e">
        <f>AND(#REF!,"AAAAAD1rXWU=")</f>
        <v>#REF!</v>
      </c>
      <c r="CY230" t="e">
        <f>AND(#REF!,"AAAAAD1rXWY=")</f>
        <v>#REF!</v>
      </c>
      <c r="CZ230" t="e">
        <f>AND(#REF!,"AAAAAD1rXWc=")</f>
        <v>#REF!</v>
      </c>
      <c r="DA230" t="e">
        <f>AND(#REF!,"AAAAAD1rXWg=")</f>
        <v>#REF!</v>
      </c>
      <c r="DB230" t="e">
        <f>AND(#REF!,"AAAAAD1rXWk=")</f>
        <v>#REF!</v>
      </c>
      <c r="DC230" t="e">
        <f>AND(#REF!,"AAAAAD1rXWo=")</f>
        <v>#REF!</v>
      </c>
      <c r="DD230" t="e">
        <f>AND(#REF!,"AAAAAD1rXWs=")</f>
        <v>#REF!</v>
      </c>
      <c r="DE230" t="e">
        <f>AND(#REF!,"AAAAAD1rXWw=")</f>
        <v>#REF!</v>
      </c>
      <c r="DF230" t="e">
        <f>AND(#REF!,"AAAAAD1rXW0=")</f>
        <v>#REF!</v>
      </c>
      <c r="DG230" t="e">
        <f>AND(#REF!,"AAAAAD1rXW4=")</f>
        <v>#REF!</v>
      </c>
      <c r="DH230" t="e">
        <f>AND(#REF!,"AAAAAD1rXW8=")</f>
        <v>#REF!</v>
      </c>
      <c r="DI230" t="e">
        <f>AND(#REF!,"AAAAAD1rXXA=")</f>
        <v>#REF!</v>
      </c>
      <c r="DJ230" t="e">
        <f>AND(#REF!,"AAAAAD1rXXE=")</f>
        <v>#REF!</v>
      </c>
      <c r="DK230" t="e">
        <f>AND(#REF!,"AAAAAD1rXXI=")</f>
        <v>#REF!</v>
      </c>
      <c r="DL230" t="e">
        <f>AND(#REF!,"AAAAAD1rXXM=")</f>
        <v>#REF!</v>
      </c>
      <c r="DM230" t="e">
        <f>AND(#REF!,"AAAAAD1rXXQ=")</f>
        <v>#REF!</v>
      </c>
      <c r="DN230" t="e">
        <f>AND(#REF!,"AAAAAD1rXXU=")</f>
        <v>#REF!</v>
      </c>
      <c r="DO230" t="e">
        <f>AND(#REF!,"AAAAAD1rXXY=")</f>
        <v>#REF!</v>
      </c>
      <c r="DP230" t="e">
        <f>AND(#REF!,"AAAAAD1rXXc=")</f>
        <v>#REF!</v>
      </c>
      <c r="DQ230" t="e">
        <f>AND(#REF!,"AAAAAD1rXXg=")</f>
        <v>#REF!</v>
      </c>
      <c r="DR230" t="e">
        <f>AND(#REF!,"AAAAAD1rXXk=")</f>
        <v>#REF!</v>
      </c>
      <c r="DS230" t="e">
        <f>AND(#REF!,"AAAAAD1rXXo=")</f>
        <v>#REF!</v>
      </c>
      <c r="DT230" t="e">
        <f>AND(#REF!,"AAAAAD1rXXs=")</f>
        <v>#REF!</v>
      </c>
      <c r="DU230" t="e">
        <f>AND(#REF!,"AAAAAD1rXXw=")</f>
        <v>#REF!</v>
      </c>
      <c r="DV230" t="e">
        <f>AND(#REF!,"AAAAAD1rXX0=")</f>
        <v>#REF!</v>
      </c>
      <c r="DW230" t="e">
        <f>AND(#REF!,"AAAAAD1rXX4=")</f>
        <v>#REF!</v>
      </c>
      <c r="DX230" t="e">
        <f>AND(#REF!,"AAAAAD1rXX8=")</f>
        <v>#REF!</v>
      </c>
      <c r="DY230" t="e">
        <f>AND(#REF!,"AAAAAD1rXYA=")</f>
        <v>#REF!</v>
      </c>
      <c r="DZ230" t="e">
        <f>AND(#REF!,"AAAAAD1rXYE=")</f>
        <v>#REF!</v>
      </c>
      <c r="EA230" t="e">
        <f>AND(#REF!,"AAAAAD1rXYI=")</f>
        <v>#REF!</v>
      </c>
      <c r="EB230" t="e">
        <f>AND(#REF!,"AAAAAD1rXYM=")</f>
        <v>#REF!</v>
      </c>
      <c r="EC230" t="e">
        <f>AND(#REF!,"AAAAAD1rXYQ=")</f>
        <v>#REF!</v>
      </c>
      <c r="ED230" t="e">
        <f>AND(#REF!,"AAAAAD1rXYU=")</f>
        <v>#REF!</v>
      </c>
      <c r="EE230" t="e">
        <f>AND(#REF!,"AAAAAD1rXYY=")</f>
        <v>#REF!</v>
      </c>
      <c r="EF230" t="e">
        <f>AND(#REF!,"AAAAAD1rXYc=")</f>
        <v>#REF!</v>
      </c>
      <c r="EG230" t="e">
        <f>AND(#REF!,"AAAAAD1rXYg=")</f>
        <v>#REF!</v>
      </c>
      <c r="EH230" t="e">
        <f>AND(#REF!,"AAAAAD1rXYk=")</f>
        <v>#REF!</v>
      </c>
      <c r="EI230" t="e">
        <f>AND(#REF!,"AAAAAD1rXYo=")</f>
        <v>#REF!</v>
      </c>
      <c r="EJ230" t="e">
        <f>AND(#REF!,"AAAAAD1rXYs=")</f>
        <v>#REF!</v>
      </c>
      <c r="EK230" t="e">
        <f>AND(#REF!,"AAAAAD1rXYw=")</f>
        <v>#REF!</v>
      </c>
      <c r="EL230" t="e">
        <f>AND(#REF!,"AAAAAD1rXY0=")</f>
        <v>#REF!</v>
      </c>
      <c r="EM230" t="e">
        <f>AND(#REF!,"AAAAAD1rXY4=")</f>
        <v>#REF!</v>
      </c>
      <c r="EN230" t="e">
        <f>AND(#REF!,"AAAAAD1rXY8=")</f>
        <v>#REF!</v>
      </c>
      <c r="EO230" t="e">
        <f>AND(#REF!,"AAAAAD1rXZA=")</f>
        <v>#REF!</v>
      </c>
      <c r="EP230" t="e">
        <f>AND(#REF!,"AAAAAD1rXZE=")</f>
        <v>#REF!</v>
      </c>
      <c r="EQ230" t="e">
        <f>AND(#REF!,"AAAAAD1rXZI=")</f>
        <v>#REF!</v>
      </c>
      <c r="ER230" t="e">
        <f>IF(#REF!,"AAAAAD1rXZM=",0)</f>
        <v>#REF!</v>
      </c>
      <c r="ES230" t="e">
        <f>AND(#REF!,"AAAAAD1rXZQ=")</f>
        <v>#REF!</v>
      </c>
      <c r="ET230" t="e">
        <f>AND(#REF!,"AAAAAD1rXZU=")</f>
        <v>#REF!</v>
      </c>
      <c r="EU230" t="e">
        <f>AND(#REF!,"AAAAAD1rXZY=")</f>
        <v>#REF!</v>
      </c>
      <c r="EV230" t="e">
        <f>AND(#REF!,"AAAAAD1rXZc=")</f>
        <v>#REF!</v>
      </c>
      <c r="EW230" t="e">
        <f>AND(#REF!,"AAAAAD1rXZg=")</f>
        <v>#REF!</v>
      </c>
      <c r="EX230" t="e">
        <f>AND(#REF!,"AAAAAD1rXZk=")</f>
        <v>#REF!</v>
      </c>
      <c r="EY230" t="e">
        <f>AND(#REF!,"AAAAAD1rXZo=")</f>
        <v>#REF!</v>
      </c>
      <c r="EZ230" t="e">
        <f>AND(#REF!,"AAAAAD1rXZs=")</f>
        <v>#REF!</v>
      </c>
      <c r="FA230" t="e">
        <f>AND(#REF!,"AAAAAD1rXZw=")</f>
        <v>#REF!</v>
      </c>
      <c r="FB230" t="e">
        <f>AND(#REF!,"AAAAAD1rXZ0=")</f>
        <v>#REF!</v>
      </c>
      <c r="FC230" t="e">
        <f>AND(#REF!,"AAAAAD1rXZ4=")</f>
        <v>#REF!</v>
      </c>
      <c r="FD230" t="e">
        <f>AND(#REF!,"AAAAAD1rXZ8=")</f>
        <v>#REF!</v>
      </c>
      <c r="FE230" t="e">
        <f>AND(#REF!,"AAAAAD1rXaA=")</f>
        <v>#REF!</v>
      </c>
      <c r="FF230" t="e">
        <f>AND(#REF!,"AAAAAD1rXaE=")</f>
        <v>#REF!</v>
      </c>
      <c r="FG230" t="e">
        <f>AND(#REF!,"AAAAAD1rXaI=")</f>
        <v>#REF!</v>
      </c>
      <c r="FH230" t="e">
        <f>AND(#REF!,"AAAAAD1rXaM=")</f>
        <v>#REF!</v>
      </c>
      <c r="FI230" t="e">
        <f>AND(#REF!,"AAAAAD1rXaQ=")</f>
        <v>#REF!</v>
      </c>
      <c r="FJ230" t="e">
        <f>AND(#REF!,"AAAAAD1rXaU=")</f>
        <v>#REF!</v>
      </c>
      <c r="FK230" t="e">
        <f>AND(#REF!,"AAAAAD1rXaY=")</f>
        <v>#REF!</v>
      </c>
      <c r="FL230" t="e">
        <f>AND(#REF!,"AAAAAD1rXac=")</f>
        <v>#REF!</v>
      </c>
      <c r="FM230" t="e">
        <f>AND(#REF!,"AAAAAD1rXag=")</f>
        <v>#REF!</v>
      </c>
      <c r="FN230" t="e">
        <f>AND(#REF!,"AAAAAD1rXak=")</f>
        <v>#REF!</v>
      </c>
      <c r="FO230" t="e">
        <f>AND(#REF!,"AAAAAD1rXao=")</f>
        <v>#REF!</v>
      </c>
      <c r="FP230" t="e">
        <f>AND(#REF!,"AAAAAD1rXas=")</f>
        <v>#REF!</v>
      </c>
      <c r="FQ230" t="e">
        <f>AND(#REF!,"AAAAAD1rXaw=")</f>
        <v>#REF!</v>
      </c>
      <c r="FR230" t="e">
        <f>AND(#REF!,"AAAAAD1rXa0=")</f>
        <v>#REF!</v>
      </c>
      <c r="FS230" t="e">
        <f>AND(#REF!,"AAAAAD1rXa4=")</f>
        <v>#REF!</v>
      </c>
      <c r="FT230" t="e">
        <f>AND(#REF!,"AAAAAD1rXa8=")</f>
        <v>#REF!</v>
      </c>
      <c r="FU230" t="e">
        <f>AND(#REF!,"AAAAAD1rXbA=")</f>
        <v>#REF!</v>
      </c>
      <c r="FV230" t="e">
        <f>AND(#REF!,"AAAAAD1rXbE=")</f>
        <v>#REF!</v>
      </c>
      <c r="FW230" t="e">
        <f>AND(#REF!,"AAAAAD1rXbI=")</f>
        <v>#REF!</v>
      </c>
      <c r="FX230" t="e">
        <f>AND(#REF!,"AAAAAD1rXbM=")</f>
        <v>#REF!</v>
      </c>
      <c r="FY230" t="e">
        <f>AND(#REF!,"AAAAAD1rXbQ=")</f>
        <v>#REF!</v>
      </c>
      <c r="FZ230" t="e">
        <f>AND(#REF!,"AAAAAD1rXbU=")</f>
        <v>#REF!</v>
      </c>
      <c r="GA230" t="e">
        <f>AND(#REF!,"AAAAAD1rXbY=")</f>
        <v>#REF!</v>
      </c>
      <c r="GB230" t="e">
        <f>AND(#REF!,"AAAAAD1rXbc=")</f>
        <v>#REF!</v>
      </c>
      <c r="GC230" t="e">
        <f>AND(#REF!,"AAAAAD1rXbg=")</f>
        <v>#REF!</v>
      </c>
      <c r="GD230" t="e">
        <f>AND(#REF!,"AAAAAD1rXbk=")</f>
        <v>#REF!</v>
      </c>
      <c r="GE230" t="e">
        <f>AND(#REF!,"AAAAAD1rXbo=")</f>
        <v>#REF!</v>
      </c>
      <c r="GF230" t="e">
        <f>AND(#REF!,"AAAAAD1rXbs=")</f>
        <v>#REF!</v>
      </c>
      <c r="GG230" t="e">
        <f>AND(#REF!,"AAAAAD1rXbw=")</f>
        <v>#REF!</v>
      </c>
      <c r="GH230" t="e">
        <f>AND(#REF!,"AAAAAD1rXb0=")</f>
        <v>#REF!</v>
      </c>
      <c r="GI230" t="e">
        <f>AND(#REF!,"AAAAAD1rXb4=")</f>
        <v>#REF!</v>
      </c>
      <c r="GJ230" t="e">
        <f>AND(#REF!,"AAAAAD1rXb8=")</f>
        <v>#REF!</v>
      </c>
      <c r="GK230" t="e">
        <f>AND(#REF!,"AAAAAD1rXcA=")</f>
        <v>#REF!</v>
      </c>
      <c r="GL230" t="e">
        <f>AND(#REF!,"AAAAAD1rXcE=")</f>
        <v>#REF!</v>
      </c>
      <c r="GM230" t="e">
        <f>AND(#REF!,"AAAAAD1rXcI=")</f>
        <v>#REF!</v>
      </c>
      <c r="GN230" t="e">
        <f>AND(#REF!,"AAAAAD1rXcM=")</f>
        <v>#REF!</v>
      </c>
      <c r="GO230" t="e">
        <f>AND(#REF!,"AAAAAD1rXcQ=")</f>
        <v>#REF!</v>
      </c>
      <c r="GP230" t="e">
        <f>AND(#REF!,"AAAAAD1rXcU=")</f>
        <v>#REF!</v>
      </c>
      <c r="GQ230" t="e">
        <f>AND(#REF!,"AAAAAD1rXcY=")</f>
        <v>#REF!</v>
      </c>
      <c r="GR230" t="e">
        <f>AND(#REF!,"AAAAAD1rXcc=")</f>
        <v>#REF!</v>
      </c>
      <c r="GS230" t="e">
        <f>AND(#REF!,"AAAAAD1rXcg=")</f>
        <v>#REF!</v>
      </c>
      <c r="GT230" t="e">
        <f>AND(#REF!,"AAAAAD1rXck=")</f>
        <v>#REF!</v>
      </c>
      <c r="GU230" t="e">
        <f>AND(#REF!,"AAAAAD1rXco=")</f>
        <v>#REF!</v>
      </c>
      <c r="GV230" t="e">
        <f>AND(#REF!,"AAAAAD1rXcs=")</f>
        <v>#REF!</v>
      </c>
      <c r="GW230" t="e">
        <f>AND(#REF!,"AAAAAD1rXcw=")</f>
        <v>#REF!</v>
      </c>
      <c r="GX230" t="e">
        <f>AND(#REF!,"AAAAAD1rXc0=")</f>
        <v>#REF!</v>
      </c>
      <c r="GY230" t="e">
        <f>AND(#REF!,"AAAAAD1rXc4=")</f>
        <v>#REF!</v>
      </c>
      <c r="GZ230" t="e">
        <f>AND(#REF!,"AAAAAD1rXc8=")</f>
        <v>#REF!</v>
      </c>
      <c r="HA230" t="e">
        <f>AND(#REF!,"AAAAAD1rXdA=")</f>
        <v>#REF!</v>
      </c>
      <c r="HB230" t="e">
        <f>AND(#REF!,"AAAAAD1rXdE=")</f>
        <v>#REF!</v>
      </c>
      <c r="HC230" t="e">
        <f>AND(#REF!,"AAAAAD1rXdI=")</f>
        <v>#REF!</v>
      </c>
      <c r="HD230" t="e">
        <f>AND(#REF!,"AAAAAD1rXdM=")</f>
        <v>#REF!</v>
      </c>
      <c r="HE230" t="e">
        <f>AND(#REF!,"AAAAAD1rXdQ=")</f>
        <v>#REF!</v>
      </c>
      <c r="HF230" t="e">
        <f>AND(#REF!,"AAAAAD1rXdU=")</f>
        <v>#REF!</v>
      </c>
      <c r="HG230" t="e">
        <f>AND(#REF!,"AAAAAD1rXdY=")</f>
        <v>#REF!</v>
      </c>
      <c r="HH230" t="e">
        <f>AND(#REF!,"AAAAAD1rXdc=")</f>
        <v>#REF!</v>
      </c>
      <c r="HI230" t="e">
        <f>AND(#REF!,"AAAAAD1rXdg=")</f>
        <v>#REF!</v>
      </c>
      <c r="HJ230" t="e">
        <f>AND(#REF!,"AAAAAD1rXdk=")</f>
        <v>#REF!</v>
      </c>
      <c r="HK230" t="e">
        <f>AND(#REF!,"AAAAAD1rXdo=")</f>
        <v>#REF!</v>
      </c>
      <c r="HL230" t="e">
        <f>AND(#REF!,"AAAAAD1rXds=")</f>
        <v>#REF!</v>
      </c>
      <c r="HM230" t="e">
        <f>AND(#REF!,"AAAAAD1rXdw=")</f>
        <v>#REF!</v>
      </c>
      <c r="HN230" t="e">
        <f>AND(#REF!,"AAAAAD1rXd0=")</f>
        <v>#REF!</v>
      </c>
      <c r="HO230" t="e">
        <f>AND(#REF!,"AAAAAD1rXd4=")</f>
        <v>#REF!</v>
      </c>
      <c r="HP230" t="e">
        <f>AND(#REF!,"AAAAAD1rXd8=")</f>
        <v>#REF!</v>
      </c>
      <c r="HQ230" t="e">
        <f>AND(#REF!,"AAAAAD1rXeA=")</f>
        <v>#REF!</v>
      </c>
      <c r="HR230" t="e">
        <f>AND(#REF!,"AAAAAD1rXeE=")</f>
        <v>#REF!</v>
      </c>
      <c r="HS230" t="e">
        <f>AND(#REF!,"AAAAAD1rXeI=")</f>
        <v>#REF!</v>
      </c>
      <c r="HT230" t="e">
        <f>AND(#REF!,"AAAAAD1rXeM=")</f>
        <v>#REF!</v>
      </c>
      <c r="HU230" t="e">
        <f>AND(#REF!,"AAAAAD1rXeQ=")</f>
        <v>#REF!</v>
      </c>
      <c r="HV230" t="e">
        <f>AND(#REF!,"AAAAAD1rXeU=")</f>
        <v>#REF!</v>
      </c>
      <c r="HW230" t="e">
        <f>AND(#REF!,"AAAAAD1rXeY=")</f>
        <v>#REF!</v>
      </c>
      <c r="HX230" t="e">
        <f>AND(#REF!,"AAAAAD1rXec=")</f>
        <v>#REF!</v>
      </c>
      <c r="HY230" t="e">
        <f>AND(#REF!,"AAAAAD1rXeg=")</f>
        <v>#REF!</v>
      </c>
      <c r="HZ230" t="e">
        <f>AND(#REF!,"AAAAAD1rXek=")</f>
        <v>#REF!</v>
      </c>
      <c r="IA230" t="e">
        <f>AND(#REF!,"AAAAAD1rXeo=")</f>
        <v>#REF!</v>
      </c>
      <c r="IB230" t="e">
        <f>AND(#REF!,"AAAAAD1rXes=")</f>
        <v>#REF!</v>
      </c>
      <c r="IC230" t="e">
        <f>AND(#REF!,"AAAAAD1rXew=")</f>
        <v>#REF!</v>
      </c>
      <c r="ID230" t="e">
        <f>AND(#REF!,"AAAAAD1rXe0=")</f>
        <v>#REF!</v>
      </c>
      <c r="IE230" t="e">
        <f>AND(#REF!,"AAAAAD1rXe4=")</f>
        <v>#REF!</v>
      </c>
      <c r="IF230" t="e">
        <f>AND(#REF!,"AAAAAD1rXe8=")</f>
        <v>#REF!</v>
      </c>
      <c r="IG230" t="e">
        <f>AND(#REF!,"AAAAAD1rXfA=")</f>
        <v>#REF!</v>
      </c>
      <c r="IH230" t="e">
        <f>AND(#REF!,"AAAAAD1rXfE=")</f>
        <v>#REF!</v>
      </c>
      <c r="II230" t="e">
        <f>AND(#REF!,"AAAAAD1rXfI=")</f>
        <v>#REF!</v>
      </c>
      <c r="IJ230" t="e">
        <f>AND(#REF!,"AAAAAD1rXfM=")</f>
        <v>#REF!</v>
      </c>
      <c r="IK230" t="e">
        <f>AND(#REF!,"AAAAAD1rXfQ=")</f>
        <v>#REF!</v>
      </c>
      <c r="IL230" t="e">
        <f>AND(#REF!,"AAAAAD1rXfU=")</f>
        <v>#REF!</v>
      </c>
      <c r="IM230" t="e">
        <f>AND(#REF!,"AAAAAD1rXfY=")</f>
        <v>#REF!</v>
      </c>
      <c r="IN230" t="e">
        <f>AND(#REF!,"AAAAAD1rXfc=")</f>
        <v>#REF!</v>
      </c>
      <c r="IO230" t="e">
        <f>AND(#REF!,"AAAAAD1rXfg=")</f>
        <v>#REF!</v>
      </c>
      <c r="IP230" t="e">
        <f>AND(#REF!,"AAAAAD1rXfk=")</f>
        <v>#REF!</v>
      </c>
      <c r="IQ230" t="e">
        <f>AND(#REF!,"AAAAAD1rXfo=")</f>
        <v>#REF!</v>
      </c>
      <c r="IR230" t="e">
        <f>AND(#REF!,"AAAAAD1rXfs=")</f>
        <v>#REF!</v>
      </c>
      <c r="IS230" t="e">
        <f>AND(#REF!,"AAAAAD1rXfw=")</f>
        <v>#REF!</v>
      </c>
      <c r="IT230" t="e">
        <f>AND(#REF!,"AAAAAD1rXf0=")</f>
        <v>#REF!</v>
      </c>
      <c r="IU230" t="e">
        <f>AND(#REF!,"AAAAAD1rXf4=")</f>
        <v>#REF!</v>
      </c>
      <c r="IV230" t="e">
        <f>AND(#REF!,"AAAAAD1rXf8=")</f>
        <v>#REF!</v>
      </c>
    </row>
    <row r="231" spans="1:256" x14ac:dyDescent="0.25">
      <c r="A231" t="e">
        <f>AND(#REF!,"AAAAAH+N/wA=")</f>
        <v>#REF!</v>
      </c>
      <c r="B231" t="e">
        <f>AND(#REF!,"AAAAAH+N/wE=")</f>
        <v>#REF!</v>
      </c>
      <c r="C231" t="e">
        <f>AND(#REF!,"AAAAAH+N/wI=")</f>
        <v>#REF!</v>
      </c>
      <c r="D231" t="e">
        <f>AND(#REF!,"AAAAAH+N/wM=")</f>
        <v>#REF!</v>
      </c>
      <c r="E231" t="e">
        <f>AND(#REF!,"AAAAAH+N/wQ=")</f>
        <v>#REF!</v>
      </c>
      <c r="F231" t="e">
        <f>AND(#REF!,"AAAAAH+N/wU=")</f>
        <v>#REF!</v>
      </c>
      <c r="G231" t="e">
        <f>AND(#REF!,"AAAAAH+N/wY=")</f>
        <v>#REF!</v>
      </c>
      <c r="H231" t="e">
        <f>AND(#REF!,"AAAAAH+N/wc=")</f>
        <v>#REF!</v>
      </c>
      <c r="I231" t="e">
        <f>AND(#REF!,"AAAAAH+N/wg=")</f>
        <v>#REF!</v>
      </c>
      <c r="J231" t="e">
        <f>AND(#REF!,"AAAAAH+N/wk=")</f>
        <v>#REF!</v>
      </c>
      <c r="K231" t="e">
        <f>AND(#REF!,"AAAAAH+N/wo=")</f>
        <v>#REF!</v>
      </c>
      <c r="L231" t="e">
        <f>AND(#REF!,"AAAAAH+N/ws=")</f>
        <v>#REF!</v>
      </c>
      <c r="M231" t="e">
        <f>AND(#REF!,"AAAAAH+N/ww=")</f>
        <v>#REF!</v>
      </c>
      <c r="N231" t="e">
        <f>AND(#REF!,"AAAAAH+N/w0=")</f>
        <v>#REF!</v>
      </c>
      <c r="O231" t="e">
        <f>AND(#REF!,"AAAAAH+N/w4=")</f>
        <v>#REF!</v>
      </c>
      <c r="P231" t="e">
        <f>AND(#REF!,"AAAAAH+N/w8=")</f>
        <v>#REF!</v>
      </c>
      <c r="Q231" t="e">
        <f>AND(#REF!,"AAAAAH+N/xA=")</f>
        <v>#REF!</v>
      </c>
      <c r="R231" t="e">
        <f>AND(#REF!,"AAAAAH+N/xE=")</f>
        <v>#REF!</v>
      </c>
      <c r="S231" t="e">
        <f>AND(#REF!,"AAAAAH+N/xI=")</f>
        <v>#REF!</v>
      </c>
      <c r="T231" t="e">
        <f>AND(#REF!,"AAAAAH+N/xM=")</f>
        <v>#REF!</v>
      </c>
      <c r="U231" t="e">
        <f>AND(#REF!,"AAAAAH+N/xQ=")</f>
        <v>#REF!</v>
      </c>
      <c r="V231" t="e">
        <f>AND(#REF!,"AAAAAH+N/xU=")</f>
        <v>#REF!</v>
      </c>
      <c r="W231" t="e">
        <f>AND(#REF!,"AAAAAH+N/xY=")</f>
        <v>#REF!</v>
      </c>
      <c r="X231" t="e">
        <f>AND(#REF!,"AAAAAH+N/xc=")</f>
        <v>#REF!</v>
      </c>
      <c r="Y231" t="e">
        <f>AND(#REF!,"AAAAAH+N/xg=")</f>
        <v>#REF!</v>
      </c>
      <c r="Z231" t="e">
        <f>AND(#REF!,"AAAAAH+N/xk=")</f>
        <v>#REF!</v>
      </c>
      <c r="AA231" t="e">
        <f>AND(#REF!,"AAAAAH+N/xo=")</f>
        <v>#REF!</v>
      </c>
      <c r="AB231" t="e">
        <f>AND(#REF!,"AAAAAH+N/xs=")</f>
        <v>#REF!</v>
      </c>
      <c r="AC231" t="e">
        <f>AND(#REF!,"AAAAAH+N/xw=")</f>
        <v>#REF!</v>
      </c>
      <c r="AD231" t="e">
        <f>AND(#REF!,"AAAAAH+N/x0=")</f>
        <v>#REF!</v>
      </c>
      <c r="AE231" t="e">
        <f>AND(#REF!,"AAAAAH+N/x4=")</f>
        <v>#REF!</v>
      </c>
      <c r="AF231" t="e">
        <f>AND(#REF!,"AAAAAH+N/x8=")</f>
        <v>#REF!</v>
      </c>
      <c r="AG231" t="e">
        <f>AND(#REF!,"AAAAAH+N/yA=")</f>
        <v>#REF!</v>
      </c>
      <c r="AH231" t="e">
        <f>AND(#REF!,"AAAAAH+N/yE=")</f>
        <v>#REF!</v>
      </c>
      <c r="AI231" t="e">
        <f>AND(#REF!,"AAAAAH+N/yI=")</f>
        <v>#REF!</v>
      </c>
      <c r="AJ231" t="e">
        <f>AND(#REF!,"AAAAAH+N/yM=")</f>
        <v>#REF!</v>
      </c>
      <c r="AK231" t="e">
        <f>AND(#REF!,"AAAAAH+N/yQ=")</f>
        <v>#REF!</v>
      </c>
      <c r="AL231" t="e">
        <f>AND(#REF!,"AAAAAH+N/yU=")</f>
        <v>#REF!</v>
      </c>
      <c r="AM231" t="e">
        <f>AND(#REF!,"AAAAAH+N/yY=")</f>
        <v>#REF!</v>
      </c>
      <c r="AN231" t="e">
        <f>AND(#REF!,"AAAAAH+N/yc=")</f>
        <v>#REF!</v>
      </c>
      <c r="AO231" t="e">
        <f>AND(#REF!,"AAAAAH+N/yg=")</f>
        <v>#REF!</v>
      </c>
      <c r="AP231" t="e">
        <f>AND(#REF!,"AAAAAH+N/yk=")</f>
        <v>#REF!</v>
      </c>
      <c r="AQ231" t="e">
        <f>AND(#REF!,"AAAAAH+N/yo=")</f>
        <v>#REF!</v>
      </c>
      <c r="AR231" t="e">
        <f>AND(#REF!,"AAAAAH+N/ys=")</f>
        <v>#REF!</v>
      </c>
      <c r="AS231" t="e">
        <f>AND(#REF!,"AAAAAH+N/yw=")</f>
        <v>#REF!</v>
      </c>
      <c r="AT231" t="e">
        <f>AND(#REF!,"AAAAAH+N/y0=")</f>
        <v>#REF!</v>
      </c>
      <c r="AU231" t="e">
        <f>AND(#REF!,"AAAAAH+N/y4=")</f>
        <v>#REF!</v>
      </c>
      <c r="AV231" t="e">
        <f>AND(#REF!,"AAAAAH+N/y8=")</f>
        <v>#REF!</v>
      </c>
      <c r="AW231" t="e">
        <f>AND(#REF!,"AAAAAH+N/zA=")</f>
        <v>#REF!</v>
      </c>
      <c r="AX231" t="e">
        <f>AND(#REF!,"AAAAAH+N/zE=")</f>
        <v>#REF!</v>
      </c>
      <c r="AY231" t="e">
        <f>AND(#REF!,"AAAAAH+N/zI=")</f>
        <v>#REF!</v>
      </c>
      <c r="AZ231" t="e">
        <f>AND(#REF!,"AAAAAH+N/zM=")</f>
        <v>#REF!</v>
      </c>
      <c r="BA231" t="e">
        <f>AND(#REF!,"AAAAAH+N/zQ=")</f>
        <v>#REF!</v>
      </c>
      <c r="BB231" t="e">
        <f>AND(#REF!,"AAAAAH+N/zU=")</f>
        <v>#REF!</v>
      </c>
      <c r="BC231" t="e">
        <f>AND(#REF!,"AAAAAH+N/zY=")</f>
        <v>#REF!</v>
      </c>
      <c r="BD231" t="e">
        <f>AND(#REF!,"AAAAAH+N/zc=")</f>
        <v>#REF!</v>
      </c>
      <c r="BE231" t="e">
        <f>AND(#REF!,"AAAAAH+N/zg=")</f>
        <v>#REF!</v>
      </c>
      <c r="BF231" t="e">
        <f>AND(#REF!,"AAAAAH+N/zk=")</f>
        <v>#REF!</v>
      </c>
      <c r="BG231" t="e">
        <f>AND(#REF!,"AAAAAH+N/zo=")</f>
        <v>#REF!</v>
      </c>
      <c r="BH231" t="e">
        <f>AND(#REF!,"AAAAAH+N/zs=")</f>
        <v>#REF!</v>
      </c>
      <c r="BI231" t="e">
        <f>AND(#REF!,"AAAAAH+N/zw=")</f>
        <v>#REF!</v>
      </c>
      <c r="BJ231" t="e">
        <f>AND(#REF!,"AAAAAH+N/z0=")</f>
        <v>#REF!</v>
      </c>
      <c r="BK231" t="e">
        <f>AND(#REF!,"AAAAAH+N/z4=")</f>
        <v>#REF!</v>
      </c>
      <c r="BL231" t="e">
        <f>AND(#REF!,"AAAAAH+N/z8=")</f>
        <v>#REF!</v>
      </c>
      <c r="BM231" t="e">
        <f>AND(#REF!,"AAAAAH+N/0A=")</f>
        <v>#REF!</v>
      </c>
      <c r="BN231" t="e">
        <f>AND(#REF!,"AAAAAH+N/0E=")</f>
        <v>#REF!</v>
      </c>
      <c r="BO231" t="e">
        <f>AND(#REF!,"AAAAAH+N/0I=")</f>
        <v>#REF!</v>
      </c>
      <c r="BP231" t="e">
        <f>AND(#REF!,"AAAAAH+N/0M=")</f>
        <v>#REF!</v>
      </c>
      <c r="BQ231" t="e">
        <f>AND(#REF!,"AAAAAH+N/0Q=")</f>
        <v>#REF!</v>
      </c>
      <c r="BR231" t="e">
        <f>AND(#REF!,"AAAAAH+N/0U=")</f>
        <v>#REF!</v>
      </c>
      <c r="BS231" t="e">
        <f>AND(#REF!,"AAAAAH+N/0Y=")</f>
        <v>#REF!</v>
      </c>
      <c r="BT231" t="e">
        <f>AND(#REF!,"AAAAAH+N/0c=")</f>
        <v>#REF!</v>
      </c>
      <c r="BU231" t="e">
        <f>AND(#REF!,"AAAAAH+N/0g=")</f>
        <v>#REF!</v>
      </c>
      <c r="BV231" t="e">
        <f>AND(#REF!,"AAAAAH+N/0k=")</f>
        <v>#REF!</v>
      </c>
      <c r="BW231" t="e">
        <f>AND(#REF!,"AAAAAH+N/0o=")</f>
        <v>#REF!</v>
      </c>
      <c r="BX231" t="e">
        <f>AND(#REF!,"AAAAAH+N/0s=")</f>
        <v>#REF!</v>
      </c>
      <c r="BY231" t="e">
        <f>AND(#REF!,"AAAAAH+N/0w=")</f>
        <v>#REF!</v>
      </c>
      <c r="BZ231" t="e">
        <f>AND(#REF!,"AAAAAH+N/00=")</f>
        <v>#REF!</v>
      </c>
      <c r="CA231" t="e">
        <f>AND(#REF!,"AAAAAH+N/04=")</f>
        <v>#REF!</v>
      </c>
      <c r="CB231" t="e">
        <f>AND(#REF!,"AAAAAH+N/08=")</f>
        <v>#REF!</v>
      </c>
      <c r="CC231" t="e">
        <f>IF(#REF!,"AAAAAH+N/1A=",0)</f>
        <v>#REF!</v>
      </c>
      <c r="CD231" t="e">
        <f>AND(#REF!,"AAAAAH+N/1E=")</f>
        <v>#REF!</v>
      </c>
      <c r="CE231" t="e">
        <f>AND(#REF!,"AAAAAH+N/1I=")</f>
        <v>#REF!</v>
      </c>
      <c r="CF231" t="e">
        <f>AND(#REF!,"AAAAAH+N/1M=")</f>
        <v>#REF!</v>
      </c>
      <c r="CG231" t="e">
        <f>AND(#REF!,"AAAAAH+N/1Q=")</f>
        <v>#REF!</v>
      </c>
      <c r="CH231" t="e">
        <f>AND(#REF!,"AAAAAH+N/1U=")</f>
        <v>#REF!</v>
      </c>
      <c r="CI231" t="e">
        <f>AND(#REF!,"AAAAAH+N/1Y=")</f>
        <v>#REF!</v>
      </c>
      <c r="CJ231" t="e">
        <f>AND(#REF!,"AAAAAH+N/1c=")</f>
        <v>#REF!</v>
      </c>
      <c r="CK231" t="e">
        <f>AND(#REF!,"AAAAAH+N/1g=")</f>
        <v>#REF!</v>
      </c>
      <c r="CL231" t="e">
        <f>AND(#REF!,"AAAAAH+N/1k=")</f>
        <v>#REF!</v>
      </c>
      <c r="CM231" t="e">
        <f>AND(#REF!,"AAAAAH+N/1o=")</f>
        <v>#REF!</v>
      </c>
      <c r="CN231" t="e">
        <f>AND(#REF!,"AAAAAH+N/1s=")</f>
        <v>#REF!</v>
      </c>
      <c r="CO231" t="e">
        <f>AND(#REF!,"AAAAAH+N/1w=")</f>
        <v>#REF!</v>
      </c>
      <c r="CP231" t="e">
        <f>AND(#REF!,"AAAAAH+N/10=")</f>
        <v>#REF!</v>
      </c>
      <c r="CQ231" t="e">
        <f>AND(#REF!,"AAAAAH+N/14=")</f>
        <v>#REF!</v>
      </c>
      <c r="CR231" t="e">
        <f>AND(#REF!,"AAAAAH+N/18=")</f>
        <v>#REF!</v>
      </c>
      <c r="CS231" t="e">
        <f>AND(#REF!,"AAAAAH+N/2A=")</f>
        <v>#REF!</v>
      </c>
      <c r="CT231" t="e">
        <f>AND(#REF!,"AAAAAH+N/2E=")</f>
        <v>#REF!</v>
      </c>
      <c r="CU231" t="e">
        <f>AND(#REF!,"AAAAAH+N/2I=")</f>
        <v>#REF!</v>
      </c>
      <c r="CV231" t="e">
        <f>AND(#REF!,"AAAAAH+N/2M=")</f>
        <v>#REF!</v>
      </c>
      <c r="CW231" t="e">
        <f>AND(#REF!,"AAAAAH+N/2Q=")</f>
        <v>#REF!</v>
      </c>
      <c r="CX231" t="e">
        <f>AND(#REF!,"AAAAAH+N/2U=")</f>
        <v>#REF!</v>
      </c>
      <c r="CY231" t="e">
        <f>AND(#REF!,"AAAAAH+N/2Y=")</f>
        <v>#REF!</v>
      </c>
      <c r="CZ231" t="e">
        <f>AND(#REF!,"AAAAAH+N/2c=")</f>
        <v>#REF!</v>
      </c>
      <c r="DA231" t="e">
        <f>AND(#REF!,"AAAAAH+N/2g=")</f>
        <v>#REF!</v>
      </c>
      <c r="DB231" t="e">
        <f>AND(#REF!,"AAAAAH+N/2k=")</f>
        <v>#REF!</v>
      </c>
      <c r="DC231" t="e">
        <f>AND(#REF!,"AAAAAH+N/2o=")</f>
        <v>#REF!</v>
      </c>
      <c r="DD231" t="e">
        <f>AND(#REF!,"AAAAAH+N/2s=")</f>
        <v>#REF!</v>
      </c>
      <c r="DE231" t="e">
        <f>AND(#REF!,"AAAAAH+N/2w=")</f>
        <v>#REF!</v>
      </c>
      <c r="DF231" t="e">
        <f>AND(#REF!,"AAAAAH+N/20=")</f>
        <v>#REF!</v>
      </c>
      <c r="DG231" t="e">
        <f>AND(#REF!,"AAAAAH+N/24=")</f>
        <v>#REF!</v>
      </c>
      <c r="DH231" t="e">
        <f>AND(#REF!,"AAAAAH+N/28=")</f>
        <v>#REF!</v>
      </c>
      <c r="DI231" t="e">
        <f>AND(#REF!,"AAAAAH+N/3A=")</f>
        <v>#REF!</v>
      </c>
      <c r="DJ231" t="e">
        <f>AND(#REF!,"AAAAAH+N/3E=")</f>
        <v>#REF!</v>
      </c>
      <c r="DK231" t="e">
        <f>AND(#REF!,"AAAAAH+N/3I=")</f>
        <v>#REF!</v>
      </c>
      <c r="DL231" t="e">
        <f>AND(#REF!,"AAAAAH+N/3M=")</f>
        <v>#REF!</v>
      </c>
      <c r="DM231" t="e">
        <f>AND(#REF!,"AAAAAH+N/3Q=")</f>
        <v>#REF!</v>
      </c>
      <c r="DN231" t="e">
        <f>AND(#REF!,"AAAAAH+N/3U=")</f>
        <v>#REF!</v>
      </c>
      <c r="DO231" t="e">
        <f>AND(#REF!,"AAAAAH+N/3Y=")</f>
        <v>#REF!</v>
      </c>
      <c r="DP231" t="e">
        <f>AND(#REF!,"AAAAAH+N/3c=")</f>
        <v>#REF!</v>
      </c>
      <c r="DQ231" t="e">
        <f>AND(#REF!,"AAAAAH+N/3g=")</f>
        <v>#REF!</v>
      </c>
      <c r="DR231" t="e">
        <f>AND(#REF!,"AAAAAH+N/3k=")</f>
        <v>#REF!</v>
      </c>
      <c r="DS231" t="e">
        <f>AND(#REF!,"AAAAAH+N/3o=")</f>
        <v>#REF!</v>
      </c>
      <c r="DT231" t="e">
        <f>AND(#REF!,"AAAAAH+N/3s=")</f>
        <v>#REF!</v>
      </c>
      <c r="DU231" t="e">
        <f>AND(#REF!,"AAAAAH+N/3w=")</f>
        <v>#REF!</v>
      </c>
      <c r="DV231" t="e">
        <f>AND(#REF!,"AAAAAH+N/30=")</f>
        <v>#REF!</v>
      </c>
      <c r="DW231" t="e">
        <f>AND(#REF!,"AAAAAH+N/34=")</f>
        <v>#REF!</v>
      </c>
      <c r="DX231" t="e">
        <f>AND(#REF!,"AAAAAH+N/38=")</f>
        <v>#REF!</v>
      </c>
      <c r="DY231" t="e">
        <f>AND(#REF!,"AAAAAH+N/4A=")</f>
        <v>#REF!</v>
      </c>
      <c r="DZ231" t="e">
        <f>AND(#REF!,"AAAAAH+N/4E=")</f>
        <v>#REF!</v>
      </c>
      <c r="EA231" t="e">
        <f>AND(#REF!,"AAAAAH+N/4I=")</f>
        <v>#REF!</v>
      </c>
      <c r="EB231" t="e">
        <f>AND(#REF!,"AAAAAH+N/4M=")</f>
        <v>#REF!</v>
      </c>
      <c r="EC231" t="e">
        <f>AND(#REF!,"AAAAAH+N/4Q=")</f>
        <v>#REF!</v>
      </c>
      <c r="ED231" t="e">
        <f>AND(#REF!,"AAAAAH+N/4U=")</f>
        <v>#REF!</v>
      </c>
      <c r="EE231" t="e">
        <f>AND(#REF!,"AAAAAH+N/4Y=")</f>
        <v>#REF!</v>
      </c>
      <c r="EF231" t="e">
        <f>AND(#REF!,"AAAAAH+N/4c=")</f>
        <v>#REF!</v>
      </c>
      <c r="EG231" t="e">
        <f>AND(#REF!,"AAAAAH+N/4g=")</f>
        <v>#REF!</v>
      </c>
      <c r="EH231" t="e">
        <f>AND(#REF!,"AAAAAH+N/4k=")</f>
        <v>#REF!</v>
      </c>
      <c r="EI231" t="e">
        <f>AND(#REF!,"AAAAAH+N/4o=")</f>
        <v>#REF!</v>
      </c>
      <c r="EJ231" t="e">
        <f>AND(#REF!,"AAAAAH+N/4s=")</f>
        <v>#REF!</v>
      </c>
      <c r="EK231" t="e">
        <f>AND(#REF!,"AAAAAH+N/4w=")</f>
        <v>#REF!</v>
      </c>
      <c r="EL231" t="e">
        <f>AND(#REF!,"AAAAAH+N/40=")</f>
        <v>#REF!</v>
      </c>
      <c r="EM231" t="e">
        <f>AND(#REF!,"AAAAAH+N/44=")</f>
        <v>#REF!</v>
      </c>
      <c r="EN231" t="e">
        <f>AND(#REF!,"AAAAAH+N/48=")</f>
        <v>#REF!</v>
      </c>
      <c r="EO231" t="e">
        <f>AND(#REF!,"AAAAAH+N/5A=")</f>
        <v>#REF!</v>
      </c>
      <c r="EP231" t="e">
        <f>AND(#REF!,"AAAAAH+N/5E=")</f>
        <v>#REF!</v>
      </c>
      <c r="EQ231" t="e">
        <f>AND(#REF!,"AAAAAH+N/5I=")</f>
        <v>#REF!</v>
      </c>
      <c r="ER231" t="e">
        <f>AND(#REF!,"AAAAAH+N/5M=")</f>
        <v>#REF!</v>
      </c>
      <c r="ES231" t="e">
        <f>AND(#REF!,"AAAAAH+N/5Q=")</f>
        <v>#REF!</v>
      </c>
      <c r="ET231" t="e">
        <f>AND(#REF!,"AAAAAH+N/5U=")</f>
        <v>#REF!</v>
      </c>
      <c r="EU231" t="e">
        <f>AND(#REF!,"AAAAAH+N/5Y=")</f>
        <v>#REF!</v>
      </c>
      <c r="EV231" t="e">
        <f>AND(#REF!,"AAAAAH+N/5c=")</f>
        <v>#REF!</v>
      </c>
      <c r="EW231" t="e">
        <f>AND(#REF!,"AAAAAH+N/5g=")</f>
        <v>#REF!</v>
      </c>
      <c r="EX231" t="e">
        <f>AND(#REF!,"AAAAAH+N/5k=")</f>
        <v>#REF!</v>
      </c>
      <c r="EY231" t="e">
        <f>AND(#REF!,"AAAAAH+N/5o=")</f>
        <v>#REF!</v>
      </c>
      <c r="EZ231" t="e">
        <f>AND(#REF!,"AAAAAH+N/5s=")</f>
        <v>#REF!</v>
      </c>
      <c r="FA231" t="e">
        <f>AND(#REF!,"AAAAAH+N/5w=")</f>
        <v>#REF!</v>
      </c>
      <c r="FB231" t="e">
        <f>AND(#REF!,"AAAAAH+N/50=")</f>
        <v>#REF!</v>
      </c>
      <c r="FC231" t="e">
        <f>AND(#REF!,"AAAAAH+N/54=")</f>
        <v>#REF!</v>
      </c>
      <c r="FD231" t="e">
        <f>AND(#REF!,"AAAAAH+N/58=")</f>
        <v>#REF!</v>
      </c>
      <c r="FE231" t="e">
        <f>AND(#REF!,"AAAAAH+N/6A=")</f>
        <v>#REF!</v>
      </c>
      <c r="FF231" t="e">
        <f>AND(#REF!,"AAAAAH+N/6E=")</f>
        <v>#REF!</v>
      </c>
      <c r="FG231" t="e">
        <f>AND(#REF!,"AAAAAH+N/6I=")</f>
        <v>#REF!</v>
      </c>
      <c r="FH231" t="e">
        <f>AND(#REF!,"AAAAAH+N/6M=")</f>
        <v>#REF!</v>
      </c>
      <c r="FI231" t="e">
        <f>AND(#REF!,"AAAAAH+N/6Q=")</f>
        <v>#REF!</v>
      </c>
      <c r="FJ231" t="e">
        <f>AND(#REF!,"AAAAAH+N/6U=")</f>
        <v>#REF!</v>
      </c>
      <c r="FK231" t="e">
        <f>AND(#REF!,"AAAAAH+N/6Y=")</f>
        <v>#REF!</v>
      </c>
      <c r="FL231" t="e">
        <f>AND(#REF!,"AAAAAH+N/6c=")</f>
        <v>#REF!</v>
      </c>
      <c r="FM231" t="e">
        <f>AND(#REF!,"AAAAAH+N/6g=")</f>
        <v>#REF!</v>
      </c>
      <c r="FN231" t="e">
        <f>AND(#REF!,"AAAAAH+N/6k=")</f>
        <v>#REF!</v>
      </c>
      <c r="FO231" t="e">
        <f>AND(#REF!,"AAAAAH+N/6o=")</f>
        <v>#REF!</v>
      </c>
      <c r="FP231" t="e">
        <f>AND(#REF!,"AAAAAH+N/6s=")</f>
        <v>#REF!</v>
      </c>
      <c r="FQ231" t="e">
        <f>AND(#REF!,"AAAAAH+N/6w=")</f>
        <v>#REF!</v>
      </c>
      <c r="FR231" t="e">
        <f>AND(#REF!,"AAAAAH+N/60=")</f>
        <v>#REF!</v>
      </c>
      <c r="FS231" t="e">
        <f>AND(#REF!,"AAAAAH+N/64=")</f>
        <v>#REF!</v>
      </c>
      <c r="FT231" t="e">
        <f>AND(#REF!,"AAAAAH+N/68=")</f>
        <v>#REF!</v>
      </c>
      <c r="FU231" t="e">
        <f>AND(#REF!,"AAAAAH+N/7A=")</f>
        <v>#REF!</v>
      </c>
      <c r="FV231" t="e">
        <f>AND(#REF!,"AAAAAH+N/7E=")</f>
        <v>#REF!</v>
      </c>
      <c r="FW231" t="e">
        <f>AND(#REF!,"AAAAAH+N/7I=")</f>
        <v>#REF!</v>
      </c>
      <c r="FX231" t="e">
        <f>AND(#REF!,"AAAAAH+N/7M=")</f>
        <v>#REF!</v>
      </c>
      <c r="FY231" t="e">
        <f>AND(#REF!,"AAAAAH+N/7Q=")</f>
        <v>#REF!</v>
      </c>
      <c r="FZ231" t="e">
        <f>AND(#REF!,"AAAAAH+N/7U=")</f>
        <v>#REF!</v>
      </c>
      <c r="GA231" t="e">
        <f>AND(#REF!,"AAAAAH+N/7Y=")</f>
        <v>#REF!</v>
      </c>
      <c r="GB231" t="e">
        <f>AND(#REF!,"AAAAAH+N/7c=")</f>
        <v>#REF!</v>
      </c>
      <c r="GC231" t="e">
        <f>AND(#REF!,"AAAAAH+N/7g=")</f>
        <v>#REF!</v>
      </c>
      <c r="GD231" t="e">
        <f>AND(#REF!,"AAAAAH+N/7k=")</f>
        <v>#REF!</v>
      </c>
      <c r="GE231" t="e">
        <f>AND(#REF!,"AAAAAH+N/7o=")</f>
        <v>#REF!</v>
      </c>
      <c r="GF231" t="e">
        <f>AND(#REF!,"AAAAAH+N/7s=")</f>
        <v>#REF!</v>
      </c>
      <c r="GG231" t="e">
        <f>AND(#REF!,"AAAAAH+N/7w=")</f>
        <v>#REF!</v>
      </c>
      <c r="GH231" t="e">
        <f>AND(#REF!,"AAAAAH+N/70=")</f>
        <v>#REF!</v>
      </c>
      <c r="GI231" t="e">
        <f>AND(#REF!,"AAAAAH+N/74=")</f>
        <v>#REF!</v>
      </c>
      <c r="GJ231" t="e">
        <f>AND(#REF!,"AAAAAH+N/78=")</f>
        <v>#REF!</v>
      </c>
      <c r="GK231" t="e">
        <f>AND(#REF!,"AAAAAH+N/8A=")</f>
        <v>#REF!</v>
      </c>
      <c r="GL231" t="e">
        <f>AND(#REF!,"AAAAAH+N/8E=")</f>
        <v>#REF!</v>
      </c>
      <c r="GM231" t="e">
        <f>AND(#REF!,"AAAAAH+N/8I=")</f>
        <v>#REF!</v>
      </c>
      <c r="GN231" t="e">
        <f>AND(#REF!,"AAAAAH+N/8M=")</f>
        <v>#REF!</v>
      </c>
      <c r="GO231" t="e">
        <f>AND(#REF!,"AAAAAH+N/8Q=")</f>
        <v>#REF!</v>
      </c>
      <c r="GP231" t="e">
        <f>AND(#REF!,"AAAAAH+N/8U=")</f>
        <v>#REF!</v>
      </c>
      <c r="GQ231" t="e">
        <f>AND(#REF!,"AAAAAH+N/8Y=")</f>
        <v>#REF!</v>
      </c>
      <c r="GR231" t="e">
        <f>AND(#REF!,"AAAAAH+N/8c=")</f>
        <v>#REF!</v>
      </c>
      <c r="GS231" t="e">
        <f>AND(#REF!,"AAAAAH+N/8g=")</f>
        <v>#REF!</v>
      </c>
      <c r="GT231" t="e">
        <f>AND(#REF!,"AAAAAH+N/8k=")</f>
        <v>#REF!</v>
      </c>
      <c r="GU231" t="e">
        <f>AND(#REF!,"AAAAAH+N/8o=")</f>
        <v>#REF!</v>
      </c>
      <c r="GV231" t="e">
        <f>AND(#REF!,"AAAAAH+N/8s=")</f>
        <v>#REF!</v>
      </c>
      <c r="GW231" t="e">
        <f>AND(#REF!,"AAAAAH+N/8w=")</f>
        <v>#REF!</v>
      </c>
      <c r="GX231" t="e">
        <f>AND(#REF!,"AAAAAH+N/80=")</f>
        <v>#REF!</v>
      </c>
      <c r="GY231" t="e">
        <f>AND(#REF!,"AAAAAH+N/84=")</f>
        <v>#REF!</v>
      </c>
      <c r="GZ231" t="e">
        <f>AND(#REF!,"AAAAAH+N/88=")</f>
        <v>#REF!</v>
      </c>
      <c r="HA231" t="e">
        <f>AND(#REF!,"AAAAAH+N/9A=")</f>
        <v>#REF!</v>
      </c>
      <c r="HB231" t="e">
        <f>AND(#REF!,"AAAAAH+N/9E=")</f>
        <v>#REF!</v>
      </c>
      <c r="HC231" t="e">
        <f>AND(#REF!,"AAAAAH+N/9I=")</f>
        <v>#REF!</v>
      </c>
      <c r="HD231" t="e">
        <f>AND(#REF!,"AAAAAH+N/9M=")</f>
        <v>#REF!</v>
      </c>
      <c r="HE231" t="e">
        <f>AND(#REF!,"AAAAAH+N/9Q=")</f>
        <v>#REF!</v>
      </c>
      <c r="HF231" t="e">
        <f>AND(#REF!,"AAAAAH+N/9U=")</f>
        <v>#REF!</v>
      </c>
      <c r="HG231" t="e">
        <f>AND(#REF!,"AAAAAH+N/9Y=")</f>
        <v>#REF!</v>
      </c>
      <c r="HH231" t="e">
        <f>AND(#REF!,"AAAAAH+N/9c=")</f>
        <v>#REF!</v>
      </c>
      <c r="HI231" t="e">
        <f>AND(#REF!,"AAAAAH+N/9g=")</f>
        <v>#REF!</v>
      </c>
      <c r="HJ231" t="e">
        <f>AND(#REF!,"AAAAAH+N/9k=")</f>
        <v>#REF!</v>
      </c>
      <c r="HK231" t="e">
        <f>AND(#REF!,"AAAAAH+N/9o=")</f>
        <v>#REF!</v>
      </c>
      <c r="HL231" t="e">
        <f>AND(#REF!,"AAAAAH+N/9s=")</f>
        <v>#REF!</v>
      </c>
      <c r="HM231" t="e">
        <f>AND(#REF!,"AAAAAH+N/9w=")</f>
        <v>#REF!</v>
      </c>
      <c r="HN231" t="e">
        <f>AND(#REF!,"AAAAAH+N/90=")</f>
        <v>#REF!</v>
      </c>
      <c r="HO231" t="e">
        <f>AND(#REF!,"AAAAAH+N/94=")</f>
        <v>#REF!</v>
      </c>
      <c r="HP231" t="e">
        <f>AND(#REF!,"AAAAAH+N/98=")</f>
        <v>#REF!</v>
      </c>
      <c r="HQ231" t="e">
        <f>AND(#REF!,"AAAAAH+N/+A=")</f>
        <v>#REF!</v>
      </c>
      <c r="HR231" t="e">
        <f>AND(#REF!,"AAAAAH+N/+E=")</f>
        <v>#REF!</v>
      </c>
      <c r="HS231" t="e">
        <f>AND(#REF!,"AAAAAH+N/+I=")</f>
        <v>#REF!</v>
      </c>
      <c r="HT231" t="e">
        <f>AND(#REF!,"AAAAAH+N/+M=")</f>
        <v>#REF!</v>
      </c>
      <c r="HU231" t="e">
        <f>AND(#REF!,"AAAAAH+N/+Q=")</f>
        <v>#REF!</v>
      </c>
      <c r="HV231" t="e">
        <f>AND(#REF!,"AAAAAH+N/+U=")</f>
        <v>#REF!</v>
      </c>
      <c r="HW231" t="e">
        <f>AND(#REF!,"AAAAAH+N/+Y=")</f>
        <v>#REF!</v>
      </c>
      <c r="HX231" t="e">
        <f>AND(#REF!,"AAAAAH+N/+c=")</f>
        <v>#REF!</v>
      </c>
      <c r="HY231" t="e">
        <f>AND(#REF!,"AAAAAH+N/+g=")</f>
        <v>#REF!</v>
      </c>
      <c r="HZ231" t="e">
        <f>AND(#REF!,"AAAAAH+N/+k=")</f>
        <v>#REF!</v>
      </c>
      <c r="IA231" t="e">
        <f>AND(#REF!,"AAAAAH+N/+o=")</f>
        <v>#REF!</v>
      </c>
      <c r="IB231" t="e">
        <f>AND(#REF!,"AAAAAH+N/+s=")</f>
        <v>#REF!</v>
      </c>
      <c r="IC231" t="e">
        <f>AND(#REF!,"AAAAAH+N/+w=")</f>
        <v>#REF!</v>
      </c>
      <c r="ID231" t="e">
        <f>AND(#REF!,"AAAAAH+N/+0=")</f>
        <v>#REF!</v>
      </c>
      <c r="IE231" t="e">
        <f>AND(#REF!,"AAAAAH+N/+4=")</f>
        <v>#REF!</v>
      </c>
      <c r="IF231" t="e">
        <f>AND(#REF!,"AAAAAH+N/+8=")</f>
        <v>#REF!</v>
      </c>
      <c r="IG231" t="e">
        <f>AND(#REF!,"AAAAAH+N//A=")</f>
        <v>#REF!</v>
      </c>
      <c r="IH231" t="e">
        <f>AND(#REF!,"AAAAAH+N//E=")</f>
        <v>#REF!</v>
      </c>
      <c r="II231" t="e">
        <f>AND(#REF!,"AAAAAH+N//I=")</f>
        <v>#REF!</v>
      </c>
      <c r="IJ231" t="e">
        <f>AND(#REF!,"AAAAAH+N//M=")</f>
        <v>#REF!</v>
      </c>
      <c r="IK231" t="e">
        <f>AND(#REF!,"AAAAAH+N//Q=")</f>
        <v>#REF!</v>
      </c>
      <c r="IL231" t="e">
        <f>AND(#REF!,"AAAAAH+N//U=")</f>
        <v>#REF!</v>
      </c>
      <c r="IM231" t="e">
        <f>AND(#REF!,"AAAAAH+N//Y=")</f>
        <v>#REF!</v>
      </c>
      <c r="IN231" t="e">
        <f>AND(#REF!,"AAAAAH+N//c=")</f>
        <v>#REF!</v>
      </c>
      <c r="IO231" t="e">
        <f>AND(#REF!,"AAAAAH+N//g=")</f>
        <v>#REF!</v>
      </c>
      <c r="IP231" t="e">
        <f>AND(#REF!,"AAAAAH+N//k=")</f>
        <v>#REF!</v>
      </c>
      <c r="IQ231" t="e">
        <f>AND(#REF!,"AAAAAH+N//o=")</f>
        <v>#REF!</v>
      </c>
      <c r="IR231" t="e">
        <f>AND(#REF!,"AAAAAH+N//s=")</f>
        <v>#REF!</v>
      </c>
      <c r="IS231" t="e">
        <f>AND(#REF!,"AAAAAH+N//w=")</f>
        <v>#REF!</v>
      </c>
      <c r="IT231" t="e">
        <f>AND(#REF!,"AAAAAH+N//0=")</f>
        <v>#REF!</v>
      </c>
      <c r="IU231" t="e">
        <f>AND(#REF!,"AAAAAH+N//4=")</f>
        <v>#REF!</v>
      </c>
      <c r="IV231" t="e">
        <f>AND(#REF!,"AAAAAH+N//8=")</f>
        <v>#REF!</v>
      </c>
    </row>
    <row r="232" spans="1:256" x14ac:dyDescent="0.25">
      <c r="A232" t="e">
        <f>AND(#REF!,"AAAAAHeN+wA=")</f>
        <v>#REF!</v>
      </c>
      <c r="B232" t="e">
        <f>AND(#REF!,"AAAAAHeN+wE=")</f>
        <v>#REF!</v>
      </c>
      <c r="C232" t="e">
        <f>AND(#REF!,"AAAAAHeN+wI=")</f>
        <v>#REF!</v>
      </c>
      <c r="D232" t="e">
        <f>AND(#REF!,"AAAAAHeN+wM=")</f>
        <v>#REF!</v>
      </c>
      <c r="E232" t="e">
        <f>AND(#REF!,"AAAAAHeN+wQ=")</f>
        <v>#REF!</v>
      </c>
      <c r="F232" t="e">
        <f>AND(#REF!,"AAAAAHeN+wU=")</f>
        <v>#REF!</v>
      </c>
      <c r="G232" t="e">
        <f>AND(#REF!,"AAAAAHeN+wY=")</f>
        <v>#REF!</v>
      </c>
      <c r="H232" t="e">
        <f>AND(#REF!,"AAAAAHeN+wc=")</f>
        <v>#REF!</v>
      </c>
      <c r="I232" t="e">
        <f>AND(#REF!,"AAAAAHeN+wg=")</f>
        <v>#REF!</v>
      </c>
      <c r="J232" t="e">
        <f>AND(#REF!,"AAAAAHeN+wk=")</f>
        <v>#REF!</v>
      </c>
      <c r="K232" t="e">
        <f>AND(#REF!,"AAAAAHeN+wo=")</f>
        <v>#REF!</v>
      </c>
      <c r="L232" t="e">
        <f>AND(#REF!,"AAAAAHeN+ws=")</f>
        <v>#REF!</v>
      </c>
      <c r="M232" t="e">
        <f>AND(#REF!,"AAAAAHeN+ww=")</f>
        <v>#REF!</v>
      </c>
      <c r="N232" t="e">
        <f>IF(#REF!,"AAAAAHeN+w0=",0)</f>
        <v>#REF!</v>
      </c>
      <c r="O232" t="e">
        <f>AND(#REF!,"AAAAAHeN+w4=")</f>
        <v>#REF!</v>
      </c>
      <c r="P232" t="e">
        <f>AND(#REF!,"AAAAAHeN+w8=")</f>
        <v>#REF!</v>
      </c>
      <c r="Q232" t="e">
        <f>AND(#REF!,"AAAAAHeN+xA=")</f>
        <v>#REF!</v>
      </c>
      <c r="R232" t="e">
        <f>AND(#REF!,"AAAAAHeN+xE=")</f>
        <v>#REF!</v>
      </c>
      <c r="S232" t="e">
        <f>AND(#REF!,"AAAAAHeN+xI=")</f>
        <v>#REF!</v>
      </c>
      <c r="T232" t="e">
        <f>AND(#REF!,"AAAAAHeN+xM=")</f>
        <v>#REF!</v>
      </c>
      <c r="U232" t="e">
        <f>AND(#REF!,"AAAAAHeN+xQ=")</f>
        <v>#REF!</v>
      </c>
      <c r="V232" t="e">
        <f>AND(#REF!,"AAAAAHeN+xU=")</f>
        <v>#REF!</v>
      </c>
      <c r="W232" t="e">
        <f>AND(#REF!,"AAAAAHeN+xY=")</f>
        <v>#REF!</v>
      </c>
      <c r="X232" t="e">
        <f>AND(#REF!,"AAAAAHeN+xc=")</f>
        <v>#REF!</v>
      </c>
      <c r="Y232" t="e">
        <f>AND(#REF!,"AAAAAHeN+xg=")</f>
        <v>#REF!</v>
      </c>
      <c r="Z232" t="e">
        <f>AND(#REF!,"AAAAAHeN+xk=")</f>
        <v>#REF!</v>
      </c>
      <c r="AA232" t="e">
        <f>AND(#REF!,"AAAAAHeN+xo=")</f>
        <v>#REF!</v>
      </c>
      <c r="AB232" t="e">
        <f>AND(#REF!,"AAAAAHeN+xs=")</f>
        <v>#REF!</v>
      </c>
      <c r="AC232" t="e">
        <f>AND(#REF!,"AAAAAHeN+xw=")</f>
        <v>#REF!</v>
      </c>
      <c r="AD232" t="e">
        <f>AND(#REF!,"AAAAAHeN+x0=")</f>
        <v>#REF!</v>
      </c>
      <c r="AE232" t="e">
        <f>AND(#REF!,"AAAAAHeN+x4=")</f>
        <v>#REF!</v>
      </c>
      <c r="AF232" t="e">
        <f>AND(#REF!,"AAAAAHeN+x8=")</f>
        <v>#REF!</v>
      </c>
      <c r="AG232" t="e">
        <f>AND(#REF!,"AAAAAHeN+yA=")</f>
        <v>#REF!</v>
      </c>
      <c r="AH232" t="e">
        <f>AND(#REF!,"AAAAAHeN+yE=")</f>
        <v>#REF!</v>
      </c>
      <c r="AI232" t="e">
        <f>AND(#REF!,"AAAAAHeN+yI=")</f>
        <v>#REF!</v>
      </c>
      <c r="AJ232" t="e">
        <f>AND(#REF!,"AAAAAHeN+yM=")</f>
        <v>#REF!</v>
      </c>
      <c r="AK232" t="e">
        <f>AND(#REF!,"AAAAAHeN+yQ=")</f>
        <v>#REF!</v>
      </c>
      <c r="AL232" t="e">
        <f>AND(#REF!,"AAAAAHeN+yU=")</f>
        <v>#REF!</v>
      </c>
      <c r="AM232" t="e">
        <f>AND(#REF!,"AAAAAHeN+yY=")</f>
        <v>#REF!</v>
      </c>
      <c r="AN232" t="e">
        <f>AND(#REF!,"AAAAAHeN+yc=")</f>
        <v>#REF!</v>
      </c>
      <c r="AO232" t="e">
        <f>AND(#REF!,"AAAAAHeN+yg=")</f>
        <v>#REF!</v>
      </c>
      <c r="AP232" t="e">
        <f>AND(#REF!,"AAAAAHeN+yk=")</f>
        <v>#REF!</v>
      </c>
      <c r="AQ232" t="e">
        <f>AND(#REF!,"AAAAAHeN+yo=")</f>
        <v>#REF!</v>
      </c>
      <c r="AR232" t="e">
        <f>AND(#REF!,"AAAAAHeN+ys=")</f>
        <v>#REF!</v>
      </c>
      <c r="AS232" t="e">
        <f>AND(#REF!,"AAAAAHeN+yw=")</f>
        <v>#REF!</v>
      </c>
      <c r="AT232" t="e">
        <f>AND(#REF!,"AAAAAHeN+y0=")</f>
        <v>#REF!</v>
      </c>
      <c r="AU232" t="e">
        <f>AND(#REF!,"AAAAAHeN+y4=")</f>
        <v>#REF!</v>
      </c>
      <c r="AV232" t="e">
        <f>AND(#REF!,"AAAAAHeN+y8=")</f>
        <v>#REF!</v>
      </c>
      <c r="AW232" t="e">
        <f>AND(#REF!,"AAAAAHeN+zA=")</f>
        <v>#REF!</v>
      </c>
      <c r="AX232" t="e">
        <f>AND(#REF!,"AAAAAHeN+zE=")</f>
        <v>#REF!</v>
      </c>
      <c r="AY232" t="e">
        <f>AND(#REF!,"AAAAAHeN+zI=")</f>
        <v>#REF!</v>
      </c>
      <c r="AZ232" t="e">
        <f>AND(#REF!,"AAAAAHeN+zM=")</f>
        <v>#REF!</v>
      </c>
      <c r="BA232" t="e">
        <f>AND(#REF!,"AAAAAHeN+zQ=")</f>
        <v>#REF!</v>
      </c>
      <c r="BB232" t="e">
        <f>AND(#REF!,"AAAAAHeN+zU=")</f>
        <v>#REF!</v>
      </c>
      <c r="BC232" t="e">
        <f>AND(#REF!,"AAAAAHeN+zY=")</f>
        <v>#REF!</v>
      </c>
      <c r="BD232" t="e">
        <f>AND(#REF!,"AAAAAHeN+zc=")</f>
        <v>#REF!</v>
      </c>
      <c r="BE232" t="e">
        <f>AND(#REF!,"AAAAAHeN+zg=")</f>
        <v>#REF!</v>
      </c>
      <c r="BF232" t="e">
        <f>AND(#REF!,"AAAAAHeN+zk=")</f>
        <v>#REF!</v>
      </c>
      <c r="BG232" t="e">
        <f>AND(#REF!,"AAAAAHeN+zo=")</f>
        <v>#REF!</v>
      </c>
      <c r="BH232" t="e">
        <f>AND(#REF!,"AAAAAHeN+zs=")</f>
        <v>#REF!</v>
      </c>
      <c r="BI232" t="e">
        <f>AND(#REF!,"AAAAAHeN+zw=")</f>
        <v>#REF!</v>
      </c>
      <c r="BJ232" t="e">
        <f>AND(#REF!,"AAAAAHeN+z0=")</f>
        <v>#REF!</v>
      </c>
      <c r="BK232" t="e">
        <f>AND(#REF!,"AAAAAHeN+z4=")</f>
        <v>#REF!</v>
      </c>
      <c r="BL232" t="e">
        <f>AND(#REF!,"AAAAAHeN+z8=")</f>
        <v>#REF!</v>
      </c>
      <c r="BM232" t="e">
        <f>AND(#REF!,"AAAAAHeN+0A=")</f>
        <v>#REF!</v>
      </c>
      <c r="BN232" t="e">
        <f>AND(#REF!,"AAAAAHeN+0E=")</f>
        <v>#REF!</v>
      </c>
      <c r="BO232" t="e">
        <f>AND(#REF!,"AAAAAHeN+0I=")</f>
        <v>#REF!</v>
      </c>
      <c r="BP232" t="e">
        <f>AND(#REF!,"AAAAAHeN+0M=")</f>
        <v>#REF!</v>
      </c>
      <c r="BQ232" t="e">
        <f>AND(#REF!,"AAAAAHeN+0Q=")</f>
        <v>#REF!</v>
      </c>
      <c r="BR232" t="e">
        <f>AND(#REF!,"AAAAAHeN+0U=")</f>
        <v>#REF!</v>
      </c>
      <c r="BS232" t="e">
        <f>AND(#REF!,"AAAAAHeN+0Y=")</f>
        <v>#REF!</v>
      </c>
      <c r="BT232" t="e">
        <f>AND(#REF!,"AAAAAHeN+0c=")</f>
        <v>#REF!</v>
      </c>
      <c r="BU232" t="e">
        <f>AND(#REF!,"AAAAAHeN+0g=")</f>
        <v>#REF!</v>
      </c>
      <c r="BV232" t="e">
        <f>AND(#REF!,"AAAAAHeN+0k=")</f>
        <v>#REF!</v>
      </c>
      <c r="BW232" t="e">
        <f>AND(#REF!,"AAAAAHeN+0o=")</f>
        <v>#REF!</v>
      </c>
      <c r="BX232" t="e">
        <f>AND(#REF!,"AAAAAHeN+0s=")</f>
        <v>#REF!</v>
      </c>
      <c r="BY232" t="e">
        <f>AND(#REF!,"AAAAAHeN+0w=")</f>
        <v>#REF!</v>
      </c>
      <c r="BZ232" t="e">
        <f>AND(#REF!,"AAAAAHeN+00=")</f>
        <v>#REF!</v>
      </c>
      <c r="CA232" t="e">
        <f>AND(#REF!,"AAAAAHeN+04=")</f>
        <v>#REF!</v>
      </c>
      <c r="CB232" t="e">
        <f>AND(#REF!,"AAAAAHeN+08=")</f>
        <v>#REF!</v>
      </c>
      <c r="CC232" t="e">
        <f>AND(#REF!,"AAAAAHeN+1A=")</f>
        <v>#REF!</v>
      </c>
      <c r="CD232" t="e">
        <f>AND(#REF!,"AAAAAHeN+1E=")</f>
        <v>#REF!</v>
      </c>
      <c r="CE232" t="e">
        <f>AND(#REF!,"AAAAAHeN+1I=")</f>
        <v>#REF!</v>
      </c>
      <c r="CF232" t="e">
        <f>AND(#REF!,"AAAAAHeN+1M=")</f>
        <v>#REF!</v>
      </c>
      <c r="CG232" t="e">
        <f>AND(#REF!,"AAAAAHeN+1Q=")</f>
        <v>#REF!</v>
      </c>
      <c r="CH232" t="e">
        <f>AND(#REF!,"AAAAAHeN+1U=")</f>
        <v>#REF!</v>
      </c>
      <c r="CI232" t="e">
        <f>AND(#REF!,"AAAAAHeN+1Y=")</f>
        <v>#REF!</v>
      </c>
      <c r="CJ232" t="e">
        <f>AND(#REF!,"AAAAAHeN+1c=")</f>
        <v>#REF!</v>
      </c>
      <c r="CK232" t="e">
        <f>AND(#REF!,"AAAAAHeN+1g=")</f>
        <v>#REF!</v>
      </c>
      <c r="CL232" t="e">
        <f>AND(#REF!,"AAAAAHeN+1k=")</f>
        <v>#REF!</v>
      </c>
      <c r="CM232" t="e">
        <f>AND(#REF!,"AAAAAHeN+1o=")</f>
        <v>#REF!</v>
      </c>
      <c r="CN232" t="e">
        <f>AND(#REF!,"AAAAAHeN+1s=")</f>
        <v>#REF!</v>
      </c>
      <c r="CO232" t="e">
        <f>AND(#REF!,"AAAAAHeN+1w=")</f>
        <v>#REF!</v>
      </c>
      <c r="CP232" t="e">
        <f>AND(#REF!,"AAAAAHeN+10=")</f>
        <v>#REF!</v>
      </c>
      <c r="CQ232" t="e">
        <f>AND(#REF!,"AAAAAHeN+14=")</f>
        <v>#REF!</v>
      </c>
      <c r="CR232" t="e">
        <f>AND(#REF!,"AAAAAHeN+18=")</f>
        <v>#REF!</v>
      </c>
      <c r="CS232" t="e">
        <f>AND(#REF!,"AAAAAHeN+2A=")</f>
        <v>#REF!</v>
      </c>
      <c r="CT232" t="e">
        <f>AND(#REF!,"AAAAAHeN+2E=")</f>
        <v>#REF!</v>
      </c>
      <c r="CU232" t="e">
        <f>AND(#REF!,"AAAAAHeN+2I=")</f>
        <v>#REF!</v>
      </c>
      <c r="CV232" t="e">
        <f>AND(#REF!,"AAAAAHeN+2M=")</f>
        <v>#REF!</v>
      </c>
      <c r="CW232" t="e">
        <f>AND(#REF!,"AAAAAHeN+2Q=")</f>
        <v>#REF!</v>
      </c>
      <c r="CX232" t="e">
        <f>AND(#REF!,"AAAAAHeN+2U=")</f>
        <v>#REF!</v>
      </c>
      <c r="CY232" t="e">
        <f>AND(#REF!,"AAAAAHeN+2Y=")</f>
        <v>#REF!</v>
      </c>
      <c r="CZ232" t="e">
        <f>AND(#REF!,"AAAAAHeN+2c=")</f>
        <v>#REF!</v>
      </c>
      <c r="DA232" t="e">
        <f>AND(#REF!,"AAAAAHeN+2g=")</f>
        <v>#REF!</v>
      </c>
      <c r="DB232" t="e">
        <f>AND(#REF!,"AAAAAHeN+2k=")</f>
        <v>#REF!</v>
      </c>
      <c r="DC232" t="e">
        <f>AND(#REF!,"AAAAAHeN+2o=")</f>
        <v>#REF!</v>
      </c>
      <c r="DD232" t="e">
        <f>AND(#REF!,"AAAAAHeN+2s=")</f>
        <v>#REF!</v>
      </c>
      <c r="DE232" t="e">
        <f>AND(#REF!,"AAAAAHeN+2w=")</f>
        <v>#REF!</v>
      </c>
      <c r="DF232" t="e">
        <f>AND(#REF!,"AAAAAHeN+20=")</f>
        <v>#REF!</v>
      </c>
      <c r="DG232" t="e">
        <f>AND(#REF!,"AAAAAHeN+24=")</f>
        <v>#REF!</v>
      </c>
      <c r="DH232" t="e">
        <f>AND(#REF!,"AAAAAHeN+28=")</f>
        <v>#REF!</v>
      </c>
      <c r="DI232" t="e">
        <f>AND(#REF!,"AAAAAHeN+3A=")</f>
        <v>#REF!</v>
      </c>
      <c r="DJ232" t="e">
        <f>AND(#REF!,"AAAAAHeN+3E=")</f>
        <v>#REF!</v>
      </c>
      <c r="DK232" t="e">
        <f>AND(#REF!,"AAAAAHeN+3I=")</f>
        <v>#REF!</v>
      </c>
      <c r="DL232" t="e">
        <f>AND(#REF!,"AAAAAHeN+3M=")</f>
        <v>#REF!</v>
      </c>
      <c r="DM232" t="e">
        <f>AND(#REF!,"AAAAAHeN+3Q=")</f>
        <v>#REF!</v>
      </c>
      <c r="DN232" t="e">
        <f>AND(#REF!,"AAAAAHeN+3U=")</f>
        <v>#REF!</v>
      </c>
      <c r="DO232" t="e">
        <f>AND(#REF!,"AAAAAHeN+3Y=")</f>
        <v>#REF!</v>
      </c>
      <c r="DP232" t="e">
        <f>AND(#REF!,"AAAAAHeN+3c=")</f>
        <v>#REF!</v>
      </c>
      <c r="DQ232" t="e">
        <f>AND(#REF!,"AAAAAHeN+3g=")</f>
        <v>#REF!</v>
      </c>
      <c r="DR232" t="e">
        <f>AND(#REF!,"AAAAAHeN+3k=")</f>
        <v>#REF!</v>
      </c>
      <c r="DS232" t="e">
        <f>AND(#REF!,"AAAAAHeN+3o=")</f>
        <v>#REF!</v>
      </c>
      <c r="DT232" t="e">
        <f>AND(#REF!,"AAAAAHeN+3s=")</f>
        <v>#REF!</v>
      </c>
      <c r="DU232" t="e">
        <f>AND(#REF!,"AAAAAHeN+3w=")</f>
        <v>#REF!</v>
      </c>
      <c r="DV232" t="e">
        <f>AND(#REF!,"AAAAAHeN+30=")</f>
        <v>#REF!</v>
      </c>
      <c r="DW232" t="e">
        <f>AND(#REF!,"AAAAAHeN+34=")</f>
        <v>#REF!</v>
      </c>
      <c r="DX232" t="e">
        <f>AND(#REF!,"AAAAAHeN+38=")</f>
        <v>#REF!</v>
      </c>
      <c r="DY232" t="e">
        <f>AND(#REF!,"AAAAAHeN+4A=")</f>
        <v>#REF!</v>
      </c>
      <c r="DZ232" t="e">
        <f>AND(#REF!,"AAAAAHeN+4E=")</f>
        <v>#REF!</v>
      </c>
      <c r="EA232" t="e">
        <f>AND(#REF!,"AAAAAHeN+4I=")</f>
        <v>#REF!</v>
      </c>
      <c r="EB232" t="e">
        <f>AND(#REF!,"AAAAAHeN+4M=")</f>
        <v>#REF!</v>
      </c>
      <c r="EC232" t="e">
        <f>AND(#REF!,"AAAAAHeN+4Q=")</f>
        <v>#REF!</v>
      </c>
      <c r="ED232" t="e">
        <f>AND(#REF!,"AAAAAHeN+4U=")</f>
        <v>#REF!</v>
      </c>
      <c r="EE232" t="e">
        <f>AND(#REF!,"AAAAAHeN+4Y=")</f>
        <v>#REF!</v>
      </c>
      <c r="EF232" t="e">
        <f>AND(#REF!,"AAAAAHeN+4c=")</f>
        <v>#REF!</v>
      </c>
      <c r="EG232" t="e">
        <f>AND(#REF!,"AAAAAHeN+4g=")</f>
        <v>#REF!</v>
      </c>
      <c r="EH232" t="e">
        <f>AND(#REF!,"AAAAAHeN+4k=")</f>
        <v>#REF!</v>
      </c>
      <c r="EI232" t="e">
        <f>AND(#REF!,"AAAAAHeN+4o=")</f>
        <v>#REF!</v>
      </c>
      <c r="EJ232" t="e">
        <f>AND(#REF!,"AAAAAHeN+4s=")</f>
        <v>#REF!</v>
      </c>
      <c r="EK232" t="e">
        <f>AND(#REF!,"AAAAAHeN+4w=")</f>
        <v>#REF!</v>
      </c>
      <c r="EL232" t="e">
        <f>AND(#REF!,"AAAAAHeN+40=")</f>
        <v>#REF!</v>
      </c>
      <c r="EM232" t="e">
        <f>AND(#REF!,"AAAAAHeN+44=")</f>
        <v>#REF!</v>
      </c>
      <c r="EN232" t="e">
        <f>AND(#REF!,"AAAAAHeN+48=")</f>
        <v>#REF!</v>
      </c>
      <c r="EO232" t="e">
        <f>AND(#REF!,"AAAAAHeN+5A=")</f>
        <v>#REF!</v>
      </c>
      <c r="EP232" t="e">
        <f>AND(#REF!,"AAAAAHeN+5E=")</f>
        <v>#REF!</v>
      </c>
      <c r="EQ232" t="e">
        <f>AND(#REF!,"AAAAAHeN+5I=")</f>
        <v>#REF!</v>
      </c>
      <c r="ER232" t="e">
        <f>AND(#REF!,"AAAAAHeN+5M=")</f>
        <v>#REF!</v>
      </c>
      <c r="ES232" t="e">
        <f>AND(#REF!,"AAAAAHeN+5Q=")</f>
        <v>#REF!</v>
      </c>
      <c r="ET232" t="e">
        <f>AND(#REF!,"AAAAAHeN+5U=")</f>
        <v>#REF!</v>
      </c>
      <c r="EU232" t="e">
        <f>AND(#REF!,"AAAAAHeN+5Y=")</f>
        <v>#REF!</v>
      </c>
      <c r="EV232" t="e">
        <f>AND(#REF!,"AAAAAHeN+5c=")</f>
        <v>#REF!</v>
      </c>
      <c r="EW232" t="e">
        <f>AND(#REF!,"AAAAAHeN+5g=")</f>
        <v>#REF!</v>
      </c>
      <c r="EX232" t="e">
        <f>AND(#REF!,"AAAAAHeN+5k=")</f>
        <v>#REF!</v>
      </c>
      <c r="EY232" t="e">
        <f>AND(#REF!,"AAAAAHeN+5o=")</f>
        <v>#REF!</v>
      </c>
      <c r="EZ232" t="e">
        <f>AND(#REF!,"AAAAAHeN+5s=")</f>
        <v>#REF!</v>
      </c>
      <c r="FA232" t="e">
        <f>AND(#REF!,"AAAAAHeN+5w=")</f>
        <v>#REF!</v>
      </c>
      <c r="FB232" t="e">
        <f>AND(#REF!,"AAAAAHeN+50=")</f>
        <v>#REF!</v>
      </c>
      <c r="FC232" t="e">
        <f>AND(#REF!,"AAAAAHeN+54=")</f>
        <v>#REF!</v>
      </c>
      <c r="FD232" t="e">
        <f>AND(#REF!,"AAAAAHeN+58=")</f>
        <v>#REF!</v>
      </c>
      <c r="FE232" t="e">
        <f>AND(#REF!,"AAAAAHeN+6A=")</f>
        <v>#REF!</v>
      </c>
      <c r="FF232" t="e">
        <f>AND(#REF!,"AAAAAHeN+6E=")</f>
        <v>#REF!</v>
      </c>
      <c r="FG232" t="e">
        <f>AND(#REF!,"AAAAAHeN+6I=")</f>
        <v>#REF!</v>
      </c>
      <c r="FH232" t="e">
        <f>AND(#REF!,"AAAAAHeN+6M=")</f>
        <v>#REF!</v>
      </c>
      <c r="FI232" t="e">
        <f>AND(#REF!,"AAAAAHeN+6Q=")</f>
        <v>#REF!</v>
      </c>
      <c r="FJ232" t="e">
        <f>AND(#REF!,"AAAAAHeN+6U=")</f>
        <v>#REF!</v>
      </c>
      <c r="FK232" t="e">
        <f>AND(#REF!,"AAAAAHeN+6Y=")</f>
        <v>#REF!</v>
      </c>
      <c r="FL232" t="e">
        <f>AND(#REF!,"AAAAAHeN+6c=")</f>
        <v>#REF!</v>
      </c>
      <c r="FM232" t="e">
        <f>AND(#REF!,"AAAAAHeN+6g=")</f>
        <v>#REF!</v>
      </c>
      <c r="FN232" t="e">
        <f>AND(#REF!,"AAAAAHeN+6k=")</f>
        <v>#REF!</v>
      </c>
      <c r="FO232" t="e">
        <f>AND(#REF!,"AAAAAHeN+6o=")</f>
        <v>#REF!</v>
      </c>
      <c r="FP232" t="e">
        <f>AND(#REF!,"AAAAAHeN+6s=")</f>
        <v>#REF!</v>
      </c>
      <c r="FQ232" t="e">
        <f>AND(#REF!,"AAAAAHeN+6w=")</f>
        <v>#REF!</v>
      </c>
      <c r="FR232" t="e">
        <f>AND(#REF!,"AAAAAHeN+60=")</f>
        <v>#REF!</v>
      </c>
      <c r="FS232" t="e">
        <f>AND(#REF!,"AAAAAHeN+64=")</f>
        <v>#REF!</v>
      </c>
      <c r="FT232" t="e">
        <f>AND(#REF!,"AAAAAHeN+68=")</f>
        <v>#REF!</v>
      </c>
      <c r="FU232" t="e">
        <f>AND(#REF!,"AAAAAHeN+7A=")</f>
        <v>#REF!</v>
      </c>
      <c r="FV232" t="e">
        <f>AND(#REF!,"AAAAAHeN+7E=")</f>
        <v>#REF!</v>
      </c>
      <c r="FW232" t="e">
        <f>AND(#REF!,"AAAAAHeN+7I=")</f>
        <v>#REF!</v>
      </c>
      <c r="FX232" t="e">
        <f>AND(#REF!,"AAAAAHeN+7M=")</f>
        <v>#REF!</v>
      </c>
      <c r="FY232" t="e">
        <f>AND(#REF!,"AAAAAHeN+7Q=")</f>
        <v>#REF!</v>
      </c>
      <c r="FZ232" t="e">
        <f>AND(#REF!,"AAAAAHeN+7U=")</f>
        <v>#REF!</v>
      </c>
      <c r="GA232" t="e">
        <f>AND(#REF!,"AAAAAHeN+7Y=")</f>
        <v>#REF!</v>
      </c>
      <c r="GB232" t="e">
        <f>AND(#REF!,"AAAAAHeN+7c=")</f>
        <v>#REF!</v>
      </c>
      <c r="GC232" t="e">
        <f>AND(#REF!,"AAAAAHeN+7g=")</f>
        <v>#REF!</v>
      </c>
      <c r="GD232" t="e">
        <f>AND(#REF!,"AAAAAHeN+7k=")</f>
        <v>#REF!</v>
      </c>
      <c r="GE232" t="e">
        <f>AND(#REF!,"AAAAAHeN+7o=")</f>
        <v>#REF!</v>
      </c>
      <c r="GF232" t="e">
        <f>AND(#REF!,"AAAAAHeN+7s=")</f>
        <v>#REF!</v>
      </c>
      <c r="GG232" t="e">
        <f>AND(#REF!,"AAAAAHeN+7w=")</f>
        <v>#REF!</v>
      </c>
      <c r="GH232" t="e">
        <f>AND(#REF!,"AAAAAHeN+70=")</f>
        <v>#REF!</v>
      </c>
      <c r="GI232" t="e">
        <f>AND(#REF!,"AAAAAHeN+74=")</f>
        <v>#REF!</v>
      </c>
      <c r="GJ232" t="e">
        <f>AND(#REF!,"AAAAAHeN+78=")</f>
        <v>#REF!</v>
      </c>
      <c r="GK232" t="e">
        <f>AND(#REF!,"AAAAAHeN+8A=")</f>
        <v>#REF!</v>
      </c>
      <c r="GL232" t="e">
        <f>AND(#REF!,"AAAAAHeN+8E=")</f>
        <v>#REF!</v>
      </c>
      <c r="GM232" t="e">
        <f>AND(#REF!,"AAAAAHeN+8I=")</f>
        <v>#REF!</v>
      </c>
      <c r="GN232" t="e">
        <f>AND(#REF!,"AAAAAHeN+8M=")</f>
        <v>#REF!</v>
      </c>
      <c r="GO232" t="e">
        <f>AND(#REF!,"AAAAAHeN+8Q=")</f>
        <v>#REF!</v>
      </c>
      <c r="GP232" t="e">
        <f>AND(#REF!,"AAAAAHeN+8U=")</f>
        <v>#REF!</v>
      </c>
      <c r="GQ232" t="e">
        <f>AND(#REF!,"AAAAAHeN+8Y=")</f>
        <v>#REF!</v>
      </c>
      <c r="GR232" t="e">
        <f>AND(#REF!,"AAAAAHeN+8c=")</f>
        <v>#REF!</v>
      </c>
      <c r="GS232" t="e">
        <f>AND(#REF!,"AAAAAHeN+8g=")</f>
        <v>#REF!</v>
      </c>
      <c r="GT232" t="e">
        <f>AND(#REF!,"AAAAAHeN+8k=")</f>
        <v>#REF!</v>
      </c>
      <c r="GU232" t="e">
        <f>IF(#REF!,"AAAAAHeN+8o=",0)</f>
        <v>#REF!</v>
      </c>
      <c r="GV232" t="e">
        <f>AND(#REF!,"AAAAAHeN+8s=")</f>
        <v>#REF!</v>
      </c>
      <c r="GW232" t="e">
        <f>AND(#REF!,"AAAAAHeN+8w=")</f>
        <v>#REF!</v>
      </c>
      <c r="GX232" t="e">
        <f>AND(#REF!,"AAAAAHeN+80=")</f>
        <v>#REF!</v>
      </c>
      <c r="GY232" t="e">
        <f>AND(#REF!,"AAAAAHeN+84=")</f>
        <v>#REF!</v>
      </c>
      <c r="GZ232" t="e">
        <f>AND(#REF!,"AAAAAHeN+88=")</f>
        <v>#REF!</v>
      </c>
      <c r="HA232" t="e">
        <f>AND(#REF!,"AAAAAHeN+9A=")</f>
        <v>#REF!</v>
      </c>
      <c r="HB232" t="e">
        <f>AND(#REF!,"AAAAAHeN+9E=")</f>
        <v>#REF!</v>
      </c>
      <c r="HC232" t="e">
        <f>AND(#REF!,"AAAAAHeN+9I=")</f>
        <v>#REF!</v>
      </c>
      <c r="HD232" t="e">
        <f>AND(#REF!,"AAAAAHeN+9M=")</f>
        <v>#REF!</v>
      </c>
      <c r="HE232" t="e">
        <f>AND(#REF!,"AAAAAHeN+9Q=")</f>
        <v>#REF!</v>
      </c>
      <c r="HF232" t="e">
        <f>AND(#REF!,"AAAAAHeN+9U=")</f>
        <v>#REF!</v>
      </c>
      <c r="HG232" t="e">
        <f>AND(#REF!,"AAAAAHeN+9Y=")</f>
        <v>#REF!</v>
      </c>
      <c r="HH232" t="e">
        <f>AND(#REF!,"AAAAAHeN+9c=")</f>
        <v>#REF!</v>
      </c>
      <c r="HI232" t="e">
        <f>AND(#REF!,"AAAAAHeN+9g=")</f>
        <v>#REF!</v>
      </c>
      <c r="HJ232" t="e">
        <f>AND(#REF!,"AAAAAHeN+9k=")</f>
        <v>#REF!</v>
      </c>
      <c r="HK232" t="e">
        <f>AND(#REF!,"AAAAAHeN+9o=")</f>
        <v>#REF!</v>
      </c>
      <c r="HL232" t="e">
        <f>AND(#REF!,"AAAAAHeN+9s=")</f>
        <v>#REF!</v>
      </c>
      <c r="HM232" t="e">
        <f>AND(#REF!,"AAAAAHeN+9w=")</f>
        <v>#REF!</v>
      </c>
      <c r="HN232" t="e">
        <f>AND(#REF!,"AAAAAHeN+90=")</f>
        <v>#REF!</v>
      </c>
      <c r="HO232" t="e">
        <f>AND(#REF!,"AAAAAHeN+94=")</f>
        <v>#REF!</v>
      </c>
      <c r="HP232" t="e">
        <f>AND(#REF!,"AAAAAHeN+98=")</f>
        <v>#REF!</v>
      </c>
      <c r="HQ232" t="e">
        <f>AND(#REF!,"AAAAAHeN++A=")</f>
        <v>#REF!</v>
      </c>
      <c r="HR232" t="e">
        <f>AND(#REF!,"AAAAAHeN++E=")</f>
        <v>#REF!</v>
      </c>
      <c r="HS232" t="e">
        <f>AND(#REF!,"AAAAAHeN++I=")</f>
        <v>#REF!</v>
      </c>
      <c r="HT232" t="e">
        <f>AND(#REF!,"AAAAAHeN++M=")</f>
        <v>#REF!</v>
      </c>
      <c r="HU232" t="e">
        <f>AND(#REF!,"AAAAAHeN++Q=")</f>
        <v>#REF!</v>
      </c>
      <c r="HV232" t="e">
        <f>AND(#REF!,"AAAAAHeN++U=")</f>
        <v>#REF!</v>
      </c>
      <c r="HW232" t="e">
        <f>AND(#REF!,"AAAAAHeN++Y=")</f>
        <v>#REF!</v>
      </c>
      <c r="HX232" t="e">
        <f>AND(#REF!,"AAAAAHeN++c=")</f>
        <v>#REF!</v>
      </c>
      <c r="HY232" t="e">
        <f>AND(#REF!,"AAAAAHeN++g=")</f>
        <v>#REF!</v>
      </c>
      <c r="HZ232" t="e">
        <f>AND(#REF!,"AAAAAHeN++k=")</f>
        <v>#REF!</v>
      </c>
      <c r="IA232" t="e">
        <f>AND(#REF!,"AAAAAHeN++o=")</f>
        <v>#REF!</v>
      </c>
      <c r="IB232" t="e">
        <f>AND(#REF!,"AAAAAHeN++s=")</f>
        <v>#REF!</v>
      </c>
      <c r="IC232" t="e">
        <f>AND(#REF!,"AAAAAHeN++w=")</f>
        <v>#REF!</v>
      </c>
      <c r="ID232" t="e">
        <f>AND(#REF!,"AAAAAHeN++0=")</f>
        <v>#REF!</v>
      </c>
      <c r="IE232" t="e">
        <f>AND(#REF!,"AAAAAHeN++4=")</f>
        <v>#REF!</v>
      </c>
      <c r="IF232" t="e">
        <f>AND(#REF!,"AAAAAHeN++8=")</f>
        <v>#REF!</v>
      </c>
      <c r="IG232" t="e">
        <f>AND(#REF!,"AAAAAHeN+/A=")</f>
        <v>#REF!</v>
      </c>
      <c r="IH232" t="e">
        <f>AND(#REF!,"AAAAAHeN+/E=")</f>
        <v>#REF!</v>
      </c>
      <c r="II232" t="e">
        <f>AND(#REF!,"AAAAAHeN+/I=")</f>
        <v>#REF!</v>
      </c>
      <c r="IJ232" t="e">
        <f>AND(#REF!,"AAAAAHeN+/M=")</f>
        <v>#REF!</v>
      </c>
      <c r="IK232" t="e">
        <f>AND(#REF!,"AAAAAHeN+/Q=")</f>
        <v>#REF!</v>
      </c>
      <c r="IL232" t="e">
        <f>AND(#REF!,"AAAAAHeN+/U=")</f>
        <v>#REF!</v>
      </c>
      <c r="IM232" t="e">
        <f>AND(#REF!,"AAAAAHeN+/Y=")</f>
        <v>#REF!</v>
      </c>
      <c r="IN232" t="e">
        <f>AND(#REF!,"AAAAAHeN+/c=")</f>
        <v>#REF!</v>
      </c>
      <c r="IO232" t="e">
        <f>AND(#REF!,"AAAAAHeN+/g=")</f>
        <v>#REF!</v>
      </c>
      <c r="IP232" t="e">
        <f>AND(#REF!,"AAAAAHeN+/k=")</f>
        <v>#REF!</v>
      </c>
      <c r="IQ232" t="e">
        <f>AND(#REF!,"AAAAAHeN+/o=")</f>
        <v>#REF!</v>
      </c>
      <c r="IR232" t="e">
        <f>AND(#REF!,"AAAAAHeN+/s=")</f>
        <v>#REF!</v>
      </c>
      <c r="IS232" t="e">
        <f>AND(#REF!,"AAAAAHeN+/w=")</f>
        <v>#REF!</v>
      </c>
      <c r="IT232" t="e">
        <f>AND(#REF!,"AAAAAHeN+/0=")</f>
        <v>#REF!</v>
      </c>
      <c r="IU232" t="e">
        <f>AND(#REF!,"AAAAAHeN+/4=")</f>
        <v>#REF!</v>
      </c>
      <c r="IV232" t="e">
        <f>AND(#REF!,"AAAAAHeN+/8=")</f>
        <v>#REF!</v>
      </c>
    </row>
    <row r="233" spans="1:256" x14ac:dyDescent="0.25">
      <c r="A233" t="e">
        <f>AND(#REF!,"AAAAAHeTnwA=")</f>
        <v>#REF!</v>
      </c>
      <c r="B233" t="e">
        <f>AND(#REF!,"AAAAAHeTnwE=")</f>
        <v>#REF!</v>
      </c>
      <c r="C233" t="e">
        <f>AND(#REF!,"AAAAAHeTnwI=")</f>
        <v>#REF!</v>
      </c>
      <c r="D233" t="e">
        <f>AND(#REF!,"AAAAAHeTnwM=")</f>
        <v>#REF!</v>
      </c>
      <c r="E233" t="e">
        <f>AND(#REF!,"AAAAAHeTnwQ=")</f>
        <v>#REF!</v>
      </c>
      <c r="F233" t="e">
        <f>AND(#REF!,"AAAAAHeTnwU=")</f>
        <v>#REF!</v>
      </c>
      <c r="G233" t="e">
        <f>AND(#REF!,"AAAAAHeTnwY=")</f>
        <v>#REF!</v>
      </c>
      <c r="H233" t="e">
        <f>AND(#REF!,"AAAAAHeTnwc=")</f>
        <v>#REF!</v>
      </c>
      <c r="I233" t="e">
        <f>AND(#REF!,"AAAAAHeTnwg=")</f>
        <v>#REF!</v>
      </c>
      <c r="J233" t="e">
        <f>AND(#REF!,"AAAAAHeTnwk=")</f>
        <v>#REF!</v>
      </c>
      <c r="K233" t="e">
        <f>AND(#REF!,"AAAAAHeTnwo=")</f>
        <v>#REF!</v>
      </c>
      <c r="L233" t="e">
        <f>AND(#REF!,"AAAAAHeTnws=")</f>
        <v>#REF!</v>
      </c>
      <c r="M233" t="e">
        <f>AND(#REF!,"AAAAAHeTnww=")</f>
        <v>#REF!</v>
      </c>
      <c r="N233" t="e">
        <f>AND(#REF!,"AAAAAHeTnw0=")</f>
        <v>#REF!</v>
      </c>
      <c r="O233" t="e">
        <f>AND(#REF!,"AAAAAHeTnw4=")</f>
        <v>#REF!</v>
      </c>
      <c r="P233" t="e">
        <f>AND(#REF!,"AAAAAHeTnw8=")</f>
        <v>#REF!</v>
      </c>
      <c r="Q233" t="e">
        <f>AND(#REF!,"AAAAAHeTnxA=")</f>
        <v>#REF!</v>
      </c>
      <c r="R233" t="e">
        <f>AND(#REF!,"AAAAAHeTnxE=")</f>
        <v>#REF!</v>
      </c>
      <c r="S233" t="e">
        <f>AND(#REF!,"AAAAAHeTnxI=")</f>
        <v>#REF!</v>
      </c>
      <c r="T233" t="e">
        <f>AND(#REF!,"AAAAAHeTnxM=")</f>
        <v>#REF!</v>
      </c>
      <c r="U233" t="e">
        <f>AND(#REF!,"AAAAAHeTnxQ=")</f>
        <v>#REF!</v>
      </c>
      <c r="V233" t="e">
        <f>AND(#REF!,"AAAAAHeTnxU=")</f>
        <v>#REF!</v>
      </c>
      <c r="W233" t="e">
        <f>AND(#REF!,"AAAAAHeTnxY=")</f>
        <v>#REF!</v>
      </c>
      <c r="X233" t="e">
        <f>AND(#REF!,"AAAAAHeTnxc=")</f>
        <v>#REF!</v>
      </c>
      <c r="Y233" t="e">
        <f>AND(#REF!,"AAAAAHeTnxg=")</f>
        <v>#REF!</v>
      </c>
      <c r="Z233" t="e">
        <f>AND(#REF!,"AAAAAHeTnxk=")</f>
        <v>#REF!</v>
      </c>
      <c r="AA233" t="e">
        <f>AND(#REF!,"AAAAAHeTnxo=")</f>
        <v>#REF!</v>
      </c>
      <c r="AB233" t="e">
        <f>AND(#REF!,"AAAAAHeTnxs=")</f>
        <v>#REF!</v>
      </c>
      <c r="AC233" t="e">
        <f>AND(#REF!,"AAAAAHeTnxw=")</f>
        <v>#REF!</v>
      </c>
      <c r="AD233" t="e">
        <f>AND(#REF!,"AAAAAHeTnx0=")</f>
        <v>#REF!</v>
      </c>
      <c r="AE233" t="e">
        <f>AND(#REF!,"AAAAAHeTnx4=")</f>
        <v>#REF!</v>
      </c>
      <c r="AF233" t="e">
        <f>AND(#REF!,"AAAAAHeTnx8=")</f>
        <v>#REF!</v>
      </c>
      <c r="AG233" t="e">
        <f>AND(#REF!,"AAAAAHeTnyA=")</f>
        <v>#REF!</v>
      </c>
      <c r="AH233" t="e">
        <f>AND(#REF!,"AAAAAHeTnyE=")</f>
        <v>#REF!</v>
      </c>
      <c r="AI233" t="e">
        <f>AND(#REF!,"AAAAAHeTnyI=")</f>
        <v>#REF!</v>
      </c>
      <c r="AJ233" t="e">
        <f>AND(#REF!,"AAAAAHeTnyM=")</f>
        <v>#REF!</v>
      </c>
      <c r="AK233" t="e">
        <f>AND(#REF!,"AAAAAHeTnyQ=")</f>
        <v>#REF!</v>
      </c>
      <c r="AL233" t="e">
        <f>AND(#REF!,"AAAAAHeTnyU=")</f>
        <v>#REF!</v>
      </c>
      <c r="AM233" t="e">
        <f>AND(#REF!,"AAAAAHeTnyY=")</f>
        <v>#REF!</v>
      </c>
      <c r="AN233" t="e">
        <f>AND(#REF!,"AAAAAHeTnyc=")</f>
        <v>#REF!</v>
      </c>
      <c r="AO233" t="e">
        <f>AND(#REF!,"AAAAAHeTnyg=")</f>
        <v>#REF!</v>
      </c>
      <c r="AP233" t="e">
        <f>AND(#REF!,"AAAAAHeTnyk=")</f>
        <v>#REF!</v>
      </c>
      <c r="AQ233" t="e">
        <f>AND(#REF!,"AAAAAHeTnyo=")</f>
        <v>#REF!</v>
      </c>
      <c r="AR233" t="e">
        <f>AND(#REF!,"AAAAAHeTnys=")</f>
        <v>#REF!</v>
      </c>
      <c r="AS233" t="e">
        <f>AND(#REF!,"AAAAAHeTnyw=")</f>
        <v>#REF!</v>
      </c>
      <c r="AT233" t="e">
        <f>AND(#REF!,"AAAAAHeTny0=")</f>
        <v>#REF!</v>
      </c>
      <c r="AU233" t="e">
        <f>AND(#REF!,"AAAAAHeTny4=")</f>
        <v>#REF!</v>
      </c>
      <c r="AV233" t="e">
        <f>AND(#REF!,"AAAAAHeTny8=")</f>
        <v>#REF!</v>
      </c>
      <c r="AW233" t="e">
        <f>AND(#REF!,"AAAAAHeTnzA=")</f>
        <v>#REF!</v>
      </c>
      <c r="AX233" t="e">
        <f>AND(#REF!,"AAAAAHeTnzE=")</f>
        <v>#REF!</v>
      </c>
      <c r="AY233" t="e">
        <f>AND(#REF!,"AAAAAHeTnzI=")</f>
        <v>#REF!</v>
      </c>
      <c r="AZ233" t="e">
        <f>AND(#REF!,"AAAAAHeTnzM=")</f>
        <v>#REF!</v>
      </c>
      <c r="BA233" t="e">
        <f>AND(#REF!,"AAAAAHeTnzQ=")</f>
        <v>#REF!</v>
      </c>
      <c r="BB233" t="e">
        <f>AND(#REF!,"AAAAAHeTnzU=")</f>
        <v>#REF!</v>
      </c>
      <c r="BC233" t="e">
        <f>AND(#REF!,"AAAAAHeTnzY=")</f>
        <v>#REF!</v>
      </c>
      <c r="BD233" t="e">
        <f>AND(#REF!,"AAAAAHeTnzc=")</f>
        <v>#REF!</v>
      </c>
      <c r="BE233" t="e">
        <f>AND(#REF!,"AAAAAHeTnzg=")</f>
        <v>#REF!</v>
      </c>
      <c r="BF233" t="e">
        <f>AND(#REF!,"AAAAAHeTnzk=")</f>
        <v>#REF!</v>
      </c>
      <c r="BG233" t="e">
        <f>AND(#REF!,"AAAAAHeTnzo=")</f>
        <v>#REF!</v>
      </c>
      <c r="BH233" t="e">
        <f>AND(#REF!,"AAAAAHeTnzs=")</f>
        <v>#REF!</v>
      </c>
      <c r="BI233" t="e">
        <f>AND(#REF!,"AAAAAHeTnzw=")</f>
        <v>#REF!</v>
      </c>
      <c r="BJ233" t="e">
        <f>AND(#REF!,"AAAAAHeTnz0=")</f>
        <v>#REF!</v>
      </c>
      <c r="BK233" t="e">
        <f>AND(#REF!,"AAAAAHeTnz4=")</f>
        <v>#REF!</v>
      </c>
      <c r="BL233" t="e">
        <f>AND(#REF!,"AAAAAHeTnz8=")</f>
        <v>#REF!</v>
      </c>
      <c r="BM233" t="e">
        <f>AND(#REF!,"AAAAAHeTn0A=")</f>
        <v>#REF!</v>
      </c>
      <c r="BN233" t="e">
        <f>AND(#REF!,"AAAAAHeTn0E=")</f>
        <v>#REF!</v>
      </c>
      <c r="BO233" t="e">
        <f>AND(#REF!,"AAAAAHeTn0I=")</f>
        <v>#REF!</v>
      </c>
      <c r="BP233" t="e">
        <f>AND(#REF!,"AAAAAHeTn0M=")</f>
        <v>#REF!</v>
      </c>
      <c r="BQ233" t="e">
        <f>AND(#REF!,"AAAAAHeTn0Q=")</f>
        <v>#REF!</v>
      </c>
      <c r="BR233" t="e">
        <f>AND(#REF!,"AAAAAHeTn0U=")</f>
        <v>#REF!</v>
      </c>
      <c r="BS233" t="e">
        <f>AND(#REF!,"AAAAAHeTn0Y=")</f>
        <v>#REF!</v>
      </c>
      <c r="BT233" t="e">
        <f>AND(#REF!,"AAAAAHeTn0c=")</f>
        <v>#REF!</v>
      </c>
      <c r="BU233" t="e">
        <f>AND(#REF!,"AAAAAHeTn0g=")</f>
        <v>#REF!</v>
      </c>
      <c r="BV233" t="e">
        <f>AND(#REF!,"AAAAAHeTn0k=")</f>
        <v>#REF!</v>
      </c>
      <c r="BW233" t="e">
        <f>AND(#REF!,"AAAAAHeTn0o=")</f>
        <v>#REF!</v>
      </c>
      <c r="BX233" t="e">
        <f>AND(#REF!,"AAAAAHeTn0s=")</f>
        <v>#REF!</v>
      </c>
      <c r="BY233" t="e">
        <f>AND(#REF!,"AAAAAHeTn0w=")</f>
        <v>#REF!</v>
      </c>
      <c r="BZ233" t="e">
        <f>AND(#REF!,"AAAAAHeTn00=")</f>
        <v>#REF!</v>
      </c>
      <c r="CA233" t="e">
        <f>AND(#REF!,"AAAAAHeTn04=")</f>
        <v>#REF!</v>
      </c>
      <c r="CB233" t="e">
        <f>AND(#REF!,"AAAAAHeTn08=")</f>
        <v>#REF!</v>
      </c>
      <c r="CC233" t="e">
        <f>AND(#REF!,"AAAAAHeTn1A=")</f>
        <v>#REF!</v>
      </c>
      <c r="CD233" t="e">
        <f>AND(#REF!,"AAAAAHeTn1E=")</f>
        <v>#REF!</v>
      </c>
      <c r="CE233" t="e">
        <f>AND(#REF!,"AAAAAHeTn1I=")</f>
        <v>#REF!</v>
      </c>
      <c r="CF233" t="e">
        <f>AND(#REF!,"AAAAAHeTn1M=")</f>
        <v>#REF!</v>
      </c>
      <c r="CG233" t="e">
        <f>AND(#REF!,"AAAAAHeTn1Q=")</f>
        <v>#REF!</v>
      </c>
      <c r="CH233" t="e">
        <f>AND(#REF!,"AAAAAHeTn1U=")</f>
        <v>#REF!</v>
      </c>
      <c r="CI233" t="e">
        <f>AND(#REF!,"AAAAAHeTn1Y=")</f>
        <v>#REF!</v>
      </c>
      <c r="CJ233" t="e">
        <f>AND(#REF!,"AAAAAHeTn1c=")</f>
        <v>#REF!</v>
      </c>
      <c r="CK233" t="e">
        <f>AND(#REF!,"AAAAAHeTn1g=")</f>
        <v>#REF!</v>
      </c>
      <c r="CL233" t="e">
        <f>AND(#REF!,"AAAAAHeTn1k=")</f>
        <v>#REF!</v>
      </c>
      <c r="CM233" t="e">
        <f>AND(#REF!,"AAAAAHeTn1o=")</f>
        <v>#REF!</v>
      </c>
      <c r="CN233" t="e">
        <f>AND(#REF!,"AAAAAHeTn1s=")</f>
        <v>#REF!</v>
      </c>
      <c r="CO233" t="e">
        <f>AND(#REF!,"AAAAAHeTn1w=")</f>
        <v>#REF!</v>
      </c>
      <c r="CP233" t="e">
        <f>AND(#REF!,"AAAAAHeTn10=")</f>
        <v>#REF!</v>
      </c>
      <c r="CQ233" t="e">
        <f>AND(#REF!,"AAAAAHeTn14=")</f>
        <v>#REF!</v>
      </c>
      <c r="CR233" t="e">
        <f>AND(#REF!,"AAAAAHeTn18=")</f>
        <v>#REF!</v>
      </c>
      <c r="CS233" t="e">
        <f>AND(#REF!,"AAAAAHeTn2A=")</f>
        <v>#REF!</v>
      </c>
      <c r="CT233" t="e">
        <f>AND(#REF!,"AAAAAHeTn2E=")</f>
        <v>#REF!</v>
      </c>
      <c r="CU233" t="e">
        <f>AND(#REF!,"AAAAAHeTn2I=")</f>
        <v>#REF!</v>
      </c>
      <c r="CV233" t="e">
        <f>AND(#REF!,"AAAAAHeTn2M=")</f>
        <v>#REF!</v>
      </c>
      <c r="CW233" t="e">
        <f>AND(#REF!,"AAAAAHeTn2Q=")</f>
        <v>#REF!</v>
      </c>
      <c r="CX233" t="e">
        <f>AND(#REF!,"AAAAAHeTn2U=")</f>
        <v>#REF!</v>
      </c>
      <c r="CY233" t="e">
        <f>AND(#REF!,"AAAAAHeTn2Y=")</f>
        <v>#REF!</v>
      </c>
      <c r="CZ233" t="e">
        <f>AND(#REF!,"AAAAAHeTn2c=")</f>
        <v>#REF!</v>
      </c>
      <c r="DA233" t="e">
        <f>AND(#REF!,"AAAAAHeTn2g=")</f>
        <v>#REF!</v>
      </c>
      <c r="DB233" t="e">
        <f>AND(#REF!,"AAAAAHeTn2k=")</f>
        <v>#REF!</v>
      </c>
      <c r="DC233" t="e">
        <f>AND(#REF!,"AAAAAHeTn2o=")</f>
        <v>#REF!</v>
      </c>
      <c r="DD233" t="e">
        <f>AND(#REF!,"AAAAAHeTn2s=")</f>
        <v>#REF!</v>
      </c>
      <c r="DE233" t="e">
        <f>AND(#REF!,"AAAAAHeTn2w=")</f>
        <v>#REF!</v>
      </c>
      <c r="DF233" t="e">
        <f>AND(#REF!,"AAAAAHeTn20=")</f>
        <v>#REF!</v>
      </c>
      <c r="DG233" t="e">
        <f>AND(#REF!,"AAAAAHeTn24=")</f>
        <v>#REF!</v>
      </c>
      <c r="DH233" t="e">
        <f>AND(#REF!,"AAAAAHeTn28=")</f>
        <v>#REF!</v>
      </c>
      <c r="DI233" t="e">
        <f>AND(#REF!,"AAAAAHeTn3A=")</f>
        <v>#REF!</v>
      </c>
      <c r="DJ233" t="e">
        <f>AND(#REF!,"AAAAAHeTn3E=")</f>
        <v>#REF!</v>
      </c>
      <c r="DK233" t="e">
        <f>AND(#REF!,"AAAAAHeTn3I=")</f>
        <v>#REF!</v>
      </c>
      <c r="DL233" t="e">
        <f>AND(#REF!,"AAAAAHeTn3M=")</f>
        <v>#REF!</v>
      </c>
      <c r="DM233" t="e">
        <f>AND(#REF!,"AAAAAHeTn3Q=")</f>
        <v>#REF!</v>
      </c>
      <c r="DN233" t="e">
        <f>AND(#REF!,"AAAAAHeTn3U=")</f>
        <v>#REF!</v>
      </c>
      <c r="DO233" t="e">
        <f>AND(#REF!,"AAAAAHeTn3Y=")</f>
        <v>#REF!</v>
      </c>
      <c r="DP233" t="e">
        <f>AND(#REF!,"AAAAAHeTn3c=")</f>
        <v>#REF!</v>
      </c>
      <c r="DQ233" t="e">
        <f>AND(#REF!,"AAAAAHeTn3g=")</f>
        <v>#REF!</v>
      </c>
      <c r="DR233" t="e">
        <f>AND(#REF!,"AAAAAHeTn3k=")</f>
        <v>#REF!</v>
      </c>
      <c r="DS233" t="e">
        <f>AND(#REF!,"AAAAAHeTn3o=")</f>
        <v>#REF!</v>
      </c>
      <c r="DT233" t="e">
        <f>AND(#REF!,"AAAAAHeTn3s=")</f>
        <v>#REF!</v>
      </c>
      <c r="DU233" t="e">
        <f>AND(#REF!,"AAAAAHeTn3w=")</f>
        <v>#REF!</v>
      </c>
      <c r="DV233" t="e">
        <f>AND(#REF!,"AAAAAHeTn30=")</f>
        <v>#REF!</v>
      </c>
      <c r="DW233" t="e">
        <f>AND(#REF!,"AAAAAHeTn34=")</f>
        <v>#REF!</v>
      </c>
      <c r="DX233" t="e">
        <f>AND(#REF!,"AAAAAHeTn38=")</f>
        <v>#REF!</v>
      </c>
      <c r="DY233" t="e">
        <f>AND(#REF!,"AAAAAHeTn4A=")</f>
        <v>#REF!</v>
      </c>
      <c r="DZ233" t="e">
        <f>AND(#REF!,"AAAAAHeTn4E=")</f>
        <v>#REF!</v>
      </c>
      <c r="EA233" t="e">
        <f>AND(#REF!,"AAAAAHeTn4I=")</f>
        <v>#REF!</v>
      </c>
      <c r="EB233" t="e">
        <f>AND(#REF!,"AAAAAHeTn4M=")</f>
        <v>#REF!</v>
      </c>
      <c r="EC233" t="e">
        <f>AND(#REF!,"AAAAAHeTn4Q=")</f>
        <v>#REF!</v>
      </c>
      <c r="ED233" t="e">
        <f>AND(#REF!,"AAAAAHeTn4U=")</f>
        <v>#REF!</v>
      </c>
      <c r="EE233" t="e">
        <f>AND(#REF!,"AAAAAHeTn4Y=")</f>
        <v>#REF!</v>
      </c>
      <c r="EF233" t="e">
        <f>IF(#REF!,"AAAAAHeTn4c=",0)</f>
        <v>#REF!</v>
      </c>
      <c r="EG233" t="e">
        <f>AND(#REF!,"AAAAAHeTn4g=")</f>
        <v>#REF!</v>
      </c>
      <c r="EH233" t="e">
        <f>AND(#REF!,"AAAAAHeTn4k=")</f>
        <v>#REF!</v>
      </c>
      <c r="EI233" t="e">
        <f>AND(#REF!,"AAAAAHeTn4o=")</f>
        <v>#REF!</v>
      </c>
      <c r="EJ233" t="e">
        <f>AND(#REF!,"AAAAAHeTn4s=")</f>
        <v>#REF!</v>
      </c>
      <c r="EK233" t="e">
        <f>AND(#REF!,"AAAAAHeTn4w=")</f>
        <v>#REF!</v>
      </c>
      <c r="EL233" t="e">
        <f>AND(#REF!,"AAAAAHeTn40=")</f>
        <v>#REF!</v>
      </c>
      <c r="EM233" t="e">
        <f>AND(#REF!,"AAAAAHeTn44=")</f>
        <v>#REF!</v>
      </c>
      <c r="EN233" t="e">
        <f>AND(#REF!,"AAAAAHeTn48=")</f>
        <v>#REF!</v>
      </c>
      <c r="EO233" t="e">
        <f>AND(#REF!,"AAAAAHeTn5A=")</f>
        <v>#REF!</v>
      </c>
      <c r="EP233" t="e">
        <f>AND(#REF!,"AAAAAHeTn5E=")</f>
        <v>#REF!</v>
      </c>
      <c r="EQ233" t="e">
        <f>AND(#REF!,"AAAAAHeTn5I=")</f>
        <v>#REF!</v>
      </c>
      <c r="ER233" t="e">
        <f>AND(#REF!,"AAAAAHeTn5M=")</f>
        <v>#REF!</v>
      </c>
      <c r="ES233" t="e">
        <f>AND(#REF!,"AAAAAHeTn5Q=")</f>
        <v>#REF!</v>
      </c>
      <c r="ET233" t="e">
        <f>AND(#REF!,"AAAAAHeTn5U=")</f>
        <v>#REF!</v>
      </c>
      <c r="EU233" t="e">
        <f>AND(#REF!,"AAAAAHeTn5Y=")</f>
        <v>#REF!</v>
      </c>
      <c r="EV233" t="e">
        <f>AND(#REF!,"AAAAAHeTn5c=")</f>
        <v>#REF!</v>
      </c>
      <c r="EW233" t="e">
        <f>AND(#REF!,"AAAAAHeTn5g=")</f>
        <v>#REF!</v>
      </c>
      <c r="EX233" t="e">
        <f>AND(#REF!,"AAAAAHeTn5k=")</f>
        <v>#REF!</v>
      </c>
      <c r="EY233" t="e">
        <f>AND(#REF!,"AAAAAHeTn5o=")</f>
        <v>#REF!</v>
      </c>
      <c r="EZ233" t="e">
        <f>AND(#REF!,"AAAAAHeTn5s=")</f>
        <v>#REF!</v>
      </c>
      <c r="FA233" t="e">
        <f>AND(#REF!,"AAAAAHeTn5w=")</f>
        <v>#REF!</v>
      </c>
      <c r="FB233" t="e">
        <f>AND(#REF!,"AAAAAHeTn50=")</f>
        <v>#REF!</v>
      </c>
      <c r="FC233" t="e">
        <f>AND(#REF!,"AAAAAHeTn54=")</f>
        <v>#REF!</v>
      </c>
      <c r="FD233" t="e">
        <f>AND(#REF!,"AAAAAHeTn58=")</f>
        <v>#REF!</v>
      </c>
      <c r="FE233" t="e">
        <f>AND(#REF!,"AAAAAHeTn6A=")</f>
        <v>#REF!</v>
      </c>
      <c r="FF233" t="e">
        <f>AND(#REF!,"AAAAAHeTn6E=")</f>
        <v>#REF!</v>
      </c>
      <c r="FG233" t="e">
        <f>AND(#REF!,"AAAAAHeTn6I=")</f>
        <v>#REF!</v>
      </c>
      <c r="FH233" t="e">
        <f>AND(#REF!,"AAAAAHeTn6M=")</f>
        <v>#REF!</v>
      </c>
      <c r="FI233" t="e">
        <f>AND(#REF!,"AAAAAHeTn6Q=")</f>
        <v>#REF!</v>
      </c>
      <c r="FJ233" t="e">
        <f>AND(#REF!,"AAAAAHeTn6U=")</f>
        <v>#REF!</v>
      </c>
      <c r="FK233" t="e">
        <f>AND(#REF!,"AAAAAHeTn6Y=")</f>
        <v>#REF!</v>
      </c>
      <c r="FL233" t="e">
        <f>AND(#REF!,"AAAAAHeTn6c=")</f>
        <v>#REF!</v>
      </c>
      <c r="FM233" t="e">
        <f>AND(#REF!,"AAAAAHeTn6g=")</f>
        <v>#REF!</v>
      </c>
      <c r="FN233" t="e">
        <f>AND(#REF!,"AAAAAHeTn6k=")</f>
        <v>#REF!</v>
      </c>
      <c r="FO233" t="e">
        <f>AND(#REF!,"AAAAAHeTn6o=")</f>
        <v>#REF!</v>
      </c>
      <c r="FP233" t="e">
        <f>AND(#REF!,"AAAAAHeTn6s=")</f>
        <v>#REF!</v>
      </c>
      <c r="FQ233" t="e">
        <f>AND(#REF!,"AAAAAHeTn6w=")</f>
        <v>#REF!</v>
      </c>
      <c r="FR233" t="e">
        <f>AND(#REF!,"AAAAAHeTn60=")</f>
        <v>#REF!</v>
      </c>
      <c r="FS233" t="e">
        <f>AND(#REF!,"AAAAAHeTn64=")</f>
        <v>#REF!</v>
      </c>
      <c r="FT233" t="e">
        <f>AND(#REF!,"AAAAAHeTn68=")</f>
        <v>#REF!</v>
      </c>
      <c r="FU233" t="e">
        <f>AND(#REF!,"AAAAAHeTn7A=")</f>
        <v>#REF!</v>
      </c>
      <c r="FV233" t="e">
        <f>AND(#REF!,"AAAAAHeTn7E=")</f>
        <v>#REF!</v>
      </c>
      <c r="FW233" t="e">
        <f>AND(#REF!,"AAAAAHeTn7I=")</f>
        <v>#REF!</v>
      </c>
      <c r="FX233" t="e">
        <f>AND(#REF!,"AAAAAHeTn7M=")</f>
        <v>#REF!</v>
      </c>
      <c r="FY233" t="e">
        <f>AND(#REF!,"AAAAAHeTn7Q=")</f>
        <v>#REF!</v>
      </c>
      <c r="FZ233" t="e">
        <f>AND(#REF!,"AAAAAHeTn7U=")</f>
        <v>#REF!</v>
      </c>
      <c r="GA233" t="e">
        <f>AND(#REF!,"AAAAAHeTn7Y=")</f>
        <v>#REF!</v>
      </c>
      <c r="GB233" t="e">
        <f>AND(#REF!,"AAAAAHeTn7c=")</f>
        <v>#REF!</v>
      </c>
      <c r="GC233" t="e">
        <f>AND(#REF!,"AAAAAHeTn7g=")</f>
        <v>#REF!</v>
      </c>
      <c r="GD233" t="e">
        <f>AND(#REF!,"AAAAAHeTn7k=")</f>
        <v>#REF!</v>
      </c>
      <c r="GE233" t="e">
        <f>AND(#REF!,"AAAAAHeTn7o=")</f>
        <v>#REF!</v>
      </c>
      <c r="GF233" t="e">
        <f>AND(#REF!,"AAAAAHeTn7s=")</f>
        <v>#REF!</v>
      </c>
      <c r="GG233" t="e">
        <f>AND(#REF!,"AAAAAHeTn7w=")</f>
        <v>#REF!</v>
      </c>
      <c r="GH233" t="e">
        <f>AND(#REF!,"AAAAAHeTn70=")</f>
        <v>#REF!</v>
      </c>
      <c r="GI233" t="e">
        <f>AND(#REF!,"AAAAAHeTn74=")</f>
        <v>#REF!</v>
      </c>
      <c r="GJ233" t="e">
        <f>AND(#REF!,"AAAAAHeTn78=")</f>
        <v>#REF!</v>
      </c>
      <c r="GK233" t="e">
        <f>AND(#REF!,"AAAAAHeTn8A=")</f>
        <v>#REF!</v>
      </c>
      <c r="GL233" t="e">
        <f>AND(#REF!,"AAAAAHeTn8E=")</f>
        <v>#REF!</v>
      </c>
      <c r="GM233" t="e">
        <f>AND(#REF!,"AAAAAHeTn8I=")</f>
        <v>#REF!</v>
      </c>
      <c r="GN233" t="e">
        <f>AND(#REF!,"AAAAAHeTn8M=")</f>
        <v>#REF!</v>
      </c>
      <c r="GO233" t="e">
        <f>AND(#REF!,"AAAAAHeTn8Q=")</f>
        <v>#REF!</v>
      </c>
      <c r="GP233" t="e">
        <f>AND(#REF!,"AAAAAHeTn8U=")</f>
        <v>#REF!</v>
      </c>
      <c r="GQ233" t="e">
        <f>AND(#REF!,"AAAAAHeTn8Y=")</f>
        <v>#REF!</v>
      </c>
      <c r="GR233" t="e">
        <f>AND(#REF!,"AAAAAHeTn8c=")</f>
        <v>#REF!</v>
      </c>
      <c r="GS233" t="e">
        <f>AND(#REF!,"AAAAAHeTn8g=")</f>
        <v>#REF!</v>
      </c>
      <c r="GT233" t="e">
        <f>AND(#REF!,"AAAAAHeTn8k=")</f>
        <v>#REF!</v>
      </c>
      <c r="GU233" t="e">
        <f>AND(#REF!,"AAAAAHeTn8o=")</f>
        <v>#REF!</v>
      </c>
      <c r="GV233" t="e">
        <f>AND(#REF!,"AAAAAHeTn8s=")</f>
        <v>#REF!</v>
      </c>
      <c r="GW233" t="e">
        <f>AND(#REF!,"AAAAAHeTn8w=")</f>
        <v>#REF!</v>
      </c>
      <c r="GX233" t="e">
        <f>AND(#REF!,"AAAAAHeTn80=")</f>
        <v>#REF!</v>
      </c>
      <c r="GY233" t="e">
        <f>AND(#REF!,"AAAAAHeTn84=")</f>
        <v>#REF!</v>
      </c>
      <c r="GZ233" t="e">
        <f>AND(#REF!,"AAAAAHeTn88=")</f>
        <v>#REF!</v>
      </c>
      <c r="HA233" t="e">
        <f>AND(#REF!,"AAAAAHeTn9A=")</f>
        <v>#REF!</v>
      </c>
      <c r="HB233" t="e">
        <f>AND(#REF!,"AAAAAHeTn9E=")</f>
        <v>#REF!</v>
      </c>
      <c r="HC233" t="e">
        <f>AND(#REF!,"AAAAAHeTn9I=")</f>
        <v>#REF!</v>
      </c>
      <c r="HD233" t="e">
        <f>AND(#REF!,"AAAAAHeTn9M=")</f>
        <v>#REF!</v>
      </c>
      <c r="HE233" t="e">
        <f>AND(#REF!,"AAAAAHeTn9Q=")</f>
        <v>#REF!</v>
      </c>
      <c r="HF233" t="e">
        <f>AND(#REF!,"AAAAAHeTn9U=")</f>
        <v>#REF!</v>
      </c>
      <c r="HG233" t="e">
        <f>AND(#REF!,"AAAAAHeTn9Y=")</f>
        <v>#REF!</v>
      </c>
      <c r="HH233" t="e">
        <f>AND(#REF!,"AAAAAHeTn9c=")</f>
        <v>#REF!</v>
      </c>
      <c r="HI233" t="e">
        <f>AND(#REF!,"AAAAAHeTn9g=")</f>
        <v>#REF!</v>
      </c>
      <c r="HJ233" t="e">
        <f>AND(#REF!,"AAAAAHeTn9k=")</f>
        <v>#REF!</v>
      </c>
      <c r="HK233" t="e">
        <f>AND(#REF!,"AAAAAHeTn9o=")</f>
        <v>#REF!</v>
      </c>
      <c r="HL233" t="e">
        <f>AND(#REF!,"AAAAAHeTn9s=")</f>
        <v>#REF!</v>
      </c>
      <c r="HM233" t="e">
        <f>AND(#REF!,"AAAAAHeTn9w=")</f>
        <v>#REF!</v>
      </c>
      <c r="HN233" t="e">
        <f>AND(#REF!,"AAAAAHeTn90=")</f>
        <v>#REF!</v>
      </c>
      <c r="HO233" t="e">
        <f>AND(#REF!,"AAAAAHeTn94=")</f>
        <v>#REF!</v>
      </c>
      <c r="HP233" t="e">
        <f>AND(#REF!,"AAAAAHeTn98=")</f>
        <v>#REF!</v>
      </c>
      <c r="HQ233" t="e">
        <f>AND(#REF!,"AAAAAHeTn+A=")</f>
        <v>#REF!</v>
      </c>
      <c r="HR233" t="e">
        <f>AND(#REF!,"AAAAAHeTn+E=")</f>
        <v>#REF!</v>
      </c>
      <c r="HS233" t="e">
        <f>AND(#REF!,"AAAAAHeTn+I=")</f>
        <v>#REF!</v>
      </c>
      <c r="HT233" t="e">
        <f>AND(#REF!,"AAAAAHeTn+M=")</f>
        <v>#REF!</v>
      </c>
      <c r="HU233" t="e">
        <f>AND(#REF!,"AAAAAHeTn+Q=")</f>
        <v>#REF!</v>
      </c>
      <c r="HV233" t="e">
        <f>AND(#REF!,"AAAAAHeTn+U=")</f>
        <v>#REF!</v>
      </c>
      <c r="HW233" t="e">
        <f>AND(#REF!,"AAAAAHeTn+Y=")</f>
        <v>#REF!</v>
      </c>
      <c r="HX233" t="e">
        <f>AND(#REF!,"AAAAAHeTn+c=")</f>
        <v>#REF!</v>
      </c>
      <c r="HY233" t="e">
        <f>AND(#REF!,"AAAAAHeTn+g=")</f>
        <v>#REF!</v>
      </c>
      <c r="HZ233" t="e">
        <f>AND(#REF!,"AAAAAHeTn+k=")</f>
        <v>#REF!</v>
      </c>
      <c r="IA233" t="e">
        <f>AND(#REF!,"AAAAAHeTn+o=")</f>
        <v>#REF!</v>
      </c>
      <c r="IB233" t="e">
        <f>AND(#REF!,"AAAAAHeTn+s=")</f>
        <v>#REF!</v>
      </c>
      <c r="IC233" t="e">
        <f>AND(#REF!,"AAAAAHeTn+w=")</f>
        <v>#REF!</v>
      </c>
      <c r="ID233" t="e">
        <f>AND(#REF!,"AAAAAHeTn+0=")</f>
        <v>#REF!</v>
      </c>
      <c r="IE233" t="e">
        <f>AND(#REF!,"AAAAAHeTn+4=")</f>
        <v>#REF!</v>
      </c>
      <c r="IF233" t="e">
        <f>AND(#REF!,"AAAAAHeTn+8=")</f>
        <v>#REF!</v>
      </c>
      <c r="IG233" t="e">
        <f>AND(#REF!,"AAAAAHeTn/A=")</f>
        <v>#REF!</v>
      </c>
      <c r="IH233" t="e">
        <f>AND(#REF!,"AAAAAHeTn/E=")</f>
        <v>#REF!</v>
      </c>
      <c r="II233" t="e">
        <f>AND(#REF!,"AAAAAHeTn/I=")</f>
        <v>#REF!</v>
      </c>
      <c r="IJ233" t="e">
        <f>AND(#REF!,"AAAAAHeTn/M=")</f>
        <v>#REF!</v>
      </c>
      <c r="IK233" t="e">
        <f>AND(#REF!,"AAAAAHeTn/Q=")</f>
        <v>#REF!</v>
      </c>
      <c r="IL233" t="e">
        <f>AND(#REF!,"AAAAAHeTn/U=")</f>
        <v>#REF!</v>
      </c>
      <c r="IM233" t="e">
        <f>AND(#REF!,"AAAAAHeTn/Y=")</f>
        <v>#REF!</v>
      </c>
      <c r="IN233" t="e">
        <f>AND(#REF!,"AAAAAHeTn/c=")</f>
        <v>#REF!</v>
      </c>
      <c r="IO233" t="e">
        <f>AND(#REF!,"AAAAAHeTn/g=")</f>
        <v>#REF!</v>
      </c>
      <c r="IP233" t="e">
        <f>AND(#REF!,"AAAAAHeTn/k=")</f>
        <v>#REF!</v>
      </c>
      <c r="IQ233" t="e">
        <f>AND(#REF!,"AAAAAHeTn/o=")</f>
        <v>#REF!</v>
      </c>
      <c r="IR233" t="e">
        <f>AND(#REF!,"AAAAAHeTn/s=")</f>
        <v>#REF!</v>
      </c>
      <c r="IS233" t="e">
        <f>AND(#REF!,"AAAAAHeTn/w=")</f>
        <v>#REF!</v>
      </c>
      <c r="IT233" t="e">
        <f>AND(#REF!,"AAAAAHeTn/0=")</f>
        <v>#REF!</v>
      </c>
      <c r="IU233" t="e">
        <f>AND(#REF!,"AAAAAHeTn/4=")</f>
        <v>#REF!</v>
      </c>
      <c r="IV233" t="e">
        <f>AND(#REF!,"AAAAAHeTn/8=")</f>
        <v>#REF!</v>
      </c>
    </row>
    <row r="234" spans="1:256" x14ac:dyDescent="0.25">
      <c r="A234" t="e">
        <f>AND(#REF!,"AAAAAEtP9wA=")</f>
        <v>#REF!</v>
      </c>
      <c r="B234" t="e">
        <f>AND(#REF!,"AAAAAEtP9wE=")</f>
        <v>#REF!</v>
      </c>
      <c r="C234" t="e">
        <f>AND(#REF!,"AAAAAEtP9wI=")</f>
        <v>#REF!</v>
      </c>
      <c r="D234" t="e">
        <f>AND(#REF!,"AAAAAEtP9wM=")</f>
        <v>#REF!</v>
      </c>
      <c r="E234" t="e">
        <f>AND(#REF!,"AAAAAEtP9wQ=")</f>
        <v>#REF!</v>
      </c>
      <c r="F234" t="e">
        <f>AND(#REF!,"AAAAAEtP9wU=")</f>
        <v>#REF!</v>
      </c>
      <c r="G234" t="e">
        <f>AND(#REF!,"AAAAAEtP9wY=")</f>
        <v>#REF!</v>
      </c>
      <c r="H234" t="e">
        <f>AND(#REF!,"AAAAAEtP9wc=")</f>
        <v>#REF!</v>
      </c>
      <c r="I234" t="e">
        <f>AND(#REF!,"AAAAAEtP9wg=")</f>
        <v>#REF!</v>
      </c>
      <c r="J234" t="e">
        <f>AND(#REF!,"AAAAAEtP9wk=")</f>
        <v>#REF!</v>
      </c>
      <c r="K234" t="e">
        <f>AND(#REF!,"AAAAAEtP9wo=")</f>
        <v>#REF!</v>
      </c>
      <c r="L234" t="e">
        <f>AND(#REF!,"AAAAAEtP9ws=")</f>
        <v>#REF!</v>
      </c>
      <c r="M234" t="e">
        <f>AND(#REF!,"AAAAAEtP9ww=")</f>
        <v>#REF!</v>
      </c>
      <c r="N234" t="e">
        <f>AND(#REF!,"AAAAAEtP9w0=")</f>
        <v>#REF!</v>
      </c>
      <c r="O234" t="e">
        <f>AND(#REF!,"AAAAAEtP9w4=")</f>
        <v>#REF!</v>
      </c>
      <c r="P234" t="e">
        <f>AND(#REF!,"AAAAAEtP9w8=")</f>
        <v>#REF!</v>
      </c>
      <c r="Q234" t="e">
        <f>AND(#REF!,"AAAAAEtP9xA=")</f>
        <v>#REF!</v>
      </c>
      <c r="R234" t="e">
        <f>AND(#REF!,"AAAAAEtP9xE=")</f>
        <v>#REF!</v>
      </c>
      <c r="S234" t="e">
        <f>AND(#REF!,"AAAAAEtP9xI=")</f>
        <v>#REF!</v>
      </c>
      <c r="T234" t="e">
        <f>AND(#REF!,"AAAAAEtP9xM=")</f>
        <v>#REF!</v>
      </c>
      <c r="U234" t="e">
        <f>AND(#REF!,"AAAAAEtP9xQ=")</f>
        <v>#REF!</v>
      </c>
      <c r="V234" t="e">
        <f>AND(#REF!,"AAAAAEtP9xU=")</f>
        <v>#REF!</v>
      </c>
      <c r="W234" t="e">
        <f>AND(#REF!,"AAAAAEtP9xY=")</f>
        <v>#REF!</v>
      </c>
      <c r="X234" t="e">
        <f>AND(#REF!,"AAAAAEtP9xc=")</f>
        <v>#REF!</v>
      </c>
      <c r="Y234" t="e">
        <f>AND(#REF!,"AAAAAEtP9xg=")</f>
        <v>#REF!</v>
      </c>
      <c r="Z234" t="e">
        <f>AND(#REF!,"AAAAAEtP9xk=")</f>
        <v>#REF!</v>
      </c>
      <c r="AA234" t="e">
        <f>AND(#REF!,"AAAAAEtP9xo=")</f>
        <v>#REF!</v>
      </c>
      <c r="AB234" t="e">
        <f>AND(#REF!,"AAAAAEtP9xs=")</f>
        <v>#REF!</v>
      </c>
      <c r="AC234" t="e">
        <f>AND(#REF!,"AAAAAEtP9xw=")</f>
        <v>#REF!</v>
      </c>
      <c r="AD234" t="e">
        <f>AND(#REF!,"AAAAAEtP9x0=")</f>
        <v>#REF!</v>
      </c>
      <c r="AE234" t="e">
        <f>AND(#REF!,"AAAAAEtP9x4=")</f>
        <v>#REF!</v>
      </c>
      <c r="AF234" t="e">
        <f>AND(#REF!,"AAAAAEtP9x8=")</f>
        <v>#REF!</v>
      </c>
      <c r="AG234" t="e">
        <f>AND(#REF!,"AAAAAEtP9yA=")</f>
        <v>#REF!</v>
      </c>
      <c r="AH234" t="e">
        <f>AND(#REF!,"AAAAAEtP9yE=")</f>
        <v>#REF!</v>
      </c>
      <c r="AI234" t="e">
        <f>AND(#REF!,"AAAAAEtP9yI=")</f>
        <v>#REF!</v>
      </c>
      <c r="AJ234" t="e">
        <f>AND(#REF!,"AAAAAEtP9yM=")</f>
        <v>#REF!</v>
      </c>
      <c r="AK234" t="e">
        <f>AND(#REF!,"AAAAAEtP9yQ=")</f>
        <v>#REF!</v>
      </c>
      <c r="AL234" t="e">
        <f>AND(#REF!,"AAAAAEtP9yU=")</f>
        <v>#REF!</v>
      </c>
      <c r="AM234" t="e">
        <f>AND(#REF!,"AAAAAEtP9yY=")</f>
        <v>#REF!</v>
      </c>
      <c r="AN234" t="e">
        <f>AND(#REF!,"AAAAAEtP9yc=")</f>
        <v>#REF!</v>
      </c>
      <c r="AO234" t="e">
        <f>AND(#REF!,"AAAAAEtP9yg=")</f>
        <v>#REF!</v>
      </c>
      <c r="AP234" t="e">
        <f>AND(#REF!,"AAAAAEtP9yk=")</f>
        <v>#REF!</v>
      </c>
      <c r="AQ234" t="e">
        <f>AND(#REF!,"AAAAAEtP9yo=")</f>
        <v>#REF!</v>
      </c>
      <c r="AR234" t="e">
        <f>AND(#REF!,"AAAAAEtP9ys=")</f>
        <v>#REF!</v>
      </c>
      <c r="AS234" t="e">
        <f>AND(#REF!,"AAAAAEtP9yw=")</f>
        <v>#REF!</v>
      </c>
      <c r="AT234" t="e">
        <f>AND(#REF!,"AAAAAEtP9y0=")</f>
        <v>#REF!</v>
      </c>
      <c r="AU234" t="e">
        <f>AND(#REF!,"AAAAAEtP9y4=")</f>
        <v>#REF!</v>
      </c>
      <c r="AV234" t="e">
        <f>AND(#REF!,"AAAAAEtP9y8=")</f>
        <v>#REF!</v>
      </c>
      <c r="AW234" t="e">
        <f>AND(#REF!,"AAAAAEtP9zA=")</f>
        <v>#REF!</v>
      </c>
      <c r="AX234" t="e">
        <f>AND(#REF!,"AAAAAEtP9zE=")</f>
        <v>#REF!</v>
      </c>
      <c r="AY234" t="e">
        <f>AND(#REF!,"AAAAAEtP9zI=")</f>
        <v>#REF!</v>
      </c>
      <c r="AZ234" t="e">
        <f>AND(#REF!,"AAAAAEtP9zM=")</f>
        <v>#REF!</v>
      </c>
      <c r="BA234" t="e">
        <f>AND(#REF!,"AAAAAEtP9zQ=")</f>
        <v>#REF!</v>
      </c>
      <c r="BB234" t="e">
        <f>AND(#REF!,"AAAAAEtP9zU=")</f>
        <v>#REF!</v>
      </c>
      <c r="BC234" t="e">
        <f>AND(#REF!,"AAAAAEtP9zY=")</f>
        <v>#REF!</v>
      </c>
      <c r="BD234" t="e">
        <f>AND(#REF!,"AAAAAEtP9zc=")</f>
        <v>#REF!</v>
      </c>
      <c r="BE234" t="e">
        <f>AND(#REF!,"AAAAAEtP9zg=")</f>
        <v>#REF!</v>
      </c>
      <c r="BF234" t="e">
        <f>AND(#REF!,"AAAAAEtP9zk=")</f>
        <v>#REF!</v>
      </c>
      <c r="BG234" t="e">
        <f>AND(#REF!,"AAAAAEtP9zo=")</f>
        <v>#REF!</v>
      </c>
      <c r="BH234" t="e">
        <f>AND(#REF!,"AAAAAEtP9zs=")</f>
        <v>#REF!</v>
      </c>
      <c r="BI234" t="e">
        <f>AND(#REF!,"AAAAAEtP9zw=")</f>
        <v>#REF!</v>
      </c>
      <c r="BJ234" t="e">
        <f>AND(#REF!,"AAAAAEtP9z0=")</f>
        <v>#REF!</v>
      </c>
      <c r="BK234" t="e">
        <f>AND(#REF!,"AAAAAEtP9z4=")</f>
        <v>#REF!</v>
      </c>
      <c r="BL234" t="e">
        <f>AND(#REF!,"AAAAAEtP9z8=")</f>
        <v>#REF!</v>
      </c>
      <c r="BM234" t="e">
        <f>AND(#REF!,"AAAAAEtP90A=")</f>
        <v>#REF!</v>
      </c>
      <c r="BN234" t="e">
        <f>AND(#REF!,"AAAAAEtP90E=")</f>
        <v>#REF!</v>
      </c>
      <c r="BO234" t="e">
        <f>AND(#REF!,"AAAAAEtP90I=")</f>
        <v>#REF!</v>
      </c>
      <c r="BP234" t="e">
        <f>AND(#REF!,"AAAAAEtP90M=")</f>
        <v>#REF!</v>
      </c>
      <c r="BQ234" t="e">
        <f>IF(#REF!,"AAAAAEtP90Q=",0)</f>
        <v>#REF!</v>
      </c>
      <c r="BR234" t="e">
        <f>AND(#REF!,"AAAAAEtP90U=")</f>
        <v>#REF!</v>
      </c>
      <c r="BS234" t="e">
        <f>AND(#REF!,"AAAAAEtP90Y=")</f>
        <v>#REF!</v>
      </c>
      <c r="BT234" t="e">
        <f>AND(#REF!,"AAAAAEtP90c=")</f>
        <v>#REF!</v>
      </c>
      <c r="BU234" t="e">
        <f>AND(#REF!,"AAAAAEtP90g=")</f>
        <v>#REF!</v>
      </c>
      <c r="BV234" t="e">
        <f>AND(#REF!,"AAAAAEtP90k=")</f>
        <v>#REF!</v>
      </c>
      <c r="BW234" t="e">
        <f>AND(#REF!,"AAAAAEtP90o=")</f>
        <v>#REF!</v>
      </c>
      <c r="BX234" t="e">
        <f>AND(#REF!,"AAAAAEtP90s=")</f>
        <v>#REF!</v>
      </c>
      <c r="BY234" t="e">
        <f>AND(#REF!,"AAAAAEtP90w=")</f>
        <v>#REF!</v>
      </c>
      <c r="BZ234" t="e">
        <f>AND(#REF!,"AAAAAEtP900=")</f>
        <v>#REF!</v>
      </c>
      <c r="CA234" t="e">
        <f>AND(#REF!,"AAAAAEtP904=")</f>
        <v>#REF!</v>
      </c>
      <c r="CB234" t="e">
        <f>AND(#REF!,"AAAAAEtP908=")</f>
        <v>#REF!</v>
      </c>
      <c r="CC234" t="e">
        <f>AND(#REF!,"AAAAAEtP91A=")</f>
        <v>#REF!</v>
      </c>
      <c r="CD234" t="e">
        <f>AND(#REF!,"AAAAAEtP91E=")</f>
        <v>#REF!</v>
      </c>
      <c r="CE234" t="e">
        <f>AND(#REF!,"AAAAAEtP91I=")</f>
        <v>#REF!</v>
      </c>
      <c r="CF234" t="e">
        <f>AND(#REF!,"AAAAAEtP91M=")</f>
        <v>#REF!</v>
      </c>
      <c r="CG234" t="e">
        <f>AND(#REF!,"AAAAAEtP91Q=")</f>
        <v>#REF!</v>
      </c>
      <c r="CH234" t="e">
        <f>AND(#REF!,"AAAAAEtP91U=")</f>
        <v>#REF!</v>
      </c>
      <c r="CI234" t="e">
        <f>AND(#REF!,"AAAAAEtP91Y=")</f>
        <v>#REF!</v>
      </c>
      <c r="CJ234" t="e">
        <f>AND(#REF!,"AAAAAEtP91c=")</f>
        <v>#REF!</v>
      </c>
      <c r="CK234" t="e">
        <f>AND(#REF!,"AAAAAEtP91g=")</f>
        <v>#REF!</v>
      </c>
      <c r="CL234" t="e">
        <f>AND(#REF!,"AAAAAEtP91k=")</f>
        <v>#REF!</v>
      </c>
      <c r="CM234" t="e">
        <f>AND(#REF!,"AAAAAEtP91o=")</f>
        <v>#REF!</v>
      </c>
      <c r="CN234" t="e">
        <f>AND(#REF!,"AAAAAEtP91s=")</f>
        <v>#REF!</v>
      </c>
      <c r="CO234" t="e">
        <f>AND(#REF!,"AAAAAEtP91w=")</f>
        <v>#REF!</v>
      </c>
      <c r="CP234" t="e">
        <f>AND(#REF!,"AAAAAEtP910=")</f>
        <v>#REF!</v>
      </c>
      <c r="CQ234" t="e">
        <f>AND(#REF!,"AAAAAEtP914=")</f>
        <v>#REF!</v>
      </c>
      <c r="CR234" t="e">
        <f>AND(#REF!,"AAAAAEtP918=")</f>
        <v>#REF!</v>
      </c>
      <c r="CS234" t="e">
        <f>AND(#REF!,"AAAAAEtP92A=")</f>
        <v>#REF!</v>
      </c>
      <c r="CT234" t="e">
        <f>AND(#REF!,"AAAAAEtP92E=")</f>
        <v>#REF!</v>
      </c>
      <c r="CU234" t="e">
        <f>AND(#REF!,"AAAAAEtP92I=")</f>
        <v>#REF!</v>
      </c>
      <c r="CV234" t="e">
        <f>AND(#REF!,"AAAAAEtP92M=")</f>
        <v>#REF!</v>
      </c>
      <c r="CW234" t="e">
        <f>AND(#REF!,"AAAAAEtP92Q=")</f>
        <v>#REF!</v>
      </c>
      <c r="CX234" t="e">
        <f>AND(#REF!,"AAAAAEtP92U=")</f>
        <v>#REF!</v>
      </c>
      <c r="CY234" t="e">
        <f>AND(#REF!,"AAAAAEtP92Y=")</f>
        <v>#REF!</v>
      </c>
      <c r="CZ234" t="e">
        <f>AND(#REF!,"AAAAAEtP92c=")</f>
        <v>#REF!</v>
      </c>
      <c r="DA234" t="e">
        <f>AND(#REF!,"AAAAAEtP92g=")</f>
        <v>#REF!</v>
      </c>
      <c r="DB234" t="e">
        <f>AND(#REF!,"AAAAAEtP92k=")</f>
        <v>#REF!</v>
      </c>
      <c r="DC234" t="e">
        <f>AND(#REF!,"AAAAAEtP92o=")</f>
        <v>#REF!</v>
      </c>
      <c r="DD234" t="e">
        <f>AND(#REF!,"AAAAAEtP92s=")</f>
        <v>#REF!</v>
      </c>
      <c r="DE234" t="e">
        <f>AND(#REF!,"AAAAAEtP92w=")</f>
        <v>#REF!</v>
      </c>
      <c r="DF234" t="e">
        <f>AND(#REF!,"AAAAAEtP920=")</f>
        <v>#REF!</v>
      </c>
      <c r="DG234" t="e">
        <f>AND(#REF!,"AAAAAEtP924=")</f>
        <v>#REF!</v>
      </c>
      <c r="DH234" t="e">
        <f>AND(#REF!,"AAAAAEtP928=")</f>
        <v>#REF!</v>
      </c>
      <c r="DI234" t="e">
        <f>AND(#REF!,"AAAAAEtP93A=")</f>
        <v>#REF!</v>
      </c>
      <c r="DJ234" t="e">
        <f>AND(#REF!,"AAAAAEtP93E=")</f>
        <v>#REF!</v>
      </c>
      <c r="DK234" t="e">
        <f>AND(#REF!,"AAAAAEtP93I=")</f>
        <v>#REF!</v>
      </c>
      <c r="DL234" t="e">
        <f>AND(#REF!,"AAAAAEtP93M=")</f>
        <v>#REF!</v>
      </c>
      <c r="DM234" t="e">
        <f>AND(#REF!,"AAAAAEtP93Q=")</f>
        <v>#REF!</v>
      </c>
      <c r="DN234" t="e">
        <f>AND(#REF!,"AAAAAEtP93U=")</f>
        <v>#REF!</v>
      </c>
      <c r="DO234" t="e">
        <f>AND(#REF!,"AAAAAEtP93Y=")</f>
        <v>#REF!</v>
      </c>
      <c r="DP234" t="e">
        <f>AND(#REF!,"AAAAAEtP93c=")</f>
        <v>#REF!</v>
      </c>
      <c r="DQ234" t="e">
        <f>AND(#REF!,"AAAAAEtP93g=")</f>
        <v>#REF!</v>
      </c>
      <c r="DR234" t="e">
        <f>AND(#REF!,"AAAAAEtP93k=")</f>
        <v>#REF!</v>
      </c>
      <c r="DS234" t="e">
        <f>AND(#REF!,"AAAAAEtP93o=")</f>
        <v>#REF!</v>
      </c>
      <c r="DT234" t="e">
        <f>AND(#REF!,"AAAAAEtP93s=")</f>
        <v>#REF!</v>
      </c>
      <c r="DU234" t="e">
        <f>AND(#REF!,"AAAAAEtP93w=")</f>
        <v>#REF!</v>
      </c>
      <c r="DV234" t="e">
        <f>AND(#REF!,"AAAAAEtP930=")</f>
        <v>#REF!</v>
      </c>
      <c r="DW234" t="e">
        <f>AND(#REF!,"AAAAAEtP934=")</f>
        <v>#REF!</v>
      </c>
      <c r="DX234" t="e">
        <f>AND(#REF!,"AAAAAEtP938=")</f>
        <v>#REF!</v>
      </c>
      <c r="DY234" t="e">
        <f>AND(#REF!,"AAAAAEtP94A=")</f>
        <v>#REF!</v>
      </c>
      <c r="DZ234" t="e">
        <f>AND(#REF!,"AAAAAEtP94E=")</f>
        <v>#REF!</v>
      </c>
      <c r="EA234" t="e">
        <f>AND(#REF!,"AAAAAEtP94I=")</f>
        <v>#REF!</v>
      </c>
      <c r="EB234" t="e">
        <f>AND(#REF!,"AAAAAEtP94M=")</f>
        <v>#REF!</v>
      </c>
      <c r="EC234" t="e">
        <f>AND(#REF!,"AAAAAEtP94Q=")</f>
        <v>#REF!</v>
      </c>
      <c r="ED234" t="e">
        <f>AND(#REF!,"AAAAAEtP94U=")</f>
        <v>#REF!</v>
      </c>
      <c r="EE234" t="e">
        <f>AND(#REF!,"AAAAAEtP94Y=")</f>
        <v>#REF!</v>
      </c>
      <c r="EF234" t="e">
        <f>AND(#REF!,"AAAAAEtP94c=")</f>
        <v>#REF!</v>
      </c>
      <c r="EG234" t="e">
        <f>AND(#REF!,"AAAAAEtP94g=")</f>
        <v>#REF!</v>
      </c>
      <c r="EH234" t="e">
        <f>AND(#REF!,"AAAAAEtP94k=")</f>
        <v>#REF!</v>
      </c>
      <c r="EI234" t="e">
        <f>AND(#REF!,"AAAAAEtP94o=")</f>
        <v>#REF!</v>
      </c>
      <c r="EJ234" t="e">
        <f>AND(#REF!,"AAAAAEtP94s=")</f>
        <v>#REF!</v>
      </c>
      <c r="EK234" t="e">
        <f>AND(#REF!,"AAAAAEtP94w=")</f>
        <v>#REF!</v>
      </c>
      <c r="EL234" t="e">
        <f>AND(#REF!,"AAAAAEtP940=")</f>
        <v>#REF!</v>
      </c>
      <c r="EM234" t="e">
        <f>AND(#REF!,"AAAAAEtP944=")</f>
        <v>#REF!</v>
      </c>
      <c r="EN234" t="e">
        <f>AND(#REF!,"AAAAAEtP948=")</f>
        <v>#REF!</v>
      </c>
      <c r="EO234" t="e">
        <f>AND(#REF!,"AAAAAEtP95A=")</f>
        <v>#REF!</v>
      </c>
      <c r="EP234" t="e">
        <f>AND(#REF!,"AAAAAEtP95E=")</f>
        <v>#REF!</v>
      </c>
      <c r="EQ234" t="e">
        <f>AND(#REF!,"AAAAAEtP95I=")</f>
        <v>#REF!</v>
      </c>
      <c r="ER234" t="e">
        <f>AND(#REF!,"AAAAAEtP95M=")</f>
        <v>#REF!</v>
      </c>
      <c r="ES234" t="e">
        <f>AND(#REF!,"AAAAAEtP95Q=")</f>
        <v>#REF!</v>
      </c>
      <c r="ET234" t="e">
        <f>AND(#REF!,"AAAAAEtP95U=")</f>
        <v>#REF!</v>
      </c>
      <c r="EU234" t="e">
        <f>AND(#REF!,"AAAAAEtP95Y=")</f>
        <v>#REF!</v>
      </c>
      <c r="EV234" t="e">
        <f>AND(#REF!,"AAAAAEtP95c=")</f>
        <v>#REF!</v>
      </c>
      <c r="EW234" t="e">
        <f>AND(#REF!,"AAAAAEtP95g=")</f>
        <v>#REF!</v>
      </c>
      <c r="EX234" t="e">
        <f>AND(#REF!,"AAAAAEtP95k=")</f>
        <v>#REF!</v>
      </c>
      <c r="EY234" t="e">
        <f>AND(#REF!,"AAAAAEtP95o=")</f>
        <v>#REF!</v>
      </c>
      <c r="EZ234" t="e">
        <f>AND(#REF!,"AAAAAEtP95s=")</f>
        <v>#REF!</v>
      </c>
      <c r="FA234" t="e">
        <f>AND(#REF!,"AAAAAEtP95w=")</f>
        <v>#REF!</v>
      </c>
      <c r="FB234" t="e">
        <f>AND(#REF!,"AAAAAEtP950=")</f>
        <v>#REF!</v>
      </c>
      <c r="FC234" t="e">
        <f>AND(#REF!,"AAAAAEtP954=")</f>
        <v>#REF!</v>
      </c>
      <c r="FD234" t="e">
        <f>AND(#REF!,"AAAAAEtP958=")</f>
        <v>#REF!</v>
      </c>
      <c r="FE234" t="e">
        <f>AND(#REF!,"AAAAAEtP96A=")</f>
        <v>#REF!</v>
      </c>
      <c r="FF234" t="e">
        <f>AND(#REF!,"AAAAAEtP96E=")</f>
        <v>#REF!</v>
      </c>
      <c r="FG234" t="e">
        <f>AND(#REF!,"AAAAAEtP96I=")</f>
        <v>#REF!</v>
      </c>
      <c r="FH234" t="e">
        <f>AND(#REF!,"AAAAAEtP96M=")</f>
        <v>#REF!</v>
      </c>
      <c r="FI234" t="e">
        <f>AND(#REF!,"AAAAAEtP96Q=")</f>
        <v>#REF!</v>
      </c>
      <c r="FJ234" t="e">
        <f>AND(#REF!,"AAAAAEtP96U=")</f>
        <v>#REF!</v>
      </c>
      <c r="FK234" t="e">
        <f>AND(#REF!,"AAAAAEtP96Y=")</f>
        <v>#REF!</v>
      </c>
      <c r="FL234" t="e">
        <f>AND(#REF!,"AAAAAEtP96c=")</f>
        <v>#REF!</v>
      </c>
      <c r="FM234" t="e">
        <f>AND(#REF!,"AAAAAEtP96g=")</f>
        <v>#REF!</v>
      </c>
      <c r="FN234" t="e">
        <f>AND(#REF!,"AAAAAEtP96k=")</f>
        <v>#REF!</v>
      </c>
      <c r="FO234" t="e">
        <f>AND(#REF!,"AAAAAEtP96o=")</f>
        <v>#REF!</v>
      </c>
      <c r="FP234" t="e">
        <f>AND(#REF!,"AAAAAEtP96s=")</f>
        <v>#REF!</v>
      </c>
      <c r="FQ234" t="e">
        <f>AND(#REF!,"AAAAAEtP96w=")</f>
        <v>#REF!</v>
      </c>
      <c r="FR234" t="e">
        <f>AND(#REF!,"AAAAAEtP960=")</f>
        <v>#REF!</v>
      </c>
      <c r="FS234" t="e">
        <f>AND(#REF!,"AAAAAEtP964=")</f>
        <v>#REF!</v>
      </c>
      <c r="FT234" t="e">
        <f>AND(#REF!,"AAAAAEtP968=")</f>
        <v>#REF!</v>
      </c>
      <c r="FU234" t="e">
        <f>AND(#REF!,"AAAAAEtP97A=")</f>
        <v>#REF!</v>
      </c>
      <c r="FV234" t="e">
        <f>AND(#REF!,"AAAAAEtP97E=")</f>
        <v>#REF!</v>
      </c>
      <c r="FW234" t="e">
        <f>AND(#REF!,"AAAAAEtP97I=")</f>
        <v>#REF!</v>
      </c>
      <c r="FX234" t="e">
        <f>AND(#REF!,"AAAAAEtP97M=")</f>
        <v>#REF!</v>
      </c>
      <c r="FY234" t="e">
        <f>AND(#REF!,"AAAAAEtP97Q=")</f>
        <v>#REF!</v>
      </c>
      <c r="FZ234" t="e">
        <f>AND(#REF!,"AAAAAEtP97U=")</f>
        <v>#REF!</v>
      </c>
      <c r="GA234" t="e">
        <f>AND(#REF!,"AAAAAEtP97Y=")</f>
        <v>#REF!</v>
      </c>
      <c r="GB234" t="e">
        <f>AND(#REF!,"AAAAAEtP97c=")</f>
        <v>#REF!</v>
      </c>
      <c r="GC234" t="e">
        <f>AND(#REF!,"AAAAAEtP97g=")</f>
        <v>#REF!</v>
      </c>
      <c r="GD234" t="e">
        <f>AND(#REF!,"AAAAAEtP97k=")</f>
        <v>#REF!</v>
      </c>
      <c r="GE234" t="e">
        <f>AND(#REF!,"AAAAAEtP97o=")</f>
        <v>#REF!</v>
      </c>
      <c r="GF234" t="e">
        <f>AND(#REF!,"AAAAAEtP97s=")</f>
        <v>#REF!</v>
      </c>
      <c r="GG234" t="e">
        <f>AND(#REF!,"AAAAAEtP97w=")</f>
        <v>#REF!</v>
      </c>
      <c r="GH234" t="e">
        <f>AND(#REF!,"AAAAAEtP970=")</f>
        <v>#REF!</v>
      </c>
      <c r="GI234" t="e">
        <f>AND(#REF!,"AAAAAEtP974=")</f>
        <v>#REF!</v>
      </c>
      <c r="GJ234" t="e">
        <f>AND(#REF!,"AAAAAEtP978=")</f>
        <v>#REF!</v>
      </c>
      <c r="GK234" t="e">
        <f>AND(#REF!,"AAAAAEtP98A=")</f>
        <v>#REF!</v>
      </c>
      <c r="GL234" t="e">
        <f>AND(#REF!,"AAAAAEtP98E=")</f>
        <v>#REF!</v>
      </c>
      <c r="GM234" t="e">
        <f>AND(#REF!,"AAAAAEtP98I=")</f>
        <v>#REF!</v>
      </c>
      <c r="GN234" t="e">
        <f>AND(#REF!,"AAAAAEtP98M=")</f>
        <v>#REF!</v>
      </c>
      <c r="GO234" t="e">
        <f>AND(#REF!,"AAAAAEtP98Q=")</f>
        <v>#REF!</v>
      </c>
      <c r="GP234" t="e">
        <f>AND(#REF!,"AAAAAEtP98U=")</f>
        <v>#REF!</v>
      </c>
      <c r="GQ234" t="e">
        <f>AND(#REF!,"AAAAAEtP98Y=")</f>
        <v>#REF!</v>
      </c>
      <c r="GR234" t="e">
        <f>AND(#REF!,"AAAAAEtP98c=")</f>
        <v>#REF!</v>
      </c>
      <c r="GS234" t="e">
        <f>AND(#REF!,"AAAAAEtP98g=")</f>
        <v>#REF!</v>
      </c>
      <c r="GT234" t="e">
        <f>AND(#REF!,"AAAAAEtP98k=")</f>
        <v>#REF!</v>
      </c>
      <c r="GU234" t="e">
        <f>AND(#REF!,"AAAAAEtP98o=")</f>
        <v>#REF!</v>
      </c>
      <c r="GV234" t="e">
        <f>AND(#REF!,"AAAAAEtP98s=")</f>
        <v>#REF!</v>
      </c>
      <c r="GW234" t="e">
        <f>AND(#REF!,"AAAAAEtP98w=")</f>
        <v>#REF!</v>
      </c>
      <c r="GX234" t="e">
        <f>AND(#REF!,"AAAAAEtP980=")</f>
        <v>#REF!</v>
      </c>
      <c r="GY234" t="e">
        <f>AND(#REF!,"AAAAAEtP984=")</f>
        <v>#REF!</v>
      </c>
      <c r="GZ234" t="e">
        <f>AND(#REF!,"AAAAAEtP988=")</f>
        <v>#REF!</v>
      </c>
      <c r="HA234" t="e">
        <f>AND(#REF!,"AAAAAEtP99A=")</f>
        <v>#REF!</v>
      </c>
      <c r="HB234" t="e">
        <f>AND(#REF!,"AAAAAEtP99E=")</f>
        <v>#REF!</v>
      </c>
      <c r="HC234" t="e">
        <f>AND(#REF!,"AAAAAEtP99I=")</f>
        <v>#REF!</v>
      </c>
      <c r="HD234" t="e">
        <f>AND(#REF!,"AAAAAEtP99M=")</f>
        <v>#REF!</v>
      </c>
      <c r="HE234" t="e">
        <f>AND(#REF!,"AAAAAEtP99Q=")</f>
        <v>#REF!</v>
      </c>
      <c r="HF234" t="e">
        <f>AND(#REF!,"AAAAAEtP99U=")</f>
        <v>#REF!</v>
      </c>
      <c r="HG234" t="e">
        <f>AND(#REF!,"AAAAAEtP99Y=")</f>
        <v>#REF!</v>
      </c>
      <c r="HH234" t="e">
        <f>AND(#REF!,"AAAAAEtP99c=")</f>
        <v>#REF!</v>
      </c>
      <c r="HI234" t="e">
        <f>AND(#REF!,"AAAAAEtP99g=")</f>
        <v>#REF!</v>
      </c>
      <c r="HJ234" t="e">
        <f>AND(#REF!,"AAAAAEtP99k=")</f>
        <v>#REF!</v>
      </c>
      <c r="HK234" t="e">
        <f>AND(#REF!,"AAAAAEtP99o=")</f>
        <v>#REF!</v>
      </c>
      <c r="HL234" t="e">
        <f>AND(#REF!,"AAAAAEtP99s=")</f>
        <v>#REF!</v>
      </c>
      <c r="HM234" t="e">
        <f>AND(#REF!,"AAAAAEtP99w=")</f>
        <v>#REF!</v>
      </c>
      <c r="HN234" t="e">
        <f>AND(#REF!,"AAAAAEtP990=")</f>
        <v>#REF!</v>
      </c>
      <c r="HO234" t="e">
        <f>AND(#REF!,"AAAAAEtP994=")</f>
        <v>#REF!</v>
      </c>
      <c r="HP234" t="e">
        <f>AND(#REF!,"AAAAAEtP998=")</f>
        <v>#REF!</v>
      </c>
      <c r="HQ234" t="e">
        <f>AND(#REF!,"AAAAAEtP9+A=")</f>
        <v>#REF!</v>
      </c>
      <c r="HR234" t="e">
        <f>AND(#REF!,"AAAAAEtP9+E=")</f>
        <v>#REF!</v>
      </c>
      <c r="HS234" t="e">
        <f>AND(#REF!,"AAAAAEtP9+I=")</f>
        <v>#REF!</v>
      </c>
      <c r="HT234" t="e">
        <f>AND(#REF!,"AAAAAEtP9+M=")</f>
        <v>#REF!</v>
      </c>
      <c r="HU234" t="e">
        <f>AND(#REF!,"AAAAAEtP9+Q=")</f>
        <v>#REF!</v>
      </c>
      <c r="HV234" t="e">
        <f>AND(#REF!,"AAAAAEtP9+U=")</f>
        <v>#REF!</v>
      </c>
      <c r="HW234" t="e">
        <f>AND(#REF!,"AAAAAEtP9+Y=")</f>
        <v>#REF!</v>
      </c>
      <c r="HX234" t="e">
        <f>AND(#REF!,"AAAAAEtP9+c=")</f>
        <v>#REF!</v>
      </c>
      <c r="HY234" t="e">
        <f>AND(#REF!,"AAAAAEtP9+g=")</f>
        <v>#REF!</v>
      </c>
      <c r="HZ234" t="e">
        <f>AND(#REF!,"AAAAAEtP9+k=")</f>
        <v>#REF!</v>
      </c>
      <c r="IA234" t="e">
        <f>AND(#REF!,"AAAAAEtP9+o=")</f>
        <v>#REF!</v>
      </c>
      <c r="IB234" t="e">
        <f>AND(#REF!,"AAAAAEtP9+s=")</f>
        <v>#REF!</v>
      </c>
      <c r="IC234" t="e">
        <f>AND(#REF!,"AAAAAEtP9+w=")</f>
        <v>#REF!</v>
      </c>
      <c r="ID234" t="e">
        <f>AND(#REF!,"AAAAAEtP9+0=")</f>
        <v>#REF!</v>
      </c>
      <c r="IE234" t="e">
        <f>AND(#REF!,"AAAAAEtP9+4=")</f>
        <v>#REF!</v>
      </c>
      <c r="IF234" t="e">
        <f>AND(#REF!,"AAAAAEtP9+8=")</f>
        <v>#REF!</v>
      </c>
      <c r="IG234" t="e">
        <f>AND(#REF!,"AAAAAEtP9/A=")</f>
        <v>#REF!</v>
      </c>
      <c r="IH234" t="e">
        <f>AND(#REF!,"AAAAAEtP9/E=")</f>
        <v>#REF!</v>
      </c>
      <c r="II234" t="e">
        <f>AND(#REF!,"AAAAAEtP9/I=")</f>
        <v>#REF!</v>
      </c>
      <c r="IJ234" t="e">
        <f>AND(#REF!,"AAAAAEtP9/M=")</f>
        <v>#REF!</v>
      </c>
      <c r="IK234" t="e">
        <f>AND(#REF!,"AAAAAEtP9/Q=")</f>
        <v>#REF!</v>
      </c>
      <c r="IL234" t="e">
        <f>AND(#REF!,"AAAAAEtP9/U=")</f>
        <v>#REF!</v>
      </c>
      <c r="IM234" t="e">
        <f>AND(#REF!,"AAAAAEtP9/Y=")</f>
        <v>#REF!</v>
      </c>
      <c r="IN234" t="e">
        <f>AND(#REF!,"AAAAAEtP9/c=")</f>
        <v>#REF!</v>
      </c>
      <c r="IO234" t="e">
        <f>AND(#REF!,"AAAAAEtP9/g=")</f>
        <v>#REF!</v>
      </c>
      <c r="IP234" t="e">
        <f>AND(#REF!,"AAAAAEtP9/k=")</f>
        <v>#REF!</v>
      </c>
      <c r="IQ234" t="e">
        <f>AND(#REF!,"AAAAAEtP9/o=")</f>
        <v>#REF!</v>
      </c>
      <c r="IR234" t="e">
        <f>AND(#REF!,"AAAAAEtP9/s=")</f>
        <v>#REF!</v>
      </c>
      <c r="IS234" t="e">
        <f>AND(#REF!,"AAAAAEtP9/w=")</f>
        <v>#REF!</v>
      </c>
      <c r="IT234" t="e">
        <f>AND(#REF!,"AAAAAEtP9/0=")</f>
        <v>#REF!</v>
      </c>
      <c r="IU234" t="e">
        <f>AND(#REF!,"AAAAAEtP9/4=")</f>
        <v>#REF!</v>
      </c>
      <c r="IV234" t="e">
        <f>AND(#REF!,"AAAAAEtP9/8=")</f>
        <v>#REF!</v>
      </c>
    </row>
    <row r="235" spans="1:256" x14ac:dyDescent="0.25">
      <c r="A235" t="e">
        <f>AND(#REF!,"AAAAAFvzfwA=")</f>
        <v>#REF!</v>
      </c>
      <c r="B235" t="e">
        <f>IF(#REF!,"AAAAAFvzfwE=",0)</f>
        <v>#REF!</v>
      </c>
      <c r="C235" t="e">
        <f>AND(#REF!,"AAAAAFvzfwI=")</f>
        <v>#REF!</v>
      </c>
      <c r="D235" t="e">
        <f>AND(#REF!,"AAAAAFvzfwM=")</f>
        <v>#REF!</v>
      </c>
      <c r="E235" t="e">
        <f>AND(#REF!,"AAAAAFvzfwQ=")</f>
        <v>#REF!</v>
      </c>
      <c r="F235" t="e">
        <f>AND(#REF!,"AAAAAFvzfwU=")</f>
        <v>#REF!</v>
      </c>
      <c r="G235" t="e">
        <f>AND(#REF!,"AAAAAFvzfwY=")</f>
        <v>#REF!</v>
      </c>
      <c r="H235" t="e">
        <f>AND(#REF!,"AAAAAFvzfwc=")</f>
        <v>#REF!</v>
      </c>
      <c r="I235" t="e">
        <f>AND(#REF!,"AAAAAFvzfwg=")</f>
        <v>#REF!</v>
      </c>
      <c r="J235" t="e">
        <f>AND(#REF!,"AAAAAFvzfwk=")</f>
        <v>#REF!</v>
      </c>
      <c r="K235" t="e">
        <f>AND(#REF!,"AAAAAFvzfwo=")</f>
        <v>#REF!</v>
      </c>
      <c r="L235" t="e">
        <f>AND(#REF!,"AAAAAFvzfws=")</f>
        <v>#REF!</v>
      </c>
      <c r="M235" t="e">
        <f>AND(#REF!,"AAAAAFvzfww=")</f>
        <v>#REF!</v>
      </c>
      <c r="N235" t="e">
        <f>AND(#REF!,"AAAAAFvzfw0=")</f>
        <v>#REF!</v>
      </c>
      <c r="O235" t="e">
        <f>AND(#REF!,"AAAAAFvzfw4=")</f>
        <v>#REF!</v>
      </c>
      <c r="P235" t="e">
        <f>AND(#REF!,"AAAAAFvzfw8=")</f>
        <v>#REF!</v>
      </c>
      <c r="Q235" t="e">
        <f>AND(#REF!,"AAAAAFvzfxA=")</f>
        <v>#REF!</v>
      </c>
      <c r="R235" t="e">
        <f>AND(#REF!,"AAAAAFvzfxE=")</f>
        <v>#REF!</v>
      </c>
      <c r="S235" t="e">
        <f>AND(#REF!,"AAAAAFvzfxI=")</f>
        <v>#REF!</v>
      </c>
      <c r="T235" t="e">
        <f>AND(#REF!,"AAAAAFvzfxM=")</f>
        <v>#REF!</v>
      </c>
      <c r="U235" t="e">
        <f>AND(#REF!,"AAAAAFvzfxQ=")</f>
        <v>#REF!</v>
      </c>
      <c r="V235" t="e">
        <f>AND(#REF!,"AAAAAFvzfxU=")</f>
        <v>#REF!</v>
      </c>
      <c r="W235" t="e">
        <f>AND(#REF!,"AAAAAFvzfxY=")</f>
        <v>#REF!</v>
      </c>
      <c r="X235" t="e">
        <f>AND(#REF!,"AAAAAFvzfxc=")</f>
        <v>#REF!</v>
      </c>
      <c r="Y235" t="e">
        <f>AND(#REF!,"AAAAAFvzfxg=")</f>
        <v>#REF!</v>
      </c>
      <c r="Z235" t="e">
        <f>AND(#REF!,"AAAAAFvzfxk=")</f>
        <v>#REF!</v>
      </c>
      <c r="AA235" t="e">
        <f>AND(#REF!,"AAAAAFvzfxo=")</f>
        <v>#REF!</v>
      </c>
      <c r="AB235" t="e">
        <f>AND(#REF!,"AAAAAFvzfxs=")</f>
        <v>#REF!</v>
      </c>
      <c r="AC235" t="e">
        <f>AND(#REF!,"AAAAAFvzfxw=")</f>
        <v>#REF!</v>
      </c>
      <c r="AD235" t="e">
        <f>AND(#REF!,"AAAAAFvzfx0=")</f>
        <v>#REF!</v>
      </c>
      <c r="AE235" t="e">
        <f>AND(#REF!,"AAAAAFvzfx4=")</f>
        <v>#REF!</v>
      </c>
      <c r="AF235" t="e">
        <f>AND(#REF!,"AAAAAFvzfx8=")</f>
        <v>#REF!</v>
      </c>
      <c r="AG235" t="e">
        <f>AND(#REF!,"AAAAAFvzfyA=")</f>
        <v>#REF!</v>
      </c>
      <c r="AH235" t="e">
        <f>AND(#REF!,"AAAAAFvzfyE=")</f>
        <v>#REF!</v>
      </c>
      <c r="AI235" t="e">
        <f>AND(#REF!,"AAAAAFvzfyI=")</f>
        <v>#REF!</v>
      </c>
      <c r="AJ235" t="e">
        <f>AND(#REF!,"AAAAAFvzfyM=")</f>
        <v>#REF!</v>
      </c>
      <c r="AK235" t="e">
        <f>AND(#REF!,"AAAAAFvzfyQ=")</f>
        <v>#REF!</v>
      </c>
      <c r="AL235" t="e">
        <f>AND(#REF!,"AAAAAFvzfyU=")</f>
        <v>#REF!</v>
      </c>
      <c r="AM235" t="e">
        <f>AND(#REF!,"AAAAAFvzfyY=")</f>
        <v>#REF!</v>
      </c>
      <c r="AN235" t="e">
        <f>AND(#REF!,"AAAAAFvzfyc=")</f>
        <v>#REF!</v>
      </c>
      <c r="AO235" t="e">
        <f>AND(#REF!,"AAAAAFvzfyg=")</f>
        <v>#REF!</v>
      </c>
      <c r="AP235" t="e">
        <f>AND(#REF!,"AAAAAFvzfyk=")</f>
        <v>#REF!</v>
      </c>
      <c r="AQ235" t="e">
        <f>AND(#REF!,"AAAAAFvzfyo=")</f>
        <v>#REF!</v>
      </c>
      <c r="AR235" t="e">
        <f>AND(#REF!,"AAAAAFvzfys=")</f>
        <v>#REF!</v>
      </c>
      <c r="AS235" t="e">
        <f>AND(#REF!,"AAAAAFvzfyw=")</f>
        <v>#REF!</v>
      </c>
      <c r="AT235" t="e">
        <f>AND(#REF!,"AAAAAFvzfy0=")</f>
        <v>#REF!</v>
      </c>
      <c r="AU235" t="e">
        <f>AND(#REF!,"AAAAAFvzfy4=")</f>
        <v>#REF!</v>
      </c>
      <c r="AV235" t="e">
        <f>AND(#REF!,"AAAAAFvzfy8=")</f>
        <v>#REF!</v>
      </c>
      <c r="AW235" t="e">
        <f>AND(#REF!,"AAAAAFvzfzA=")</f>
        <v>#REF!</v>
      </c>
      <c r="AX235" t="e">
        <f>AND(#REF!,"AAAAAFvzfzE=")</f>
        <v>#REF!</v>
      </c>
      <c r="AY235" t="e">
        <f>AND(#REF!,"AAAAAFvzfzI=")</f>
        <v>#REF!</v>
      </c>
      <c r="AZ235" t="e">
        <f>AND(#REF!,"AAAAAFvzfzM=")</f>
        <v>#REF!</v>
      </c>
      <c r="BA235" t="e">
        <f>AND(#REF!,"AAAAAFvzfzQ=")</f>
        <v>#REF!</v>
      </c>
      <c r="BB235" t="e">
        <f>AND(#REF!,"AAAAAFvzfzU=")</f>
        <v>#REF!</v>
      </c>
      <c r="BC235" t="e">
        <f>AND(#REF!,"AAAAAFvzfzY=")</f>
        <v>#REF!</v>
      </c>
      <c r="BD235" t="e">
        <f>AND(#REF!,"AAAAAFvzfzc=")</f>
        <v>#REF!</v>
      </c>
      <c r="BE235" t="e">
        <f>AND(#REF!,"AAAAAFvzfzg=")</f>
        <v>#REF!</v>
      </c>
      <c r="BF235" t="e">
        <f>AND(#REF!,"AAAAAFvzfzk=")</f>
        <v>#REF!</v>
      </c>
      <c r="BG235" t="e">
        <f>AND(#REF!,"AAAAAFvzfzo=")</f>
        <v>#REF!</v>
      </c>
      <c r="BH235" t="e">
        <f>AND(#REF!,"AAAAAFvzfzs=")</f>
        <v>#REF!</v>
      </c>
      <c r="BI235" t="e">
        <f>AND(#REF!,"AAAAAFvzfzw=")</f>
        <v>#REF!</v>
      </c>
      <c r="BJ235" t="e">
        <f>AND(#REF!,"AAAAAFvzfz0=")</f>
        <v>#REF!</v>
      </c>
      <c r="BK235" t="e">
        <f>AND(#REF!,"AAAAAFvzfz4=")</f>
        <v>#REF!</v>
      </c>
      <c r="BL235" t="e">
        <f>AND(#REF!,"AAAAAFvzfz8=")</f>
        <v>#REF!</v>
      </c>
      <c r="BM235" t="e">
        <f>AND(#REF!,"AAAAAFvzf0A=")</f>
        <v>#REF!</v>
      </c>
      <c r="BN235" t="e">
        <f>AND(#REF!,"AAAAAFvzf0E=")</f>
        <v>#REF!</v>
      </c>
      <c r="BO235" t="e">
        <f>AND(#REF!,"AAAAAFvzf0I=")</f>
        <v>#REF!</v>
      </c>
      <c r="BP235" t="e">
        <f>AND(#REF!,"AAAAAFvzf0M=")</f>
        <v>#REF!</v>
      </c>
      <c r="BQ235" t="e">
        <f>AND(#REF!,"AAAAAFvzf0Q=")</f>
        <v>#REF!</v>
      </c>
      <c r="BR235" t="e">
        <f>AND(#REF!,"AAAAAFvzf0U=")</f>
        <v>#REF!</v>
      </c>
      <c r="BS235" t="e">
        <f>AND(#REF!,"AAAAAFvzf0Y=")</f>
        <v>#REF!</v>
      </c>
      <c r="BT235" t="e">
        <f>AND(#REF!,"AAAAAFvzf0c=")</f>
        <v>#REF!</v>
      </c>
      <c r="BU235" t="e">
        <f>AND(#REF!,"AAAAAFvzf0g=")</f>
        <v>#REF!</v>
      </c>
      <c r="BV235" t="e">
        <f>AND(#REF!,"AAAAAFvzf0k=")</f>
        <v>#REF!</v>
      </c>
      <c r="BW235" t="e">
        <f>AND(#REF!,"AAAAAFvzf0o=")</f>
        <v>#REF!</v>
      </c>
      <c r="BX235" t="e">
        <f>AND(#REF!,"AAAAAFvzf0s=")</f>
        <v>#REF!</v>
      </c>
      <c r="BY235" t="e">
        <f>AND(#REF!,"AAAAAFvzf0w=")</f>
        <v>#REF!</v>
      </c>
      <c r="BZ235" t="e">
        <f>AND(#REF!,"AAAAAFvzf00=")</f>
        <v>#REF!</v>
      </c>
      <c r="CA235" t="e">
        <f>AND(#REF!,"AAAAAFvzf04=")</f>
        <v>#REF!</v>
      </c>
      <c r="CB235" t="e">
        <f>AND(#REF!,"AAAAAFvzf08=")</f>
        <v>#REF!</v>
      </c>
      <c r="CC235" t="e">
        <f>AND(#REF!,"AAAAAFvzf1A=")</f>
        <v>#REF!</v>
      </c>
      <c r="CD235" t="e">
        <f>AND(#REF!,"AAAAAFvzf1E=")</f>
        <v>#REF!</v>
      </c>
      <c r="CE235" t="e">
        <f>AND(#REF!,"AAAAAFvzf1I=")</f>
        <v>#REF!</v>
      </c>
      <c r="CF235" t="e">
        <f>AND(#REF!,"AAAAAFvzf1M=")</f>
        <v>#REF!</v>
      </c>
      <c r="CG235" t="e">
        <f>AND(#REF!,"AAAAAFvzf1Q=")</f>
        <v>#REF!</v>
      </c>
      <c r="CH235" t="e">
        <f>AND(#REF!,"AAAAAFvzf1U=")</f>
        <v>#REF!</v>
      </c>
      <c r="CI235" t="e">
        <f>AND(#REF!,"AAAAAFvzf1Y=")</f>
        <v>#REF!</v>
      </c>
      <c r="CJ235" t="e">
        <f>AND(#REF!,"AAAAAFvzf1c=")</f>
        <v>#REF!</v>
      </c>
      <c r="CK235" t="e">
        <f>AND(#REF!,"AAAAAFvzf1g=")</f>
        <v>#REF!</v>
      </c>
      <c r="CL235" t="e">
        <f>AND(#REF!,"AAAAAFvzf1k=")</f>
        <v>#REF!</v>
      </c>
      <c r="CM235" t="e">
        <f>AND(#REF!,"AAAAAFvzf1o=")</f>
        <v>#REF!</v>
      </c>
      <c r="CN235" t="e">
        <f>AND(#REF!,"AAAAAFvzf1s=")</f>
        <v>#REF!</v>
      </c>
      <c r="CO235" t="e">
        <f>AND(#REF!,"AAAAAFvzf1w=")</f>
        <v>#REF!</v>
      </c>
      <c r="CP235" t="e">
        <f>AND(#REF!,"AAAAAFvzf10=")</f>
        <v>#REF!</v>
      </c>
      <c r="CQ235" t="e">
        <f>AND(#REF!,"AAAAAFvzf14=")</f>
        <v>#REF!</v>
      </c>
      <c r="CR235" t="e">
        <f>AND(#REF!,"AAAAAFvzf18=")</f>
        <v>#REF!</v>
      </c>
      <c r="CS235" t="e">
        <f>AND(#REF!,"AAAAAFvzf2A=")</f>
        <v>#REF!</v>
      </c>
      <c r="CT235" t="e">
        <f>AND(#REF!,"AAAAAFvzf2E=")</f>
        <v>#REF!</v>
      </c>
      <c r="CU235" t="e">
        <f>AND(#REF!,"AAAAAFvzf2I=")</f>
        <v>#REF!</v>
      </c>
      <c r="CV235" t="e">
        <f>AND(#REF!,"AAAAAFvzf2M=")</f>
        <v>#REF!</v>
      </c>
      <c r="CW235" t="e">
        <f>AND(#REF!,"AAAAAFvzf2Q=")</f>
        <v>#REF!</v>
      </c>
      <c r="CX235" t="e">
        <f>AND(#REF!,"AAAAAFvzf2U=")</f>
        <v>#REF!</v>
      </c>
      <c r="CY235" t="e">
        <f>AND(#REF!,"AAAAAFvzf2Y=")</f>
        <v>#REF!</v>
      </c>
      <c r="CZ235" t="e">
        <f>AND(#REF!,"AAAAAFvzf2c=")</f>
        <v>#REF!</v>
      </c>
      <c r="DA235" t="e">
        <f>AND(#REF!,"AAAAAFvzf2g=")</f>
        <v>#REF!</v>
      </c>
      <c r="DB235" t="e">
        <f>AND(#REF!,"AAAAAFvzf2k=")</f>
        <v>#REF!</v>
      </c>
      <c r="DC235" t="e">
        <f>AND(#REF!,"AAAAAFvzf2o=")</f>
        <v>#REF!</v>
      </c>
      <c r="DD235" t="e">
        <f>AND(#REF!,"AAAAAFvzf2s=")</f>
        <v>#REF!</v>
      </c>
      <c r="DE235" t="e">
        <f>AND(#REF!,"AAAAAFvzf2w=")</f>
        <v>#REF!</v>
      </c>
      <c r="DF235" t="e">
        <f>AND(#REF!,"AAAAAFvzf20=")</f>
        <v>#REF!</v>
      </c>
      <c r="DG235" t="e">
        <f>AND(#REF!,"AAAAAFvzf24=")</f>
        <v>#REF!</v>
      </c>
      <c r="DH235" t="e">
        <f>AND(#REF!,"AAAAAFvzf28=")</f>
        <v>#REF!</v>
      </c>
      <c r="DI235" t="e">
        <f>AND(#REF!,"AAAAAFvzf3A=")</f>
        <v>#REF!</v>
      </c>
      <c r="DJ235" t="e">
        <f>AND(#REF!,"AAAAAFvzf3E=")</f>
        <v>#REF!</v>
      </c>
      <c r="DK235" t="e">
        <f>AND(#REF!,"AAAAAFvzf3I=")</f>
        <v>#REF!</v>
      </c>
      <c r="DL235" t="e">
        <f>AND(#REF!,"AAAAAFvzf3M=")</f>
        <v>#REF!</v>
      </c>
      <c r="DM235" t="e">
        <f>AND(#REF!,"AAAAAFvzf3Q=")</f>
        <v>#REF!</v>
      </c>
      <c r="DN235" t="e">
        <f>AND(#REF!,"AAAAAFvzf3U=")</f>
        <v>#REF!</v>
      </c>
      <c r="DO235" t="e">
        <f>AND(#REF!,"AAAAAFvzf3Y=")</f>
        <v>#REF!</v>
      </c>
      <c r="DP235" t="e">
        <f>AND(#REF!,"AAAAAFvzf3c=")</f>
        <v>#REF!</v>
      </c>
      <c r="DQ235" t="e">
        <f>AND(#REF!,"AAAAAFvzf3g=")</f>
        <v>#REF!</v>
      </c>
      <c r="DR235" t="e">
        <f>AND(#REF!,"AAAAAFvzf3k=")</f>
        <v>#REF!</v>
      </c>
      <c r="DS235" t="e">
        <f>AND(#REF!,"AAAAAFvzf3o=")</f>
        <v>#REF!</v>
      </c>
      <c r="DT235" t="e">
        <f>AND(#REF!,"AAAAAFvzf3s=")</f>
        <v>#REF!</v>
      </c>
      <c r="DU235" t="e">
        <f>AND(#REF!,"AAAAAFvzf3w=")</f>
        <v>#REF!</v>
      </c>
      <c r="DV235" t="e">
        <f>AND(#REF!,"AAAAAFvzf30=")</f>
        <v>#REF!</v>
      </c>
      <c r="DW235" t="e">
        <f>AND(#REF!,"AAAAAFvzf34=")</f>
        <v>#REF!</v>
      </c>
      <c r="DX235" t="e">
        <f>AND(#REF!,"AAAAAFvzf38=")</f>
        <v>#REF!</v>
      </c>
      <c r="DY235" t="e">
        <f>AND(#REF!,"AAAAAFvzf4A=")</f>
        <v>#REF!</v>
      </c>
      <c r="DZ235" t="e">
        <f>AND(#REF!,"AAAAAFvzf4E=")</f>
        <v>#REF!</v>
      </c>
      <c r="EA235" t="e">
        <f>AND(#REF!,"AAAAAFvzf4I=")</f>
        <v>#REF!</v>
      </c>
      <c r="EB235" t="e">
        <f>AND(#REF!,"AAAAAFvzf4M=")</f>
        <v>#REF!</v>
      </c>
      <c r="EC235" t="e">
        <f>AND(#REF!,"AAAAAFvzf4Q=")</f>
        <v>#REF!</v>
      </c>
      <c r="ED235" t="e">
        <f>AND(#REF!,"AAAAAFvzf4U=")</f>
        <v>#REF!</v>
      </c>
      <c r="EE235" t="e">
        <f>AND(#REF!,"AAAAAFvzf4Y=")</f>
        <v>#REF!</v>
      </c>
      <c r="EF235" t="e">
        <f>AND(#REF!,"AAAAAFvzf4c=")</f>
        <v>#REF!</v>
      </c>
      <c r="EG235" t="e">
        <f>AND(#REF!,"AAAAAFvzf4g=")</f>
        <v>#REF!</v>
      </c>
      <c r="EH235" t="e">
        <f>AND(#REF!,"AAAAAFvzf4k=")</f>
        <v>#REF!</v>
      </c>
      <c r="EI235" t="e">
        <f>AND(#REF!,"AAAAAFvzf4o=")</f>
        <v>#REF!</v>
      </c>
      <c r="EJ235" t="e">
        <f>AND(#REF!,"AAAAAFvzf4s=")</f>
        <v>#REF!</v>
      </c>
      <c r="EK235" t="e">
        <f>AND(#REF!,"AAAAAFvzf4w=")</f>
        <v>#REF!</v>
      </c>
      <c r="EL235" t="e">
        <f>AND(#REF!,"AAAAAFvzf40=")</f>
        <v>#REF!</v>
      </c>
      <c r="EM235" t="e">
        <f>AND(#REF!,"AAAAAFvzf44=")</f>
        <v>#REF!</v>
      </c>
      <c r="EN235" t="e">
        <f>AND(#REF!,"AAAAAFvzf48=")</f>
        <v>#REF!</v>
      </c>
      <c r="EO235" t="e">
        <f>AND(#REF!,"AAAAAFvzf5A=")</f>
        <v>#REF!</v>
      </c>
      <c r="EP235" t="e">
        <f>AND(#REF!,"AAAAAFvzf5E=")</f>
        <v>#REF!</v>
      </c>
      <c r="EQ235" t="e">
        <f>AND(#REF!,"AAAAAFvzf5I=")</f>
        <v>#REF!</v>
      </c>
      <c r="ER235" t="e">
        <f>AND(#REF!,"AAAAAFvzf5M=")</f>
        <v>#REF!</v>
      </c>
      <c r="ES235" t="e">
        <f>AND(#REF!,"AAAAAFvzf5Q=")</f>
        <v>#REF!</v>
      </c>
      <c r="ET235" t="e">
        <f>AND(#REF!,"AAAAAFvzf5U=")</f>
        <v>#REF!</v>
      </c>
      <c r="EU235" t="e">
        <f>AND(#REF!,"AAAAAFvzf5Y=")</f>
        <v>#REF!</v>
      </c>
      <c r="EV235" t="e">
        <f>AND(#REF!,"AAAAAFvzf5c=")</f>
        <v>#REF!</v>
      </c>
      <c r="EW235" t="e">
        <f>AND(#REF!,"AAAAAFvzf5g=")</f>
        <v>#REF!</v>
      </c>
      <c r="EX235" t="e">
        <f>AND(#REF!,"AAAAAFvzf5k=")</f>
        <v>#REF!</v>
      </c>
      <c r="EY235" t="e">
        <f>AND(#REF!,"AAAAAFvzf5o=")</f>
        <v>#REF!</v>
      </c>
      <c r="EZ235" t="e">
        <f>AND(#REF!,"AAAAAFvzf5s=")</f>
        <v>#REF!</v>
      </c>
      <c r="FA235" t="e">
        <f>AND(#REF!,"AAAAAFvzf5w=")</f>
        <v>#REF!</v>
      </c>
      <c r="FB235" t="e">
        <f>AND(#REF!,"AAAAAFvzf50=")</f>
        <v>#REF!</v>
      </c>
      <c r="FC235" t="e">
        <f>AND(#REF!,"AAAAAFvzf54=")</f>
        <v>#REF!</v>
      </c>
      <c r="FD235" t="e">
        <f>AND(#REF!,"AAAAAFvzf58=")</f>
        <v>#REF!</v>
      </c>
      <c r="FE235" t="e">
        <f>AND(#REF!,"AAAAAFvzf6A=")</f>
        <v>#REF!</v>
      </c>
      <c r="FF235" t="e">
        <f>AND(#REF!,"AAAAAFvzf6E=")</f>
        <v>#REF!</v>
      </c>
      <c r="FG235" t="e">
        <f>AND(#REF!,"AAAAAFvzf6I=")</f>
        <v>#REF!</v>
      </c>
      <c r="FH235" t="e">
        <f>AND(#REF!,"AAAAAFvzf6M=")</f>
        <v>#REF!</v>
      </c>
      <c r="FI235" t="e">
        <f>AND(#REF!,"AAAAAFvzf6Q=")</f>
        <v>#REF!</v>
      </c>
      <c r="FJ235" t="e">
        <f>AND(#REF!,"AAAAAFvzf6U=")</f>
        <v>#REF!</v>
      </c>
      <c r="FK235" t="e">
        <f>AND(#REF!,"AAAAAFvzf6Y=")</f>
        <v>#REF!</v>
      </c>
      <c r="FL235" t="e">
        <f>AND(#REF!,"AAAAAFvzf6c=")</f>
        <v>#REF!</v>
      </c>
      <c r="FM235" t="e">
        <f>AND(#REF!,"AAAAAFvzf6g=")</f>
        <v>#REF!</v>
      </c>
      <c r="FN235" t="e">
        <f>AND(#REF!,"AAAAAFvzf6k=")</f>
        <v>#REF!</v>
      </c>
      <c r="FO235" t="e">
        <f>AND(#REF!,"AAAAAFvzf6o=")</f>
        <v>#REF!</v>
      </c>
      <c r="FP235" t="e">
        <f>AND(#REF!,"AAAAAFvzf6s=")</f>
        <v>#REF!</v>
      </c>
      <c r="FQ235" t="e">
        <f>AND(#REF!,"AAAAAFvzf6w=")</f>
        <v>#REF!</v>
      </c>
      <c r="FR235" t="e">
        <f>AND(#REF!,"AAAAAFvzf60=")</f>
        <v>#REF!</v>
      </c>
      <c r="FS235" t="e">
        <f>AND(#REF!,"AAAAAFvzf64=")</f>
        <v>#REF!</v>
      </c>
      <c r="FT235" t="e">
        <f>AND(#REF!,"AAAAAFvzf68=")</f>
        <v>#REF!</v>
      </c>
      <c r="FU235" t="e">
        <f>AND(#REF!,"AAAAAFvzf7A=")</f>
        <v>#REF!</v>
      </c>
      <c r="FV235" t="e">
        <f>AND(#REF!,"AAAAAFvzf7E=")</f>
        <v>#REF!</v>
      </c>
      <c r="FW235" t="e">
        <f>AND(#REF!,"AAAAAFvzf7I=")</f>
        <v>#REF!</v>
      </c>
      <c r="FX235" t="e">
        <f>AND(#REF!,"AAAAAFvzf7M=")</f>
        <v>#REF!</v>
      </c>
      <c r="FY235" t="e">
        <f>AND(#REF!,"AAAAAFvzf7Q=")</f>
        <v>#REF!</v>
      </c>
      <c r="FZ235" t="e">
        <f>AND(#REF!,"AAAAAFvzf7U=")</f>
        <v>#REF!</v>
      </c>
      <c r="GA235" t="e">
        <f>AND(#REF!,"AAAAAFvzf7Y=")</f>
        <v>#REF!</v>
      </c>
      <c r="GB235" t="e">
        <f>AND(#REF!,"AAAAAFvzf7c=")</f>
        <v>#REF!</v>
      </c>
      <c r="GC235" t="e">
        <f>AND(#REF!,"AAAAAFvzf7g=")</f>
        <v>#REF!</v>
      </c>
      <c r="GD235" t="e">
        <f>AND(#REF!,"AAAAAFvzf7k=")</f>
        <v>#REF!</v>
      </c>
      <c r="GE235" t="e">
        <f>AND(#REF!,"AAAAAFvzf7o=")</f>
        <v>#REF!</v>
      </c>
      <c r="GF235" t="e">
        <f>AND(#REF!,"AAAAAFvzf7s=")</f>
        <v>#REF!</v>
      </c>
      <c r="GG235" t="e">
        <f>AND(#REF!,"AAAAAFvzf7w=")</f>
        <v>#REF!</v>
      </c>
      <c r="GH235" t="e">
        <f>AND(#REF!,"AAAAAFvzf70=")</f>
        <v>#REF!</v>
      </c>
      <c r="GI235" t="e">
        <f>IF(#REF!,"AAAAAFvzf74=",0)</f>
        <v>#REF!</v>
      </c>
      <c r="GJ235" t="e">
        <f>AND(#REF!,"AAAAAFvzf78=")</f>
        <v>#REF!</v>
      </c>
      <c r="GK235" t="e">
        <f>AND(#REF!,"AAAAAFvzf8A=")</f>
        <v>#REF!</v>
      </c>
      <c r="GL235" t="e">
        <f>AND(#REF!,"AAAAAFvzf8E=")</f>
        <v>#REF!</v>
      </c>
      <c r="GM235" t="e">
        <f>AND(#REF!,"AAAAAFvzf8I=")</f>
        <v>#REF!</v>
      </c>
      <c r="GN235" t="e">
        <f>AND(#REF!,"AAAAAFvzf8M=")</f>
        <v>#REF!</v>
      </c>
      <c r="GO235" t="e">
        <f>AND(#REF!,"AAAAAFvzf8Q=")</f>
        <v>#REF!</v>
      </c>
      <c r="GP235" t="e">
        <f>AND(#REF!,"AAAAAFvzf8U=")</f>
        <v>#REF!</v>
      </c>
      <c r="GQ235" t="e">
        <f>AND(#REF!,"AAAAAFvzf8Y=")</f>
        <v>#REF!</v>
      </c>
      <c r="GR235" t="e">
        <f>AND(#REF!,"AAAAAFvzf8c=")</f>
        <v>#REF!</v>
      </c>
      <c r="GS235" t="e">
        <f>AND(#REF!,"AAAAAFvzf8g=")</f>
        <v>#REF!</v>
      </c>
      <c r="GT235" t="e">
        <f>AND(#REF!,"AAAAAFvzf8k=")</f>
        <v>#REF!</v>
      </c>
      <c r="GU235" t="e">
        <f>AND(#REF!,"AAAAAFvzf8o=")</f>
        <v>#REF!</v>
      </c>
      <c r="GV235" t="e">
        <f>AND(#REF!,"AAAAAFvzf8s=")</f>
        <v>#REF!</v>
      </c>
      <c r="GW235" t="e">
        <f>AND(#REF!,"AAAAAFvzf8w=")</f>
        <v>#REF!</v>
      </c>
      <c r="GX235" t="e">
        <f>AND(#REF!,"AAAAAFvzf80=")</f>
        <v>#REF!</v>
      </c>
      <c r="GY235" t="e">
        <f>AND(#REF!,"AAAAAFvzf84=")</f>
        <v>#REF!</v>
      </c>
      <c r="GZ235" t="e">
        <f>AND(#REF!,"AAAAAFvzf88=")</f>
        <v>#REF!</v>
      </c>
      <c r="HA235" t="e">
        <f>AND(#REF!,"AAAAAFvzf9A=")</f>
        <v>#REF!</v>
      </c>
      <c r="HB235" t="e">
        <f>AND(#REF!,"AAAAAFvzf9E=")</f>
        <v>#REF!</v>
      </c>
      <c r="HC235" t="e">
        <f>AND(#REF!,"AAAAAFvzf9I=")</f>
        <v>#REF!</v>
      </c>
      <c r="HD235" t="e">
        <f>AND(#REF!,"AAAAAFvzf9M=")</f>
        <v>#REF!</v>
      </c>
      <c r="HE235" t="e">
        <f>AND(#REF!,"AAAAAFvzf9Q=")</f>
        <v>#REF!</v>
      </c>
      <c r="HF235" t="e">
        <f>AND(#REF!,"AAAAAFvzf9U=")</f>
        <v>#REF!</v>
      </c>
      <c r="HG235" t="e">
        <f>AND(#REF!,"AAAAAFvzf9Y=")</f>
        <v>#REF!</v>
      </c>
      <c r="HH235" t="e">
        <f>AND(#REF!,"AAAAAFvzf9c=")</f>
        <v>#REF!</v>
      </c>
      <c r="HI235" t="e">
        <f>AND(#REF!,"AAAAAFvzf9g=")</f>
        <v>#REF!</v>
      </c>
      <c r="HJ235" t="e">
        <f>AND(#REF!,"AAAAAFvzf9k=")</f>
        <v>#REF!</v>
      </c>
      <c r="HK235" t="e">
        <f>AND(#REF!,"AAAAAFvzf9o=")</f>
        <v>#REF!</v>
      </c>
      <c r="HL235" t="e">
        <f>AND(#REF!,"AAAAAFvzf9s=")</f>
        <v>#REF!</v>
      </c>
      <c r="HM235" t="e">
        <f>AND(#REF!,"AAAAAFvzf9w=")</f>
        <v>#REF!</v>
      </c>
      <c r="HN235" t="e">
        <f>AND(#REF!,"AAAAAFvzf90=")</f>
        <v>#REF!</v>
      </c>
      <c r="HO235" t="e">
        <f>AND(#REF!,"AAAAAFvzf94=")</f>
        <v>#REF!</v>
      </c>
      <c r="HP235" t="e">
        <f>AND(#REF!,"AAAAAFvzf98=")</f>
        <v>#REF!</v>
      </c>
      <c r="HQ235" t="e">
        <f>AND(#REF!,"AAAAAFvzf+A=")</f>
        <v>#REF!</v>
      </c>
      <c r="HR235" t="e">
        <f>AND(#REF!,"AAAAAFvzf+E=")</f>
        <v>#REF!</v>
      </c>
      <c r="HS235" t="e">
        <f>AND(#REF!,"AAAAAFvzf+I=")</f>
        <v>#REF!</v>
      </c>
      <c r="HT235" t="e">
        <f>AND(#REF!,"AAAAAFvzf+M=")</f>
        <v>#REF!</v>
      </c>
      <c r="HU235" t="e">
        <f>AND(#REF!,"AAAAAFvzf+Q=")</f>
        <v>#REF!</v>
      </c>
      <c r="HV235" t="e">
        <f>AND(#REF!,"AAAAAFvzf+U=")</f>
        <v>#REF!</v>
      </c>
      <c r="HW235" t="e">
        <f>AND(#REF!,"AAAAAFvzf+Y=")</f>
        <v>#REF!</v>
      </c>
      <c r="HX235" t="e">
        <f>AND(#REF!,"AAAAAFvzf+c=")</f>
        <v>#REF!</v>
      </c>
      <c r="HY235" t="e">
        <f>AND(#REF!,"AAAAAFvzf+g=")</f>
        <v>#REF!</v>
      </c>
      <c r="HZ235" t="e">
        <f>AND(#REF!,"AAAAAFvzf+k=")</f>
        <v>#REF!</v>
      </c>
      <c r="IA235" t="e">
        <f>AND(#REF!,"AAAAAFvzf+o=")</f>
        <v>#REF!</v>
      </c>
      <c r="IB235" t="e">
        <f>AND(#REF!,"AAAAAFvzf+s=")</f>
        <v>#REF!</v>
      </c>
      <c r="IC235" t="e">
        <f>AND(#REF!,"AAAAAFvzf+w=")</f>
        <v>#REF!</v>
      </c>
      <c r="ID235" t="e">
        <f>AND(#REF!,"AAAAAFvzf+0=")</f>
        <v>#REF!</v>
      </c>
      <c r="IE235" t="e">
        <f>AND(#REF!,"AAAAAFvzf+4=")</f>
        <v>#REF!</v>
      </c>
      <c r="IF235" t="e">
        <f>AND(#REF!,"AAAAAFvzf+8=")</f>
        <v>#REF!</v>
      </c>
      <c r="IG235" t="e">
        <f>AND(#REF!,"AAAAAFvzf/A=")</f>
        <v>#REF!</v>
      </c>
      <c r="IH235" t="e">
        <f>AND(#REF!,"AAAAAFvzf/E=")</f>
        <v>#REF!</v>
      </c>
      <c r="II235" t="e">
        <f>AND(#REF!,"AAAAAFvzf/I=")</f>
        <v>#REF!</v>
      </c>
      <c r="IJ235" t="e">
        <f>AND(#REF!,"AAAAAFvzf/M=")</f>
        <v>#REF!</v>
      </c>
      <c r="IK235" t="e">
        <f>AND(#REF!,"AAAAAFvzf/Q=")</f>
        <v>#REF!</v>
      </c>
      <c r="IL235" t="e">
        <f>AND(#REF!,"AAAAAFvzf/U=")</f>
        <v>#REF!</v>
      </c>
      <c r="IM235" t="e">
        <f>AND(#REF!,"AAAAAFvzf/Y=")</f>
        <v>#REF!</v>
      </c>
      <c r="IN235" t="e">
        <f>AND(#REF!,"AAAAAFvzf/c=")</f>
        <v>#REF!</v>
      </c>
      <c r="IO235" t="e">
        <f>AND(#REF!,"AAAAAFvzf/g=")</f>
        <v>#REF!</v>
      </c>
      <c r="IP235" t="e">
        <f>AND(#REF!,"AAAAAFvzf/k=")</f>
        <v>#REF!</v>
      </c>
      <c r="IQ235" t="e">
        <f>AND(#REF!,"AAAAAFvzf/o=")</f>
        <v>#REF!</v>
      </c>
      <c r="IR235" t="e">
        <f>AND(#REF!,"AAAAAFvzf/s=")</f>
        <v>#REF!</v>
      </c>
      <c r="IS235" t="e">
        <f>AND(#REF!,"AAAAAFvzf/w=")</f>
        <v>#REF!</v>
      </c>
      <c r="IT235" t="e">
        <f>AND(#REF!,"AAAAAFvzf/0=")</f>
        <v>#REF!</v>
      </c>
      <c r="IU235" t="e">
        <f>AND(#REF!,"AAAAAFvzf/4=")</f>
        <v>#REF!</v>
      </c>
      <c r="IV235" t="e">
        <f>AND(#REF!,"AAAAAFvzf/8=")</f>
        <v>#REF!</v>
      </c>
    </row>
    <row r="236" spans="1:256" x14ac:dyDescent="0.25">
      <c r="A236" t="e">
        <f>AND(#REF!,"AAAAAF+7+gA=")</f>
        <v>#REF!</v>
      </c>
      <c r="B236" t="e">
        <f>AND(#REF!,"AAAAAF+7+gE=")</f>
        <v>#REF!</v>
      </c>
      <c r="C236" t="e">
        <f>AND(#REF!,"AAAAAF+7+gI=")</f>
        <v>#REF!</v>
      </c>
      <c r="D236" t="e">
        <f>AND(#REF!,"AAAAAF+7+gM=")</f>
        <v>#REF!</v>
      </c>
      <c r="E236" t="e">
        <f>AND(#REF!,"AAAAAF+7+gQ=")</f>
        <v>#REF!</v>
      </c>
      <c r="F236" t="e">
        <f>AND(#REF!,"AAAAAF+7+gU=")</f>
        <v>#REF!</v>
      </c>
      <c r="G236" t="e">
        <f>AND(#REF!,"AAAAAF+7+gY=")</f>
        <v>#REF!</v>
      </c>
      <c r="H236" t="e">
        <f>AND(#REF!,"AAAAAF+7+gc=")</f>
        <v>#REF!</v>
      </c>
      <c r="I236" t="e">
        <f>AND(#REF!,"AAAAAF+7+gg=")</f>
        <v>#REF!</v>
      </c>
      <c r="J236" t="e">
        <f>AND(#REF!,"AAAAAF+7+gk=")</f>
        <v>#REF!</v>
      </c>
      <c r="K236" t="e">
        <f>AND(#REF!,"AAAAAF+7+go=")</f>
        <v>#REF!</v>
      </c>
      <c r="L236" t="e">
        <f>AND(#REF!,"AAAAAF+7+gs=")</f>
        <v>#REF!</v>
      </c>
      <c r="M236" t="e">
        <f>AND(#REF!,"AAAAAF+7+gw=")</f>
        <v>#REF!</v>
      </c>
      <c r="N236" t="e">
        <f>AND(#REF!,"AAAAAF+7+g0=")</f>
        <v>#REF!</v>
      </c>
      <c r="O236" t="e">
        <f>AND(#REF!,"AAAAAF+7+g4=")</f>
        <v>#REF!</v>
      </c>
      <c r="P236" t="e">
        <f>AND(#REF!,"AAAAAF+7+g8=")</f>
        <v>#REF!</v>
      </c>
      <c r="Q236" t="e">
        <f>AND(#REF!,"AAAAAF+7+hA=")</f>
        <v>#REF!</v>
      </c>
      <c r="R236" t="e">
        <f>AND(#REF!,"AAAAAF+7+hE=")</f>
        <v>#REF!</v>
      </c>
      <c r="S236" t="e">
        <f>AND(#REF!,"AAAAAF+7+hI=")</f>
        <v>#REF!</v>
      </c>
      <c r="T236" t="e">
        <f>AND(#REF!,"AAAAAF+7+hM=")</f>
        <v>#REF!</v>
      </c>
      <c r="U236" t="e">
        <f>AND(#REF!,"AAAAAF+7+hQ=")</f>
        <v>#REF!</v>
      </c>
      <c r="V236" t="e">
        <f>AND(#REF!,"AAAAAF+7+hU=")</f>
        <v>#REF!</v>
      </c>
      <c r="W236" t="e">
        <f>AND(#REF!,"AAAAAF+7+hY=")</f>
        <v>#REF!</v>
      </c>
      <c r="X236" t="e">
        <f>AND(#REF!,"AAAAAF+7+hc=")</f>
        <v>#REF!</v>
      </c>
      <c r="Y236" t="e">
        <f>AND(#REF!,"AAAAAF+7+hg=")</f>
        <v>#REF!</v>
      </c>
      <c r="Z236" t="e">
        <f>AND(#REF!,"AAAAAF+7+hk=")</f>
        <v>#REF!</v>
      </c>
      <c r="AA236" t="e">
        <f>AND(#REF!,"AAAAAF+7+ho=")</f>
        <v>#REF!</v>
      </c>
      <c r="AB236" t="e">
        <f>AND(#REF!,"AAAAAF+7+hs=")</f>
        <v>#REF!</v>
      </c>
      <c r="AC236" t="e">
        <f>AND(#REF!,"AAAAAF+7+hw=")</f>
        <v>#REF!</v>
      </c>
      <c r="AD236" t="e">
        <f>AND(#REF!,"AAAAAF+7+h0=")</f>
        <v>#REF!</v>
      </c>
      <c r="AE236" t="e">
        <f>AND(#REF!,"AAAAAF+7+h4=")</f>
        <v>#REF!</v>
      </c>
      <c r="AF236" t="e">
        <f>AND(#REF!,"AAAAAF+7+h8=")</f>
        <v>#REF!</v>
      </c>
      <c r="AG236" t="e">
        <f>AND(#REF!,"AAAAAF+7+iA=")</f>
        <v>#REF!</v>
      </c>
      <c r="AH236" t="e">
        <f>AND(#REF!,"AAAAAF+7+iE=")</f>
        <v>#REF!</v>
      </c>
      <c r="AI236" t="e">
        <f>AND(#REF!,"AAAAAF+7+iI=")</f>
        <v>#REF!</v>
      </c>
      <c r="AJ236" t="e">
        <f>AND(#REF!,"AAAAAF+7+iM=")</f>
        <v>#REF!</v>
      </c>
      <c r="AK236" t="e">
        <f>AND(#REF!,"AAAAAF+7+iQ=")</f>
        <v>#REF!</v>
      </c>
      <c r="AL236" t="e">
        <f>AND(#REF!,"AAAAAF+7+iU=")</f>
        <v>#REF!</v>
      </c>
      <c r="AM236" t="e">
        <f>AND(#REF!,"AAAAAF+7+iY=")</f>
        <v>#REF!</v>
      </c>
      <c r="AN236" t="e">
        <f>AND(#REF!,"AAAAAF+7+ic=")</f>
        <v>#REF!</v>
      </c>
      <c r="AO236" t="e">
        <f>AND(#REF!,"AAAAAF+7+ig=")</f>
        <v>#REF!</v>
      </c>
      <c r="AP236" t="e">
        <f>AND(#REF!,"AAAAAF+7+ik=")</f>
        <v>#REF!</v>
      </c>
      <c r="AQ236" t="e">
        <f>AND(#REF!,"AAAAAF+7+io=")</f>
        <v>#REF!</v>
      </c>
      <c r="AR236" t="e">
        <f>AND(#REF!,"AAAAAF+7+is=")</f>
        <v>#REF!</v>
      </c>
      <c r="AS236" t="e">
        <f>AND(#REF!,"AAAAAF+7+iw=")</f>
        <v>#REF!</v>
      </c>
      <c r="AT236" t="e">
        <f>AND(#REF!,"AAAAAF+7+i0=")</f>
        <v>#REF!</v>
      </c>
      <c r="AU236" t="e">
        <f>AND(#REF!,"AAAAAF+7+i4=")</f>
        <v>#REF!</v>
      </c>
      <c r="AV236" t="e">
        <f>AND(#REF!,"AAAAAF+7+i8=")</f>
        <v>#REF!</v>
      </c>
      <c r="AW236" t="e">
        <f>AND(#REF!,"AAAAAF+7+jA=")</f>
        <v>#REF!</v>
      </c>
      <c r="AX236" t="e">
        <f>AND(#REF!,"AAAAAF+7+jE=")</f>
        <v>#REF!</v>
      </c>
      <c r="AY236" t="e">
        <f>AND(#REF!,"AAAAAF+7+jI=")</f>
        <v>#REF!</v>
      </c>
      <c r="AZ236" t="e">
        <f>AND(#REF!,"AAAAAF+7+jM=")</f>
        <v>#REF!</v>
      </c>
      <c r="BA236" t="e">
        <f>AND(#REF!,"AAAAAF+7+jQ=")</f>
        <v>#REF!</v>
      </c>
      <c r="BB236" t="e">
        <f>AND(#REF!,"AAAAAF+7+jU=")</f>
        <v>#REF!</v>
      </c>
      <c r="BC236" t="e">
        <f>AND(#REF!,"AAAAAF+7+jY=")</f>
        <v>#REF!</v>
      </c>
      <c r="BD236" t="e">
        <f>AND(#REF!,"AAAAAF+7+jc=")</f>
        <v>#REF!</v>
      </c>
      <c r="BE236" t="e">
        <f>AND(#REF!,"AAAAAF+7+jg=")</f>
        <v>#REF!</v>
      </c>
      <c r="BF236" t="e">
        <f>AND(#REF!,"AAAAAF+7+jk=")</f>
        <v>#REF!</v>
      </c>
      <c r="BG236" t="e">
        <f>AND(#REF!,"AAAAAF+7+jo=")</f>
        <v>#REF!</v>
      </c>
      <c r="BH236" t="e">
        <f>AND(#REF!,"AAAAAF+7+js=")</f>
        <v>#REF!</v>
      </c>
      <c r="BI236" t="e">
        <f>AND(#REF!,"AAAAAF+7+jw=")</f>
        <v>#REF!</v>
      </c>
      <c r="BJ236" t="e">
        <f>AND(#REF!,"AAAAAF+7+j0=")</f>
        <v>#REF!</v>
      </c>
      <c r="BK236" t="e">
        <f>AND(#REF!,"AAAAAF+7+j4=")</f>
        <v>#REF!</v>
      </c>
      <c r="BL236" t="e">
        <f>AND(#REF!,"AAAAAF+7+j8=")</f>
        <v>#REF!</v>
      </c>
      <c r="BM236" t="e">
        <f>AND(#REF!,"AAAAAF+7+kA=")</f>
        <v>#REF!</v>
      </c>
      <c r="BN236" t="e">
        <f>AND(#REF!,"AAAAAF+7+kE=")</f>
        <v>#REF!</v>
      </c>
      <c r="BO236" t="e">
        <f>AND(#REF!,"AAAAAF+7+kI=")</f>
        <v>#REF!</v>
      </c>
      <c r="BP236" t="e">
        <f>AND(#REF!,"AAAAAF+7+kM=")</f>
        <v>#REF!</v>
      </c>
      <c r="BQ236" t="e">
        <f>AND(#REF!,"AAAAAF+7+kQ=")</f>
        <v>#REF!</v>
      </c>
      <c r="BR236" t="e">
        <f>AND(#REF!,"AAAAAF+7+kU=")</f>
        <v>#REF!</v>
      </c>
      <c r="BS236" t="e">
        <f>AND(#REF!,"AAAAAF+7+kY=")</f>
        <v>#REF!</v>
      </c>
      <c r="BT236" t="e">
        <f>AND(#REF!,"AAAAAF+7+kc=")</f>
        <v>#REF!</v>
      </c>
      <c r="BU236" t="e">
        <f>AND(#REF!,"AAAAAF+7+kg=")</f>
        <v>#REF!</v>
      </c>
      <c r="BV236" t="e">
        <f>AND(#REF!,"AAAAAF+7+kk=")</f>
        <v>#REF!</v>
      </c>
      <c r="BW236" t="e">
        <f>AND(#REF!,"AAAAAF+7+ko=")</f>
        <v>#REF!</v>
      </c>
      <c r="BX236" t="e">
        <f>AND(#REF!,"AAAAAF+7+ks=")</f>
        <v>#REF!</v>
      </c>
      <c r="BY236" t="e">
        <f>AND(#REF!,"AAAAAF+7+kw=")</f>
        <v>#REF!</v>
      </c>
      <c r="BZ236" t="e">
        <f>AND(#REF!,"AAAAAF+7+k0=")</f>
        <v>#REF!</v>
      </c>
      <c r="CA236" t="e">
        <f>AND(#REF!,"AAAAAF+7+k4=")</f>
        <v>#REF!</v>
      </c>
      <c r="CB236" t="e">
        <f>AND(#REF!,"AAAAAF+7+k8=")</f>
        <v>#REF!</v>
      </c>
      <c r="CC236" t="e">
        <f>AND(#REF!,"AAAAAF+7+lA=")</f>
        <v>#REF!</v>
      </c>
      <c r="CD236" t="e">
        <f>AND(#REF!,"AAAAAF+7+lE=")</f>
        <v>#REF!</v>
      </c>
      <c r="CE236" t="e">
        <f>AND(#REF!,"AAAAAF+7+lI=")</f>
        <v>#REF!</v>
      </c>
      <c r="CF236" t="e">
        <f>AND(#REF!,"AAAAAF+7+lM=")</f>
        <v>#REF!</v>
      </c>
      <c r="CG236" t="e">
        <f>AND(#REF!,"AAAAAF+7+lQ=")</f>
        <v>#REF!</v>
      </c>
      <c r="CH236" t="e">
        <f>AND(#REF!,"AAAAAF+7+lU=")</f>
        <v>#REF!</v>
      </c>
      <c r="CI236" t="e">
        <f>AND(#REF!,"AAAAAF+7+lY=")</f>
        <v>#REF!</v>
      </c>
      <c r="CJ236" t="e">
        <f>AND(#REF!,"AAAAAF+7+lc=")</f>
        <v>#REF!</v>
      </c>
      <c r="CK236" t="e">
        <f>AND(#REF!,"AAAAAF+7+lg=")</f>
        <v>#REF!</v>
      </c>
      <c r="CL236" t="e">
        <f>AND(#REF!,"AAAAAF+7+lk=")</f>
        <v>#REF!</v>
      </c>
      <c r="CM236" t="e">
        <f>AND(#REF!,"AAAAAF+7+lo=")</f>
        <v>#REF!</v>
      </c>
      <c r="CN236" t="e">
        <f>AND(#REF!,"AAAAAF+7+ls=")</f>
        <v>#REF!</v>
      </c>
      <c r="CO236" t="e">
        <f>AND(#REF!,"AAAAAF+7+lw=")</f>
        <v>#REF!</v>
      </c>
      <c r="CP236" t="e">
        <f>AND(#REF!,"AAAAAF+7+l0=")</f>
        <v>#REF!</v>
      </c>
      <c r="CQ236" t="e">
        <f>AND(#REF!,"AAAAAF+7+l4=")</f>
        <v>#REF!</v>
      </c>
      <c r="CR236" t="e">
        <f>AND(#REF!,"AAAAAF+7+l8=")</f>
        <v>#REF!</v>
      </c>
      <c r="CS236" t="e">
        <f>AND(#REF!,"AAAAAF+7+mA=")</f>
        <v>#REF!</v>
      </c>
      <c r="CT236" t="e">
        <f>AND(#REF!,"AAAAAF+7+mE=")</f>
        <v>#REF!</v>
      </c>
      <c r="CU236" t="e">
        <f>AND(#REF!,"AAAAAF+7+mI=")</f>
        <v>#REF!</v>
      </c>
      <c r="CV236" t="e">
        <f>AND(#REF!,"AAAAAF+7+mM=")</f>
        <v>#REF!</v>
      </c>
      <c r="CW236" t="e">
        <f>AND(#REF!,"AAAAAF+7+mQ=")</f>
        <v>#REF!</v>
      </c>
      <c r="CX236" t="e">
        <f>AND(#REF!,"AAAAAF+7+mU=")</f>
        <v>#REF!</v>
      </c>
      <c r="CY236" t="e">
        <f>AND(#REF!,"AAAAAF+7+mY=")</f>
        <v>#REF!</v>
      </c>
      <c r="CZ236" t="e">
        <f>AND(#REF!,"AAAAAF+7+mc=")</f>
        <v>#REF!</v>
      </c>
      <c r="DA236" t="e">
        <f>AND(#REF!,"AAAAAF+7+mg=")</f>
        <v>#REF!</v>
      </c>
      <c r="DB236" t="e">
        <f>AND(#REF!,"AAAAAF+7+mk=")</f>
        <v>#REF!</v>
      </c>
      <c r="DC236" t="e">
        <f>AND(#REF!,"AAAAAF+7+mo=")</f>
        <v>#REF!</v>
      </c>
      <c r="DD236" t="e">
        <f>AND(#REF!,"AAAAAF+7+ms=")</f>
        <v>#REF!</v>
      </c>
      <c r="DE236" t="e">
        <f>AND(#REF!,"AAAAAF+7+mw=")</f>
        <v>#REF!</v>
      </c>
      <c r="DF236" t="e">
        <f>AND(#REF!,"AAAAAF+7+m0=")</f>
        <v>#REF!</v>
      </c>
      <c r="DG236" t="e">
        <f>AND(#REF!,"AAAAAF+7+m4=")</f>
        <v>#REF!</v>
      </c>
      <c r="DH236" t="e">
        <f>AND(#REF!,"AAAAAF+7+m8=")</f>
        <v>#REF!</v>
      </c>
      <c r="DI236" t="e">
        <f>AND(#REF!,"AAAAAF+7+nA=")</f>
        <v>#REF!</v>
      </c>
      <c r="DJ236" t="e">
        <f>AND(#REF!,"AAAAAF+7+nE=")</f>
        <v>#REF!</v>
      </c>
      <c r="DK236" t="e">
        <f>AND(#REF!,"AAAAAF+7+nI=")</f>
        <v>#REF!</v>
      </c>
      <c r="DL236" t="e">
        <f>AND(#REF!,"AAAAAF+7+nM=")</f>
        <v>#REF!</v>
      </c>
      <c r="DM236" t="e">
        <f>AND(#REF!,"AAAAAF+7+nQ=")</f>
        <v>#REF!</v>
      </c>
      <c r="DN236" t="e">
        <f>AND(#REF!,"AAAAAF+7+nU=")</f>
        <v>#REF!</v>
      </c>
      <c r="DO236" t="e">
        <f>AND(#REF!,"AAAAAF+7+nY=")</f>
        <v>#REF!</v>
      </c>
      <c r="DP236" t="e">
        <f>AND(#REF!,"AAAAAF+7+nc=")</f>
        <v>#REF!</v>
      </c>
      <c r="DQ236" t="e">
        <f>AND(#REF!,"AAAAAF+7+ng=")</f>
        <v>#REF!</v>
      </c>
      <c r="DR236" t="e">
        <f>AND(#REF!,"AAAAAF+7+nk=")</f>
        <v>#REF!</v>
      </c>
      <c r="DS236" t="e">
        <f>AND(#REF!,"AAAAAF+7+no=")</f>
        <v>#REF!</v>
      </c>
      <c r="DT236" t="e">
        <f>IF(#REF!,"AAAAAF+7+ns=",0)</f>
        <v>#REF!</v>
      </c>
      <c r="DU236" t="e">
        <f>AND(#REF!,"AAAAAF+7+nw=")</f>
        <v>#REF!</v>
      </c>
      <c r="DV236" t="e">
        <f>AND(#REF!,"AAAAAF+7+n0=")</f>
        <v>#REF!</v>
      </c>
      <c r="DW236" t="e">
        <f>AND(#REF!,"AAAAAF+7+n4=")</f>
        <v>#REF!</v>
      </c>
      <c r="DX236" t="e">
        <f>AND(#REF!,"AAAAAF+7+n8=")</f>
        <v>#REF!</v>
      </c>
      <c r="DY236" t="e">
        <f>AND(#REF!,"AAAAAF+7+oA=")</f>
        <v>#REF!</v>
      </c>
      <c r="DZ236" t="e">
        <f>AND(#REF!,"AAAAAF+7+oE=")</f>
        <v>#REF!</v>
      </c>
      <c r="EA236" t="e">
        <f>AND(#REF!,"AAAAAF+7+oI=")</f>
        <v>#REF!</v>
      </c>
      <c r="EB236" t="e">
        <f>AND(#REF!,"AAAAAF+7+oM=")</f>
        <v>#REF!</v>
      </c>
      <c r="EC236" t="e">
        <f>AND(#REF!,"AAAAAF+7+oQ=")</f>
        <v>#REF!</v>
      </c>
      <c r="ED236" t="e">
        <f>AND(#REF!,"AAAAAF+7+oU=")</f>
        <v>#REF!</v>
      </c>
      <c r="EE236" t="e">
        <f>AND(#REF!,"AAAAAF+7+oY=")</f>
        <v>#REF!</v>
      </c>
      <c r="EF236" t="e">
        <f>AND(#REF!,"AAAAAF+7+oc=")</f>
        <v>#REF!</v>
      </c>
      <c r="EG236" t="e">
        <f>AND(#REF!,"AAAAAF+7+og=")</f>
        <v>#REF!</v>
      </c>
      <c r="EH236" t="e">
        <f>AND(#REF!,"AAAAAF+7+ok=")</f>
        <v>#REF!</v>
      </c>
      <c r="EI236" t="e">
        <f>AND(#REF!,"AAAAAF+7+oo=")</f>
        <v>#REF!</v>
      </c>
      <c r="EJ236" t="e">
        <f>AND(#REF!,"AAAAAF+7+os=")</f>
        <v>#REF!</v>
      </c>
      <c r="EK236" t="e">
        <f>AND(#REF!,"AAAAAF+7+ow=")</f>
        <v>#REF!</v>
      </c>
      <c r="EL236" t="e">
        <f>AND(#REF!,"AAAAAF+7+o0=")</f>
        <v>#REF!</v>
      </c>
      <c r="EM236" t="e">
        <f>AND(#REF!,"AAAAAF+7+o4=")</f>
        <v>#REF!</v>
      </c>
      <c r="EN236" t="e">
        <f>AND(#REF!,"AAAAAF+7+o8=")</f>
        <v>#REF!</v>
      </c>
      <c r="EO236" t="e">
        <f>AND(#REF!,"AAAAAF+7+pA=")</f>
        <v>#REF!</v>
      </c>
      <c r="EP236" t="e">
        <f>AND(#REF!,"AAAAAF+7+pE=")</f>
        <v>#REF!</v>
      </c>
      <c r="EQ236" t="e">
        <f>AND(#REF!,"AAAAAF+7+pI=")</f>
        <v>#REF!</v>
      </c>
      <c r="ER236" t="e">
        <f>AND(#REF!,"AAAAAF+7+pM=")</f>
        <v>#REF!</v>
      </c>
      <c r="ES236" t="e">
        <f>AND(#REF!,"AAAAAF+7+pQ=")</f>
        <v>#REF!</v>
      </c>
      <c r="ET236" t="e">
        <f>AND(#REF!,"AAAAAF+7+pU=")</f>
        <v>#REF!</v>
      </c>
      <c r="EU236" t="e">
        <f>AND(#REF!,"AAAAAF+7+pY=")</f>
        <v>#REF!</v>
      </c>
      <c r="EV236" t="e">
        <f>AND(#REF!,"AAAAAF+7+pc=")</f>
        <v>#REF!</v>
      </c>
      <c r="EW236" t="e">
        <f>AND(#REF!,"AAAAAF+7+pg=")</f>
        <v>#REF!</v>
      </c>
      <c r="EX236" t="e">
        <f>AND(#REF!,"AAAAAF+7+pk=")</f>
        <v>#REF!</v>
      </c>
      <c r="EY236" t="e">
        <f>AND(#REF!,"AAAAAF+7+po=")</f>
        <v>#REF!</v>
      </c>
      <c r="EZ236" t="e">
        <f>AND(#REF!,"AAAAAF+7+ps=")</f>
        <v>#REF!</v>
      </c>
      <c r="FA236" t="e">
        <f>AND(#REF!,"AAAAAF+7+pw=")</f>
        <v>#REF!</v>
      </c>
      <c r="FB236" t="e">
        <f>AND(#REF!,"AAAAAF+7+p0=")</f>
        <v>#REF!</v>
      </c>
      <c r="FC236" t="e">
        <f>AND(#REF!,"AAAAAF+7+p4=")</f>
        <v>#REF!</v>
      </c>
      <c r="FD236" t="e">
        <f>AND(#REF!,"AAAAAF+7+p8=")</f>
        <v>#REF!</v>
      </c>
      <c r="FE236" t="e">
        <f>AND(#REF!,"AAAAAF+7+qA=")</f>
        <v>#REF!</v>
      </c>
      <c r="FF236" t="e">
        <f>AND(#REF!,"AAAAAF+7+qE=")</f>
        <v>#REF!</v>
      </c>
      <c r="FG236" t="e">
        <f>AND(#REF!,"AAAAAF+7+qI=")</f>
        <v>#REF!</v>
      </c>
      <c r="FH236" t="e">
        <f>AND(#REF!,"AAAAAF+7+qM=")</f>
        <v>#REF!</v>
      </c>
      <c r="FI236" t="e">
        <f>AND(#REF!,"AAAAAF+7+qQ=")</f>
        <v>#REF!</v>
      </c>
      <c r="FJ236" t="e">
        <f>AND(#REF!,"AAAAAF+7+qU=")</f>
        <v>#REF!</v>
      </c>
      <c r="FK236" t="e">
        <f>AND(#REF!,"AAAAAF+7+qY=")</f>
        <v>#REF!</v>
      </c>
      <c r="FL236" t="e">
        <f>AND(#REF!,"AAAAAF+7+qc=")</f>
        <v>#REF!</v>
      </c>
      <c r="FM236" t="e">
        <f>AND(#REF!,"AAAAAF+7+qg=")</f>
        <v>#REF!</v>
      </c>
      <c r="FN236" t="e">
        <f>AND(#REF!,"AAAAAF+7+qk=")</f>
        <v>#REF!</v>
      </c>
      <c r="FO236" t="e">
        <f>AND(#REF!,"AAAAAF+7+qo=")</f>
        <v>#REF!</v>
      </c>
      <c r="FP236" t="e">
        <f>AND(#REF!,"AAAAAF+7+qs=")</f>
        <v>#REF!</v>
      </c>
      <c r="FQ236" t="e">
        <f>AND(#REF!,"AAAAAF+7+qw=")</f>
        <v>#REF!</v>
      </c>
      <c r="FR236" t="e">
        <f>AND(#REF!,"AAAAAF+7+q0=")</f>
        <v>#REF!</v>
      </c>
      <c r="FS236" t="e">
        <f>AND(#REF!,"AAAAAF+7+q4=")</f>
        <v>#REF!</v>
      </c>
      <c r="FT236" t="e">
        <f>AND(#REF!,"AAAAAF+7+q8=")</f>
        <v>#REF!</v>
      </c>
      <c r="FU236" t="e">
        <f>AND(#REF!,"AAAAAF+7+rA=")</f>
        <v>#REF!</v>
      </c>
      <c r="FV236" t="e">
        <f>AND(#REF!,"AAAAAF+7+rE=")</f>
        <v>#REF!</v>
      </c>
      <c r="FW236" t="e">
        <f>AND(#REF!,"AAAAAF+7+rI=")</f>
        <v>#REF!</v>
      </c>
      <c r="FX236" t="e">
        <f>AND(#REF!,"AAAAAF+7+rM=")</f>
        <v>#REF!</v>
      </c>
      <c r="FY236" t="e">
        <f>AND(#REF!,"AAAAAF+7+rQ=")</f>
        <v>#REF!</v>
      </c>
      <c r="FZ236" t="e">
        <f>AND(#REF!,"AAAAAF+7+rU=")</f>
        <v>#REF!</v>
      </c>
      <c r="GA236" t="e">
        <f>AND(#REF!,"AAAAAF+7+rY=")</f>
        <v>#REF!</v>
      </c>
      <c r="GB236" t="e">
        <f>AND(#REF!,"AAAAAF+7+rc=")</f>
        <v>#REF!</v>
      </c>
      <c r="GC236" t="e">
        <f>AND(#REF!,"AAAAAF+7+rg=")</f>
        <v>#REF!</v>
      </c>
      <c r="GD236" t="e">
        <f>AND(#REF!,"AAAAAF+7+rk=")</f>
        <v>#REF!</v>
      </c>
      <c r="GE236" t="e">
        <f>AND(#REF!,"AAAAAF+7+ro=")</f>
        <v>#REF!</v>
      </c>
      <c r="GF236" t="e">
        <f>AND(#REF!,"AAAAAF+7+rs=")</f>
        <v>#REF!</v>
      </c>
      <c r="GG236" t="e">
        <f>AND(#REF!,"AAAAAF+7+rw=")</f>
        <v>#REF!</v>
      </c>
      <c r="GH236" t="e">
        <f>AND(#REF!,"AAAAAF+7+r0=")</f>
        <v>#REF!</v>
      </c>
      <c r="GI236" t="e">
        <f>AND(#REF!,"AAAAAF+7+r4=")</f>
        <v>#REF!</v>
      </c>
      <c r="GJ236" t="e">
        <f>AND(#REF!,"AAAAAF+7+r8=")</f>
        <v>#REF!</v>
      </c>
      <c r="GK236" t="e">
        <f>AND(#REF!,"AAAAAF+7+sA=")</f>
        <v>#REF!</v>
      </c>
      <c r="GL236" t="e">
        <f>AND(#REF!,"AAAAAF+7+sE=")</f>
        <v>#REF!</v>
      </c>
      <c r="GM236" t="e">
        <f>AND(#REF!,"AAAAAF+7+sI=")</f>
        <v>#REF!</v>
      </c>
      <c r="GN236" t="e">
        <f>AND(#REF!,"AAAAAF+7+sM=")</f>
        <v>#REF!</v>
      </c>
      <c r="GO236" t="e">
        <f>AND(#REF!,"AAAAAF+7+sQ=")</f>
        <v>#REF!</v>
      </c>
      <c r="GP236" t="e">
        <f>AND(#REF!,"AAAAAF+7+sU=")</f>
        <v>#REF!</v>
      </c>
      <c r="GQ236" t="e">
        <f>AND(#REF!,"AAAAAF+7+sY=")</f>
        <v>#REF!</v>
      </c>
      <c r="GR236" t="e">
        <f>AND(#REF!,"AAAAAF+7+sc=")</f>
        <v>#REF!</v>
      </c>
      <c r="GS236" t="e">
        <f>AND(#REF!,"AAAAAF+7+sg=")</f>
        <v>#REF!</v>
      </c>
      <c r="GT236" t="e">
        <f>AND(#REF!,"AAAAAF+7+sk=")</f>
        <v>#REF!</v>
      </c>
      <c r="GU236" t="e">
        <f>AND(#REF!,"AAAAAF+7+so=")</f>
        <v>#REF!</v>
      </c>
      <c r="GV236" t="e">
        <f>AND(#REF!,"AAAAAF+7+ss=")</f>
        <v>#REF!</v>
      </c>
      <c r="GW236" t="e">
        <f>AND(#REF!,"AAAAAF+7+sw=")</f>
        <v>#REF!</v>
      </c>
      <c r="GX236" t="e">
        <f>AND(#REF!,"AAAAAF+7+s0=")</f>
        <v>#REF!</v>
      </c>
      <c r="GY236" t="e">
        <f>AND(#REF!,"AAAAAF+7+s4=")</f>
        <v>#REF!</v>
      </c>
      <c r="GZ236" t="e">
        <f>AND(#REF!,"AAAAAF+7+s8=")</f>
        <v>#REF!</v>
      </c>
      <c r="HA236" t="e">
        <f>AND(#REF!,"AAAAAF+7+tA=")</f>
        <v>#REF!</v>
      </c>
      <c r="HB236" t="e">
        <f>AND(#REF!,"AAAAAF+7+tE=")</f>
        <v>#REF!</v>
      </c>
      <c r="HC236" t="e">
        <f>AND(#REF!,"AAAAAF+7+tI=")</f>
        <v>#REF!</v>
      </c>
      <c r="HD236" t="e">
        <f>AND(#REF!,"AAAAAF+7+tM=")</f>
        <v>#REF!</v>
      </c>
      <c r="HE236" t="e">
        <f>AND(#REF!,"AAAAAF+7+tQ=")</f>
        <v>#REF!</v>
      </c>
      <c r="HF236" t="e">
        <f>AND(#REF!,"AAAAAF+7+tU=")</f>
        <v>#REF!</v>
      </c>
      <c r="HG236" t="e">
        <f>AND(#REF!,"AAAAAF+7+tY=")</f>
        <v>#REF!</v>
      </c>
      <c r="HH236" t="e">
        <f>AND(#REF!,"AAAAAF+7+tc=")</f>
        <v>#REF!</v>
      </c>
      <c r="HI236" t="e">
        <f>AND(#REF!,"AAAAAF+7+tg=")</f>
        <v>#REF!</v>
      </c>
      <c r="HJ236" t="e">
        <f>AND(#REF!,"AAAAAF+7+tk=")</f>
        <v>#REF!</v>
      </c>
      <c r="HK236" t="e">
        <f>AND(#REF!,"AAAAAF+7+to=")</f>
        <v>#REF!</v>
      </c>
      <c r="HL236" t="e">
        <f>AND(#REF!,"AAAAAF+7+ts=")</f>
        <v>#REF!</v>
      </c>
      <c r="HM236" t="e">
        <f>AND(#REF!,"AAAAAF+7+tw=")</f>
        <v>#REF!</v>
      </c>
      <c r="HN236" t="e">
        <f>AND(#REF!,"AAAAAF+7+t0=")</f>
        <v>#REF!</v>
      </c>
      <c r="HO236" t="e">
        <f>AND(#REF!,"AAAAAF+7+t4=")</f>
        <v>#REF!</v>
      </c>
      <c r="HP236" t="e">
        <f>AND(#REF!,"AAAAAF+7+t8=")</f>
        <v>#REF!</v>
      </c>
      <c r="HQ236" t="e">
        <f>AND(#REF!,"AAAAAF+7+uA=")</f>
        <v>#REF!</v>
      </c>
      <c r="HR236" t="e">
        <f>AND(#REF!,"AAAAAF+7+uE=")</f>
        <v>#REF!</v>
      </c>
      <c r="HS236" t="e">
        <f>AND(#REF!,"AAAAAF+7+uI=")</f>
        <v>#REF!</v>
      </c>
      <c r="HT236" t="e">
        <f>AND(#REF!,"AAAAAF+7+uM=")</f>
        <v>#REF!</v>
      </c>
      <c r="HU236" t="e">
        <f>AND(#REF!,"AAAAAF+7+uQ=")</f>
        <v>#REF!</v>
      </c>
      <c r="HV236" t="e">
        <f>AND(#REF!,"AAAAAF+7+uU=")</f>
        <v>#REF!</v>
      </c>
      <c r="HW236" t="e">
        <f>AND(#REF!,"AAAAAF+7+uY=")</f>
        <v>#REF!</v>
      </c>
      <c r="HX236" t="e">
        <f>AND(#REF!,"AAAAAF+7+uc=")</f>
        <v>#REF!</v>
      </c>
      <c r="HY236" t="e">
        <f>AND(#REF!,"AAAAAF+7+ug=")</f>
        <v>#REF!</v>
      </c>
      <c r="HZ236" t="e">
        <f>AND(#REF!,"AAAAAF+7+uk=")</f>
        <v>#REF!</v>
      </c>
      <c r="IA236" t="e">
        <f>AND(#REF!,"AAAAAF+7+uo=")</f>
        <v>#REF!</v>
      </c>
      <c r="IB236" t="e">
        <f>AND(#REF!,"AAAAAF+7+us=")</f>
        <v>#REF!</v>
      </c>
      <c r="IC236" t="e">
        <f>AND(#REF!,"AAAAAF+7+uw=")</f>
        <v>#REF!</v>
      </c>
      <c r="ID236" t="e">
        <f>AND(#REF!,"AAAAAF+7+u0=")</f>
        <v>#REF!</v>
      </c>
      <c r="IE236" t="e">
        <f>AND(#REF!,"AAAAAF+7+u4=")</f>
        <v>#REF!</v>
      </c>
      <c r="IF236" t="e">
        <f>AND(#REF!,"AAAAAF+7+u8=")</f>
        <v>#REF!</v>
      </c>
      <c r="IG236" t="e">
        <f>AND(#REF!,"AAAAAF+7+vA=")</f>
        <v>#REF!</v>
      </c>
      <c r="IH236" t="e">
        <f>AND(#REF!,"AAAAAF+7+vE=")</f>
        <v>#REF!</v>
      </c>
      <c r="II236" t="e">
        <f>AND(#REF!,"AAAAAF+7+vI=")</f>
        <v>#REF!</v>
      </c>
      <c r="IJ236" t="e">
        <f>AND(#REF!,"AAAAAF+7+vM=")</f>
        <v>#REF!</v>
      </c>
      <c r="IK236" t="e">
        <f>AND(#REF!,"AAAAAF+7+vQ=")</f>
        <v>#REF!</v>
      </c>
      <c r="IL236" t="e">
        <f>AND(#REF!,"AAAAAF+7+vU=")</f>
        <v>#REF!</v>
      </c>
      <c r="IM236" t="e">
        <f>AND(#REF!,"AAAAAF+7+vY=")</f>
        <v>#REF!</v>
      </c>
      <c r="IN236" t="e">
        <f>AND(#REF!,"AAAAAF+7+vc=")</f>
        <v>#REF!</v>
      </c>
      <c r="IO236" t="e">
        <f>AND(#REF!,"AAAAAF+7+vg=")</f>
        <v>#REF!</v>
      </c>
      <c r="IP236" t="e">
        <f>AND(#REF!,"AAAAAF+7+vk=")</f>
        <v>#REF!</v>
      </c>
      <c r="IQ236" t="e">
        <f>AND(#REF!,"AAAAAF+7+vo=")</f>
        <v>#REF!</v>
      </c>
      <c r="IR236" t="e">
        <f>AND(#REF!,"AAAAAF+7+vs=")</f>
        <v>#REF!</v>
      </c>
      <c r="IS236" t="e">
        <f>AND(#REF!,"AAAAAF+7+vw=")</f>
        <v>#REF!</v>
      </c>
      <c r="IT236" t="e">
        <f>AND(#REF!,"AAAAAF+7+v0=")</f>
        <v>#REF!</v>
      </c>
      <c r="IU236" t="e">
        <f>AND(#REF!,"AAAAAF+7+v4=")</f>
        <v>#REF!</v>
      </c>
      <c r="IV236" t="e">
        <f>AND(#REF!,"AAAAAF+7+v8=")</f>
        <v>#REF!</v>
      </c>
    </row>
    <row r="237" spans="1:256" x14ac:dyDescent="0.25">
      <c r="A237" t="e">
        <f>AND(#REF!,"AAAAAH8v9wA=")</f>
        <v>#REF!</v>
      </c>
      <c r="B237" t="e">
        <f>AND(#REF!,"AAAAAH8v9wE=")</f>
        <v>#REF!</v>
      </c>
      <c r="C237" t="e">
        <f>AND(#REF!,"AAAAAH8v9wI=")</f>
        <v>#REF!</v>
      </c>
      <c r="D237" t="e">
        <f>AND(#REF!,"AAAAAH8v9wM=")</f>
        <v>#REF!</v>
      </c>
      <c r="E237" t="e">
        <f>AND(#REF!,"AAAAAH8v9wQ=")</f>
        <v>#REF!</v>
      </c>
      <c r="F237" t="e">
        <f>AND(#REF!,"AAAAAH8v9wU=")</f>
        <v>#REF!</v>
      </c>
      <c r="G237" t="e">
        <f>AND(#REF!,"AAAAAH8v9wY=")</f>
        <v>#REF!</v>
      </c>
      <c r="H237" t="e">
        <f>AND(#REF!,"AAAAAH8v9wc=")</f>
        <v>#REF!</v>
      </c>
      <c r="I237" t="e">
        <f>AND(#REF!,"AAAAAH8v9wg=")</f>
        <v>#REF!</v>
      </c>
      <c r="J237" t="e">
        <f>AND(#REF!,"AAAAAH8v9wk=")</f>
        <v>#REF!</v>
      </c>
      <c r="K237" t="e">
        <f>AND(#REF!,"AAAAAH8v9wo=")</f>
        <v>#REF!</v>
      </c>
      <c r="L237" t="e">
        <f>AND(#REF!,"AAAAAH8v9ws=")</f>
        <v>#REF!</v>
      </c>
      <c r="M237" t="e">
        <f>AND(#REF!,"AAAAAH8v9ww=")</f>
        <v>#REF!</v>
      </c>
      <c r="N237" t="e">
        <f>AND(#REF!,"AAAAAH8v9w0=")</f>
        <v>#REF!</v>
      </c>
      <c r="O237" t="e">
        <f>AND(#REF!,"AAAAAH8v9w4=")</f>
        <v>#REF!</v>
      </c>
      <c r="P237" t="e">
        <f>AND(#REF!,"AAAAAH8v9w8=")</f>
        <v>#REF!</v>
      </c>
      <c r="Q237" t="e">
        <f>AND(#REF!,"AAAAAH8v9xA=")</f>
        <v>#REF!</v>
      </c>
      <c r="R237" t="e">
        <f>AND(#REF!,"AAAAAH8v9xE=")</f>
        <v>#REF!</v>
      </c>
      <c r="S237" t="e">
        <f>AND(#REF!,"AAAAAH8v9xI=")</f>
        <v>#REF!</v>
      </c>
      <c r="T237" t="e">
        <f>AND(#REF!,"AAAAAH8v9xM=")</f>
        <v>#REF!</v>
      </c>
      <c r="U237" t="e">
        <f>AND(#REF!,"AAAAAH8v9xQ=")</f>
        <v>#REF!</v>
      </c>
      <c r="V237" t="e">
        <f>AND(#REF!,"AAAAAH8v9xU=")</f>
        <v>#REF!</v>
      </c>
      <c r="W237" t="e">
        <f>AND(#REF!,"AAAAAH8v9xY=")</f>
        <v>#REF!</v>
      </c>
      <c r="X237" t="e">
        <f>AND(#REF!,"AAAAAH8v9xc=")</f>
        <v>#REF!</v>
      </c>
      <c r="Y237" t="e">
        <f>AND(#REF!,"AAAAAH8v9xg=")</f>
        <v>#REF!</v>
      </c>
      <c r="Z237" t="e">
        <f>AND(#REF!,"AAAAAH8v9xk=")</f>
        <v>#REF!</v>
      </c>
      <c r="AA237" t="e">
        <f>AND(#REF!,"AAAAAH8v9xo=")</f>
        <v>#REF!</v>
      </c>
      <c r="AB237" t="e">
        <f>AND(#REF!,"AAAAAH8v9xs=")</f>
        <v>#REF!</v>
      </c>
      <c r="AC237" t="e">
        <f>AND(#REF!,"AAAAAH8v9xw=")</f>
        <v>#REF!</v>
      </c>
      <c r="AD237" t="e">
        <f>AND(#REF!,"AAAAAH8v9x0=")</f>
        <v>#REF!</v>
      </c>
      <c r="AE237" t="e">
        <f>AND(#REF!,"AAAAAH8v9x4=")</f>
        <v>#REF!</v>
      </c>
      <c r="AF237" t="e">
        <f>AND(#REF!,"AAAAAH8v9x8=")</f>
        <v>#REF!</v>
      </c>
      <c r="AG237" t="e">
        <f>AND(#REF!,"AAAAAH8v9yA=")</f>
        <v>#REF!</v>
      </c>
      <c r="AH237" t="e">
        <f>AND(#REF!,"AAAAAH8v9yE=")</f>
        <v>#REF!</v>
      </c>
      <c r="AI237" t="e">
        <f>AND(#REF!,"AAAAAH8v9yI=")</f>
        <v>#REF!</v>
      </c>
      <c r="AJ237" t="e">
        <f>AND(#REF!,"AAAAAH8v9yM=")</f>
        <v>#REF!</v>
      </c>
      <c r="AK237" t="e">
        <f>AND(#REF!,"AAAAAH8v9yQ=")</f>
        <v>#REF!</v>
      </c>
      <c r="AL237" t="e">
        <f>AND(#REF!,"AAAAAH8v9yU=")</f>
        <v>#REF!</v>
      </c>
      <c r="AM237" t="e">
        <f>AND(#REF!,"AAAAAH8v9yY=")</f>
        <v>#REF!</v>
      </c>
      <c r="AN237" t="e">
        <f>AND(#REF!,"AAAAAH8v9yc=")</f>
        <v>#REF!</v>
      </c>
      <c r="AO237" t="e">
        <f>AND(#REF!,"AAAAAH8v9yg=")</f>
        <v>#REF!</v>
      </c>
      <c r="AP237" t="e">
        <f>AND(#REF!,"AAAAAH8v9yk=")</f>
        <v>#REF!</v>
      </c>
      <c r="AQ237" t="e">
        <f>AND(#REF!,"AAAAAH8v9yo=")</f>
        <v>#REF!</v>
      </c>
      <c r="AR237" t="e">
        <f>AND(#REF!,"AAAAAH8v9ys=")</f>
        <v>#REF!</v>
      </c>
      <c r="AS237" t="e">
        <f>AND(#REF!,"AAAAAH8v9yw=")</f>
        <v>#REF!</v>
      </c>
      <c r="AT237" t="e">
        <f>AND(#REF!,"AAAAAH8v9y0=")</f>
        <v>#REF!</v>
      </c>
      <c r="AU237" t="e">
        <f>AND(#REF!,"AAAAAH8v9y4=")</f>
        <v>#REF!</v>
      </c>
      <c r="AV237" t="e">
        <f>AND(#REF!,"AAAAAH8v9y8=")</f>
        <v>#REF!</v>
      </c>
      <c r="AW237" t="e">
        <f>AND(#REF!,"AAAAAH8v9zA=")</f>
        <v>#REF!</v>
      </c>
      <c r="AX237" t="e">
        <f>AND(#REF!,"AAAAAH8v9zE=")</f>
        <v>#REF!</v>
      </c>
      <c r="AY237" t="e">
        <f>AND(#REF!,"AAAAAH8v9zI=")</f>
        <v>#REF!</v>
      </c>
      <c r="AZ237" t="e">
        <f>AND(#REF!,"AAAAAH8v9zM=")</f>
        <v>#REF!</v>
      </c>
      <c r="BA237" t="e">
        <f>AND(#REF!,"AAAAAH8v9zQ=")</f>
        <v>#REF!</v>
      </c>
      <c r="BB237" t="e">
        <f>AND(#REF!,"AAAAAH8v9zU=")</f>
        <v>#REF!</v>
      </c>
      <c r="BC237" t="e">
        <f>AND(#REF!,"AAAAAH8v9zY=")</f>
        <v>#REF!</v>
      </c>
      <c r="BD237" t="e">
        <f>AND(#REF!,"AAAAAH8v9zc=")</f>
        <v>#REF!</v>
      </c>
      <c r="BE237" t="e">
        <f>IF(#REF!,"AAAAAH8v9zg=",0)</f>
        <v>#REF!</v>
      </c>
      <c r="BF237" t="e">
        <f>AND(#REF!,"AAAAAH8v9zk=")</f>
        <v>#REF!</v>
      </c>
      <c r="BG237" t="e">
        <f>AND(#REF!,"AAAAAH8v9zo=")</f>
        <v>#REF!</v>
      </c>
      <c r="BH237" t="e">
        <f>AND(#REF!,"AAAAAH8v9zs=")</f>
        <v>#REF!</v>
      </c>
      <c r="BI237" t="e">
        <f>AND(#REF!,"AAAAAH8v9zw=")</f>
        <v>#REF!</v>
      </c>
      <c r="BJ237" t="e">
        <f>AND(#REF!,"AAAAAH8v9z0=")</f>
        <v>#REF!</v>
      </c>
      <c r="BK237" t="e">
        <f>AND(#REF!,"AAAAAH8v9z4=")</f>
        <v>#REF!</v>
      </c>
      <c r="BL237" t="e">
        <f>AND(#REF!,"AAAAAH8v9z8=")</f>
        <v>#REF!</v>
      </c>
      <c r="BM237" t="e">
        <f>AND(#REF!,"AAAAAH8v90A=")</f>
        <v>#REF!</v>
      </c>
      <c r="BN237" t="e">
        <f>AND(#REF!,"AAAAAH8v90E=")</f>
        <v>#REF!</v>
      </c>
      <c r="BO237" t="e">
        <f>AND(#REF!,"AAAAAH8v90I=")</f>
        <v>#REF!</v>
      </c>
      <c r="BP237" t="e">
        <f>AND(#REF!,"AAAAAH8v90M=")</f>
        <v>#REF!</v>
      </c>
      <c r="BQ237" t="e">
        <f>AND(#REF!,"AAAAAH8v90Q=")</f>
        <v>#REF!</v>
      </c>
      <c r="BR237" t="e">
        <f>AND(#REF!,"AAAAAH8v90U=")</f>
        <v>#REF!</v>
      </c>
      <c r="BS237" t="e">
        <f>AND(#REF!,"AAAAAH8v90Y=")</f>
        <v>#REF!</v>
      </c>
      <c r="BT237" t="e">
        <f>AND(#REF!,"AAAAAH8v90c=")</f>
        <v>#REF!</v>
      </c>
      <c r="BU237" t="e">
        <f>AND(#REF!,"AAAAAH8v90g=")</f>
        <v>#REF!</v>
      </c>
      <c r="BV237" t="e">
        <f>AND(#REF!,"AAAAAH8v90k=")</f>
        <v>#REF!</v>
      </c>
      <c r="BW237" t="e">
        <f>AND(#REF!,"AAAAAH8v90o=")</f>
        <v>#REF!</v>
      </c>
      <c r="BX237" t="e">
        <f>AND(#REF!,"AAAAAH8v90s=")</f>
        <v>#REF!</v>
      </c>
      <c r="BY237" t="e">
        <f>AND(#REF!,"AAAAAH8v90w=")</f>
        <v>#REF!</v>
      </c>
      <c r="BZ237" t="e">
        <f>AND(#REF!,"AAAAAH8v900=")</f>
        <v>#REF!</v>
      </c>
      <c r="CA237" t="e">
        <f>AND(#REF!,"AAAAAH8v904=")</f>
        <v>#REF!</v>
      </c>
      <c r="CB237" t="e">
        <f>AND(#REF!,"AAAAAH8v908=")</f>
        <v>#REF!</v>
      </c>
      <c r="CC237" t="e">
        <f>AND(#REF!,"AAAAAH8v91A=")</f>
        <v>#REF!</v>
      </c>
      <c r="CD237" t="e">
        <f>AND(#REF!,"AAAAAH8v91E=")</f>
        <v>#REF!</v>
      </c>
      <c r="CE237" t="e">
        <f>AND(#REF!,"AAAAAH8v91I=")</f>
        <v>#REF!</v>
      </c>
      <c r="CF237" t="e">
        <f>AND(#REF!,"AAAAAH8v91M=")</f>
        <v>#REF!</v>
      </c>
      <c r="CG237" t="e">
        <f>AND(#REF!,"AAAAAH8v91Q=")</f>
        <v>#REF!</v>
      </c>
      <c r="CH237" t="e">
        <f>AND(#REF!,"AAAAAH8v91U=")</f>
        <v>#REF!</v>
      </c>
      <c r="CI237" t="e">
        <f>AND(#REF!,"AAAAAH8v91Y=")</f>
        <v>#REF!</v>
      </c>
      <c r="CJ237" t="e">
        <f>AND(#REF!,"AAAAAH8v91c=")</f>
        <v>#REF!</v>
      </c>
      <c r="CK237" t="e">
        <f>AND(#REF!,"AAAAAH8v91g=")</f>
        <v>#REF!</v>
      </c>
      <c r="CL237" t="e">
        <f>AND(#REF!,"AAAAAH8v91k=")</f>
        <v>#REF!</v>
      </c>
      <c r="CM237" t="e">
        <f>AND(#REF!,"AAAAAH8v91o=")</f>
        <v>#REF!</v>
      </c>
      <c r="CN237" t="e">
        <f>AND(#REF!,"AAAAAH8v91s=")</f>
        <v>#REF!</v>
      </c>
      <c r="CO237" t="e">
        <f>AND(#REF!,"AAAAAH8v91w=")</f>
        <v>#REF!</v>
      </c>
      <c r="CP237" t="e">
        <f>AND(#REF!,"AAAAAH8v910=")</f>
        <v>#REF!</v>
      </c>
      <c r="CQ237" t="e">
        <f>AND(#REF!,"AAAAAH8v914=")</f>
        <v>#REF!</v>
      </c>
      <c r="CR237" t="e">
        <f>AND(#REF!,"AAAAAH8v918=")</f>
        <v>#REF!</v>
      </c>
      <c r="CS237" t="e">
        <f>AND(#REF!,"AAAAAH8v92A=")</f>
        <v>#REF!</v>
      </c>
      <c r="CT237" t="e">
        <f>AND(#REF!,"AAAAAH8v92E=")</f>
        <v>#REF!</v>
      </c>
      <c r="CU237" t="e">
        <f>AND(#REF!,"AAAAAH8v92I=")</f>
        <v>#REF!</v>
      </c>
      <c r="CV237" t="e">
        <f>AND(#REF!,"AAAAAH8v92M=")</f>
        <v>#REF!</v>
      </c>
      <c r="CW237" t="e">
        <f>AND(#REF!,"AAAAAH8v92Q=")</f>
        <v>#REF!</v>
      </c>
      <c r="CX237" t="e">
        <f>AND(#REF!,"AAAAAH8v92U=")</f>
        <v>#REF!</v>
      </c>
      <c r="CY237" t="e">
        <f>AND(#REF!,"AAAAAH8v92Y=")</f>
        <v>#REF!</v>
      </c>
      <c r="CZ237" t="e">
        <f>AND(#REF!,"AAAAAH8v92c=")</f>
        <v>#REF!</v>
      </c>
      <c r="DA237" t="e">
        <f>AND(#REF!,"AAAAAH8v92g=")</f>
        <v>#REF!</v>
      </c>
      <c r="DB237" t="e">
        <f>AND(#REF!,"AAAAAH8v92k=")</f>
        <v>#REF!</v>
      </c>
      <c r="DC237" t="e">
        <f>AND(#REF!,"AAAAAH8v92o=")</f>
        <v>#REF!</v>
      </c>
      <c r="DD237" t="e">
        <f>AND(#REF!,"AAAAAH8v92s=")</f>
        <v>#REF!</v>
      </c>
      <c r="DE237" t="e">
        <f>AND(#REF!,"AAAAAH8v92w=")</f>
        <v>#REF!</v>
      </c>
      <c r="DF237" t="e">
        <f>AND(#REF!,"AAAAAH8v920=")</f>
        <v>#REF!</v>
      </c>
      <c r="DG237" t="e">
        <f>AND(#REF!,"AAAAAH8v924=")</f>
        <v>#REF!</v>
      </c>
      <c r="DH237" t="e">
        <f>AND(#REF!,"AAAAAH8v928=")</f>
        <v>#REF!</v>
      </c>
      <c r="DI237" t="e">
        <f>AND(#REF!,"AAAAAH8v93A=")</f>
        <v>#REF!</v>
      </c>
      <c r="DJ237" t="e">
        <f>AND(#REF!,"AAAAAH8v93E=")</f>
        <v>#REF!</v>
      </c>
      <c r="DK237" t="e">
        <f>AND(#REF!,"AAAAAH8v93I=")</f>
        <v>#REF!</v>
      </c>
      <c r="DL237" t="e">
        <f>AND(#REF!,"AAAAAH8v93M=")</f>
        <v>#REF!</v>
      </c>
      <c r="DM237" t="e">
        <f>AND(#REF!,"AAAAAH8v93Q=")</f>
        <v>#REF!</v>
      </c>
      <c r="DN237" t="e">
        <f>AND(#REF!,"AAAAAH8v93U=")</f>
        <v>#REF!</v>
      </c>
      <c r="DO237" t="e">
        <f>AND(#REF!,"AAAAAH8v93Y=")</f>
        <v>#REF!</v>
      </c>
      <c r="DP237" t="e">
        <f>AND(#REF!,"AAAAAH8v93c=")</f>
        <v>#REF!</v>
      </c>
      <c r="DQ237" t="e">
        <f>AND(#REF!,"AAAAAH8v93g=")</f>
        <v>#REF!</v>
      </c>
      <c r="DR237" t="e">
        <f>AND(#REF!,"AAAAAH8v93k=")</f>
        <v>#REF!</v>
      </c>
      <c r="DS237" t="e">
        <f>AND(#REF!,"AAAAAH8v93o=")</f>
        <v>#REF!</v>
      </c>
      <c r="DT237" t="e">
        <f>AND(#REF!,"AAAAAH8v93s=")</f>
        <v>#REF!</v>
      </c>
      <c r="DU237" t="e">
        <f>AND(#REF!,"AAAAAH8v93w=")</f>
        <v>#REF!</v>
      </c>
      <c r="DV237" t="e">
        <f>AND(#REF!,"AAAAAH8v930=")</f>
        <v>#REF!</v>
      </c>
      <c r="DW237" t="e">
        <f>AND(#REF!,"AAAAAH8v934=")</f>
        <v>#REF!</v>
      </c>
      <c r="DX237" t="e">
        <f>AND(#REF!,"AAAAAH8v938=")</f>
        <v>#REF!</v>
      </c>
      <c r="DY237" t="e">
        <f>AND(#REF!,"AAAAAH8v94A=")</f>
        <v>#REF!</v>
      </c>
      <c r="DZ237" t="e">
        <f>AND(#REF!,"AAAAAH8v94E=")</f>
        <v>#REF!</v>
      </c>
      <c r="EA237" t="e">
        <f>AND(#REF!,"AAAAAH8v94I=")</f>
        <v>#REF!</v>
      </c>
      <c r="EB237" t="e">
        <f>AND(#REF!,"AAAAAH8v94M=")</f>
        <v>#REF!</v>
      </c>
      <c r="EC237" t="e">
        <f>AND(#REF!,"AAAAAH8v94Q=")</f>
        <v>#REF!</v>
      </c>
      <c r="ED237" t="e">
        <f>AND(#REF!,"AAAAAH8v94U=")</f>
        <v>#REF!</v>
      </c>
      <c r="EE237" t="e">
        <f>AND(#REF!,"AAAAAH8v94Y=")</f>
        <v>#REF!</v>
      </c>
      <c r="EF237" t="e">
        <f>AND(#REF!,"AAAAAH8v94c=")</f>
        <v>#REF!</v>
      </c>
      <c r="EG237" t="e">
        <f>AND(#REF!,"AAAAAH8v94g=")</f>
        <v>#REF!</v>
      </c>
      <c r="EH237" t="e">
        <f>AND(#REF!,"AAAAAH8v94k=")</f>
        <v>#REF!</v>
      </c>
      <c r="EI237" t="e">
        <f>AND(#REF!,"AAAAAH8v94o=")</f>
        <v>#REF!</v>
      </c>
      <c r="EJ237" t="e">
        <f>AND(#REF!,"AAAAAH8v94s=")</f>
        <v>#REF!</v>
      </c>
      <c r="EK237" t="e">
        <f>AND(#REF!,"AAAAAH8v94w=")</f>
        <v>#REF!</v>
      </c>
      <c r="EL237" t="e">
        <f>AND(#REF!,"AAAAAH8v940=")</f>
        <v>#REF!</v>
      </c>
      <c r="EM237" t="e">
        <f>AND(#REF!,"AAAAAH8v944=")</f>
        <v>#REF!</v>
      </c>
      <c r="EN237" t="e">
        <f>AND(#REF!,"AAAAAH8v948=")</f>
        <v>#REF!</v>
      </c>
      <c r="EO237" t="e">
        <f>AND(#REF!,"AAAAAH8v95A=")</f>
        <v>#REF!</v>
      </c>
      <c r="EP237" t="e">
        <f>AND(#REF!,"AAAAAH8v95E=")</f>
        <v>#REF!</v>
      </c>
      <c r="EQ237" t="e">
        <f>AND(#REF!,"AAAAAH8v95I=")</f>
        <v>#REF!</v>
      </c>
      <c r="ER237" t="e">
        <f>AND(#REF!,"AAAAAH8v95M=")</f>
        <v>#REF!</v>
      </c>
      <c r="ES237" t="e">
        <f>AND(#REF!,"AAAAAH8v95Q=")</f>
        <v>#REF!</v>
      </c>
      <c r="ET237" t="e">
        <f>AND(#REF!,"AAAAAH8v95U=")</f>
        <v>#REF!</v>
      </c>
      <c r="EU237" t="e">
        <f>AND(#REF!,"AAAAAH8v95Y=")</f>
        <v>#REF!</v>
      </c>
      <c r="EV237" t="e">
        <f>AND(#REF!,"AAAAAH8v95c=")</f>
        <v>#REF!</v>
      </c>
      <c r="EW237" t="e">
        <f>AND(#REF!,"AAAAAH8v95g=")</f>
        <v>#REF!</v>
      </c>
      <c r="EX237" t="e">
        <f>AND(#REF!,"AAAAAH8v95k=")</f>
        <v>#REF!</v>
      </c>
      <c r="EY237" t="e">
        <f>AND(#REF!,"AAAAAH8v95o=")</f>
        <v>#REF!</v>
      </c>
      <c r="EZ237" t="e">
        <f>AND(#REF!,"AAAAAH8v95s=")</f>
        <v>#REF!</v>
      </c>
      <c r="FA237" t="e">
        <f>AND(#REF!,"AAAAAH8v95w=")</f>
        <v>#REF!</v>
      </c>
      <c r="FB237" t="e">
        <f>AND(#REF!,"AAAAAH8v950=")</f>
        <v>#REF!</v>
      </c>
      <c r="FC237" t="e">
        <f>AND(#REF!,"AAAAAH8v954=")</f>
        <v>#REF!</v>
      </c>
      <c r="FD237" t="e">
        <f>AND(#REF!,"AAAAAH8v958=")</f>
        <v>#REF!</v>
      </c>
      <c r="FE237" t="e">
        <f>AND(#REF!,"AAAAAH8v96A=")</f>
        <v>#REF!</v>
      </c>
      <c r="FF237" t="e">
        <f>AND(#REF!,"AAAAAH8v96E=")</f>
        <v>#REF!</v>
      </c>
      <c r="FG237" t="e">
        <f>AND(#REF!,"AAAAAH8v96I=")</f>
        <v>#REF!</v>
      </c>
      <c r="FH237" t="e">
        <f>AND(#REF!,"AAAAAH8v96M=")</f>
        <v>#REF!</v>
      </c>
      <c r="FI237" t="e">
        <f>AND(#REF!,"AAAAAH8v96Q=")</f>
        <v>#REF!</v>
      </c>
      <c r="FJ237" t="e">
        <f>AND(#REF!,"AAAAAH8v96U=")</f>
        <v>#REF!</v>
      </c>
      <c r="FK237" t="e">
        <f>AND(#REF!,"AAAAAH8v96Y=")</f>
        <v>#REF!</v>
      </c>
      <c r="FL237" t="e">
        <f>AND(#REF!,"AAAAAH8v96c=")</f>
        <v>#REF!</v>
      </c>
      <c r="FM237" t="e">
        <f>AND(#REF!,"AAAAAH8v96g=")</f>
        <v>#REF!</v>
      </c>
      <c r="FN237" t="e">
        <f>AND(#REF!,"AAAAAH8v96k=")</f>
        <v>#REF!</v>
      </c>
      <c r="FO237" t="e">
        <f>AND(#REF!,"AAAAAH8v96o=")</f>
        <v>#REF!</v>
      </c>
      <c r="FP237" t="e">
        <f>AND(#REF!,"AAAAAH8v96s=")</f>
        <v>#REF!</v>
      </c>
      <c r="FQ237" t="e">
        <f>AND(#REF!,"AAAAAH8v96w=")</f>
        <v>#REF!</v>
      </c>
      <c r="FR237" t="e">
        <f>AND(#REF!,"AAAAAH8v960=")</f>
        <v>#REF!</v>
      </c>
      <c r="FS237" t="e">
        <f>AND(#REF!,"AAAAAH8v964=")</f>
        <v>#REF!</v>
      </c>
      <c r="FT237" t="e">
        <f>AND(#REF!,"AAAAAH8v968=")</f>
        <v>#REF!</v>
      </c>
      <c r="FU237" t="e">
        <f>AND(#REF!,"AAAAAH8v97A=")</f>
        <v>#REF!</v>
      </c>
      <c r="FV237" t="e">
        <f>AND(#REF!,"AAAAAH8v97E=")</f>
        <v>#REF!</v>
      </c>
      <c r="FW237" t="e">
        <f>AND(#REF!,"AAAAAH8v97I=")</f>
        <v>#REF!</v>
      </c>
      <c r="FX237" t="e">
        <f>AND(#REF!,"AAAAAH8v97M=")</f>
        <v>#REF!</v>
      </c>
      <c r="FY237" t="e">
        <f>AND(#REF!,"AAAAAH8v97Q=")</f>
        <v>#REF!</v>
      </c>
      <c r="FZ237" t="e">
        <f>AND(#REF!,"AAAAAH8v97U=")</f>
        <v>#REF!</v>
      </c>
      <c r="GA237" t="e">
        <f>AND(#REF!,"AAAAAH8v97Y=")</f>
        <v>#REF!</v>
      </c>
      <c r="GB237" t="e">
        <f>AND(#REF!,"AAAAAH8v97c=")</f>
        <v>#REF!</v>
      </c>
      <c r="GC237" t="e">
        <f>AND(#REF!,"AAAAAH8v97g=")</f>
        <v>#REF!</v>
      </c>
      <c r="GD237" t="e">
        <f>AND(#REF!,"AAAAAH8v97k=")</f>
        <v>#REF!</v>
      </c>
      <c r="GE237" t="e">
        <f>AND(#REF!,"AAAAAH8v97o=")</f>
        <v>#REF!</v>
      </c>
      <c r="GF237" t="e">
        <f>AND(#REF!,"AAAAAH8v97s=")</f>
        <v>#REF!</v>
      </c>
      <c r="GG237" t="e">
        <f>AND(#REF!,"AAAAAH8v97w=")</f>
        <v>#REF!</v>
      </c>
      <c r="GH237" t="e">
        <f>AND(#REF!,"AAAAAH8v970=")</f>
        <v>#REF!</v>
      </c>
      <c r="GI237" t="e">
        <f>AND(#REF!,"AAAAAH8v974=")</f>
        <v>#REF!</v>
      </c>
      <c r="GJ237" t="e">
        <f>AND(#REF!,"AAAAAH8v978=")</f>
        <v>#REF!</v>
      </c>
      <c r="GK237" t="e">
        <f>AND(#REF!,"AAAAAH8v98A=")</f>
        <v>#REF!</v>
      </c>
      <c r="GL237" t="e">
        <f>AND(#REF!,"AAAAAH8v98E=")</f>
        <v>#REF!</v>
      </c>
      <c r="GM237" t="e">
        <f>AND(#REF!,"AAAAAH8v98I=")</f>
        <v>#REF!</v>
      </c>
      <c r="GN237" t="e">
        <f>AND(#REF!,"AAAAAH8v98M=")</f>
        <v>#REF!</v>
      </c>
      <c r="GO237" t="e">
        <f>AND(#REF!,"AAAAAH8v98Q=")</f>
        <v>#REF!</v>
      </c>
      <c r="GP237" t="e">
        <f>AND(#REF!,"AAAAAH8v98U=")</f>
        <v>#REF!</v>
      </c>
      <c r="GQ237" t="e">
        <f>AND(#REF!,"AAAAAH8v98Y=")</f>
        <v>#REF!</v>
      </c>
      <c r="GR237" t="e">
        <f>AND(#REF!,"AAAAAH8v98c=")</f>
        <v>#REF!</v>
      </c>
      <c r="GS237" t="e">
        <f>AND(#REF!,"AAAAAH8v98g=")</f>
        <v>#REF!</v>
      </c>
      <c r="GT237" t="e">
        <f>AND(#REF!,"AAAAAH8v98k=")</f>
        <v>#REF!</v>
      </c>
      <c r="GU237" t="e">
        <f>AND(#REF!,"AAAAAH8v98o=")</f>
        <v>#REF!</v>
      </c>
      <c r="GV237" t="e">
        <f>AND(#REF!,"AAAAAH8v98s=")</f>
        <v>#REF!</v>
      </c>
      <c r="GW237" t="e">
        <f>AND(#REF!,"AAAAAH8v98w=")</f>
        <v>#REF!</v>
      </c>
      <c r="GX237" t="e">
        <f>AND(#REF!,"AAAAAH8v980=")</f>
        <v>#REF!</v>
      </c>
      <c r="GY237" t="e">
        <f>AND(#REF!,"AAAAAH8v984=")</f>
        <v>#REF!</v>
      </c>
      <c r="GZ237" t="e">
        <f>AND(#REF!,"AAAAAH8v988=")</f>
        <v>#REF!</v>
      </c>
      <c r="HA237" t="e">
        <f>AND(#REF!,"AAAAAH8v99A=")</f>
        <v>#REF!</v>
      </c>
      <c r="HB237" t="e">
        <f>AND(#REF!,"AAAAAH8v99E=")</f>
        <v>#REF!</v>
      </c>
      <c r="HC237" t="e">
        <f>AND(#REF!,"AAAAAH8v99I=")</f>
        <v>#REF!</v>
      </c>
      <c r="HD237" t="e">
        <f>AND(#REF!,"AAAAAH8v99M=")</f>
        <v>#REF!</v>
      </c>
      <c r="HE237" t="e">
        <f>AND(#REF!,"AAAAAH8v99Q=")</f>
        <v>#REF!</v>
      </c>
      <c r="HF237" t="e">
        <f>AND(#REF!,"AAAAAH8v99U=")</f>
        <v>#REF!</v>
      </c>
      <c r="HG237" t="e">
        <f>AND(#REF!,"AAAAAH8v99Y=")</f>
        <v>#REF!</v>
      </c>
      <c r="HH237" t="e">
        <f>AND(#REF!,"AAAAAH8v99c=")</f>
        <v>#REF!</v>
      </c>
      <c r="HI237" t="e">
        <f>AND(#REF!,"AAAAAH8v99g=")</f>
        <v>#REF!</v>
      </c>
      <c r="HJ237" t="e">
        <f>AND(#REF!,"AAAAAH8v99k=")</f>
        <v>#REF!</v>
      </c>
      <c r="HK237" t="e">
        <f>AND(#REF!,"AAAAAH8v99o=")</f>
        <v>#REF!</v>
      </c>
      <c r="HL237" t="e">
        <f>AND(#REF!,"AAAAAH8v99s=")</f>
        <v>#REF!</v>
      </c>
      <c r="HM237" t="e">
        <f>AND(#REF!,"AAAAAH8v99w=")</f>
        <v>#REF!</v>
      </c>
      <c r="HN237" t="e">
        <f>AND(#REF!,"AAAAAH8v990=")</f>
        <v>#REF!</v>
      </c>
      <c r="HO237" t="e">
        <f>AND(#REF!,"AAAAAH8v994=")</f>
        <v>#REF!</v>
      </c>
      <c r="HP237" t="e">
        <f>AND(#REF!,"AAAAAH8v998=")</f>
        <v>#REF!</v>
      </c>
      <c r="HQ237" t="e">
        <f>AND(#REF!,"AAAAAH8v9+A=")</f>
        <v>#REF!</v>
      </c>
      <c r="HR237" t="e">
        <f>AND(#REF!,"AAAAAH8v9+E=")</f>
        <v>#REF!</v>
      </c>
      <c r="HS237" t="e">
        <f>AND(#REF!,"AAAAAH8v9+I=")</f>
        <v>#REF!</v>
      </c>
      <c r="HT237" t="e">
        <f>AND(#REF!,"AAAAAH8v9+M=")</f>
        <v>#REF!</v>
      </c>
      <c r="HU237" t="e">
        <f>AND(#REF!,"AAAAAH8v9+Q=")</f>
        <v>#REF!</v>
      </c>
      <c r="HV237" t="e">
        <f>AND(#REF!,"AAAAAH8v9+U=")</f>
        <v>#REF!</v>
      </c>
      <c r="HW237" t="e">
        <f>AND(#REF!,"AAAAAH8v9+Y=")</f>
        <v>#REF!</v>
      </c>
      <c r="HX237" t="e">
        <f>AND(#REF!,"AAAAAH8v9+c=")</f>
        <v>#REF!</v>
      </c>
      <c r="HY237" t="e">
        <f>AND(#REF!,"AAAAAH8v9+g=")</f>
        <v>#REF!</v>
      </c>
      <c r="HZ237" t="e">
        <f>AND(#REF!,"AAAAAH8v9+k=")</f>
        <v>#REF!</v>
      </c>
      <c r="IA237" t="e">
        <f>AND(#REF!,"AAAAAH8v9+o=")</f>
        <v>#REF!</v>
      </c>
      <c r="IB237" t="e">
        <f>AND(#REF!,"AAAAAH8v9+s=")</f>
        <v>#REF!</v>
      </c>
      <c r="IC237" t="e">
        <f>AND(#REF!,"AAAAAH8v9+w=")</f>
        <v>#REF!</v>
      </c>
      <c r="ID237" t="e">
        <f>AND(#REF!,"AAAAAH8v9+0=")</f>
        <v>#REF!</v>
      </c>
      <c r="IE237" t="e">
        <f>AND(#REF!,"AAAAAH8v9+4=")</f>
        <v>#REF!</v>
      </c>
      <c r="IF237" t="e">
        <f>AND(#REF!,"AAAAAH8v9+8=")</f>
        <v>#REF!</v>
      </c>
      <c r="IG237" t="e">
        <f>AND(#REF!,"AAAAAH8v9/A=")</f>
        <v>#REF!</v>
      </c>
      <c r="IH237" t="e">
        <f>AND(#REF!,"AAAAAH8v9/E=")</f>
        <v>#REF!</v>
      </c>
      <c r="II237" t="e">
        <f>AND(#REF!,"AAAAAH8v9/I=")</f>
        <v>#REF!</v>
      </c>
      <c r="IJ237" t="e">
        <f>AND(#REF!,"AAAAAH8v9/M=")</f>
        <v>#REF!</v>
      </c>
      <c r="IK237" t="e">
        <f>AND(#REF!,"AAAAAH8v9/Q=")</f>
        <v>#REF!</v>
      </c>
      <c r="IL237" t="e">
        <f>IF(#REF!,"AAAAAH8v9/U=",0)</f>
        <v>#REF!</v>
      </c>
      <c r="IM237" t="e">
        <f>AND(#REF!,"AAAAAH8v9/Y=")</f>
        <v>#REF!</v>
      </c>
      <c r="IN237" t="e">
        <f>AND(#REF!,"AAAAAH8v9/c=")</f>
        <v>#REF!</v>
      </c>
      <c r="IO237" t="e">
        <f>AND(#REF!,"AAAAAH8v9/g=")</f>
        <v>#REF!</v>
      </c>
      <c r="IP237" t="e">
        <f>AND(#REF!,"AAAAAH8v9/k=")</f>
        <v>#REF!</v>
      </c>
      <c r="IQ237" t="e">
        <f>AND(#REF!,"AAAAAH8v9/o=")</f>
        <v>#REF!</v>
      </c>
      <c r="IR237" t="e">
        <f>AND(#REF!,"AAAAAH8v9/s=")</f>
        <v>#REF!</v>
      </c>
      <c r="IS237" t="e">
        <f>AND(#REF!,"AAAAAH8v9/w=")</f>
        <v>#REF!</v>
      </c>
      <c r="IT237" t="e">
        <f>AND(#REF!,"AAAAAH8v9/0=")</f>
        <v>#REF!</v>
      </c>
      <c r="IU237" t="e">
        <f>AND(#REF!,"AAAAAH8v9/4=")</f>
        <v>#REF!</v>
      </c>
      <c r="IV237" t="e">
        <f>AND(#REF!,"AAAAAH8v9/8=")</f>
        <v>#REF!</v>
      </c>
    </row>
    <row r="238" spans="1:256" x14ac:dyDescent="0.25">
      <c r="A238" t="e">
        <f>AND(#REF!,"AAAAAF29uQA=")</f>
        <v>#REF!</v>
      </c>
      <c r="B238" t="e">
        <f>AND(#REF!,"AAAAAF29uQE=")</f>
        <v>#REF!</v>
      </c>
      <c r="C238" t="e">
        <f>AND(#REF!,"AAAAAF29uQI=")</f>
        <v>#REF!</v>
      </c>
      <c r="D238" t="e">
        <f>AND(#REF!,"AAAAAF29uQM=")</f>
        <v>#REF!</v>
      </c>
      <c r="E238" t="e">
        <f>AND(#REF!,"AAAAAF29uQQ=")</f>
        <v>#REF!</v>
      </c>
      <c r="F238" t="e">
        <f>AND(#REF!,"AAAAAF29uQU=")</f>
        <v>#REF!</v>
      </c>
      <c r="G238" t="e">
        <f>AND(#REF!,"AAAAAF29uQY=")</f>
        <v>#REF!</v>
      </c>
      <c r="H238" t="e">
        <f>AND(#REF!,"AAAAAF29uQc=")</f>
        <v>#REF!</v>
      </c>
      <c r="I238" t="e">
        <f>AND(#REF!,"AAAAAF29uQg=")</f>
        <v>#REF!</v>
      </c>
      <c r="J238" t="e">
        <f>AND(#REF!,"AAAAAF29uQk=")</f>
        <v>#REF!</v>
      </c>
      <c r="K238" t="e">
        <f>AND(#REF!,"AAAAAF29uQo=")</f>
        <v>#REF!</v>
      </c>
      <c r="L238" t="e">
        <f>AND(#REF!,"AAAAAF29uQs=")</f>
        <v>#REF!</v>
      </c>
      <c r="M238" t="e">
        <f>AND(#REF!,"AAAAAF29uQw=")</f>
        <v>#REF!</v>
      </c>
      <c r="N238" t="e">
        <f>AND(#REF!,"AAAAAF29uQ0=")</f>
        <v>#REF!</v>
      </c>
      <c r="O238" t="e">
        <f>AND(#REF!,"AAAAAF29uQ4=")</f>
        <v>#REF!</v>
      </c>
      <c r="P238" t="e">
        <f>AND(#REF!,"AAAAAF29uQ8=")</f>
        <v>#REF!</v>
      </c>
      <c r="Q238" t="e">
        <f>AND(#REF!,"AAAAAF29uRA=")</f>
        <v>#REF!</v>
      </c>
      <c r="R238" t="e">
        <f>AND(#REF!,"AAAAAF29uRE=")</f>
        <v>#REF!</v>
      </c>
      <c r="S238" t="e">
        <f>AND(#REF!,"AAAAAF29uRI=")</f>
        <v>#REF!</v>
      </c>
      <c r="T238" t="e">
        <f>AND(#REF!,"AAAAAF29uRM=")</f>
        <v>#REF!</v>
      </c>
      <c r="U238" t="e">
        <f>AND(#REF!,"AAAAAF29uRQ=")</f>
        <v>#REF!</v>
      </c>
      <c r="V238" t="e">
        <f>AND(#REF!,"AAAAAF29uRU=")</f>
        <v>#REF!</v>
      </c>
      <c r="W238" t="e">
        <f>AND(#REF!,"AAAAAF29uRY=")</f>
        <v>#REF!</v>
      </c>
      <c r="X238" t="e">
        <f>AND(#REF!,"AAAAAF29uRc=")</f>
        <v>#REF!</v>
      </c>
      <c r="Y238" t="e">
        <f>AND(#REF!,"AAAAAF29uRg=")</f>
        <v>#REF!</v>
      </c>
      <c r="Z238" t="e">
        <f>AND(#REF!,"AAAAAF29uRk=")</f>
        <v>#REF!</v>
      </c>
      <c r="AA238" t="e">
        <f>AND(#REF!,"AAAAAF29uRo=")</f>
        <v>#REF!</v>
      </c>
      <c r="AB238" t="e">
        <f>AND(#REF!,"AAAAAF29uRs=")</f>
        <v>#REF!</v>
      </c>
      <c r="AC238" t="e">
        <f>AND(#REF!,"AAAAAF29uRw=")</f>
        <v>#REF!</v>
      </c>
      <c r="AD238" t="e">
        <f>AND(#REF!,"AAAAAF29uR0=")</f>
        <v>#REF!</v>
      </c>
      <c r="AE238" t="e">
        <f>AND(#REF!,"AAAAAF29uR4=")</f>
        <v>#REF!</v>
      </c>
      <c r="AF238" t="e">
        <f>AND(#REF!,"AAAAAF29uR8=")</f>
        <v>#REF!</v>
      </c>
      <c r="AG238" t="e">
        <f>AND(#REF!,"AAAAAF29uSA=")</f>
        <v>#REF!</v>
      </c>
      <c r="AH238" t="e">
        <f>AND(#REF!,"AAAAAF29uSE=")</f>
        <v>#REF!</v>
      </c>
      <c r="AI238" t="e">
        <f>AND(#REF!,"AAAAAF29uSI=")</f>
        <v>#REF!</v>
      </c>
      <c r="AJ238" t="e">
        <f>AND(#REF!,"AAAAAF29uSM=")</f>
        <v>#REF!</v>
      </c>
      <c r="AK238" t="e">
        <f>AND(#REF!,"AAAAAF29uSQ=")</f>
        <v>#REF!</v>
      </c>
      <c r="AL238" t="e">
        <f>AND(#REF!,"AAAAAF29uSU=")</f>
        <v>#REF!</v>
      </c>
      <c r="AM238" t="e">
        <f>AND(#REF!,"AAAAAF29uSY=")</f>
        <v>#REF!</v>
      </c>
      <c r="AN238" t="e">
        <f>AND(#REF!,"AAAAAF29uSc=")</f>
        <v>#REF!</v>
      </c>
      <c r="AO238" t="e">
        <f>AND(#REF!,"AAAAAF29uSg=")</f>
        <v>#REF!</v>
      </c>
      <c r="AP238" t="e">
        <f>AND(#REF!,"AAAAAF29uSk=")</f>
        <v>#REF!</v>
      </c>
      <c r="AQ238" t="e">
        <f>AND(#REF!,"AAAAAF29uSo=")</f>
        <v>#REF!</v>
      </c>
      <c r="AR238" t="e">
        <f>AND(#REF!,"AAAAAF29uSs=")</f>
        <v>#REF!</v>
      </c>
      <c r="AS238" t="e">
        <f>AND(#REF!,"AAAAAF29uSw=")</f>
        <v>#REF!</v>
      </c>
      <c r="AT238" t="e">
        <f>AND(#REF!,"AAAAAF29uS0=")</f>
        <v>#REF!</v>
      </c>
      <c r="AU238" t="e">
        <f>AND(#REF!,"AAAAAF29uS4=")</f>
        <v>#REF!</v>
      </c>
      <c r="AV238" t="e">
        <f>AND(#REF!,"AAAAAF29uS8=")</f>
        <v>#REF!</v>
      </c>
      <c r="AW238" t="e">
        <f>AND(#REF!,"AAAAAF29uTA=")</f>
        <v>#REF!</v>
      </c>
      <c r="AX238" t="e">
        <f>AND(#REF!,"AAAAAF29uTE=")</f>
        <v>#REF!</v>
      </c>
      <c r="AY238" t="e">
        <f>AND(#REF!,"AAAAAF29uTI=")</f>
        <v>#REF!</v>
      </c>
      <c r="AZ238" t="e">
        <f>AND(#REF!,"AAAAAF29uTM=")</f>
        <v>#REF!</v>
      </c>
      <c r="BA238" t="e">
        <f>AND(#REF!,"AAAAAF29uTQ=")</f>
        <v>#REF!</v>
      </c>
      <c r="BB238" t="e">
        <f>AND(#REF!,"AAAAAF29uTU=")</f>
        <v>#REF!</v>
      </c>
      <c r="BC238" t="e">
        <f>AND(#REF!,"AAAAAF29uTY=")</f>
        <v>#REF!</v>
      </c>
      <c r="BD238" t="e">
        <f>AND(#REF!,"AAAAAF29uTc=")</f>
        <v>#REF!</v>
      </c>
      <c r="BE238" t="e">
        <f>AND(#REF!,"AAAAAF29uTg=")</f>
        <v>#REF!</v>
      </c>
      <c r="BF238" t="e">
        <f>AND(#REF!,"AAAAAF29uTk=")</f>
        <v>#REF!</v>
      </c>
      <c r="BG238" t="e">
        <f>AND(#REF!,"AAAAAF29uTo=")</f>
        <v>#REF!</v>
      </c>
      <c r="BH238" t="e">
        <f>AND(#REF!,"AAAAAF29uTs=")</f>
        <v>#REF!</v>
      </c>
      <c r="BI238" t="e">
        <f>AND(#REF!,"AAAAAF29uTw=")</f>
        <v>#REF!</v>
      </c>
      <c r="BJ238" t="e">
        <f>AND(#REF!,"AAAAAF29uT0=")</f>
        <v>#REF!</v>
      </c>
      <c r="BK238" t="e">
        <f>AND(#REF!,"AAAAAF29uT4=")</f>
        <v>#REF!</v>
      </c>
      <c r="BL238" t="e">
        <f>AND(#REF!,"AAAAAF29uT8=")</f>
        <v>#REF!</v>
      </c>
      <c r="BM238" t="e">
        <f>AND(#REF!,"AAAAAF29uUA=")</f>
        <v>#REF!</v>
      </c>
      <c r="BN238" t="e">
        <f>AND(#REF!,"AAAAAF29uUE=")</f>
        <v>#REF!</v>
      </c>
      <c r="BO238" t="e">
        <f>AND(#REF!,"AAAAAF29uUI=")</f>
        <v>#REF!</v>
      </c>
      <c r="BP238" t="e">
        <f>AND(#REF!,"AAAAAF29uUM=")</f>
        <v>#REF!</v>
      </c>
      <c r="BQ238" t="e">
        <f>AND(#REF!,"AAAAAF29uUQ=")</f>
        <v>#REF!</v>
      </c>
      <c r="BR238" t="e">
        <f>AND(#REF!,"AAAAAF29uUU=")</f>
        <v>#REF!</v>
      </c>
      <c r="BS238" t="e">
        <f>AND(#REF!,"AAAAAF29uUY=")</f>
        <v>#REF!</v>
      </c>
      <c r="BT238" t="e">
        <f>AND(#REF!,"AAAAAF29uUc=")</f>
        <v>#REF!</v>
      </c>
      <c r="BU238" t="e">
        <f>AND(#REF!,"AAAAAF29uUg=")</f>
        <v>#REF!</v>
      </c>
      <c r="BV238" t="e">
        <f>AND(#REF!,"AAAAAF29uUk=")</f>
        <v>#REF!</v>
      </c>
      <c r="BW238" t="e">
        <f>AND(#REF!,"AAAAAF29uUo=")</f>
        <v>#REF!</v>
      </c>
      <c r="BX238" t="e">
        <f>AND(#REF!,"AAAAAF29uUs=")</f>
        <v>#REF!</v>
      </c>
      <c r="BY238" t="e">
        <f>AND(#REF!,"AAAAAF29uUw=")</f>
        <v>#REF!</v>
      </c>
      <c r="BZ238" t="e">
        <f>AND(#REF!,"AAAAAF29uU0=")</f>
        <v>#REF!</v>
      </c>
      <c r="CA238" t="e">
        <f>AND(#REF!,"AAAAAF29uU4=")</f>
        <v>#REF!</v>
      </c>
      <c r="CB238" t="e">
        <f>AND(#REF!,"AAAAAF29uU8=")</f>
        <v>#REF!</v>
      </c>
      <c r="CC238" t="e">
        <f>AND(#REF!,"AAAAAF29uVA=")</f>
        <v>#REF!</v>
      </c>
      <c r="CD238" t="e">
        <f>AND(#REF!,"AAAAAF29uVE=")</f>
        <v>#REF!</v>
      </c>
      <c r="CE238" t="e">
        <f>AND(#REF!,"AAAAAF29uVI=")</f>
        <v>#REF!</v>
      </c>
      <c r="CF238" t="e">
        <f>AND(#REF!,"AAAAAF29uVM=")</f>
        <v>#REF!</v>
      </c>
      <c r="CG238" t="e">
        <f>AND(#REF!,"AAAAAF29uVQ=")</f>
        <v>#REF!</v>
      </c>
      <c r="CH238" t="e">
        <f>AND(#REF!,"AAAAAF29uVU=")</f>
        <v>#REF!</v>
      </c>
      <c r="CI238" t="e">
        <f>AND(#REF!,"AAAAAF29uVY=")</f>
        <v>#REF!</v>
      </c>
      <c r="CJ238" t="e">
        <f>AND(#REF!,"AAAAAF29uVc=")</f>
        <v>#REF!</v>
      </c>
      <c r="CK238" t="e">
        <f>AND(#REF!,"AAAAAF29uVg=")</f>
        <v>#REF!</v>
      </c>
      <c r="CL238" t="e">
        <f>AND(#REF!,"AAAAAF29uVk=")</f>
        <v>#REF!</v>
      </c>
      <c r="CM238" t="e">
        <f>AND(#REF!,"AAAAAF29uVo=")</f>
        <v>#REF!</v>
      </c>
      <c r="CN238" t="e">
        <f>AND(#REF!,"AAAAAF29uVs=")</f>
        <v>#REF!</v>
      </c>
      <c r="CO238" t="e">
        <f>AND(#REF!,"AAAAAF29uVw=")</f>
        <v>#REF!</v>
      </c>
      <c r="CP238" t="e">
        <f>AND(#REF!,"AAAAAF29uV0=")</f>
        <v>#REF!</v>
      </c>
      <c r="CQ238" t="e">
        <f>AND(#REF!,"AAAAAF29uV4=")</f>
        <v>#REF!</v>
      </c>
      <c r="CR238" t="e">
        <f>AND(#REF!,"AAAAAF29uV8=")</f>
        <v>#REF!</v>
      </c>
      <c r="CS238" t="e">
        <f>AND(#REF!,"AAAAAF29uWA=")</f>
        <v>#REF!</v>
      </c>
      <c r="CT238" t="e">
        <f>AND(#REF!,"AAAAAF29uWE=")</f>
        <v>#REF!</v>
      </c>
      <c r="CU238" t="e">
        <f>AND(#REF!,"AAAAAF29uWI=")</f>
        <v>#REF!</v>
      </c>
      <c r="CV238" t="e">
        <f>AND(#REF!,"AAAAAF29uWM=")</f>
        <v>#REF!</v>
      </c>
      <c r="CW238" t="e">
        <f>AND(#REF!,"AAAAAF29uWQ=")</f>
        <v>#REF!</v>
      </c>
      <c r="CX238" t="e">
        <f>AND(#REF!,"AAAAAF29uWU=")</f>
        <v>#REF!</v>
      </c>
      <c r="CY238" t="e">
        <f>AND(#REF!,"AAAAAF29uWY=")</f>
        <v>#REF!</v>
      </c>
      <c r="CZ238" t="e">
        <f>AND(#REF!,"AAAAAF29uWc=")</f>
        <v>#REF!</v>
      </c>
      <c r="DA238" t="e">
        <f>AND(#REF!,"AAAAAF29uWg=")</f>
        <v>#REF!</v>
      </c>
      <c r="DB238" t="e">
        <f>AND(#REF!,"AAAAAF29uWk=")</f>
        <v>#REF!</v>
      </c>
      <c r="DC238" t="e">
        <f>AND(#REF!,"AAAAAF29uWo=")</f>
        <v>#REF!</v>
      </c>
      <c r="DD238" t="e">
        <f>AND(#REF!,"AAAAAF29uWs=")</f>
        <v>#REF!</v>
      </c>
      <c r="DE238" t="e">
        <f>AND(#REF!,"AAAAAF29uWw=")</f>
        <v>#REF!</v>
      </c>
      <c r="DF238" t="e">
        <f>AND(#REF!,"AAAAAF29uW0=")</f>
        <v>#REF!</v>
      </c>
      <c r="DG238" t="e">
        <f>AND(#REF!,"AAAAAF29uW4=")</f>
        <v>#REF!</v>
      </c>
      <c r="DH238" t="e">
        <f>AND(#REF!,"AAAAAF29uW8=")</f>
        <v>#REF!</v>
      </c>
      <c r="DI238" t="e">
        <f>AND(#REF!,"AAAAAF29uXA=")</f>
        <v>#REF!</v>
      </c>
      <c r="DJ238" t="e">
        <f>AND(#REF!,"AAAAAF29uXE=")</f>
        <v>#REF!</v>
      </c>
      <c r="DK238" t="e">
        <f>AND(#REF!,"AAAAAF29uXI=")</f>
        <v>#REF!</v>
      </c>
      <c r="DL238" t="e">
        <f>AND(#REF!,"AAAAAF29uXM=")</f>
        <v>#REF!</v>
      </c>
      <c r="DM238" t="e">
        <f>AND(#REF!,"AAAAAF29uXQ=")</f>
        <v>#REF!</v>
      </c>
      <c r="DN238" t="e">
        <f>AND(#REF!,"AAAAAF29uXU=")</f>
        <v>#REF!</v>
      </c>
      <c r="DO238" t="e">
        <f>AND(#REF!,"AAAAAF29uXY=")</f>
        <v>#REF!</v>
      </c>
      <c r="DP238" t="e">
        <f>AND(#REF!,"AAAAAF29uXc=")</f>
        <v>#REF!</v>
      </c>
      <c r="DQ238" t="e">
        <f>AND(#REF!,"AAAAAF29uXg=")</f>
        <v>#REF!</v>
      </c>
      <c r="DR238" t="e">
        <f>AND(#REF!,"AAAAAF29uXk=")</f>
        <v>#REF!</v>
      </c>
      <c r="DS238" t="e">
        <f>AND(#REF!,"AAAAAF29uXo=")</f>
        <v>#REF!</v>
      </c>
      <c r="DT238" t="e">
        <f>AND(#REF!,"AAAAAF29uXs=")</f>
        <v>#REF!</v>
      </c>
      <c r="DU238" t="e">
        <f>AND(#REF!,"AAAAAF29uXw=")</f>
        <v>#REF!</v>
      </c>
      <c r="DV238" t="e">
        <f>AND(#REF!,"AAAAAF29uX0=")</f>
        <v>#REF!</v>
      </c>
      <c r="DW238" t="e">
        <f>AND(#REF!,"AAAAAF29uX4=")</f>
        <v>#REF!</v>
      </c>
      <c r="DX238" t="e">
        <f>AND(#REF!,"AAAAAF29uX8=")</f>
        <v>#REF!</v>
      </c>
      <c r="DY238" t="e">
        <f>AND(#REF!,"AAAAAF29uYA=")</f>
        <v>#REF!</v>
      </c>
      <c r="DZ238" t="e">
        <f>AND(#REF!,"AAAAAF29uYE=")</f>
        <v>#REF!</v>
      </c>
      <c r="EA238" t="e">
        <f>AND(#REF!,"AAAAAF29uYI=")</f>
        <v>#REF!</v>
      </c>
      <c r="EB238" t="e">
        <f>AND(#REF!,"AAAAAF29uYM=")</f>
        <v>#REF!</v>
      </c>
      <c r="EC238" t="e">
        <f>AND(#REF!,"AAAAAF29uYQ=")</f>
        <v>#REF!</v>
      </c>
      <c r="ED238" t="e">
        <f>AND(#REF!,"AAAAAF29uYU=")</f>
        <v>#REF!</v>
      </c>
      <c r="EE238" t="e">
        <f>AND(#REF!,"AAAAAF29uYY=")</f>
        <v>#REF!</v>
      </c>
      <c r="EF238" t="e">
        <f>AND(#REF!,"AAAAAF29uYc=")</f>
        <v>#REF!</v>
      </c>
      <c r="EG238" t="e">
        <f>AND(#REF!,"AAAAAF29uYg=")</f>
        <v>#REF!</v>
      </c>
      <c r="EH238" t="e">
        <f>AND(#REF!,"AAAAAF29uYk=")</f>
        <v>#REF!</v>
      </c>
      <c r="EI238" t="e">
        <f>AND(#REF!,"AAAAAF29uYo=")</f>
        <v>#REF!</v>
      </c>
      <c r="EJ238" t="e">
        <f>AND(#REF!,"AAAAAF29uYs=")</f>
        <v>#REF!</v>
      </c>
      <c r="EK238" t="e">
        <f>AND(#REF!,"AAAAAF29uYw=")</f>
        <v>#REF!</v>
      </c>
      <c r="EL238" t="e">
        <f>AND(#REF!,"AAAAAF29uY0=")</f>
        <v>#REF!</v>
      </c>
      <c r="EM238" t="e">
        <f>AND(#REF!,"AAAAAF29uY4=")</f>
        <v>#REF!</v>
      </c>
      <c r="EN238" t="e">
        <f>AND(#REF!,"AAAAAF29uY8=")</f>
        <v>#REF!</v>
      </c>
      <c r="EO238" t="e">
        <f>AND(#REF!,"AAAAAF29uZA=")</f>
        <v>#REF!</v>
      </c>
      <c r="EP238" t="e">
        <f>AND(#REF!,"AAAAAF29uZE=")</f>
        <v>#REF!</v>
      </c>
      <c r="EQ238" t="e">
        <f>AND(#REF!,"AAAAAF29uZI=")</f>
        <v>#REF!</v>
      </c>
      <c r="ER238" t="e">
        <f>AND(#REF!,"AAAAAF29uZM=")</f>
        <v>#REF!</v>
      </c>
      <c r="ES238" t="e">
        <f>AND(#REF!,"AAAAAF29uZQ=")</f>
        <v>#REF!</v>
      </c>
      <c r="ET238" t="e">
        <f>AND(#REF!,"AAAAAF29uZU=")</f>
        <v>#REF!</v>
      </c>
      <c r="EU238" t="e">
        <f>AND(#REF!,"AAAAAF29uZY=")</f>
        <v>#REF!</v>
      </c>
      <c r="EV238" t="e">
        <f>AND(#REF!,"AAAAAF29uZc=")</f>
        <v>#REF!</v>
      </c>
      <c r="EW238" t="e">
        <f>AND(#REF!,"AAAAAF29uZg=")</f>
        <v>#REF!</v>
      </c>
      <c r="EX238" t="e">
        <f>AND(#REF!,"AAAAAF29uZk=")</f>
        <v>#REF!</v>
      </c>
      <c r="EY238" t="e">
        <f>AND(#REF!,"AAAAAF29uZo=")</f>
        <v>#REF!</v>
      </c>
      <c r="EZ238" t="e">
        <f>AND(#REF!,"AAAAAF29uZs=")</f>
        <v>#REF!</v>
      </c>
      <c r="FA238" t="e">
        <f>AND(#REF!,"AAAAAF29uZw=")</f>
        <v>#REF!</v>
      </c>
      <c r="FB238" t="e">
        <f>AND(#REF!,"AAAAAF29uZ0=")</f>
        <v>#REF!</v>
      </c>
      <c r="FC238" t="e">
        <f>AND(#REF!,"AAAAAF29uZ4=")</f>
        <v>#REF!</v>
      </c>
      <c r="FD238" t="e">
        <f>AND(#REF!,"AAAAAF29uZ8=")</f>
        <v>#REF!</v>
      </c>
      <c r="FE238" t="e">
        <f>AND(#REF!,"AAAAAF29uaA=")</f>
        <v>#REF!</v>
      </c>
      <c r="FF238" t="e">
        <f>AND(#REF!,"AAAAAF29uaE=")</f>
        <v>#REF!</v>
      </c>
      <c r="FG238" t="e">
        <f>AND(#REF!,"AAAAAF29uaI=")</f>
        <v>#REF!</v>
      </c>
      <c r="FH238" t="e">
        <f>AND(#REF!,"AAAAAF29uaM=")</f>
        <v>#REF!</v>
      </c>
      <c r="FI238" t="e">
        <f>AND(#REF!,"AAAAAF29uaQ=")</f>
        <v>#REF!</v>
      </c>
      <c r="FJ238" t="e">
        <f>AND(#REF!,"AAAAAF29uaU=")</f>
        <v>#REF!</v>
      </c>
      <c r="FK238" t="e">
        <f>AND(#REF!,"AAAAAF29uaY=")</f>
        <v>#REF!</v>
      </c>
      <c r="FL238" t="e">
        <f>AND(#REF!,"AAAAAF29uac=")</f>
        <v>#REF!</v>
      </c>
      <c r="FM238" t="e">
        <f>AND(#REF!,"AAAAAF29uag=")</f>
        <v>#REF!</v>
      </c>
      <c r="FN238" t="e">
        <f>AND(#REF!,"AAAAAF29uak=")</f>
        <v>#REF!</v>
      </c>
      <c r="FO238" t="e">
        <f>AND(#REF!,"AAAAAF29uao=")</f>
        <v>#REF!</v>
      </c>
      <c r="FP238" t="e">
        <f>AND(#REF!,"AAAAAF29uas=")</f>
        <v>#REF!</v>
      </c>
      <c r="FQ238" t="e">
        <f>AND(#REF!,"AAAAAF29uaw=")</f>
        <v>#REF!</v>
      </c>
      <c r="FR238" t="e">
        <f>AND(#REF!,"AAAAAF29ua0=")</f>
        <v>#REF!</v>
      </c>
      <c r="FS238" t="e">
        <f>AND(#REF!,"AAAAAF29ua4=")</f>
        <v>#REF!</v>
      </c>
      <c r="FT238" t="e">
        <f>AND(#REF!,"AAAAAF29ua8=")</f>
        <v>#REF!</v>
      </c>
      <c r="FU238" t="e">
        <f>AND(#REF!,"AAAAAF29ubA=")</f>
        <v>#REF!</v>
      </c>
      <c r="FV238" t="e">
        <f>AND(#REF!,"AAAAAF29ubE=")</f>
        <v>#REF!</v>
      </c>
      <c r="FW238" t="e">
        <f>IF(#REF!,"AAAAAF29ubI=",0)</f>
        <v>#REF!</v>
      </c>
      <c r="FX238" t="e">
        <f>AND(#REF!,"AAAAAF29ubM=")</f>
        <v>#REF!</v>
      </c>
      <c r="FY238" t="e">
        <f>AND(#REF!,"AAAAAF29ubQ=")</f>
        <v>#REF!</v>
      </c>
      <c r="FZ238" t="e">
        <f>AND(#REF!,"AAAAAF29ubU=")</f>
        <v>#REF!</v>
      </c>
      <c r="GA238" t="e">
        <f>AND(#REF!,"AAAAAF29ubY=")</f>
        <v>#REF!</v>
      </c>
      <c r="GB238" t="e">
        <f>AND(#REF!,"AAAAAF29ubc=")</f>
        <v>#REF!</v>
      </c>
      <c r="GC238" t="e">
        <f>AND(#REF!,"AAAAAF29ubg=")</f>
        <v>#REF!</v>
      </c>
      <c r="GD238" t="e">
        <f>AND(#REF!,"AAAAAF29ubk=")</f>
        <v>#REF!</v>
      </c>
      <c r="GE238" t="e">
        <f>AND(#REF!,"AAAAAF29ubo=")</f>
        <v>#REF!</v>
      </c>
      <c r="GF238" t="e">
        <f>AND(#REF!,"AAAAAF29ubs=")</f>
        <v>#REF!</v>
      </c>
      <c r="GG238" t="e">
        <f>AND(#REF!,"AAAAAF29ubw=")</f>
        <v>#REF!</v>
      </c>
      <c r="GH238" t="e">
        <f>AND(#REF!,"AAAAAF29ub0=")</f>
        <v>#REF!</v>
      </c>
      <c r="GI238" t="e">
        <f>AND(#REF!,"AAAAAF29ub4=")</f>
        <v>#REF!</v>
      </c>
      <c r="GJ238" t="e">
        <f>AND(#REF!,"AAAAAF29ub8=")</f>
        <v>#REF!</v>
      </c>
      <c r="GK238" t="e">
        <f>AND(#REF!,"AAAAAF29ucA=")</f>
        <v>#REF!</v>
      </c>
      <c r="GL238" t="e">
        <f>AND(#REF!,"AAAAAF29ucE=")</f>
        <v>#REF!</v>
      </c>
      <c r="GM238" t="e">
        <f>AND(#REF!,"AAAAAF29ucI=")</f>
        <v>#REF!</v>
      </c>
      <c r="GN238" t="e">
        <f>AND(#REF!,"AAAAAF29ucM=")</f>
        <v>#REF!</v>
      </c>
      <c r="GO238" t="e">
        <f>AND(#REF!,"AAAAAF29ucQ=")</f>
        <v>#REF!</v>
      </c>
      <c r="GP238" t="e">
        <f>AND(#REF!,"AAAAAF29ucU=")</f>
        <v>#REF!</v>
      </c>
      <c r="GQ238" t="e">
        <f>AND(#REF!,"AAAAAF29ucY=")</f>
        <v>#REF!</v>
      </c>
      <c r="GR238" t="e">
        <f>AND(#REF!,"AAAAAF29ucc=")</f>
        <v>#REF!</v>
      </c>
      <c r="GS238" t="e">
        <f>AND(#REF!,"AAAAAF29ucg=")</f>
        <v>#REF!</v>
      </c>
      <c r="GT238" t="e">
        <f>AND(#REF!,"AAAAAF29uck=")</f>
        <v>#REF!</v>
      </c>
      <c r="GU238" t="e">
        <f>AND(#REF!,"AAAAAF29uco=")</f>
        <v>#REF!</v>
      </c>
      <c r="GV238" t="e">
        <f>AND(#REF!,"AAAAAF29ucs=")</f>
        <v>#REF!</v>
      </c>
      <c r="GW238" t="e">
        <f>AND(#REF!,"AAAAAF29ucw=")</f>
        <v>#REF!</v>
      </c>
      <c r="GX238" t="e">
        <f>AND(#REF!,"AAAAAF29uc0=")</f>
        <v>#REF!</v>
      </c>
      <c r="GY238" t="e">
        <f>AND(#REF!,"AAAAAF29uc4=")</f>
        <v>#REF!</v>
      </c>
      <c r="GZ238" t="e">
        <f>AND(#REF!,"AAAAAF29uc8=")</f>
        <v>#REF!</v>
      </c>
      <c r="HA238" t="e">
        <f>AND(#REF!,"AAAAAF29udA=")</f>
        <v>#REF!</v>
      </c>
      <c r="HB238" t="e">
        <f>AND(#REF!,"AAAAAF29udE=")</f>
        <v>#REF!</v>
      </c>
      <c r="HC238" t="e">
        <f>AND(#REF!,"AAAAAF29udI=")</f>
        <v>#REF!</v>
      </c>
      <c r="HD238" t="e">
        <f>AND(#REF!,"AAAAAF29udM=")</f>
        <v>#REF!</v>
      </c>
      <c r="HE238" t="e">
        <f>AND(#REF!,"AAAAAF29udQ=")</f>
        <v>#REF!</v>
      </c>
      <c r="HF238" t="e">
        <f>AND(#REF!,"AAAAAF29udU=")</f>
        <v>#REF!</v>
      </c>
      <c r="HG238" t="e">
        <f>AND(#REF!,"AAAAAF29udY=")</f>
        <v>#REF!</v>
      </c>
      <c r="HH238" t="e">
        <f>AND(#REF!,"AAAAAF29udc=")</f>
        <v>#REF!</v>
      </c>
      <c r="HI238" t="e">
        <f>AND(#REF!,"AAAAAF29udg=")</f>
        <v>#REF!</v>
      </c>
      <c r="HJ238" t="e">
        <f>AND(#REF!,"AAAAAF29udk=")</f>
        <v>#REF!</v>
      </c>
      <c r="HK238" t="e">
        <f>AND(#REF!,"AAAAAF29udo=")</f>
        <v>#REF!</v>
      </c>
      <c r="HL238" t="e">
        <f>AND(#REF!,"AAAAAF29uds=")</f>
        <v>#REF!</v>
      </c>
      <c r="HM238" t="e">
        <f>AND(#REF!,"AAAAAF29udw=")</f>
        <v>#REF!</v>
      </c>
      <c r="HN238" t="e">
        <f>AND(#REF!,"AAAAAF29ud0=")</f>
        <v>#REF!</v>
      </c>
      <c r="HO238" t="e">
        <f>AND(#REF!,"AAAAAF29ud4=")</f>
        <v>#REF!</v>
      </c>
      <c r="HP238" t="e">
        <f>AND(#REF!,"AAAAAF29ud8=")</f>
        <v>#REF!</v>
      </c>
      <c r="HQ238" t="e">
        <f>AND(#REF!,"AAAAAF29ueA=")</f>
        <v>#REF!</v>
      </c>
      <c r="HR238" t="e">
        <f>AND(#REF!,"AAAAAF29ueE=")</f>
        <v>#REF!</v>
      </c>
      <c r="HS238" t="e">
        <f>AND(#REF!,"AAAAAF29ueI=")</f>
        <v>#REF!</v>
      </c>
      <c r="HT238" t="e">
        <f>AND(#REF!,"AAAAAF29ueM=")</f>
        <v>#REF!</v>
      </c>
      <c r="HU238" t="e">
        <f>AND(#REF!,"AAAAAF29ueQ=")</f>
        <v>#REF!</v>
      </c>
      <c r="HV238" t="e">
        <f>AND(#REF!,"AAAAAF29ueU=")</f>
        <v>#REF!</v>
      </c>
      <c r="HW238" t="e">
        <f>AND(#REF!,"AAAAAF29ueY=")</f>
        <v>#REF!</v>
      </c>
      <c r="HX238" t="e">
        <f>AND(#REF!,"AAAAAF29uec=")</f>
        <v>#REF!</v>
      </c>
      <c r="HY238" t="e">
        <f>AND(#REF!,"AAAAAF29ueg=")</f>
        <v>#REF!</v>
      </c>
      <c r="HZ238" t="e">
        <f>AND(#REF!,"AAAAAF29uek=")</f>
        <v>#REF!</v>
      </c>
      <c r="IA238" t="e">
        <f>AND(#REF!,"AAAAAF29ueo=")</f>
        <v>#REF!</v>
      </c>
      <c r="IB238" t="e">
        <f>AND(#REF!,"AAAAAF29ues=")</f>
        <v>#REF!</v>
      </c>
      <c r="IC238" t="e">
        <f>AND(#REF!,"AAAAAF29uew=")</f>
        <v>#REF!</v>
      </c>
      <c r="ID238" t="e">
        <f>AND(#REF!,"AAAAAF29ue0=")</f>
        <v>#REF!</v>
      </c>
      <c r="IE238" t="e">
        <f>AND(#REF!,"AAAAAF29ue4=")</f>
        <v>#REF!</v>
      </c>
      <c r="IF238" t="e">
        <f>AND(#REF!,"AAAAAF29ue8=")</f>
        <v>#REF!</v>
      </c>
      <c r="IG238" t="e">
        <f>AND(#REF!,"AAAAAF29ufA=")</f>
        <v>#REF!</v>
      </c>
      <c r="IH238" t="e">
        <f>AND(#REF!,"AAAAAF29ufE=")</f>
        <v>#REF!</v>
      </c>
      <c r="II238" t="e">
        <f>AND(#REF!,"AAAAAF29ufI=")</f>
        <v>#REF!</v>
      </c>
      <c r="IJ238" t="e">
        <f>AND(#REF!,"AAAAAF29ufM=")</f>
        <v>#REF!</v>
      </c>
      <c r="IK238" t="e">
        <f>AND(#REF!,"AAAAAF29ufQ=")</f>
        <v>#REF!</v>
      </c>
      <c r="IL238" t="e">
        <f>AND(#REF!,"AAAAAF29ufU=")</f>
        <v>#REF!</v>
      </c>
      <c r="IM238" t="e">
        <f>AND(#REF!,"AAAAAF29ufY=")</f>
        <v>#REF!</v>
      </c>
      <c r="IN238" t="e">
        <f>AND(#REF!,"AAAAAF29ufc=")</f>
        <v>#REF!</v>
      </c>
      <c r="IO238" t="e">
        <f>AND(#REF!,"AAAAAF29ufg=")</f>
        <v>#REF!</v>
      </c>
      <c r="IP238" t="e">
        <f>AND(#REF!,"AAAAAF29ufk=")</f>
        <v>#REF!</v>
      </c>
      <c r="IQ238" t="e">
        <f>AND(#REF!,"AAAAAF29ufo=")</f>
        <v>#REF!</v>
      </c>
      <c r="IR238" t="e">
        <f>AND(#REF!,"AAAAAF29ufs=")</f>
        <v>#REF!</v>
      </c>
      <c r="IS238" t="e">
        <f>AND(#REF!,"AAAAAF29ufw=")</f>
        <v>#REF!</v>
      </c>
      <c r="IT238" t="e">
        <f>AND(#REF!,"AAAAAF29uf0=")</f>
        <v>#REF!</v>
      </c>
      <c r="IU238" t="e">
        <f>AND(#REF!,"AAAAAF29uf4=")</f>
        <v>#REF!</v>
      </c>
      <c r="IV238" t="e">
        <f>AND(#REF!,"AAAAAF29uf8=")</f>
        <v>#REF!</v>
      </c>
    </row>
    <row r="239" spans="1:256" x14ac:dyDescent="0.25">
      <c r="A239" t="e">
        <f>AND(#REF!,"AAAAAC3nFwA=")</f>
        <v>#REF!</v>
      </c>
      <c r="B239" t="e">
        <f>AND(#REF!,"AAAAAC3nFwE=")</f>
        <v>#REF!</v>
      </c>
      <c r="C239" t="e">
        <f>AND(#REF!,"AAAAAC3nFwI=")</f>
        <v>#REF!</v>
      </c>
      <c r="D239" t="e">
        <f>AND(#REF!,"AAAAAC3nFwM=")</f>
        <v>#REF!</v>
      </c>
      <c r="E239" t="e">
        <f>AND(#REF!,"AAAAAC3nFwQ=")</f>
        <v>#REF!</v>
      </c>
      <c r="F239" t="e">
        <f>AND(#REF!,"AAAAAC3nFwU=")</f>
        <v>#REF!</v>
      </c>
      <c r="G239" t="e">
        <f>AND(#REF!,"AAAAAC3nFwY=")</f>
        <v>#REF!</v>
      </c>
      <c r="H239" t="e">
        <f>AND(#REF!,"AAAAAC3nFwc=")</f>
        <v>#REF!</v>
      </c>
      <c r="I239" t="e">
        <f>AND(#REF!,"AAAAAC3nFwg=")</f>
        <v>#REF!</v>
      </c>
      <c r="J239" t="e">
        <f>AND(#REF!,"AAAAAC3nFwk=")</f>
        <v>#REF!</v>
      </c>
      <c r="K239" t="e">
        <f>AND(#REF!,"AAAAAC3nFwo=")</f>
        <v>#REF!</v>
      </c>
      <c r="L239" t="e">
        <f>AND(#REF!,"AAAAAC3nFws=")</f>
        <v>#REF!</v>
      </c>
      <c r="M239" t="e">
        <f>AND(#REF!,"AAAAAC3nFww=")</f>
        <v>#REF!</v>
      </c>
      <c r="N239" t="e">
        <f>AND(#REF!,"AAAAAC3nFw0=")</f>
        <v>#REF!</v>
      </c>
      <c r="O239" t="e">
        <f>AND(#REF!,"AAAAAC3nFw4=")</f>
        <v>#REF!</v>
      </c>
      <c r="P239" t="e">
        <f>AND(#REF!,"AAAAAC3nFw8=")</f>
        <v>#REF!</v>
      </c>
      <c r="Q239" t="e">
        <f>AND(#REF!,"AAAAAC3nFxA=")</f>
        <v>#REF!</v>
      </c>
      <c r="R239" t="e">
        <f>AND(#REF!,"AAAAAC3nFxE=")</f>
        <v>#REF!</v>
      </c>
      <c r="S239" t="e">
        <f>AND(#REF!,"AAAAAC3nFxI=")</f>
        <v>#REF!</v>
      </c>
      <c r="T239" t="e">
        <f>AND(#REF!,"AAAAAC3nFxM=")</f>
        <v>#REF!</v>
      </c>
      <c r="U239" t="e">
        <f>AND(#REF!,"AAAAAC3nFxQ=")</f>
        <v>#REF!</v>
      </c>
      <c r="V239" t="e">
        <f>AND(#REF!,"AAAAAC3nFxU=")</f>
        <v>#REF!</v>
      </c>
      <c r="W239" t="e">
        <f>AND(#REF!,"AAAAAC3nFxY=")</f>
        <v>#REF!</v>
      </c>
      <c r="X239" t="e">
        <f>AND(#REF!,"AAAAAC3nFxc=")</f>
        <v>#REF!</v>
      </c>
      <c r="Y239" t="e">
        <f>AND(#REF!,"AAAAAC3nFxg=")</f>
        <v>#REF!</v>
      </c>
      <c r="Z239" t="e">
        <f>AND(#REF!,"AAAAAC3nFxk=")</f>
        <v>#REF!</v>
      </c>
      <c r="AA239" t="e">
        <f>AND(#REF!,"AAAAAC3nFxo=")</f>
        <v>#REF!</v>
      </c>
      <c r="AB239" t="e">
        <f>AND(#REF!,"AAAAAC3nFxs=")</f>
        <v>#REF!</v>
      </c>
      <c r="AC239" t="e">
        <f>AND(#REF!,"AAAAAC3nFxw=")</f>
        <v>#REF!</v>
      </c>
      <c r="AD239" t="e">
        <f>AND(#REF!,"AAAAAC3nFx0=")</f>
        <v>#REF!</v>
      </c>
      <c r="AE239" t="e">
        <f>AND(#REF!,"AAAAAC3nFx4=")</f>
        <v>#REF!</v>
      </c>
      <c r="AF239" t="e">
        <f>AND(#REF!,"AAAAAC3nFx8=")</f>
        <v>#REF!</v>
      </c>
      <c r="AG239" t="e">
        <f>AND(#REF!,"AAAAAC3nFyA=")</f>
        <v>#REF!</v>
      </c>
      <c r="AH239" t="e">
        <f>AND(#REF!,"AAAAAC3nFyE=")</f>
        <v>#REF!</v>
      </c>
      <c r="AI239" t="e">
        <f>AND(#REF!,"AAAAAC3nFyI=")</f>
        <v>#REF!</v>
      </c>
      <c r="AJ239" t="e">
        <f>AND(#REF!,"AAAAAC3nFyM=")</f>
        <v>#REF!</v>
      </c>
      <c r="AK239" t="e">
        <f>AND(#REF!,"AAAAAC3nFyQ=")</f>
        <v>#REF!</v>
      </c>
      <c r="AL239" t="e">
        <f>AND(#REF!,"AAAAAC3nFyU=")</f>
        <v>#REF!</v>
      </c>
      <c r="AM239" t="e">
        <f>AND(#REF!,"AAAAAC3nFyY=")</f>
        <v>#REF!</v>
      </c>
      <c r="AN239" t="e">
        <f>AND(#REF!,"AAAAAC3nFyc=")</f>
        <v>#REF!</v>
      </c>
      <c r="AO239" t="e">
        <f>AND(#REF!,"AAAAAC3nFyg=")</f>
        <v>#REF!</v>
      </c>
      <c r="AP239" t="e">
        <f>AND(#REF!,"AAAAAC3nFyk=")</f>
        <v>#REF!</v>
      </c>
      <c r="AQ239" t="e">
        <f>AND(#REF!,"AAAAAC3nFyo=")</f>
        <v>#REF!</v>
      </c>
      <c r="AR239" t="e">
        <f>AND(#REF!,"AAAAAC3nFys=")</f>
        <v>#REF!</v>
      </c>
      <c r="AS239" t="e">
        <f>AND(#REF!,"AAAAAC3nFyw=")</f>
        <v>#REF!</v>
      </c>
      <c r="AT239" t="e">
        <f>AND(#REF!,"AAAAAC3nFy0=")</f>
        <v>#REF!</v>
      </c>
      <c r="AU239" t="e">
        <f>AND(#REF!,"AAAAAC3nFy4=")</f>
        <v>#REF!</v>
      </c>
      <c r="AV239" t="e">
        <f>AND(#REF!,"AAAAAC3nFy8=")</f>
        <v>#REF!</v>
      </c>
      <c r="AW239" t="e">
        <f>AND(#REF!,"AAAAAC3nFzA=")</f>
        <v>#REF!</v>
      </c>
      <c r="AX239" t="e">
        <f>AND(#REF!,"AAAAAC3nFzE=")</f>
        <v>#REF!</v>
      </c>
      <c r="AY239" t="e">
        <f>AND(#REF!,"AAAAAC3nFzI=")</f>
        <v>#REF!</v>
      </c>
      <c r="AZ239" t="e">
        <f>AND(#REF!,"AAAAAC3nFzM=")</f>
        <v>#REF!</v>
      </c>
      <c r="BA239" t="e">
        <f>AND(#REF!,"AAAAAC3nFzQ=")</f>
        <v>#REF!</v>
      </c>
      <c r="BB239" t="e">
        <f>AND(#REF!,"AAAAAC3nFzU=")</f>
        <v>#REF!</v>
      </c>
      <c r="BC239" t="e">
        <f>AND(#REF!,"AAAAAC3nFzY=")</f>
        <v>#REF!</v>
      </c>
      <c r="BD239" t="e">
        <f>AND(#REF!,"AAAAAC3nFzc=")</f>
        <v>#REF!</v>
      </c>
      <c r="BE239" t="e">
        <f>AND(#REF!,"AAAAAC3nFzg=")</f>
        <v>#REF!</v>
      </c>
      <c r="BF239" t="e">
        <f>AND(#REF!,"AAAAAC3nFzk=")</f>
        <v>#REF!</v>
      </c>
      <c r="BG239" t="e">
        <f>AND(#REF!,"AAAAAC3nFzo=")</f>
        <v>#REF!</v>
      </c>
      <c r="BH239" t="e">
        <f>AND(#REF!,"AAAAAC3nFzs=")</f>
        <v>#REF!</v>
      </c>
      <c r="BI239" t="e">
        <f>AND(#REF!,"AAAAAC3nFzw=")</f>
        <v>#REF!</v>
      </c>
      <c r="BJ239" t="e">
        <f>AND(#REF!,"AAAAAC3nFz0=")</f>
        <v>#REF!</v>
      </c>
      <c r="BK239" t="e">
        <f>AND(#REF!,"AAAAAC3nFz4=")</f>
        <v>#REF!</v>
      </c>
      <c r="BL239" t="e">
        <f>AND(#REF!,"AAAAAC3nFz8=")</f>
        <v>#REF!</v>
      </c>
      <c r="BM239" t="e">
        <f>AND(#REF!,"AAAAAC3nF0A=")</f>
        <v>#REF!</v>
      </c>
      <c r="BN239" t="e">
        <f>AND(#REF!,"AAAAAC3nF0E=")</f>
        <v>#REF!</v>
      </c>
      <c r="BO239" t="e">
        <f>AND(#REF!,"AAAAAC3nF0I=")</f>
        <v>#REF!</v>
      </c>
      <c r="BP239" t="e">
        <f>AND(#REF!,"AAAAAC3nF0M=")</f>
        <v>#REF!</v>
      </c>
      <c r="BQ239" t="e">
        <f>AND(#REF!,"AAAAAC3nF0Q=")</f>
        <v>#REF!</v>
      </c>
      <c r="BR239" t="e">
        <f>AND(#REF!,"AAAAAC3nF0U=")</f>
        <v>#REF!</v>
      </c>
      <c r="BS239" t="e">
        <f>AND(#REF!,"AAAAAC3nF0Y=")</f>
        <v>#REF!</v>
      </c>
      <c r="BT239" t="e">
        <f>AND(#REF!,"AAAAAC3nF0c=")</f>
        <v>#REF!</v>
      </c>
      <c r="BU239" t="e">
        <f>AND(#REF!,"AAAAAC3nF0g=")</f>
        <v>#REF!</v>
      </c>
      <c r="BV239" t="e">
        <f>AND(#REF!,"AAAAAC3nF0k=")</f>
        <v>#REF!</v>
      </c>
      <c r="BW239" t="e">
        <f>AND(#REF!,"AAAAAC3nF0o=")</f>
        <v>#REF!</v>
      </c>
      <c r="BX239" t="e">
        <f>AND(#REF!,"AAAAAC3nF0s=")</f>
        <v>#REF!</v>
      </c>
      <c r="BY239" t="e">
        <f>AND(#REF!,"AAAAAC3nF0w=")</f>
        <v>#REF!</v>
      </c>
      <c r="BZ239" t="e">
        <f>AND(#REF!,"AAAAAC3nF00=")</f>
        <v>#REF!</v>
      </c>
      <c r="CA239" t="e">
        <f>AND(#REF!,"AAAAAC3nF04=")</f>
        <v>#REF!</v>
      </c>
      <c r="CB239" t="e">
        <f>AND(#REF!,"AAAAAC3nF08=")</f>
        <v>#REF!</v>
      </c>
      <c r="CC239" t="e">
        <f>AND(#REF!,"AAAAAC3nF1A=")</f>
        <v>#REF!</v>
      </c>
      <c r="CD239" t="e">
        <f>AND(#REF!,"AAAAAC3nF1E=")</f>
        <v>#REF!</v>
      </c>
      <c r="CE239" t="e">
        <f>AND(#REF!,"AAAAAC3nF1I=")</f>
        <v>#REF!</v>
      </c>
      <c r="CF239" t="e">
        <f>AND(#REF!,"AAAAAC3nF1M=")</f>
        <v>#REF!</v>
      </c>
      <c r="CG239" t="e">
        <f>AND(#REF!,"AAAAAC3nF1Q=")</f>
        <v>#REF!</v>
      </c>
      <c r="CH239" t="e">
        <f>AND(#REF!,"AAAAAC3nF1U=")</f>
        <v>#REF!</v>
      </c>
      <c r="CI239" t="e">
        <f>AND(#REF!,"AAAAAC3nF1Y=")</f>
        <v>#REF!</v>
      </c>
      <c r="CJ239" t="e">
        <f>AND(#REF!,"AAAAAC3nF1c=")</f>
        <v>#REF!</v>
      </c>
      <c r="CK239" t="e">
        <f>AND(#REF!,"AAAAAC3nF1g=")</f>
        <v>#REF!</v>
      </c>
      <c r="CL239" t="e">
        <f>AND(#REF!,"AAAAAC3nF1k=")</f>
        <v>#REF!</v>
      </c>
      <c r="CM239" t="e">
        <f>AND(#REF!,"AAAAAC3nF1o=")</f>
        <v>#REF!</v>
      </c>
      <c r="CN239" t="e">
        <f>AND(#REF!,"AAAAAC3nF1s=")</f>
        <v>#REF!</v>
      </c>
      <c r="CO239" t="e">
        <f>AND(#REF!,"AAAAAC3nF1w=")</f>
        <v>#REF!</v>
      </c>
      <c r="CP239" t="e">
        <f>AND(#REF!,"AAAAAC3nF10=")</f>
        <v>#REF!</v>
      </c>
      <c r="CQ239" t="e">
        <f>AND(#REF!,"AAAAAC3nF14=")</f>
        <v>#REF!</v>
      </c>
      <c r="CR239" t="e">
        <f>AND(#REF!,"AAAAAC3nF18=")</f>
        <v>#REF!</v>
      </c>
      <c r="CS239" t="e">
        <f>AND(#REF!,"AAAAAC3nF2A=")</f>
        <v>#REF!</v>
      </c>
      <c r="CT239" t="e">
        <f>AND(#REF!,"AAAAAC3nF2E=")</f>
        <v>#REF!</v>
      </c>
      <c r="CU239" t="e">
        <f>AND(#REF!,"AAAAAC3nF2I=")</f>
        <v>#REF!</v>
      </c>
      <c r="CV239" t="e">
        <f>AND(#REF!,"AAAAAC3nF2M=")</f>
        <v>#REF!</v>
      </c>
      <c r="CW239" t="e">
        <f>AND(#REF!,"AAAAAC3nF2Q=")</f>
        <v>#REF!</v>
      </c>
      <c r="CX239" t="e">
        <f>AND(#REF!,"AAAAAC3nF2U=")</f>
        <v>#REF!</v>
      </c>
      <c r="CY239" t="e">
        <f>AND(#REF!,"AAAAAC3nF2Y=")</f>
        <v>#REF!</v>
      </c>
      <c r="CZ239" t="e">
        <f>AND(#REF!,"AAAAAC3nF2c=")</f>
        <v>#REF!</v>
      </c>
      <c r="DA239" t="e">
        <f>AND(#REF!,"AAAAAC3nF2g=")</f>
        <v>#REF!</v>
      </c>
      <c r="DB239" t="e">
        <f>AND(#REF!,"AAAAAC3nF2k=")</f>
        <v>#REF!</v>
      </c>
      <c r="DC239" t="e">
        <f>AND(#REF!,"AAAAAC3nF2o=")</f>
        <v>#REF!</v>
      </c>
      <c r="DD239" t="e">
        <f>AND(#REF!,"AAAAAC3nF2s=")</f>
        <v>#REF!</v>
      </c>
      <c r="DE239" t="e">
        <f>AND(#REF!,"AAAAAC3nF2w=")</f>
        <v>#REF!</v>
      </c>
      <c r="DF239" t="e">
        <f>AND(#REF!,"AAAAAC3nF20=")</f>
        <v>#REF!</v>
      </c>
      <c r="DG239" t="e">
        <f>AND(#REF!,"AAAAAC3nF24=")</f>
        <v>#REF!</v>
      </c>
      <c r="DH239" t="e">
        <f>IF(#REF!,"AAAAAC3nF28=",0)</f>
        <v>#REF!</v>
      </c>
      <c r="DI239" t="e">
        <f>AND(#REF!,"AAAAAC3nF3A=")</f>
        <v>#REF!</v>
      </c>
      <c r="DJ239" t="e">
        <f>AND(#REF!,"AAAAAC3nF3E=")</f>
        <v>#REF!</v>
      </c>
      <c r="DK239" t="e">
        <f>AND(#REF!,"AAAAAC3nF3I=")</f>
        <v>#REF!</v>
      </c>
      <c r="DL239" t="e">
        <f>AND(#REF!,"AAAAAC3nF3M=")</f>
        <v>#REF!</v>
      </c>
      <c r="DM239" t="e">
        <f>AND(#REF!,"AAAAAC3nF3Q=")</f>
        <v>#REF!</v>
      </c>
      <c r="DN239" t="e">
        <f>AND(#REF!,"AAAAAC3nF3U=")</f>
        <v>#REF!</v>
      </c>
      <c r="DO239" t="e">
        <f>AND(#REF!,"AAAAAC3nF3Y=")</f>
        <v>#REF!</v>
      </c>
      <c r="DP239" t="e">
        <f>AND(#REF!,"AAAAAC3nF3c=")</f>
        <v>#REF!</v>
      </c>
      <c r="DQ239" t="e">
        <f>AND(#REF!,"AAAAAC3nF3g=")</f>
        <v>#REF!</v>
      </c>
      <c r="DR239" t="e">
        <f>AND(#REF!,"AAAAAC3nF3k=")</f>
        <v>#REF!</v>
      </c>
      <c r="DS239" t="e">
        <f>AND(#REF!,"AAAAAC3nF3o=")</f>
        <v>#REF!</v>
      </c>
      <c r="DT239" t="e">
        <f>AND(#REF!,"AAAAAC3nF3s=")</f>
        <v>#REF!</v>
      </c>
      <c r="DU239" t="e">
        <f>AND(#REF!,"AAAAAC3nF3w=")</f>
        <v>#REF!</v>
      </c>
      <c r="DV239" t="e">
        <f>AND(#REF!,"AAAAAC3nF30=")</f>
        <v>#REF!</v>
      </c>
      <c r="DW239" t="e">
        <f>AND(#REF!,"AAAAAC3nF34=")</f>
        <v>#REF!</v>
      </c>
      <c r="DX239" t="e">
        <f>AND(#REF!,"AAAAAC3nF38=")</f>
        <v>#REF!</v>
      </c>
      <c r="DY239" t="e">
        <f>AND(#REF!,"AAAAAC3nF4A=")</f>
        <v>#REF!</v>
      </c>
      <c r="DZ239" t="e">
        <f>AND(#REF!,"AAAAAC3nF4E=")</f>
        <v>#REF!</v>
      </c>
      <c r="EA239" t="e">
        <f>AND(#REF!,"AAAAAC3nF4I=")</f>
        <v>#REF!</v>
      </c>
      <c r="EB239" t="e">
        <f>AND(#REF!,"AAAAAC3nF4M=")</f>
        <v>#REF!</v>
      </c>
      <c r="EC239" t="e">
        <f>AND(#REF!,"AAAAAC3nF4Q=")</f>
        <v>#REF!</v>
      </c>
      <c r="ED239" t="e">
        <f>AND(#REF!,"AAAAAC3nF4U=")</f>
        <v>#REF!</v>
      </c>
      <c r="EE239" t="e">
        <f>AND(#REF!,"AAAAAC3nF4Y=")</f>
        <v>#REF!</v>
      </c>
      <c r="EF239" t="e">
        <f>AND(#REF!,"AAAAAC3nF4c=")</f>
        <v>#REF!</v>
      </c>
      <c r="EG239" t="e">
        <f>AND(#REF!,"AAAAAC3nF4g=")</f>
        <v>#REF!</v>
      </c>
      <c r="EH239" t="e">
        <f>AND(#REF!,"AAAAAC3nF4k=")</f>
        <v>#REF!</v>
      </c>
      <c r="EI239" t="e">
        <f>AND(#REF!,"AAAAAC3nF4o=")</f>
        <v>#REF!</v>
      </c>
      <c r="EJ239" t="e">
        <f>AND(#REF!,"AAAAAC3nF4s=")</f>
        <v>#REF!</v>
      </c>
      <c r="EK239" t="e">
        <f>AND(#REF!,"AAAAAC3nF4w=")</f>
        <v>#REF!</v>
      </c>
      <c r="EL239" t="e">
        <f>AND(#REF!,"AAAAAC3nF40=")</f>
        <v>#REF!</v>
      </c>
      <c r="EM239" t="e">
        <f>AND(#REF!,"AAAAAC3nF44=")</f>
        <v>#REF!</v>
      </c>
      <c r="EN239" t="e">
        <f>AND(#REF!,"AAAAAC3nF48=")</f>
        <v>#REF!</v>
      </c>
      <c r="EO239" t="e">
        <f>AND(#REF!,"AAAAAC3nF5A=")</f>
        <v>#REF!</v>
      </c>
      <c r="EP239" t="e">
        <f>AND(#REF!,"AAAAAC3nF5E=")</f>
        <v>#REF!</v>
      </c>
      <c r="EQ239" t="e">
        <f>AND(#REF!,"AAAAAC3nF5I=")</f>
        <v>#REF!</v>
      </c>
      <c r="ER239" t="e">
        <f>AND(#REF!,"AAAAAC3nF5M=")</f>
        <v>#REF!</v>
      </c>
      <c r="ES239" t="e">
        <f>AND(#REF!,"AAAAAC3nF5Q=")</f>
        <v>#REF!</v>
      </c>
      <c r="ET239" t="e">
        <f>AND(#REF!,"AAAAAC3nF5U=")</f>
        <v>#REF!</v>
      </c>
      <c r="EU239" t="e">
        <f>AND(#REF!,"AAAAAC3nF5Y=")</f>
        <v>#REF!</v>
      </c>
      <c r="EV239" t="e">
        <f>AND(#REF!,"AAAAAC3nF5c=")</f>
        <v>#REF!</v>
      </c>
      <c r="EW239" t="e">
        <f>AND(#REF!,"AAAAAC3nF5g=")</f>
        <v>#REF!</v>
      </c>
      <c r="EX239" t="e">
        <f>AND(#REF!,"AAAAAC3nF5k=")</f>
        <v>#REF!</v>
      </c>
      <c r="EY239" t="e">
        <f>AND(#REF!,"AAAAAC3nF5o=")</f>
        <v>#REF!</v>
      </c>
      <c r="EZ239" t="e">
        <f>AND(#REF!,"AAAAAC3nF5s=")</f>
        <v>#REF!</v>
      </c>
      <c r="FA239" t="e">
        <f>AND(#REF!,"AAAAAC3nF5w=")</f>
        <v>#REF!</v>
      </c>
      <c r="FB239" t="e">
        <f>AND(#REF!,"AAAAAC3nF50=")</f>
        <v>#REF!</v>
      </c>
      <c r="FC239" t="e">
        <f>AND(#REF!,"AAAAAC3nF54=")</f>
        <v>#REF!</v>
      </c>
      <c r="FD239" t="e">
        <f>AND(#REF!,"AAAAAC3nF58=")</f>
        <v>#REF!</v>
      </c>
      <c r="FE239" t="e">
        <f>AND(#REF!,"AAAAAC3nF6A=")</f>
        <v>#REF!</v>
      </c>
      <c r="FF239" t="e">
        <f>AND(#REF!,"AAAAAC3nF6E=")</f>
        <v>#REF!</v>
      </c>
      <c r="FG239" t="e">
        <f>AND(#REF!,"AAAAAC3nF6I=")</f>
        <v>#REF!</v>
      </c>
      <c r="FH239" t="e">
        <f>AND(#REF!,"AAAAAC3nF6M=")</f>
        <v>#REF!</v>
      </c>
      <c r="FI239" t="e">
        <f>AND(#REF!,"AAAAAC3nF6Q=")</f>
        <v>#REF!</v>
      </c>
      <c r="FJ239" t="e">
        <f>AND(#REF!,"AAAAAC3nF6U=")</f>
        <v>#REF!</v>
      </c>
      <c r="FK239" t="e">
        <f>AND(#REF!,"AAAAAC3nF6Y=")</f>
        <v>#REF!</v>
      </c>
      <c r="FL239" t="e">
        <f>AND(#REF!,"AAAAAC3nF6c=")</f>
        <v>#REF!</v>
      </c>
      <c r="FM239" t="e">
        <f>AND(#REF!,"AAAAAC3nF6g=")</f>
        <v>#REF!</v>
      </c>
      <c r="FN239" t="e">
        <f>AND(#REF!,"AAAAAC3nF6k=")</f>
        <v>#REF!</v>
      </c>
      <c r="FO239" t="e">
        <f>AND(#REF!,"AAAAAC3nF6o=")</f>
        <v>#REF!</v>
      </c>
      <c r="FP239" t="e">
        <f>AND(#REF!,"AAAAAC3nF6s=")</f>
        <v>#REF!</v>
      </c>
      <c r="FQ239" t="e">
        <f>AND(#REF!,"AAAAAC3nF6w=")</f>
        <v>#REF!</v>
      </c>
      <c r="FR239" t="e">
        <f>AND(#REF!,"AAAAAC3nF60=")</f>
        <v>#REF!</v>
      </c>
      <c r="FS239" t="e">
        <f>AND(#REF!,"AAAAAC3nF64=")</f>
        <v>#REF!</v>
      </c>
      <c r="FT239" t="e">
        <f>AND(#REF!,"AAAAAC3nF68=")</f>
        <v>#REF!</v>
      </c>
      <c r="FU239" t="e">
        <f>AND(#REF!,"AAAAAC3nF7A=")</f>
        <v>#REF!</v>
      </c>
      <c r="FV239" t="e">
        <f>AND(#REF!,"AAAAAC3nF7E=")</f>
        <v>#REF!</v>
      </c>
      <c r="FW239" t="e">
        <f>AND(#REF!,"AAAAAC3nF7I=")</f>
        <v>#REF!</v>
      </c>
      <c r="FX239" t="e">
        <f>AND(#REF!,"AAAAAC3nF7M=")</f>
        <v>#REF!</v>
      </c>
      <c r="FY239" t="e">
        <f>AND(#REF!,"AAAAAC3nF7Q=")</f>
        <v>#REF!</v>
      </c>
      <c r="FZ239" t="e">
        <f>AND(#REF!,"AAAAAC3nF7U=")</f>
        <v>#REF!</v>
      </c>
      <c r="GA239" t="e">
        <f>AND(#REF!,"AAAAAC3nF7Y=")</f>
        <v>#REF!</v>
      </c>
      <c r="GB239" t="e">
        <f>AND(#REF!,"AAAAAC3nF7c=")</f>
        <v>#REF!</v>
      </c>
      <c r="GC239" t="e">
        <f>AND(#REF!,"AAAAAC3nF7g=")</f>
        <v>#REF!</v>
      </c>
      <c r="GD239" t="e">
        <f>AND(#REF!,"AAAAAC3nF7k=")</f>
        <v>#REF!</v>
      </c>
      <c r="GE239" t="e">
        <f>AND(#REF!,"AAAAAC3nF7o=")</f>
        <v>#REF!</v>
      </c>
      <c r="GF239" t="e">
        <f>AND(#REF!,"AAAAAC3nF7s=")</f>
        <v>#REF!</v>
      </c>
      <c r="GG239" t="e">
        <f>AND(#REF!,"AAAAAC3nF7w=")</f>
        <v>#REF!</v>
      </c>
      <c r="GH239" t="e">
        <f>AND(#REF!,"AAAAAC3nF70=")</f>
        <v>#REF!</v>
      </c>
      <c r="GI239" t="e">
        <f>AND(#REF!,"AAAAAC3nF74=")</f>
        <v>#REF!</v>
      </c>
      <c r="GJ239" t="e">
        <f>AND(#REF!,"AAAAAC3nF78=")</f>
        <v>#REF!</v>
      </c>
      <c r="GK239" t="e">
        <f>AND(#REF!,"AAAAAC3nF8A=")</f>
        <v>#REF!</v>
      </c>
      <c r="GL239" t="e">
        <f>AND(#REF!,"AAAAAC3nF8E=")</f>
        <v>#REF!</v>
      </c>
      <c r="GM239" t="e">
        <f>AND(#REF!,"AAAAAC3nF8I=")</f>
        <v>#REF!</v>
      </c>
      <c r="GN239" t="e">
        <f>AND(#REF!,"AAAAAC3nF8M=")</f>
        <v>#REF!</v>
      </c>
      <c r="GO239" t="e">
        <f>AND(#REF!,"AAAAAC3nF8Q=")</f>
        <v>#REF!</v>
      </c>
      <c r="GP239" t="e">
        <f>AND(#REF!,"AAAAAC3nF8U=")</f>
        <v>#REF!</v>
      </c>
      <c r="GQ239" t="e">
        <f>AND(#REF!,"AAAAAC3nF8Y=")</f>
        <v>#REF!</v>
      </c>
      <c r="GR239" t="e">
        <f>AND(#REF!,"AAAAAC3nF8c=")</f>
        <v>#REF!</v>
      </c>
      <c r="GS239" t="e">
        <f>AND(#REF!,"AAAAAC3nF8g=")</f>
        <v>#REF!</v>
      </c>
      <c r="GT239" t="e">
        <f>AND(#REF!,"AAAAAC3nF8k=")</f>
        <v>#REF!</v>
      </c>
      <c r="GU239" t="e">
        <f>AND(#REF!,"AAAAAC3nF8o=")</f>
        <v>#REF!</v>
      </c>
      <c r="GV239" t="e">
        <f>AND(#REF!,"AAAAAC3nF8s=")</f>
        <v>#REF!</v>
      </c>
      <c r="GW239" t="e">
        <f>AND(#REF!,"AAAAAC3nF8w=")</f>
        <v>#REF!</v>
      </c>
      <c r="GX239" t="e">
        <f>AND(#REF!,"AAAAAC3nF80=")</f>
        <v>#REF!</v>
      </c>
      <c r="GY239" t="e">
        <f>AND(#REF!,"AAAAAC3nF84=")</f>
        <v>#REF!</v>
      </c>
      <c r="GZ239" t="e">
        <f>AND(#REF!,"AAAAAC3nF88=")</f>
        <v>#REF!</v>
      </c>
      <c r="HA239" t="e">
        <f>AND(#REF!,"AAAAAC3nF9A=")</f>
        <v>#REF!</v>
      </c>
      <c r="HB239" t="e">
        <f>AND(#REF!,"AAAAAC3nF9E=")</f>
        <v>#REF!</v>
      </c>
      <c r="HC239" t="e">
        <f>AND(#REF!,"AAAAAC3nF9I=")</f>
        <v>#REF!</v>
      </c>
      <c r="HD239" t="e">
        <f>AND(#REF!,"AAAAAC3nF9M=")</f>
        <v>#REF!</v>
      </c>
      <c r="HE239" t="e">
        <f>AND(#REF!,"AAAAAC3nF9Q=")</f>
        <v>#REF!</v>
      </c>
      <c r="HF239" t="e">
        <f>AND(#REF!,"AAAAAC3nF9U=")</f>
        <v>#REF!</v>
      </c>
      <c r="HG239" t="e">
        <f>AND(#REF!,"AAAAAC3nF9Y=")</f>
        <v>#REF!</v>
      </c>
      <c r="HH239" t="e">
        <f>AND(#REF!,"AAAAAC3nF9c=")</f>
        <v>#REF!</v>
      </c>
      <c r="HI239" t="e">
        <f>AND(#REF!,"AAAAAC3nF9g=")</f>
        <v>#REF!</v>
      </c>
      <c r="HJ239" t="e">
        <f>AND(#REF!,"AAAAAC3nF9k=")</f>
        <v>#REF!</v>
      </c>
      <c r="HK239" t="e">
        <f>AND(#REF!,"AAAAAC3nF9o=")</f>
        <v>#REF!</v>
      </c>
      <c r="HL239" t="e">
        <f>AND(#REF!,"AAAAAC3nF9s=")</f>
        <v>#REF!</v>
      </c>
      <c r="HM239" t="e">
        <f>AND(#REF!,"AAAAAC3nF9w=")</f>
        <v>#REF!</v>
      </c>
      <c r="HN239" t="e">
        <f>AND(#REF!,"AAAAAC3nF90=")</f>
        <v>#REF!</v>
      </c>
      <c r="HO239" t="e">
        <f>AND(#REF!,"AAAAAC3nF94=")</f>
        <v>#REF!</v>
      </c>
      <c r="HP239" t="e">
        <f>AND(#REF!,"AAAAAC3nF98=")</f>
        <v>#REF!</v>
      </c>
      <c r="HQ239" t="e">
        <f>AND(#REF!,"AAAAAC3nF+A=")</f>
        <v>#REF!</v>
      </c>
      <c r="HR239" t="e">
        <f>AND(#REF!,"AAAAAC3nF+E=")</f>
        <v>#REF!</v>
      </c>
      <c r="HS239" t="e">
        <f>AND(#REF!,"AAAAAC3nF+I=")</f>
        <v>#REF!</v>
      </c>
      <c r="HT239" t="e">
        <f>AND(#REF!,"AAAAAC3nF+M=")</f>
        <v>#REF!</v>
      </c>
      <c r="HU239" t="e">
        <f>AND(#REF!,"AAAAAC3nF+Q=")</f>
        <v>#REF!</v>
      </c>
      <c r="HV239" t="e">
        <f>AND(#REF!,"AAAAAC3nF+U=")</f>
        <v>#REF!</v>
      </c>
      <c r="HW239" t="e">
        <f>AND(#REF!,"AAAAAC3nF+Y=")</f>
        <v>#REF!</v>
      </c>
      <c r="HX239" t="e">
        <f>AND(#REF!,"AAAAAC3nF+c=")</f>
        <v>#REF!</v>
      </c>
      <c r="HY239" t="e">
        <f>AND(#REF!,"AAAAAC3nF+g=")</f>
        <v>#REF!</v>
      </c>
      <c r="HZ239" t="e">
        <f>AND(#REF!,"AAAAAC3nF+k=")</f>
        <v>#REF!</v>
      </c>
      <c r="IA239" t="e">
        <f>AND(#REF!,"AAAAAC3nF+o=")</f>
        <v>#REF!</v>
      </c>
      <c r="IB239" t="e">
        <f>AND(#REF!,"AAAAAC3nF+s=")</f>
        <v>#REF!</v>
      </c>
      <c r="IC239" t="e">
        <f>AND(#REF!,"AAAAAC3nF+w=")</f>
        <v>#REF!</v>
      </c>
      <c r="ID239" t="e">
        <f>AND(#REF!,"AAAAAC3nF+0=")</f>
        <v>#REF!</v>
      </c>
      <c r="IE239" t="e">
        <f>AND(#REF!,"AAAAAC3nF+4=")</f>
        <v>#REF!</v>
      </c>
      <c r="IF239" t="e">
        <f>AND(#REF!,"AAAAAC3nF+8=")</f>
        <v>#REF!</v>
      </c>
      <c r="IG239" t="e">
        <f>AND(#REF!,"AAAAAC3nF/A=")</f>
        <v>#REF!</v>
      </c>
      <c r="IH239" t="e">
        <f>AND(#REF!,"AAAAAC3nF/E=")</f>
        <v>#REF!</v>
      </c>
      <c r="II239" t="e">
        <f>AND(#REF!,"AAAAAC3nF/I=")</f>
        <v>#REF!</v>
      </c>
      <c r="IJ239" t="e">
        <f>AND(#REF!,"AAAAAC3nF/M=")</f>
        <v>#REF!</v>
      </c>
      <c r="IK239" t="e">
        <f>AND(#REF!,"AAAAAC3nF/Q=")</f>
        <v>#REF!</v>
      </c>
      <c r="IL239" t="e">
        <f>AND(#REF!,"AAAAAC3nF/U=")</f>
        <v>#REF!</v>
      </c>
      <c r="IM239" t="e">
        <f>AND(#REF!,"AAAAAC3nF/Y=")</f>
        <v>#REF!</v>
      </c>
      <c r="IN239" t="e">
        <f>AND(#REF!,"AAAAAC3nF/c=")</f>
        <v>#REF!</v>
      </c>
      <c r="IO239" t="e">
        <f>AND(#REF!,"AAAAAC3nF/g=")</f>
        <v>#REF!</v>
      </c>
      <c r="IP239" t="e">
        <f>AND(#REF!,"AAAAAC3nF/k=")</f>
        <v>#REF!</v>
      </c>
      <c r="IQ239" t="e">
        <f>AND(#REF!,"AAAAAC3nF/o=")</f>
        <v>#REF!</v>
      </c>
      <c r="IR239" t="e">
        <f>AND(#REF!,"AAAAAC3nF/s=")</f>
        <v>#REF!</v>
      </c>
      <c r="IS239" t="e">
        <f>AND(#REF!,"AAAAAC3nF/w=")</f>
        <v>#REF!</v>
      </c>
      <c r="IT239" t="e">
        <f>AND(#REF!,"AAAAAC3nF/0=")</f>
        <v>#REF!</v>
      </c>
      <c r="IU239" t="e">
        <f>AND(#REF!,"AAAAAC3nF/4=")</f>
        <v>#REF!</v>
      </c>
      <c r="IV239" t="e">
        <f>AND(#REF!,"AAAAAC3nF/8=")</f>
        <v>#REF!</v>
      </c>
    </row>
    <row r="240" spans="1:256" x14ac:dyDescent="0.25">
      <c r="A240" t="e">
        <f>AND(#REF!,"AAAAAH9tmAA=")</f>
        <v>#REF!</v>
      </c>
      <c r="B240" t="e">
        <f>AND(#REF!,"AAAAAH9tmAE=")</f>
        <v>#REF!</v>
      </c>
      <c r="C240" t="e">
        <f>AND(#REF!,"AAAAAH9tmAI=")</f>
        <v>#REF!</v>
      </c>
      <c r="D240" t="e">
        <f>AND(#REF!,"AAAAAH9tmAM=")</f>
        <v>#REF!</v>
      </c>
      <c r="E240" t="e">
        <f>AND(#REF!,"AAAAAH9tmAQ=")</f>
        <v>#REF!</v>
      </c>
      <c r="F240" t="e">
        <f>AND(#REF!,"AAAAAH9tmAU=")</f>
        <v>#REF!</v>
      </c>
      <c r="G240" t="e">
        <f>AND(#REF!,"AAAAAH9tmAY=")</f>
        <v>#REF!</v>
      </c>
      <c r="H240" t="e">
        <f>AND(#REF!,"AAAAAH9tmAc=")</f>
        <v>#REF!</v>
      </c>
      <c r="I240" t="e">
        <f>AND(#REF!,"AAAAAH9tmAg=")</f>
        <v>#REF!</v>
      </c>
      <c r="J240" t="e">
        <f>AND(#REF!,"AAAAAH9tmAk=")</f>
        <v>#REF!</v>
      </c>
      <c r="K240" t="e">
        <f>AND(#REF!,"AAAAAH9tmAo=")</f>
        <v>#REF!</v>
      </c>
      <c r="L240" t="e">
        <f>AND(#REF!,"AAAAAH9tmAs=")</f>
        <v>#REF!</v>
      </c>
      <c r="M240" t="e">
        <f>AND(#REF!,"AAAAAH9tmAw=")</f>
        <v>#REF!</v>
      </c>
      <c r="N240" t="e">
        <f>AND(#REF!,"AAAAAH9tmA0=")</f>
        <v>#REF!</v>
      </c>
      <c r="O240" t="e">
        <f>AND(#REF!,"AAAAAH9tmA4=")</f>
        <v>#REF!</v>
      </c>
      <c r="P240" t="e">
        <f>AND(#REF!,"AAAAAH9tmA8=")</f>
        <v>#REF!</v>
      </c>
      <c r="Q240" t="e">
        <f>AND(#REF!,"AAAAAH9tmBA=")</f>
        <v>#REF!</v>
      </c>
      <c r="R240" t="e">
        <f>AND(#REF!,"AAAAAH9tmBE=")</f>
        <v>#REF!</v>
      </c>
      <c r="S240" t="e">
        <f>AND(#REF!,"AAAAAH9tmBI=")</f>
        <v>#REF!</v>
      </c>
      <c r="T240" t="e">
        <f>AND(#REF!,"AAAAAH9tmBM=")</f>
        <v>#REF!</v>
      </c>
      <c r="U240" t="e">
        <f>AND(#REF!,"AAAAAH9tmBQ=")</f>
        <v>#REF!</v>
      </c>
      <c r="V240" t="e">
        <f>AND(#REF!,"AAAAAH9tmBU=")</f>
        <v>#REF!</v>
      </c>
      <c r="W240" t="e">
        <f>AND(#REF!,"AAAAAH9tmBY=")</f>
        <v>#REF!</v>
      </c>
      <c r="X240" t="e">
        <f>AND(#REF!,"AAAAAH9tmBc=")</f>
        <v>#REF!</v>
      </c>
      <c r="Y240" t="e">
        <f>AND(#REF!,"AAAAAH9tmBg=")</f>
        <v>#REF!</v>
      </c>
      <c r="Z240" t="e">
        <f>AND(#REF!,"AAAAAH9tmBk=")</f>
        <v>#REF!</v>
      </c>
      <c r="AA240" t="e">
        <f>AND(#REF!,"AAAAAH9tmBo=")</f>
        <v>#REF!</v>
      </c>
      <c r="AB240" t="e">
        <f>AND(#REF!,"AAAAAH9tmBs=")</f>
        <v>#REF!</v>
      </c>
      <c r="AC240" t="e">
        <f>AND(#REF!,"AAAAAH9tmBw=")</f>
        <v>#REF!</v>
      </c>
      <c r="AD240" t="e">
        <f>AND(#REF!,"AAAAAH9tmB0=")</f>
        <v>#REF!</v>
      </c>
      <c r="AE240" t="e">
        <f>AND(#REF!,"AAAAAH9tmB4=")</f>
        <v>#REF!</v>
      </c>
      <c r="AF240" t="e">
        <f>AND(#REF!,"AAAAAH9tmB8=")</f>
        <v>#REF!</v>
      </c>
      <c r="AG240" t="e">
        <f>AND(#REF!,"AAAAAH9tmCA=")</f>
        <v>#REF!</v>
      </c>
      <c r="AH240" t="e">
        <f>AND(#REF!,"AAAAAH9tmCE=")</f>
        <v>#REF!</v>
      </c>
      <c r="AI240" t="e">
        <f>AND(#REF!,"AAAAAH9tmCI=")</f>
        <v>#REF!</v>
      </c>
      <c r="AJ240" t="e">
        <f>AND(#REF!,"AAAAAH9tmCM=")</f>
        <v>#REF!</v>
      </c>
      <c r="AK240" t="e">
        <f>AND(#REF!,"AAAAAH9tmCQ=")</f>
        <v>#REF!</v>
      </c>
      <c r="AL240" t="e">
        <f>AND(#REF!,"AAAAAH9tmCU=")</f>
        <v>#REF!</v>
      </c>
      <c r="AM240" t="e">
        <f>AND(#REF!,"AAAAAH9tmCY=")</f>
        <v>#REF!</v>
      </c>
      <c r="AN240" t="e">
        <f>AND(#REF!,"AAAAAH9tmCc=")</f>
        <v>#REF!</v>
      </c>
      <c r="AO240" t="e">
        <f>AND(#REF!,"AAAAAH9tmCg=")</f>
        <v>#REF!</v>
      </c>
      <c r="AP240" t="e">
        <f>AND(#REF!,"AAAAAH9tmCk=")</f>
        <v>#REF!</v>
      </c>
      <c r="AQ240" t="e">
        <f>AND(#REF!,"AAAAAH9tmCo=")</f>
        <v>#REF!</v>
      </c>
      <c r="AR240" t="e">
        <f>AND(#REF!,"AAAAAH9tmCs=")</f>
        <v>#REF!</v>
      </c>
      <c r="AS240" t="e">
        <f>IF(#REF!,"AAAAAH9tmCw=",0)</f>
        <v>#REF!</v>
      </c>
      <c r="AT240" t="e">
        <f>AND(#REF!,"AAAAAH9tmC0=")</f>
        <v>#REF!</v>
      </c>
      <c r="AU240" t="e">
        <f>AND(#REF!,"AAAAAH9tmC4=")</f>
        <v>#REF!</v>
      </c>
      <c r="AV240" t="e">
        <f>AND(#REF!,"AAAAAH9tmC8=")</f>
        <v>#REF!</v>
      </c>
      <c r="AW240" t="e">
        <f>AND(#REF!,"AAAAAH9tmDA=")</f>
        <v>#REF!</v>
      </c>
      <c r="AX240" t="e">
        <f>AND(#REF!,"AAAAAH9tmDE=")</f>
        <v>#REF!</v>
      </c>
      <c r="AY240" t="e">
        <f>AND(#REF!,"AAAAAH9tmDI=")</f>
        <v>#REF!</v>
      </c>
      <c r="AZ240" t="e">
        <f>AND(#REF!,"AAAAAH9tmDM=")</f>
        <v>#REF!</v>
      </c>
      <c r="BA240" t="e">
        <f>AND(#REF!,"AAAAAH9tmDQ=")</f>
        <v>#REF!</v>
      </c>
      <c r="BB240" t="e">
        <f>AND(#REF!,"AAAAAH9tmDU=")</f>
        <v>#REF!</v>
      </c>
      <c r="BC240" t="e">
        <f>AND(#REF!,"AAAAAH9tmDY=")</f>
        <v>#REF!</v>
      </c>
      <c r="BD240" t="e">
        <f>AND(#REF!,"AAAAAH9tmDc=")</f>
        <v>#REF!</v>
      </c>
      <c r="BE240" t="e">
        <f>AND(#REF!,"AAAAAH9tmDg=")</f>
        <v>#REF!</v>
      </c>
      <c r="BF240" t="e">
        <f>AND(#REF!,"AAAAAH9tmDk=")</f>
        <v>#REF!</v>
      </c>
      <c r="BG240" t="e">
        <f>AND(#REF!,"AAAAAH9tmDo=")</f>
        <v>#REF!</v>
      </c>
      <c r="BH240" t="e">
        <f>AND(#REF!,"AAAAAH9tmDs=")</f>
        <v>#REF!</v>
      </c>
      <c r="BI240" t="e">
        <f>AND(#REF!,"AAAAAH9tmDw=")</f>
        <v>#REF!</v>
      </c>
      <c r="BJ240" t="e">
        <f>AND(#REF!,"AAAAAH9tmD0=")</f>
        <v>#REF!</v>
      </c>
      <c r="BK240" t="e">
        <f>AND(#REF!,"AAAAAH9tmD4=")</f>
        <v>#REF!</v>
      </c>
      <c r="BL240" t="e">
        <f>AND(#REF!,"AAAAAH9tmD8=")</f>
        <v>#REF!</v>
      </c>
      <c r="BM240" t="e">
        <f>AND(#REF!,"AAAAAH9tmEA=")</f>
        <v>#REF!</v>
      </c>
      <c r="BN240" t="e">
        <f>AND(#REF!,"AAAAAH9tmEE=")</f>
        <v>#REF!</v>
      </c>
      <c r="BO240" t="e">
        <f>AND(#REF!,"AAAAAH9tmEI=")</f>
        <v>#REF!</v>
      </c>
      <c r="BP240" t="e">
        <f>AND(#REF!,"AAAAAH9tmEM=")</f>
        <v>#REF!</v>
      </c>
      <c r="BQ240" t="e">
        <f>AND(#REF!,"AAAAAH9tmEQ=")</f>
        <v>#REF!</v>
      </c>
      <c r="BR240" t="e">
        <f>AND(#REF!,"AAAAAH9tmEU=")</f>
        <v>#REF!</v>
      </c>
      <c r="BS240" t="e">
        <f>AND(#REF!,"AAAAAH9tmEY=")</f>
        <v>#REF!</v>
      </c>
      <c r="BT240" t="e">
        <f>AND(#REF!,"AAAAAH9tmEc=")</f>
        <v>#REF!</v>
      </c>
      <c r="BU240" t="e">
        <f>AND(#REF!,"AAAAAH9tmEg=")</f>
        <v>#REF!</v>
      </c>
      <c r="BV240" t="e">
        <f>AND(#REF!,"AAAAAH9tmEk=")</f>
        <v>#REF!</v>
      </c>
      <c r="BW240" t="e">
        <f>AND(#REF!,"AAAAAH9tmEo=")</f>
        <v>#REF!</v>
      </c>
      <c r="BX240" t="e">
        <f>AND(#REF!,"AAAAAH9tmEs=")</f>
        <v>#REF!</v>
      </c>
      <c r="BY240" t="e">
        <f>AND(#REF!,"AAAAAH9tmEw=")</f>
        <v>#REF!</v>
      </c>
      <c r="BZ240" t="e">
        <f>AND(#REF!,"AAAAAH9tmE0=")</f>
        <v>#REF!</v>
      </c>
      <c r="CA240" t="e">
        <f>AND(#REF!,"AAAAAH9tmE4=")</f>
        <v>#REF!</v>
      </c>
      <c r="CB240" t="e">
        <f>AND(#REF!,"AAAAAH9tmE8=")</f>
        <v>#REF!</v>
      </c>
      <c r="CC240" t="e">
        <f>AND(#REF!,"AAAAAH9tmFA=")</f>
        <v>#REF!</v>
      </c>
      <c r="CD240" t="e">
        <f>AND(#REF!,"AAAAAH9tmFE=")</f>
        <v>#REF!</v>
      </c>
      <c r="CE240" t="e">
        <f>AND(#REF!,"AAAAAH9tmFI=")</f>
        <v>#REF!</v>
      </c>
      <c r="CF240" t="e">
        <f>AND(#REF!,"AAAAAH9tmFM=")</f>
        <v>#REF!</v>
      </c>
      <c r="CG240" t="e">
        <f>AND(#REF!,"AAAAAH9tmFQ=")</f>
        <v>#REF!</v>
      </c>
      <c r="CH240" t="e">
        <f>AND(#REF!,"AAAAAH9tmFU=")</f>
        <v>#REF!</v>
      </c>
      <c r="CI240" t="e">
        <f>AND(#REF!,"AAAAAH9tmFY=")</f>
        <v>#REF!</v>
      </c>
      <c r="CJ240" t="e">
        <f>AND(#REF!,"AAAAAH9tmFc=")</f>
        <v>#REF!</v>
      </c>
      <c r="CK240" t="e">
        <f>AND(#REF!,"AAAAAH9tmFg=")</f>
        <v>#REF!</v>
      </c>
      <c r="CL240" t="e">
        <f>AND(#REF!,"AAAAAH9tmFk=")</f>
        <v>#REF!</v>
      </c>
      <c r="CM240" t="e">
        <f>AND(#REF!,"AAAAAH9tmFo=")</f>
        <v>#REF!</v>
      </c>
      <c r="CN240" t="e">
        <f>AND(#REF!,"AAAAAH9tmFs=")</f>
        <v>#REF!</v>
      </c>
      <c r="CO240" t="e">
        <f>AND(#REF!,"AAAAAH9tmFw=")</f>
        <v>#REF!</v>
      </c>
      <c r="CP240" t="e">
        <f>AND(#REF!,"AAAAAH9tmF0=")</f>
        <v>#REF!</v>
      </c>
      <c r="CQ240" t="e">
        <f>AND(#REF!,"AAAAAH9tmF4=")</f>
        <v>#REF!</v>
      </c>
      <c r="CR240" t="e">
        <f>AND(#REF!,"AAAAAH9tmF8=")</f>
        <v>#REF!</v>
      </c>
      <c r="CS240" t="e">
        <f>AND(#REF!,"AAAAAH9tmGA=")</f>
        <v>#REF!</v>
      </c>
      <c r="CT240" t="e">
        <f>AND(#REF!,"AAAAAH9tmGE=")</f>
        <v>#REF!</v>
      </c>
      <c r="CU240" t="e">
        <f>AND(#REF!,"AAAAAH9tmGI=")</f>
        <v>#REF!</v>
      </c>
      <c r="CV240" t="e">
        <f>AND(#REF!,"AAAAAH9tmGM=")</f>
        <v>#REF!</v>
      </c>
      <c r="CW240" t="e">
        <f>AND(#REF!,"AAAAAH9tmGQ=")</f>
        <v>#REF!</v>
      </c>
      <c r="CX240" t="e">
        <f>AND(#REF!,"AAAAAH9tmGU=")</f>
        <v>#REF!</v>
      </c>
      <c r="CY240" t="e">
        <f>AND(#REF!,"AAAAAH9tmGY=")</f>
        <v>#REF!</v>
      </c>
      <c r="CZ240" t="e">
        <f>AND(#REF!,"AAAAAH9tmGc=")</f>
        <v>#REF!</v>
      </c>
      <c r="DA240" t="e">
        <f>AND(#REF!,"AAAAAH9tmGg=")</f>
        <v>#REF!</v>
      </c>
      <c r="DB240" t="e">
        <f>AND(#REF!,"AAAAAH9tmGk=")</f>
        <v>#REF!</v>
      </c>
      <c r="DC240" t="e">
        <f>AND(#REF!,"AAAAAH9tmGo=")</f>
        <v>#REF!</v>
      </c>
      <c r="DD240" t="e">
        <f>AND(#REF!,"AAAAAH9tmGs=")</f>
        <v>#REF!</v>
      </c>
      <c r="DE240" t="e">
        <f>AND(#REF!,"AAAAAH9tmGw=")</f>
        <v>#REF!</v>
      </c>
      <c r="DF240" t="e">
        <f>AND(#REF!,"AAAAAH9tmG0=")</f>
        <v>#REF!</v>
      </c>
      <c r="DG240" t="e">
        <f>AND(#REF!,"AAAAAH9tmG4=")</f>
        <v>#REF!</v>
      </c>
      <c r="DH240" t="e">
        <f>AND(#REF!,"AAAAAH9tmG8=")</f>
        <v>#REF!</v>
      </c>
      <c r="DI240" t="e">
        <f>AND(#REF!,"AAAAAH9tmHA=")</f>
        <v>#REF!</v>
      </c>
      <c r="DJ240" t="e">
        <f>AND(#REF!,"AAAAAH9tmHE=")</f>
        <v>#REF!</v>
      </c>
      <c r="DK240" t="e">
        <f>AND(#REF!,"AAAAAH9tmHI=")</f>
        <v>#REF!</v>
      </c>
      <c r="DL240" t="e">
        <f>AND(#REF!,"AAAAAH9tmHM=")</f>
        <v>#REF!</v>
      </c>
      <c r="DM240" t="e">
        <f>AND(#REF!,"AAAAAH9tmHQ=")</f>
        <v>#REF!</v>
      </c>
      <c r="DN240" t="e">
        <f>AND(#REF!,"AAAAAH9tmHU=")</f>
        <v>#REF!</v>
      </c>
      <c r="DO240" t="e">
        <f>AND(#REF!,"AAAAAH9tmHY=")</f>
        <v>#REF!</v>
      </c>
      <c r="DP240" t="e">
        <f>AND(#REF!,"AAAAAH9tmHc=")</f>
        <v>#REF!</v>
      </c>
      <c r="DQ240" t="e">
        <f>AND(#REF!,"AAAAAH9tmHg=")</f>
        <v>#REF!</v>
      </c>
      <c r="DR240" t="e">
        <f>AND(#REF!,"AAAAAH9tmHk=")</f>
        <v>#REF!</v>
      </c>
      <c r="DS240" t="e">
        <f>AND(#REF!,"AAAAAH9tmHo=")</f>
        <v>#REF!</v>
      </c>
      <c r="DT240" t="e">
        <f>AND(#REF!,"AAAAAH9tmHs=")</f>
        <v>#REF!</v>
      </c>
      <c r="DU240" t="e">
        <f>AND(#REF!,"AAAAAH9tmHw=")</f>
        <v>#REF!</v>
      </c>
      <c r="DV240" t="e">
        <f>AND(#REF!,"AAAAAH9tmH0=")</f>
        <v>#REF!</v>
      </c>
      <c r="DW240" t="e">
        <f>AND(#REF!,"AAAAAH9tmH4=")</f>
        <v>#REF!</v>
      </c>
      <c r="DX240" t="e">
        <f>AND(#REF!,"AAAAAH9tmH8=")</f>
        <v>#REF!</v>
      </c>
      <c r="DY240" t="e">
        <f>AND(#REF!,"AAAAAH9tmIA=")</f>
        <v>#REF!</v>
      </c>
      <c r="DZ240" t="e">
        <f>AND(#REF!,"AAAAAH9tmIE=")</f>
        <v>#REF!</v>
      </c>
      <c r="EA240" t="e">
        <f>AND(#REF!,"AAAAAH9tmII=")</f>
        <v>#REF!</v>
      </c>
      <c r="EB240" t="e">
        <f>AND(#REF!,"AAAAAH9tmIM=")</f>
        <v>#REF!</v>
      </c>
      <c r="EC240" t="e">
        <f>AND(#REF!,"AAAAAH9tmIQ=")</f>
        <v>#REF!</v>
      </c>
      <c r="ED240" t="e">
        <f>AND(#REF!,"AAAAAH9tmIU=")</f>
        <v>#REF!</v>
      </c>
      <c r="EE240" t="e">
        <f>AND(#REF!,"AAAAAH9tmIY=")</f>
        <v>#REF!</v>
      </c>
      <c r="EF240" t="e">
        <f>AND(#REF!,"AAAAAH9tmIc=")</f>
        <v>#REF!</v>
      </c>
      <c r="EG240" t="e">
        <f>AND(#REF!,"AAAAAH9tmIg=")</f>
        <v>#REF!</v>
      </c>
      <c r="EH240" t="e">
        <f>AND(#REF!,"AAAAAH9tmIk=")</f>
        <v>#REF!</v>
      </c>
      <c r="EI240" t="e">
        <f>AND(#REF!,"AAAAAH9tmIo=")</f>
        <v>#REF!</v>
      </c>
      <c r="EJ240" t="e">
        <f>AND(#REF!,"AAAAAH9tmIs=")</f>
        <v>#REF!</v>
      </c>
      <c r="EK240" t="e">
        <f>AND(#REF!,"AAAAAH9tmIw=")</f>
        <v>#REF!</v>
      </c>
      <c r="EL240" t="e">
        <f>AND(#REF!,"AAAAAH9tmI0=")</f>
        <v>#REF!</v>
      </c>
      <c r="EM240" t="e">
        <f>AND(#REF!,"AAAAAH9tmI4=")</f>
        <v>#REF!</v>
      </c>
      <c r="EN240" t="e">
        <f>AND(#REF!,"AAAAAH9tmI8=")</f>
        <v>#REF!</v>
      </c>
      <c r="EO240" t="e">
        <f>AND(#REF!,"AAAAAH9tmJA=")</f>
        <v>#REF!</v>
      </c>
      <c r="EP240" t="e">
        <f>AND(#REF!,"AAAAAH9tmJE=")</f>
        <v>#REF!</v>
      </c>
      <c r="EQ240" t="e">
        <f>AND(#REF!,"AAAAAH9tmJI=")</f>
        <v>#REF!</v>
      </c>
      <c r="ER240" t="e">
        <f>AND(#REF!,"AAAAAH9tmJM=")</f>
        <v>#REF!</v>
      </c>
      <c r="ES240" t="e">
        <f>AND(#REF!,"AAAAAH9tmJQ=")</f>
        <v>#REF!</v>
      </c>
      <c r="ET240" t="e">
        <f>AND(#REF!,"AAAAAH9tmJU=")</f>
        <v>#REF!</v>
      </c>
      <c r="EU240" t="e">
        <f>AND(#REF!,"AAAAAH9tmJY=")</f>
        <v>#REF!</v>
      </c>
      <c r="EV240" t="e">
        <f>AND(#REF!,"AAAAAH9tmJc=")</f>
        <v>#REF!</v>
      </c>
      <c r="EW240" t="e">
        <f>AND(#REF!,"AAAAAH9tmJg=")</f>
        <v>#REF!</v>
      </c>
      <c r="EX240" t="e">
        <f>AND(#REF!,"AAAAAH9tmJk=")</f>
        <v>#REF!</v>
      </c>
      <c r="EY240" t="e">
        <f>AND(#REF!,"AAAAAH9tmJo=")</f>
        <v>#REF!</v>
      </c>
      <c r="EZ240" t="e">
        <f>AND(#REF!,"AAAAAH9tmJs=")</f>
        <v>#REF!</v>
      </c>
      <c r="FA240" t="e">
        <f>AND(#REF!,"AAAAAH9tmJw=")</f>
        <v>#REF!</v>
      </c>
      <c r="FB240" t="e">
        <f>AND(#REF!,"AAAAAH9tmJ0=")</f>
        <v>#REF!</v>
      </c>
      <c r="FC240" t="e">
        <f>AND(#REF!,"AAAAAH9tmJ4=")</f>
        <v>#REF!</v>
      </c>
      <c r="FD240" t="e">
        <f>AND(#REF!,"AAAAAH9tmJ8=")</f>
        <v>#REF!</v>
      </c>
      <c r="FE240" t="e">
        <f>AND(#REF!,"AAAAAH9tmKA=")</f>
        <v>#REF!</v>
      </c>
      <c r="FF240" t="e">
        <f>AND(#REF!,"AAAAAH9tmKE=")</f>
        <v>#REF!</v>
      </c>
      <c r="FG240" t="e">
        <f>AND(#REF!,"AAAAAH9tmKI=")</f>
        <v>#REF!</v>
      </c>
      <c r="FH240" t="e">
        <f>AND(#REF!,"AAAAAH9tmKM=")</f>
        <v>#REF!</v>
      </c>
      <c r="FI240" t="e">
        <f>AND(#REF!,"AAAAAH9tmKQ=")</f>
        <v>#REF!</v>
      </c>
      <c r="FJ240" t="e">
        <f>AND(#REF!,"AAAAAH9tmKU=")</f>
        <v>#REF!</v>
      </c>
      <c r="FK240" t="e">
        <f>AND(#REF!,"AAAAAH9tmKY=")</f>
        <v>#REF!</v>
      </c>
      <c r="FL240" t="e">
        <f>AND(#REF!,"AAAAAH9tmKc=")</f>
        <v>#REF!</v>
      </c>
      <c r="FM240" t="e">
        <f>AND(#REF!,"AAAAAH9tmKg=")</f>
        <v>#REF!</v>
      </c>
      <c r="FN240" t="e">
        <f>AND(#REF!,"AAAAAH9tmKk=")</f>
        <v>#REF!</v>
      </c>
      <c r="FO240" t="e">
        <f>AND(#REF!,"AAAAAH9tmKo=")</f>
        <v>#REF!</v>
      </c>
      <c r="FP240" t="e">
        <f>AND(#REF!,"AAAAAH9tmKs=")</f>
        <v>#REF!</v>
      </c>
      <c r="FQ240" t="e">
        <f>AND(#REF!,"AAAAAH9tmKw=")</f>
        <v>#REF!</v>
      </c>
      <c r="FR240" t="e">
        <f>AND(#REF!,"AAAAAH9tmK0=")</f>
        <v>#REF!</v>
      </c>
      <c r="FS240" t="e">
        <f>AND(#REF!,"AAAAAH9tmK4=")</f>
        <v>#REF!</v>
      </c>
      <c r="FT240" t="e">
        <f>AND(#REF!,"AAAAAH9tmK8=")</f>
        <v>#REF!</v>
      </c>
      <c r="FU240" t="e">
        <f>AND(#REF!,"AAAAAH9tmLA=")</f>
        <v>#REF!</v>
      </c>
      <c r="FV240" t="e">
        <f>AND(#REF!,"AAAAAH9tmLE=")</f>
        <v>#REF!</v>
      </c>
      <c r="FW240" t="e">
        <f>AND(#REF!,"AAAAAH9tmLI=")</f>
        <v>#REF!</v>
      </c>
      <c r="FX240" t="e">
        <f>AND(#REF!,"AAAAAH9tmLM=")</f>
        <v>#REF!</v>
      </c>
      <c r="FY240" t="e">
        <f>AND(#REF!,"AAAAAH9tmLQ=")</f>
        <v>#REF!</v>
      </c>
      <c r="FZ240" t="e">
        <f>AND(#REF!,"AAAAAH9tmLU=")</f>
        <v>#REF!</v>
      </c>
      <c r="GA240" t="e">
        <f>AND(#REF!,"AAAAAH9tmLY=")</f>
        <v>#REF!</v>
      </c>
      <c r="GB240" t="e">
        <f>AND(#REF!,"AAAAAH9tmLc=")</f>
        <v>#REF!</v>
      </c>
      <c r="GC240" t="e">
        <f>AND(#REF!,"AAAAAH9tmLg=")</f>
        <v>#REF!</v>
      </c>
      <c r="GD240" t="e">
        <f>AND(#REF!,"AAAAAH9tmLk=")</f>
        <v>#REF!</v>
      </c>
      <c r="GE240" t="e">
        <f>AND(#REF!,"AAAAAH9tmLo=")</f>
        <v>#REF!</v>
      </c>
      <c r="GF240" t="e">
        <f>AND(#REF!,"AAAAAH9tmLs=")</f>
        <v>#REF!</v>
      </c>
      <c r="GG240" t="e">
        <f>AND(#REF!,"AAAAAH9tmLw=")</f>
        <v>#REF!</v>
      </c>
      <c r="GH240" t="e">
        <f>AND(#REF!,"AAAAAH9tmL0=")</f>
        <v>#REF!</v>
      </c>
      <c r="GI240" t="e">
        <f>AND(#REF!,"AAAAAH9tmL4=")</f>
        <v>#REF!</v>
      </c>
      <c r="GJ240" t="e">
        <f>AND(#REF!,"AAAAAH9tmL8=")</f>
        <v>#REF!</v>
      </c>
      <c r="GK240" t="e">
        <f>AND(#REF!,"AAAAAH9tmMA=")</f>
        <v>#REF!</v>
      </c>
      <c r="GL240" t="e">
        <f>AND(#REF!,"AAAAAH9tmME=")</f>
        <v>#REF!</v>
      </c>
      <c r="GM240" t="e">
        <f>AND(#REF!,"AAAAAH9tmMI=")</f>
        <v>#REF!</v>
      </c>
      <c r="GN240" t="e">
        <f>AND(#REF!,"AAAAAH9tmMM=")</f>
        <v>#REF!</v>
      </c>
      <c r="GO240" t="e">
        <f>AND(#REF!,"AAAAAH9tmMQ=")</f>
        <v>#REF!</v>
      </c>
      <c r="GP240" t="e">
        <f>AND(#REF!,"AAAAAH9tmMU=")</f>
        <v>#REF!</v>
      </c>
      <c r="GQ240" t="e">
        <f>AND(#REF!,"AAAAAH9tmMY=")</f>
        <v>#REF!</v>
      </c>
      <c r="GR240" t="e">
        <f>AND(#REF!,"AAAAAH9tmMc=")</f>
        <v>#REF!</v>
      </c>
      <c r="GS240" t="e">
        <f>AND(#REF!,"AAAAAH9tmMg=")</f>
        <v>#REF!</v>
      </c>
      <c r="GT240" t="e">
        <f>AND(#REF!,"AAAAAH9tmMk=")</f>
        <v>#REF!</v>
      </c>
      <c r="GU240" t="e">
        <f>AND(#REF!,"AAAAAH9tmMo=")</f>
        <v>#REF!</v>
      </c>
      <c r="GV240" t="e">
        <f>AND(#REF!,"AAAAAH9tmMs=")</f>
        <v>#REF!</v>
      </c>
      <c r="GW240" t="e">
        <f>AND(#REF!,"AAAAAH9tmMw=")</f>
        <v>#REF!</v>
      </c>
      <c r="GX240" t="e">
        <f>AND(#REF!,"AAAAAH9tmM0=")</f>
        <v>#REF!</v>
      </c>
      <c r="GY240" t="e">
        <f>AND(#REF!,"AAAAAH9tmM4=")</f>
        <v>#REF!</v>
      </c>
      <c r="GZ240" t="e">
        <f>AND(#REF!,"AAAAAH9tmM8=")</f>
        <v>#REF!</v>
      </c>
      <c r="HA240" t="e">
        <f>AND(#REF!,"AAAAAH9tmNA=")</f>
        <v>#REF!</v>
      </c>
      <c r="HB240" t="e">
        <f>AND(#REF!,"AAAAAH9tmNE=")</f>
        <v>#REF!</v>
      </c>
      <c r="HC240" t="e">
        <f>AND(#REF!,"AAAAAH9tmNI=")</f>
        <v>#REF!</v>
      </c>
      <c r="HD240" t="e">
        <f>AND(#REF!,"AAAAAH9tmNM=")</f>
        <v>#REF!</v>
      </c>
      <c r="HE240" t="e">
        <f>AND(#REF!,"AAAAAH9tmNQ=")</f>
        <v>#REF!</v>
      </c>
      <c r="HF240" t="e">
        <f>AND(#REF!,"AAAAAH9tmNU=")</f>
        <v>#REF!</v>
      </c>
      <c r="HG240" t="e">
        <f>AND(#REF!,"AAAAAH9tmNY=")</f>
        <v>#REF!</v>
      </c>
      <c r="HH240" t="e">
        <f>AND(#REF!,"AAAAAH9tmNc=")</f>
        <v>#REF!</v>
      </c>
      <c r="HI240" t="e">
        <f>AND(#REF!,"AAAAAH9tmNg=")</f>
        <v>#REF!</v>
      </c>
      <c r="HJ240" t="e">
        <f>AND(#REF!,"AAAAAH9tmNk=")</f>
        <v>#REF!</v>
      </c>
      <c r="HK240" t="e">
        <f>AND(#REF!,"AAAAAH9tmNo=")</f>
        <v>#REF!</v>
      </c>
      <c r="HL240" t="e">
        <f>AND(#REF!,"AAAAAH9tmNs=")</f>
        <v>#REF!</v>
      </c>
      <c r="HM240" t="e">
        <f>AND(#REF!,"AAAAAH9tmNw=")</f>
        <v>#REF!</v>
      </c>
      <c r="HN240" t="e">
        <f>AND(#REF!,"AAAAAH9tmN0=")</f>
        <v>#REF!</v>
      </c>
      <c r="HO240" t="e">
        <f>AND(#REF!,"AAAAAH9tmN4=")</f>
        <v>#REF!</v>
      </c>
      <c r="HP240" t="e">
        <f>AND(#REF!,"AAAAAH9tmN8=")</f>
        <v>#REF!</v>
      </c>
      <c r="HQ240" t="e">
        <f>AND(#REF!,"AAAAAH9tmOA=")</f>
        <v>#REF!</v>
      </c>
      <c r="HR240" t="e">
        <f>AND(#REF!,"AAAAAH9tmOE=")</f>
        <v>#REF!</v>
      </c>
      <c r="HS240" t="e">
        <f>AND(#REF!,"AAAAAH9tmOI=")</f>
        <v>#REF!</v>
      </c>
      <c r="HT240" t="e">
        <f>AND(#REF!,"AAAAAH9tmOM=")</f>
        <v>#REF!</v>
      </c>
      <c r="HU240" t="e">
        <f>AND(#REF!,"AAAAAH9tmOQ=")</f>
        <v>#REF!</v>
      </c>
      <c r="HV240" t="e">
        <f>AND(#REF!,"AAAAAH9tmOU=")</f>
        <v>#REF!</v>
      </c>
      <c r="HW240" t="e">
        <f>AND(#REF!,"AAAAAH9tmOY=")</f>
        <v>#REF!</v>
      </c>
      <c r="HX240" t="e">
        <f>AND(#REF!,"AAAAAH9tmOc=")</f>
        <v>#REF!</v>
      </c>
      <c r="HY240" t="e">
        <f>AND(#REF!,"AAAAAH9tmOg=")</f>
        <v>#REF!</v>
      </c>
      <c r="HZ240" t="e">
        <f>IF(#REF!,"AAAAAH9tmOk=",0)</f>
        <v>#REF!</v>
      </c>
      <c r="IA240" t="e">
        <f>AND(#REF!,"AAAAAH9tmOo=")</f>
        <v>#REF!</v>
      </c>
      <c r="IB240" t="e">
        <f>AND(#REF!,"AAAAAH9tmOs=")</f>
        <v>#REF!</v>
      </c>
      <c r="IC240" t="e">
        <f>AND(#REF!,"AAAAAH9tmOw=")</f>
        <v>#REF!</v>
      </c>
      <c r="ID240" t="e">
        <f>AND(#REF!,"AAAAAH9tmO0=")</f>
        <v>#REF!</v>
      </c>
      <c r="IE240" t="e">
        <f>AND(#REF!,"AAAAAH9tmO4=")</f>
        <v>#REF!</v>
      </c>
      <c r="IF240" t="e">
        <f>AND(#REF!,"AAAAAH9tmO8=")</f>
        <v>#REF!</v>
      </c>
      <c r="IG240" t="e">
        <f>AND(#REF!,"AAAAAH9tmPA=")</f>
        <v>#REF!</v>
      </c>
      <c r="IH240" t="e">
        <f>AND(#REF!,"AAAAAH9tmPE=")</f>
        <v>#REF!</v>
      </c>
      <c r="II240" t="e">
        <f>AND(#REF!,"AAAAAH9tmPI=")</f>
        <v>#REF!</v>
      </c>
      <c r="IJ240" t="e">
        <f>AND(#REF!,"AAAAAH9tmPM=")</f>
        <v>#REF!</v>
      </c>
      <c r="IK240" t="e">
        <f>AND(#REF!,"AAAAAH9tmPQ=")</f>
        <v>#REF!</v>
      </c>
      <c r="IL240" t="e">
        <f>AND(#REF!,"AAAAAH9tmPU=")</f>
        <v>#REF!</v>
      </c>
      <c r="IM240" t="e">
        <f>AND(#REF!,"AAAAAH9tmPY=")</f>
        <v>#REF!</v>
      </c>
      <c r="IN240" t="e">
        <f>AND(#REF!,"AAAAAH9tmPc=")</f>
        <v>#REF!</v>
      </c>
      <c r="IO240" t="e">
        <f>AND(#REF!,"AAAAAH9tmPg=")</f>
        <v>#REF!</v>
      </c>
      <c r="IP240" t="e">
        <f>AND(#REF!,"AAAAAH9tmPk=")</f>
        <v>#REF!</v>
      </c>
      <c r="IQ240" t="e">
        <f>AND(#REF!,"AAAAAH9tmPo=")</f>
        <v>#REF!</v>
      </c>
      <c r="IR240" t="e">
        <f>AND(#REF!,"AAAAAH9tmPs=")</f>
        <v>#REF!</v>
      </c>
      <c r="IS240" t="e">
        <f>AND(#REF!,"AAAAAH9tmPw=")</f>
        <v>#REF!</v>
      </c>
      <c r="IT240" t="e">
        <f>AND(#REF!,"AAAAAH9tmP0=")</f>
        <v>#REF!</v>
      </c>
      <c r="IU240" t="e">
        <f>AND(#REF!,"AAAAAH9tmP4=")</f>
        <v>#REF!</v>
      </c>
      <c r="IV240" t="e">
        <f>AND(#REF!,"AAAAAH9tmP8=")</f>
        <v>#REF!</v>
      </c>
    </row>
    <row r="241" spans="1:256" x14ac:dyDescent="0.25">
      <c r="A241" t="e">
        <f>AND(#REF!,"AAAAAG/t/wA=")</f>
        <v>#REF!</v>
      </c>
      <c r="B241" t="e">
        <f>AND(#REF!,"AAAAAG/t/wE=")</f>
        <v>#REF!</v>
      </c>
      <c r="C241" t="e">
        <f>AND(#REF!,"AAAAAG/t/wI=")</f>
        <v>#REF!</v>
      </c>
      <c r="D241" t="e">
        <f>AND(#REF!,"AAAAAG/t/wM=")</f>
        <v>#REF!</v>
      </c>
      <c r="E241" t="e">
        <f>AND(#REF!,"AAAAAG/t/wQ=")</f>
        <v>#REF!</v>
      </c>
      <c r="F241" t="e">
        <f>AND(#REF!,"AAAAAG/t/wU=")</f>
        <v>#REF!</v>
      </c>
      <c r="G241" t="e">
        <f>AND(#REF!,"AAAAAG/t/wY=")</f>
        <v>#REF!</v>
      </c>
      <c r="H241" t="e">
        <f>AND(#REF!,"AAAAAG/t/wc=")</f>
        <v>#REF!</v>
      </c>
      <c r="I241" t="e">
        <f>AND(#REF!,"AAAAAG/t/wg=")</f>
        <v>#REF!</v>
      </c>
      <c r="J241" t="e">
        <f>AND(#REF!,"AAAAAG/t/wk=")</f>
        <v>#REF!</v>
      </c>
      <c r="K241" t="e">
        <f>AND(#REF!,"AAAAAG/t/wo=")</f>
        <v>#REF!</v>
      </c>
      <c r="L241" t="e">
        <f>AND(#REF!,"AAAAAG/t/ws=")</f>
        <v>#REF!</v>
      </c>
      <c r="M241" t="e">
        <f>AND(#REF!,"AAAAAG/t/ww=")</f>
        <v>#REF!</v>
      </c>
      <c r="N241" t="e">
        <f>AND(#REF!,"AAAAAG/t/w0=")</f>
        <v>#REF!</v>
      </c>
      <c r="O241" t="e">
        <f>AND(#REF!,"AAAAAG/t/w4=")</f>
        <v>#REF!</v>
      </c>
      <c r="P241" t="e">
        <f>AND(#REF!,"AAAAAG/t/w8=")</f>
        <v>#REF!</v>
      </c>
      <c r="Q241" t="e">
        <f>AND(#REF!,"AAAAAG/t/xA=")</f>
        <v>#REF!</v>
      </c>
      <c r="R241" t="e">
        <f>AND(#REF!,"AAAAAG/t/xE=")</f>
        <v>#REF!</v>
      </c>
      <c r="S241" t="e">
        <f>AND(#REF!,"AAAAAG/t/xI=")</f>
        <v>#REF!</v>
      </c>
      <c r="T241" t="e">
        <f>AND(#REF!,"AAAAAG/t/xM=")</f>
        <v>#REF!</v>
      </c>
      <c r="U241" t="e">
        <f>AND(#REF!,"AAAAAG/t/xQ=")</f>
        <v>#REF!</v>
      </c>
      <c r="V241" t="e">
        <f>AND(#REF!,"AAAAAG/t/xU=")</f>
        <v>#REF!</v>
      </c>
      <c r="W241" t="e">
        <f>AND(#REF!,"AAAAAG/t/xY=")</f>
        <v>#REF!</v>
      </c>
      <c r="X241" t="e">
        <f>AND(#REF!,"AAAAAG/t/xc=")</f>
        <v>#REF!</v>
      </c>
      <c r="Y241" t="e">
        <f>AND(#REF!,"AAAAAG/t/xg=")</f>
        <v>#REF!</v>
      </c>
      <c r="Z241" t="e">
        <f>AND(#REF!,"AAAAAG/t/xk=")</f>
        <v>#REF!</v>
      </c>
      <c r="AA241" t="e">
        <f>AND(#REF!,"AAAAAG/t/xo=")</f>
        <v>#REF!</v>
      </c>
      <c r="AB241" t="e">
        <f>AND(#REF!,"AAAAAG/t/xs=")</f>
        <v>#REF!</v>
      </c>
      <c r="AC241" t="e">
        <f>AND(#REF!,"AAAAAG/t/xw=")</f>
        <v>#REF!</v>
      </c>
      <c r="AD241" t="e">
        <f>AND(#REF!,"AAAAAG/t/x0=")</f>
        <v>#REF!</v>
      </c>
      <c r="AE241" t="e">
        <f>AND(#REF!,"AAAAAG/t/x4=")</f>
        <v>#REF!</v>
      </c>
      <c r="AF241" t="e">
        <f>AND(#REF!,"AAAAAG/t/x8=")</f>
        <v>#REF!</v>
      </c>
      <c r="AG241" t="e">
        <f>AND(#REF!,"AAAAAG/t/yA=")</f>
        <v>#REF!</v>
      </c>
      <c r="AH241" t="e">
        <f>AND(#REF!,"AAAAAG/t/yE=")</f>
        <v>#REF!</v>
      </c>
      <c r="AI241" t="e">
        <f>AND(#REF!,"AAAAAG/t/yI=")</f>
        <v>#REF!</v>
      </c>
      <c r="AJ241" t="e">
        <f>AND(#REF!,"AAAAAG/t/yM=")</f>
        <v>#REF!</v>
      </c>
      <c r="AK241" t="e">
        <f>AND(#REF!,"AAAAAG/t/yQ=")</f>
        <v>#REF!</v>
      </c>
      <c r="AL241" t="e">
        <f>AND(#REF!,"AAAAAG/t/yU=")</f>
        <v>#REF!</v>
      </c>
      <c r="AM241" t="e">
        <f>AND(#REF!,"AAAAAG/t/yY=")</f>
        <v>#REF!</v>
      </c>
      <c r="AN241" t="e">
        <f>AND(#REF!,"AAAAAG/t/yc=")</f>
        <v>#REF!</v>
      </c>
      <c r="AO241" t="e">
        <f>AND(#REF!,"AAAAAG/t/yg=")</f>
        <v>#REF!</v>
      </c>
      <c r="AP241" t="e">
        <f>AND(#REF!,"AAAAAG/t/yk=")</f>
        <v>#REF!</v>
      </c>
      <c r="AQ241" t="e">
        <f>AND(#REF!,"AAAAAG/t/yo=")</f>
        <v>#REF!</v>
      </c>
      <c r="AR241" t="e">
        <f>AND(#REF!,"AAAAAG/t/ys=")</f>
        <v>#REF!</v>
      </c>
      <c r="AS241" t="e">
        <f>AND(#REF!,"AAAAAG/t/yw=")</f>
        <v>#REF!</v>
      </c>
      <c r="AT241" t="e">
        <f>AND(#REF!,"AAAAAG/t/y0=")</f>
        <v>#REF!</v>
      </c>
      <c r="AU241" t="e">
        <f>AND(#REF!,"AAAAAG/t/y4=")</f>
        <v>#REF!</v>
      </c>
      <c r="AV241" t="e">
        <f>AND(#REF!,"AAAAAG/t/y8=")</f>
        <v>#REF!</v>
      </c>
      <c r="AW241" t="e">
        <f>AND(#REF!,"AAAAAG/t/zA=")</f>
        <v>#REF!</v>
      </c>
      <c r="AX241" t="e">
        <f>AND(#REF!,"AAAAAG/t/zE=")</f>
        <v>#REF!</v>
      </c>
      <c r="AY241" t="e">
        <f>AND(#REF!,"AAAAAG/t/zI=")</f>
        <v>#REF!</v>
      </c>
      <c r="AZ241" t="e">
        <f>AND(#REF!,"AAAAAG/t/zM=")</f>
        <v>#REF!</v>
      </c>
      <c r="BA241" t="e">
        <f>AND(#REF!,"AAAAAG/t/zQ=")</f>
        <v>#REF!</v>
      </c>
      <c r="BB241" t="e">
        <f>AND(#REF!,"AAAAAG/t/zU=")</f>
        <v>#REF!</v>
      </c>
      <c r="BC241" t="e">
        <f>AND(#REF!,"AAAAAG/t/zY=")</f>
        <v>#REF!</v>
      </c>
      <c r="BD241" t="e">
        <f>AND(#REF!,"AAAAAG/t/zc=")</f>
        <v>#REF!</v>
      </c>
      <c r="BE241" t="e">
        <f>AND(#REF!,"AAAAAG/t/zg=")</f>
        <v>#REF!</v>
      </c>
      <c r="BF241" t="e">
        <f>AND(#REF!,"AAAAAG/t/zk=")</f>
        <v>#REF!</v>
      </c>
      <c r="BG241" t="e">
        <f>AND(#REF!,"AAAAAG/t/zo=")</f>
        <v>#REF!</v>
      </c>
      <c r="BH241" t="e">
        <f>AND(#REF!,"AAAAAG/t/zs=")</f>
        <v>#REF!</v>
      </c>
      <c r="BI241" t="e">
        <f>AND(#REF!,"AAAAAG/t/zw=")</f>
        <v>#REF!</v>
      </c>
      <c r="BJ241" t="e">
        <f>AND(#REF!,"AAAAAG/t/z0=")</f>
        <v>#REF!</v>
      </c>
      <c r="BK241" t="e">
        <f>AND(#REF!,"AAAAAG/t/z4=")</f>
        <v>#REF!</v>
      </c>
      <c r="BL241" t="e">
        <f>AND(#REF!,"AAAAAG/t/z8=")</f>
        <v>#REF!</v>
      </c>
      <c r="BM241" t="e">
        <f>AND(#REF!,"AAAAAG/t/0A=")</f>
        <v>#REF!</v>
      </c>
      <c r="BN241" t="e">
        <f>AND(#REF!,"AAAAAG/t/0E=")</f>
        <v>#REF!</v>
      </c>
      <c r="BO241" t="e">
        <f>AND(#REF!,"AAAAAG/t/0I=")</f>
        <v>#REF!</v>
      </c>
      <c r="BP241" t="e">
        <f>AND(#REF!,"AAAAAG/t/0M=")</f>
        <v>#REF!</v>
      </c>
      <c r="BQ241" t="e">
        <f>AND(#REF!,"AAAAAG/t/0Q=")</f>
        <v>#REF!</v>
      </c>
      <c r="BR241" t="e">
        <f>AND(#REF!,"AAAAAG/t/0U=")</f>
        <v>#REF!</v>
      </c>
      <c r="BS241" t="e">
        <f>AND(#REF!,"AAAAAG/t/0Y=")</f>
        <v>#REF!</v>
      </c>
      <c r="BT241" t="e">
        <f>AND(#REF!,"AAAAAG/t/0c=")</f>
        <v>#REF!</v>
      </c>
      <c r="BU241" t="e">
        <f>AND(#REF!,"AAAAAG/t/0g=")</f>
        <v>#REF!</v>
      </c>
      <c r="BV241" t="e">
        <f>AND(#REF!,"AAAAAG/t/0k=")</f>
        <v>#REF!</v>
      </c>
      <c r="BW241" t="e">
        <f>AND(#REF!,"AAAAAG/t/0o=")</f>
        <v>#REF!</v>
      </c>
      <c r="BX241" t="e">
        <f>AND(#REF!,"AAAAAG/t/0s=")</f>
        <v>#REF!</v>
      </c>
      <c r="BY241" t="e">
        <f>AND(#REF!,"AAAAAG/t/0w=")</f>
        <v>#REF!</v>
      </c>
      <c r="BZ241" t="e">
        <f>AND(#REF!,"AAAAAG/t/00=")</f>
        <v>#REF!</v>
      </c>
      <c r="CA241" t="e">
        <f>AND(#REF!,"AAAAAG/t/04=")</f>
        <v>#REF!</v>
      </c>
      <c r="CB241" t="e">
        <f>AND(#REF!,"AAAAAG/t/08=")</f>
        <v>#REF!</v>
      </c>
      <c r="CC241" t="e">
        <f>AND(#REF!,"AAAAAG/t/1A=")</f>
        <v>#REF!</v>
      </c>
      <c r="CD241" t="e">
        <f>AND(#REF!,"AAAAAG/t/1E=")</f>
        <v>#REF!</v>
      </c>
      <c r="CE241" t="e">
        <f>AND(#REF!,"AAAAAG/t/1I=")</f>
        <v>#REF!</v>
      </c>
      <c r="CF241" t="e">
        <f>AND(#REF!,"AAAAAG/t/1M=")</f>
        <v>#REF!</v>
      </c>
      <c r="CG241" t="e">
        <f>AND(#REF!,"AAAAAG/t/1Q=")</f>
        <v>#REF!</v>
      </c>
      <c r="CH241" t="e">
        <f>AND(#REF!,"AAAAAG/t/1U=")</f>
        <v>#REF!</v>
      </c>
      <c r="CI241" t="e">
        <f>AND(#REF!,"AAAAAG/t/1Y=")</f>
        <v>#REF!</v>
      </c>
      <c r="CJ241" t="e">
        <f>AND(#REF!,"AAAAAG/t/1c=")</f>
        <v>#REF!</v>
      </c>
      <c r="CK241" t="e">
        <f>AND(#REF!,"AAAAAG/t/1g=")</f>
        <v>#REF!</v>
      </c>
      <c r="CL241" t="e">
        <f>AND(#REF!,"AAAAAG/t/1k=")</f>
        <v>#REF!</v>
      </c>
      <c r="CM241" t="e">
        <f>AND(#REF!,"AAAAAG/t/1o=")</f>
        <v>#REF!</v>
      </c>
      <c r="CN241" t="e">
        <f>AND(#REF!,"AAAAAG/t/1s=")</f>
        <v>#REF!</v>
      </c>
      <c r="CO241" t="e">
        <f>AND(#REF!,"AAAAAG/t/1w=")</f>
        <v>#REF!</v>
      </c>
      <c r="CP241" t="e">
        <f>AND(#REF!,"AAAAAG/t/10=")</f>
        <v>#REF!</v>
      </c>
      <c r="CQ241" t="e">
        <f>AND(#REF!,"AAAAAG/t/14=")</f>
        <v>#REF!</v>
      </c>
      <c r="CR241" t="e">
        <f>AND(#REF!,"AAAAAG/t/18=")</f>
        <v>#REF!</v>
      </c>
      <c r="CS241" t="e">
        <f>AND(#REF!,"AAAAAG/t/2A=")</f>
        <v>#REF!</v>
      </c>
      <c r="CT241" t="e">
        <f>AND(#REF!,"AAAAAG/t/2E=")</f>
        <v>#REF!</v>
      </c>
      <c r="CU241" t="e">
        <f>AND(#REF!,"AAAAAG/t/2I=")</f>
        <v>#REF!</v>
      </c>
      <c r="CV241" t="e">
        <f>AND(#REF!,"AAAAAG/t/2M=")</f>
        <v>#REF!</v>
      </c>
      <c r="CW241" t="e">
        <f>AND(#REF!,"AAAAAG/t/2Q=")</f>
        <v>#REF!</v>
      </c>
      <c r="CX241" t="e">
        <f>AND(#REF!,"AAAAAG/t/2U=")</f>
        <v>#REF!</v>
      </c>
      <c r="CY241" t="e">
        <f>AND(#REF!,"AAAAAG/t/2Y=")</f>
        <v>#REF!</v>
      </c>
      <c r="CZ241" t="e">
        <f>AND(#REF!,"AAAAAG/t/2c=")</f>
        <v>#REF!</v>
      </c>
      <c r="DA241" t="e">
        <f>AND(#REF!,"AAAAAG/t/2g=")</f>
        <v>#REF!</v>
      </c>
      <c r="DB241" t="e">
        <f>AND(#REF!,"AAAAAG/t/2k=")</f>
        <v>#REF!</v>
      </c>
      <c r="DC241" t="e">
        <f>AND(#REF!,"AAAAAG/t/2o=")</f>
        <v>#REF!</v>
      </c>
      <c r="DD241" t="e">
        <f>AND(#REF!,"AAAAAG/t/2s=")</f>
        <v>#REF!</v>
      </c>
      <c r="DE241" t="e">
        <f>AND(#REF!,"AAAAAG/t/2w=")</f>
        <v>#REF!</v>
      </c>
      <c r="DF241" t="e">
        <f>AND(#REF!,"AAAAAG/t/20=")</f>
        <v>#REF!</v>
      </c>
      <c r="DG241" t="e">
        <f>AND(#REF!,"AAAAAG/t/24=")</f>
        <v>#REF!</v>
      </c>
      <c r="DH241" t="e">
        <f>AND(#REF!,"AAAAAG/t/28=")</f>
        <v>#REF!</v>
      </c>
      <c r="DI241" t="e">
        <f>AND(#REF!,"AAAAAG/t/3A=")</f>
        <v>#REF!</v>
      </c>
      <c r="DJ241" t="e">
        <f>AND(#REF!,"AAAAAG/t/3E=")</f>
        <v>#REF!</v>
      </c>
      <c r="DK241" t="e">
        <f>AND(#REF!,"AAAAAG/t/3I=")</f>
        <v>#REF!</v>
      </c>
      <c r="DL241" t="e">
        <f>AND(#REF!,"AAAAAG/t/3M=")</f>
        <v>#REF!</v>
      </c>
      <c r="DM241" t="e">
        <f>AND(#REF!,"AAAAAG/t/3Q=")</f>
        <v>#REF!</v>
      </c>
      <c r="DN241" t="e">
        <f>AND(#REF!,"AAAAAG/t/3U=")</f>
        <v>#REF!</v>
      </c>
      <c r="DO241" t="e">
        <f>AND(#REF!,"AAAAAG/t/3Y=")</f>
        <v>#REF!</v>
      </c>
      <c r="DP241" t="e">
        <f>AND(#REF!,"AAAAAG/t/3c=")</f>
        <v>#REF!</v>
      </c>
      <c r="DQ241" t="e">
        <f>AND(#REF!,"AAAAAG/t/3g=")</f>
        <v>#REF!</v>
      </c>
      <c r="DR241" t="e">
        <f>AND(#REF!,"AAAAAG/t/3k=")</f>
        <v>#REF!</v>
      </c>
      <c r="DS241" t="e">
        <f>AND(#REF!,"AAAAAG/t/3o=")</f>
        <v>#REF!</v>
      </c>
      <c r="DT241" t="e">
        <f>AND(#REF!,"AAAAAG/t/3s=")</f>
        <v>#REF!</v>
      </c>
      <c r="DU241" t="e">
        <f>AND(#REF!,"AAAAAG/t/3w=")</f>
        <v>#REF!</v>
      </c>
      <c r="DV241" t="e">
        <f>AND(#REF!,"AAAAAG/t/30=")</f>
        <v>#REF!</v>
      </c>
      <c r="DW241" t="e">
        <f>AND(#REF!,"AAAAAG/t/34=")</f>
        <v>#REF!</v>
      </c>
      <c r="DX241" t="e">
        <f>AND(#REF!,"AAAAAG/t/38=")</f>
        <v>#REF!</v>
      </c>
      <c r="DY241" t="e">
        <f>AND(#REF!,"AAAAAG/t/4A=")</f>
        <v>#REF!</v>
      </c>
      <c r="DZ241" t="e">
        <f>AND(#REF!,"AAAAAG/t/4E=")</f>
        <v>#REF!</v>
      </c>
      <c r="EA241" t="e">
        <f>AND(#REF!,"AAAAAG/t/4I=")</f>
        <v>#REF!</v>
      </c>
      <c r="EB241" t="e">
        <f>AND(#REF!,"AAAAAG/t/4M=")</f>
        <v>#REF!</v>
      </c>
      <c r="EC241" t="e">
        <f>AND(#REF!,"AAAAAG/t/4Q=")</f>
        <v>#REF!</v>
      </c>
      <c r="ED241" t="e">
        <f>AND(#REF!,"AAAAAG/t/4U=")</f>
        <v>#REF!</v>
      </c>
      <c r="EE241" t="e">
        <f>AND(#REF!,"AAAAAG/t/4Y=")</f>
        <v>#REF!</v>
      </c>
      <c r="EF241" t="e">
        <f>AND(#REF!,"AAAAAG/t/4c=")</f>
        <v>#REF!</v>
      </c>
      <c r="EG241" t="e">
        <f>AND(#REF!,"AAAAAG/t/4g=")</f>
        <v>#REF!</v>
      </c>
      <c r="EH241" t="e">
        <f>AND(#REF!,"AAAAAG/t/4k=")</f>
        <v>#REF!</v>
      </c>
      <c r="EI241" t="e">
        <f>AND(#REF!,"AAAAAG/t/4o=")</f>
        <v>#REF!</v>
      </c>
      <c r="EJ241" t="e">
        <f>AND(#REF!,"AAAAAG/t/4s=")</f>
        <v>#REF!</v>
      </c>
      <c r="EK241" t="e">
        <f>AND(#REF!,"AAAAAG/t/4w=")</f>
        <v>#REF!</v>
      </c>
      <c r="EL241" t="e">
        <f>AND(#REF!,"AAAAAG/t/40=")</f>
        <v>#REF!</v>
      </c>
      <c r="EM241" t="e">
        <f>AND(#REF!,"AAAAAG/t/44=")</f>
        <v>#REF!</v>
      </c>
      <c r="EN241" t="e">
        <f>AND(#REF!,"AAAAAG/t/48=")</f>
        <v>#REF!</v>
      </c>
      <c r="EO241" t="e">
        <f>AND(#REF!,"AAAAAG/t/5A=")</f>
        <v>#REF!</v>
      </c>
      <c r="EP241" t="e">
        <f>AND(#REF!,"AAAAAG/t/5E=")</f>
        <v>#REF!</v>
      </c>
      <c r="EQ241" t="e">
        <f>AND(#REF!,"AAAAAG/t/5I=")</f>
        <v>#REF!</v>
      </c>
      <c r="ER241" t="e">
        <f>AND(#REF!,"AAAAAG/t/5M=")</f>
        <v>#REF!</v>
      </c>
      <c r="ES241" t="e">
        <f>AND(#REF!,"AAAAAG/t/5Q=")</f>
        <v>#REF!</v>
      </c>
      <c r="ET241" t="e">
        <f>AND(#REF!,"AAAAAG/t/5U=")</f>
        <v>#REF!</v>
      </c>
      <c r="EU241" t="e">
        <f>AND(#REF!,"AAAAAG/t/5Y=")</f>
        <v>#REF!</v>
      </c>
      <c r="EV241" t="e">
        <f>AND(#REF!,"AAAAAG/t/5c=")</f>
        <v>#REF!</v>
      </c>
      <c r="EW241" t="e">
        <f>AND(#REF!,"AAAAAG/t/5g=")</f>
        <v>#REF!</v>
      </c>
      <c r="EX241" t="e">
        <f>AND(#REF!,"AAAAAG/t/5k=")</f>
        <v>#REF!</v>
      </c>
      <c r="EY241" t="e">
        <f>AND(#REF!,"AAAAAG/t/5o=")</f>
        <v>#REF!</v>
      </c>
      <c r="EZ241" t="e">
        <f>AND(#REF!,"AAAAAG/t/5s=")</f>
        <v>#REF!</v>
      </c>
      <c r="FA241" t="e">
        <f>AND(#REF!,"AAAAAG/t/5w=")</f>
        <v>#REF!</v>
      </c>
      <c r="FB241" t="e">
        <f>AND(#REF!,"AAAAAG/t/50=")</f>
        <v>#REF!</v>
      </c>
      <c r="FC241" t="e">
        <f>AND(#REF!,"AAAAAG/t/54=")</f>
        <v>#REF!</v>
      </c>
      <c r="FD241" t="e">
        <f>AND(#REF!,"AAAAAG/t/58=")</f>
        <v>#REF!</v>
      </c>
      <c r="FE241" t="e">
        <f>AND(#REF!,"AAAAAG/t/6A=")</f>
        <v>#REF!</v>
      </c>
      <c r="FF241" t="e">
        <f>AND(#REF!,"AAAAAG/t/6E=")</f>
        <v>#REF!</v>
      </c>
      <c r="FG241" t="e">
        <f>AND(#REF!,"AAAAAG/t/6I=")</f>
        <v>#REF!</v>
      </c>
      <c r="FH241" t="e">
        <f>AND(#REF!,"AAAAAG/t/6M=")</f>
        <v>#REF!</v>
      </c>
      <c r="FI241" t="e">
        <f>AND(#REF!,"AAAAAG/t/6Q=")</f>
        <v>#REF!</v>
      </c>
      <c r="FJ241" t="e">
        <f>AND(#REF!,"AAAAAG/t/6U=")</f>
        <v>#REF!</v>
      </c>
      <c r="FK241" t="e">
        <f>IF(#REF!,"AAAAAG/t/6Y=",0)</f>
        <v>#REF!</v>
      </c>
      <c r="FL241" t="e">
        <f>AND(#REF!,"AAAAAG/t/6c=")</f>
        <v>#REF!</v>
      </c>
      <c r="FM241" t="e">
        <f>AND(#REF!,"AAAAAG/t/6g=")</f>
        <v>#REF!</v>
      </c>
      <c r="FN241" t="e">
        <f>AND(#REF!,"AAAAAG/t/6k=")</f>
        <v>#REF!</v>
      </c>
      <c r="FO241" t="e">
        <f>AND(#REF!,"AAAAAG/t/6o=")</f>
        <v>#REF!</v>
      </c>
      <c r="FP241" t="e">
        <f>AND(#REF!,"AAAAAG/t/6s=")</f>
        <v>#REF!</v>
      </c>
      <c r="FQ241" t="e">
        <f>AND(#REF!,"AAAAAG/t/6w=")</f>
        <v>#REF!</v>
      </c>
      <c r="FR241" t="e">
        <f>AND(#REF!,"AAAAAG/t/60=")</f>
        <v>#REF!</v>
      </c>
      <c r="FS241" t="e">
        <f>AND(#REF!,"AAAAAG/t/64=")</f>
        <v>#REF!</v>
      </c>
      <c r="FT241" t="e">
        <f>AND(#REF!,"AAAAAG/t/68=")</f>
        <v>#REF!</v>
      </c>
      <c r="FU241" t="e">
        <f>AND(#REF!,"AAAAAG/t/7A=")</f>
        <v>#REF!</v>
      </c>
      <c r="FV241" t="e">
        <f>AND(#REF!,"AAAAAG/t/7E=")</f>
        <v>#REF!</v>
      </c>
      <c r="FW241" t="e">
        <f>AND(#REF!,"AAAAAG/t/7I=")</f>
        <v>#REF!</v>
      </c>
      <c r="FX241" t="e">
        <f>AND(#REF!,"AAAAAG/t/7M=")</f>
        <v>#REF!</v>
      </c>
      <c r="FY241" t="e">
        <f>AND(#REF!,"AAAAAG/t/7Q=")</f>
        <v>#REF!</v>
      </c>
      <c r="FZ241" t="e">
        <f>AND(#REF!,"AAAAAG/t/7U=")</f>
        <v>#REF!</v>
      </c>
      <c r="GA241" t="e">
        <f>AND(#REF!,"AAAAAG/t/7Y=")</f>
        <v>#REF!</v>
      </c>
      <c r="GB241" t="e">
        <f>AND(#REF!,"AAAAAG/t/7c=")</f>
        <v>#REF!</v>
      </c>
      <c r="GC241" t="e">
        <f>AND(#REF!,"AAAAAG/t/7g=")</f>
        <v>#REF!</v>
      </c>
      <c r="GD241" t="e">
        <f>AND(#REF!,"AAAAAG/t/7k=")</f>
        <v>#REF!</v>
      </c>
      <c r="GE241" t="e">
        <f>AND(#REF!,"AAAAAG/t/7o=")</f>
        <v>#REF!</v>
      </c>
      <c r="GF241" t="e">
        <f>AND(#REF!,"AAAAAG/t/7s=")</f>
        <v>#REF!</v>
      </c>
      <c r="GG241" t="e">
        <f>AND(#REF!,"AAAAAG/t/7w=")</f>
        <v>#REF!</v>
      </c>
      <c r="GH241" t="e">
        <f>AND(#REF!,"AAAAAG/t/70=")</f>
        <v>#REF!</v>
      </c>
      <c r="GI241" t="e">
        <f>AND(#REF!,"AAAAAG/t/74=")</f>
        <v>#REF!</v>
      </c>
      <c r="GJ241" t="e">
        <f>AND(#REF!,"AAAAAG/t/78=")</f>
        <v>#REF!</v>
      </c>
      <c r="GK241" t="e">
        <f>AND(#REF!,"AAAAAG/t/8A=")</f>
        <v>#REF!</v>
      </c>
      <c r="GL241" t="e">
        <f>AND(#REF!,"AAAAAG/t/8E=")</f>
        <v>#REF!</v>
      </c>
      <c r="GM241" t="e">
        <f>AND(#REF!,"AAAAAG/t/8I=")</f>
        <v>#REF!</v>
      </c>
      <c r="GN241" t="e">
        <f>AND(#REF!,"AAAAAG/t/8M=")</f>
        <v>#REF!</v>
      </c>
      <c r="GO241" t="e">
        <f>AND(#REF!,"AAAAAG/t/8Q=")</f>
        <v>#REF!</v>
      </c>
      <c r="GP241" t="e">
        <f>AND(#REF!,"AAAAAG/t/8U=")</f>
        <v>#REF!</v>
      </c>
      <c r="GQ241" t="e">
        <f>AND(#REF!,"AAAAAG/t/8Y=")</f>
        <v>#REF!</v>
      </c>
      <c r="GR241" t="e">
        <f>AND(#REF!,"AAAAAG/t/8c=")</f>
        <v>#REF!</v>
      </c>
      <c r="GS241" t="e">
        <f>AND(#REF!,"AAAAAG/t/8g=")</f>
        <v>#REF!</v>
      </c>
      <c r="GT241" t="e">
        <f>AND(#REF!,"AAAAAG/t/8k=")</f>
        <v>#REF!</v>
      </c>
      <c r="GU241" t="e">
        <f>AND(#REF!,"AAAAAG/t/8o=")</f>
        <v>#REF!</v>
      </c>
      <c r="GV241" t="e">
        <f>AND(#REF!,"AAAAAG/t/8s=")</f>
        <v>#REF!</v>
      </c>
      <c r="GW241" t="e">
        <f>AND(#REF!,"AAAAAG/t/8w=")</f>
        <v>#REF!</v>
      </c>
      <c r="GX241" t="e">
        <f>AND(#REF!,"AAAAAG/t/80=")</f>
        <v>#REF!</v>
      </c>
      <c r="GY241" t="e">
        <f>AND(#REF!,"AAAAAG/t/84=")</f>
        <v>#REF!</v>
      </c>
      <c r="GZ241" t="e">
        <f>AND(#REF!,"AAAAAG/t/88=")</f>
        <v>#REF!</v>
      </c>
      <c r="HA241" t="e">
        <f>AND(#REF!,"AAAAAG/t/9A=")</f>
        <v>#REF!</v>
      </c>
      <c r="HB241" t="e">
        <f>AND(#REF!,"AAAAAG/t/9E=")</f>
        <v>#REF!</v>
      </c>
      <c r="HC241" t="e">
        <f>AND(#REF!,"AAAAAG/t/9I=")</f>
        <v>#REF!</v>
      </c>
      <c r="HD241" t="e">
        <f>AND(#REF!,"AAAAAG/t/9M=")</f>
        <v>#REF!</v>
      </c>
      <c r="HE241" t="e">
        <f>AND(#REF!,"AAAAAG/t/9Q=")</f>
        <v>#REF!</v>
      </c>
      <c r="HF241" t="e">
        <f>AND(#REF!,"AAAAAG/t/9U=")</f>
        <v>#REF!</v>
      </c>
      <c r="HG241" t="e">
        <f>AND(#REF!,"AAAAAG/t/9Y=")</f>
        <v>#REF!</v>
      </c>
      <c r="HH241" t="e">
        <f>AND(#REF!,"AAAAAG/t/9c=")</f>
        <v>#REF!</v>
      </c>
      <c r="HI241" t="e">
        <f>AND(#REF!,"AAAAAG/t/9g=")</f>
        <v>#REF!</v>
      </c>
      <c r="HJ241" t="e">
        <f>AND(#REF!,"AAAAAG/t/9k=")</f>
        <v>#REF!</v>
      </c>
      <c r="HK241" t="e">
        <f>AND(#REF!,"AAAAAG/t/9o=")</f>
        <v>#REF!</v>
      </c>
      <c r="HL241" t="e">
        <f>AND(#REF!,"AAAAAG/t/9s=")</f>
        <v>#REF!</v>
      </c>
      <c r="HM241" t="e">
        <f>AND(#REF!,"AAAAAG/t/9w=")</f>
        <v>#REF!</v>
      </c>
      <c r="HN241" t="e">
        <f>AND(#REF!,"AAAAAG/t/90=")</f>
        <v>#REF!</v>
      </c>
      <c r="HO241" t="e">
        <f>AND(#REF!,"AAAAAG/t/94=")</f>
        <v>#REF!</v>
      </c>
      <c r="HP241" t="e">
        <f>AND(#REF!,"AAAAAG/t/98=")</f>
        <v>#REF!</v>
      </c>
      <c r="HQ241" t="e">
        <f>AND(#REF!,"AAAAAG/t/+A=")</f>
        <v>#REF!</v>
      </c>
      <c r="HR241" t="e">
        <f>AND(#REF!,"AAAAAG/t/+E=")</f>
        <v>#REF!</v>
      </c>
      <c r="HS241" t="e">
        <f>AND(#REF!,"AAAAAG/t/+I=")</f>
        <v>#REF!</v>
      </c>
      <c r="HT241" t="e">
        <f>AND(#REF!,"AAAAAG/t/+M=")</f>
        <v>#REF!</v>
      </c>
      <c r="HU241" t="e">
        <f>AND(#REF!,"AAAAAG/t/+Q=")</f>
        <v>#REF!</v>
      </c>
      <c r="HV241" t="e">
        <f>AND(#REF!,"AAAAAG/t/+U=")</f>
        <v>#REF!</v>
      </c>
      <c r="HW241" t="e">
        <f>AND(#REF!,"AAAAAG/t/+Y=")</f>
        <v>#REF!</v>
      </c>
      <c r="HX241" t="e">
        <f>AND(#REF!,"AAAAAG/t/+c=")</f>
        <v>#REF!</v>
      </c>
      <c r="HY241" t="e">
        <f>AND(#REF!,"AAAAAG/t/+g=")</f>
        <v>#REF!</v>
      </c>
      <c r="HZ241" t="e">
        <f>AND(#REF!,"AAAAAG/t/+k=")</f>
        <v>#REF!</v>
      </c>
      <c r="IA241" t="e">
        <f>AND(#REF!,"AAAAAG/t/+o=")</f>
        <v>#REF!</v>
      </c>
      <c r="IB241" t="e">
        <f>AND(#REF!,"AAAAAG/t/+s=")</f>
        <v>#REF!</v>
      </c>
      <c r="IC241" t="e">
        <f>AND(#REF!,"AAAAAG/t/+w=")</f>
        <v>#REF!</v>
      </c>
      <c r="ID241" t="e">
        <f>AND(#REF!,"AAAAAG/t/+0=")</f>
        <v>#REF!</v>
      </c>
      <c r="IE241" t="e">
        <f>AND(#REF!,"AAAAAG/t/+4=")</f>
        <v>#REF!</v>
      </c>
      <c r="IF241" t="e">
        <f>AND(#REF!,"AAAAAG/t/+8=")</f>
        <v>#REF!</v>
      </c>
      <c r="IG241" t="e">
        <f>AND(#REF!,"AAAAAG/t//A=")</f>
        <v>#REF!</v>
      </c>
      <c r="IH241" t="e">
        <f>AND(#REF!,"AAAAAG/t//E=")</f>
        <v>#REF!</v>
      </c>
      <c r="II241" t="e">
        <f>AND(#REF!,"AAAAAG/t//I=")</f>
        <v>#REF!</v>
      </c>
      <c r="IJ241" t="e">
        <f>AND(#REF!,"AAAAAG/t//M=")</f>
        <v>#REF!</v>
      </c>
      <c r="IK241" t="e">
        <f>AND(#REF!,"AAAAAG/t//Q=")</f>
        <v>#REF!</v>
      </c>
      <c r="IL241" t="e">
        <f>AND(#REF!,"AAAAAG/t//U=")</f>
        <v>#REF!</v>
      </c>
      <c r="IM241" t="e">
        <f>AND(#REF!,"AAAAAG/t//Y=")</f>
        <v>#REF!</v>
      </c>
      <c r="IN241" t="e">
        <f>AND(#REF!,"AAAAAG/t//c=")</f>
        <v>#REF!</v>
      </c>
      <c r="IO241" t="e">
        <f>AND(#REF!,"AAAAAG/t//g=")</f>
        <v>#REF!</v>
      </c>
      <c r="IP241" t="e">
        <f>AND(#REF!,"AAAAAG/t//k=")</f>
        <v>#REF!</v>
      </c>
      <c r="IQ241" t="e">
        <f>AND(#REF!,"AAAAAG/t//o=")</f>
        <v>#REF!</v>
      </c>
      <c r="IR241" t="e">
        <f>AND(#REF!,"AAAAAG/t//s=")</f>
        <v>#REF!</v>
      </c>
      <c r="IS241" t="e">
        <f>AND(#REF!,"AAAAAG/t//w=")</f>
        <v>#REF!</v>
      </c>
      <c r="IT241" t="e">
        <f>AND(#REF!,"AAAAAG/t//0=")</f>
        <v>#REF!</v>
      </c>
      <c r="IU241" t="e">
        <f>AND(#REF!,"AAAAAG/t//4=")</f>
        <v>#REF!</v>
      </c>
      <c r="IV241" t="e">
        <f>AND(#REF!,"AAAAAG/t//8=")</f>
        <v>#REF!</v>
      </c>
    </row>
    <row r="242" spans="1:256" x14ac:dyDescent="0.25">
      <c r="A242" t="e">
        <f>AND(#REF!,"AAAAAHx/bwA=")</f>
        <v>#REF!</v>
      </c>
      <c r="B242" t="e">
        <f>AND(#REF!,"AAAAAHx/bwE=")</f>
        <v>#REF!</v>
      </c>
      <c r="C242" t="e">
        <f>AND(#REF!,"AAAAAHx/bwI=")</f>
        <v>#REF!</v>
      </c>
      <c r="D242" t="e">
        <f>AND(#REF!,"AAAAAHx/bwM=")</f>
        <v>#REF!</v>
      </c>
      <c r="E242" t="e">
        <f>AND(#REF!,"AAAAAHx/bwQ=")</f>
        <v>#REF!</v>
      </c>
      <c r="F242" t="e">
        <f>AND(#REF!,"AAAAAHx/bwU=")</f>
        <v>#REF!</v>
      </c>
      <c r="G242" t="e">
        <f>AND(#REF!,"AAAAAHx/bwY=")</f>
        <v>#REF!</v>
      </c>
      <c r="H242" t="e">
        <f>AND(#REF!,"AAAAAHx/bwc=")</f>
        <v>#REF!</v>
      </c>
      <c r="I242" t="e">
        <f>AND(#REF!,"AAAAAHx/bwg=")</f>
        <v>#REF!</v>
      </c>
      <c r="J242" t="e">
        <f>AND(#REF!,"AAAAAHx/bwk=")</f>
        <v>#REF!</v>
      </c>
      <c r="K242" t="e">
        <f>AND(#REF!,"AAAAAHx/bwo=")</f>
        <v>#REF!</v>
      </c>
      <c r="L242" t="e">
        <f>AND(#REF!,"AAAAAHx/bws=")</f>
        <v>#REF!</v>
      </c>
      <c r="M242" t="e">
        <f>AND(#REF!,"AAAAAHx/bww=")</f>
        <v>#REF!</v>
      </c>
      <c r="N242" t="e">
        <f>AND(#REF!,"AAAAAHx/bw0=")</f>
        <v>#REF!</v>
      </c>
      <c r="O242" t="e">
        <f>AND(#REF!,"AAAAAHx/bw4=")</f>
        <v>#REF!</v>
      </c>
      <c r="P242" t="e">
        <f>AND(#REF!,"AAAAAHx/bw8=")</f>
        <v>#REF!</v>
      </c>
      <c r="Q242" t="e">
        <f>AND(#REF!,"AAAAAHx/bxA=")</f>
        <v>#REF!</v>
      </c>
      <c r="R242" t="e">
        <f>AND(#REF!,"AAAAAHx/bxE=")</f>
        <v>#REF!</v>
      </c>
      <c r="S242" t="e">
        <f>AND(#REF!,"AAAAAHx/bxI=")</f>
        <v>#REF!</v>
      </c>
      <c r="T242" t="e">
        <f>AND(#REF!,"AAAAAHx/bxM=")</f>
        <v>#REF!</v>
      </c>
      <c r="U242" t="e">
        <f>AND(#REF!,"AAAAAHx/bxQ=")</f>
        <v>#REF!</v>
      </c>
      <c r="V242" t="e">
        <f>AND(#REF!,"AAAAAHx/bxU=")</f>
        <v>#REF!</v>
      </c>
      <c r="W242" t="e">
        <f>AND(#REF!,"AAAAAHx/bxY=")</f>
        <v>#REF!</v>
      </c>
      <c r="X242" t="e">
        <f>AND(#REF!,"AAAAAHx/bxc=")</f>
        <v>#REF!</v>
      </c>
      <c r="Y242" t="e">
        <f>AND(#REF!,"AAAAAHx/bxg=")</f>
        <v>#REF!</v>
      </c>
      <c r="Z242" t="e">
        <f>AND(#REF!,"AAAAAHx/bxk=")</f>
        <v>#REF!</v>
      </c>
      <c r="AA242" t="e">
        <f>AND(#REF!,"AAAAAHx/bxo=")</f>
        <v>#REF!</v>
      </c>
      <c r="AB242" t="e">
        <f>AND(#REF!,"AAAAAHx/bxs=")</f>
        <v>#REF!</v>
      </c>
      <c r="AC242" t="e">
        <f>AND(#REF!,"AAAAAHx/bxw=")</f>
        <v>#REF!</v>
      </c>
      <c r="AD242" t="e">
        <f>AND(#REF!,"AAAAAHx/bx0=")</f>
        <v>#REF!</v>
      </c>
      <c r="AE242" t="e">
        <f>AND(#REF!,"AAAAAHx/bx4=")</f>
        <v>#REF!</v>
      </c>
      <c r="AF242" t="e">
        <f>AND(#REF!,"AAAAAHx/bx8=")</f>
        <v>#REF!</v>
      </c>
      <c r="AG242" t="e">
        <f>AND(#REF!,"AAAAAHx/byA=")</f>
        <v>#REF!</v>
      </c>
      <c r="AH242" t="e">
        <f>AND(#REF!,"AAAAAHx/byE=")</f>
        <v>#REF!</v>
      </c>
      <c r="AI242" t="e">
        <f>AND(#REF!,"AAAAAHx/byI=")</f>
        <v>#REF!</v>
      </c>
      <c r="AJ242" t="e">
        <f>AND(#REF!,"AAAAAHx/byM=")</f>
        <v>#REF!</v>
      </c>
      <c r="AK242" t="e">
        <f>AND(#REF!,"AAAAAHx/byQ=")</f>
        <v>#REF!</v>
      </c>
      <c r="AL242" t="e">
        <f>AND(#REF!,"AAAAAHx/byU=")</f>
        <v>#REF!</v>
      </c>
      <c r="AM242" t="e">
        <f>AND(#REF!,"AAAAAHx/byY=")</f>
        <v>#REF!</v>
      </c>
      <c r="AN242" t="e">
        <f>AND(#REF!,"AAAAAHx/byc=")</f>
        <v>#REF!</v>
      </c>
      <c r="AO242" t="e">
        <f>AND(#REF!,"AAAAAHx/byg=")</f>
        <v>#REF!</v>
      </c>
      <c r="AP242" t="e">
        <f>AND(#REF!,"AAAAAHx/byk=")</f>
        <v>#REF!</v>
      </c>
      <c r="AQ242" t="e">
        <f>AND(#REF!,"AAAAAHx/byo=")</f>
        <v>#REF!</v>
      </c>
      <c r="AR242" t="e">
        <f>AND(#REF!,"AAAAAHx/bys=")</f>
        <v>#REF!</v>
      </c>
      <c r="AS242" t="e">
        <f>AND(#REF!,"AAAAAHx/byw=")</f>
        <v>#REF!</v>
      </c>
      <c r="AT242" t="e">
        <f>AND(#REF!,"AAAAAHx/by0=")</f>
        <v>#REF!</v>
      </c>
      <c r="AU242" t="e">
        <f>AND(#REF!,"AAAAAHx/by4=")</f>
        <v>#REF!</v>
      </c>
      <c r="AV242" t="e">
        <f>AND(#REF!,"AAAAAHx/by8=")</f>
        <v>#REF!</v>
      </c>
      <c r="AW242" t="e">
        <f>AND(#REF!,"AAAAAHx/bzA=")</f>
        <v>#REF!</v>
      </c>
      <c r="AX242" t="e">
        <f>AND(#REF!,"AAAAAHx/bzE=")</f>
        <v>#REF!</v>
      </c>
      <c r="AY242" t="e">
        <f>AND(#REF!,"AAAAAHx/bzI=")</f>
        <v>#REF!</v>
      </c>
      <c r="AZ242" t="e">
        <f>AND(#REF!,"AAAAAHx/bzM=")</f>
        <v>#REF!</v>
      </c>
      <c r="BA242" t="e">
        <f>AND(#REF!,"AAAAAHx/bzQ=")</f>
        <v>#REF!</v>
      </c>
      <c r="BB242" t="e">
        <f>AND(#REF!,"AAAAAHx/bzU=")</f>
        <v>#REF!</v>
      </c>
      <c r="BC242" t="e">
        <f>AND(#REF!,"AAAAAHx/bzY=")</f>
        <v>#REF!</v>
      </c>
      <c r="BD242" t="e">
        <f>AND(#REF!,"AAAAAHx/bzc=")</f>
        <v>#REF!</v>
      </c>
      <c r="BE242" t="e">
        <f>AND(#REF!,"AAAAAHx/bzg=")</f>
        <v>#REF!</v>
      </c>
      <c r="BF242" t="e">
        <f>AND(#REF!,"AAAAAHx/bzk=")</f>
        <v>#REF!</v>
      </c>
      <c r="BG242" t="e">
        <f>AND(#REF!,"AAAAAHx/bzo=")</f>
        <v>#REF!</v>
      </c>
      <c r="BH242" t="e">
        <f>AND(#REF!,"AAAAAHx/bzs=")</f>
        <v>#REF!</v>
      </c>
      <c r="BI242" t="e">
        <f>AND(#REF!,"AAAAAHx/bzw=")</f>
        <v>#REF!</v>
      </c>
      <c r="BJ242" t="e">
        <f>AND(#REF!,"AAAAAHx/bz0=")</f>
        <v>#REF!</v>
      </c>
      <c r="BK242" t="e">
        <f>AND(#REF!,"AAAAAHx/bz4=")</f>
        <v>#REF!</v>
      </c>
      <c r="BL242" t="e">
        <f>AND(#REF!,"AAAAAHx/bz8=")</f>
        <v>#REF!</v>
      </c>
      <c r="BM242" t="e">
        <f>AND(#REF!,"AAAAAHx/b0A=")</f>
        <v>#REF!</v>
      </c>
      <c r="BN242" t="e">
        <f>AND(#REF!,"AAAAAHx/b0E=")</f>
        <v>#REF!</v>
      </c>
      <c r="BO242" t="e">
        <f>AND(#REF!,"AAAAAHx/b0I=")</f>
        <v>#REF!</v>
      </c>
      <c r="BP242" t="e">
        <f>AND(#REF!,"AAAAAHx/b0M=")</f>
        <v>#REF!</v>
      </c>
      <c r="BQ242" t="e">
        <f>AND(#REF!,"AAAAAHx/b0Q=")</f>
        <v>#REF!</v>
      </c>
      <c r="BR242" t="e">
        <f>AND(#REF!,"AAAAAHx/b0U=")</f>
        <v>#REF!</v>
      </c>
      <c r="BS242" t="e">
        <f>AND(#REF!,"AAAAAHx/b0Y=")</f>
        <v>#REF!</v>
      </c>
      <c r="BT242" t="e">
        <f>AND(#REF!,"AAAAAHx/b0c=")</f>
        <v>#REF!</v>
      </c>
      <c r="BU242" t="e">
        <f>AND(#REF!,"AAAAAHx/b0g=")</f>
        <v>#REF!</v>
      </c>
      <c r="BV242" t="e">
        <f>AND(#REF!,"AAAAAHx/b0k=")</f>
        <v>#REF!</v>
      </c>
      <c r="BW242" t="e">
        <f>AND(#REF!,"AAAAAHx/b0o=")</f>
        <v>#REF!</v>
      </c>
      <c r="BX242" t="e">
        <f>AND(#REF!,"AAAAAHx/b0s=")</f>
        <v>#REF!</v>
      </c>
      <c r="BY242" t="e">
        <f>AND(#REF!,"AAAAAHx/b0w=")</f>
        <v>#REF!</v>
      </c>
      <c r="BZ242" t="e">
        <f>AND(#REF!,"AAAAAHx/b00=")</f>
        <v>#REF!</v>
      </c>
      <c r="CA242" t="e">
        <f>AND(#REF!,"AAAAAHx/b04=")</f>
        <v>#REF!</v>
      </c>
      <c r="CB242" t="e">
        <f>AND(#REF!,"AAAAAHx/b08=")</f>
        <v>#REF!</v>
      </c>
      <c r="CC242" t="e">
        <f>AND(#REF!,"AAAAAHx/b1A=")</f>
        <v>#REF!</v>
      </c>
      <c r="CD242" t="e">
        <f>AND(#REF!,"AAAAAHx/b1E=")</f>
        <v>#REF!</v>
      </c>
      <c r="CE242" t="e">
        <f>AND(#REF!,"AAAAAHx/b1I=")</f>
        <v>#REF!</v>
      </c>
      <c r="CF242" t="e">
        <f>AND(#REF!,"AAAAAHx/b1M=")</f>
        <v>#REF!</v>
      </c>
      <c r="CG242" t="e">
        <f>AND(#REF!,"AAAAAHx/b1Q=")</f>
        <v>#REF!</v>
      </c>
      <c r="CH242" t="e">
        <f>AND(#REF!,"AAAAAHx/b1U=")</f>
        <v>#REF!</v>
      </c>
      <c r="CI242" t="e">
        <f>AND(#REF!,"AAAAAHx/b1Y=")</f>
        <v>#REF!</v>
      </c>
      <c r="CJ242" t="e">
        <f>AND(#REF!,"AAAAAHx/b1c=")</f>
        <v>#REF!</v>
      </c>
      <c r="CK242" t="e">
        <f>AND(#REF!,"AAAAAHx/b1g=")</f>
        <v>#REF!</v>
      </c>
      <c r="CL242" t="e">
        <f>AND(#REF!,"AAAAAHx/b1k=")</f>
        <v>#REF!</v>
      </c>
      <c r="CM242" t="e">
        <f>AND(#REF!,"AAAAAHx/b1o=")</f>
        <v>#REF!</v>
      </c>
      <c r="CN242" t="e">
        <f>AND(#REF!,"AAAAAHx/b1s=")</f>
        <v>#REF!</v>
      </c>
      <c r="CO242" t="e">
        <f>AND(#REF!,"AAAAAHx/b1w=")</f>
        <v>#REF!</v>
      </c>
      <c r="CP242" t="e">
        <f>AND(#REF!,"AAAAAHx/b10=")</f>
        <v>#REF!</v>
      </c>
      <c r="CQ242" t="e">
        <f>AND(#REF!,"AAAAAHx/b14=")</f>
        <v>#REF!</v>
      </c>
      <c r="CR242" t="e">
        <f>AND(#REF!,"AAAAAHx/b18=")</f>
        <v>#REF!</v>
      </c>
      <c r="CS242" t="e">
        <f>AND(#REF!,"AAAAAHx/b2A=")</f>
        <v>#REF!</v>
      </c>
      <c r="CT242" t="e">
        <f>AND(#REF!,"AAAAAHx/b2E=")</f>
        <v>#REF!</v>
      </c>
      <c r="CU242" t="e">
        <f>AND(#REF!,"AAAAAHx/b2I=")</f>
        <v>#REF!</v>
      </c>
      <c r="CV242" t="e">
        <f>IF(#REF!,"AAAAAHx/b2M=",0)</f>
        <v>#REF!</v>
      </c>
      <c r="CW242" t="e">
        <f>AND(#REF!,"AAAAAHx/b2Q=")</f>
        <v>#REF!</v>
      </c>
      <c r="CX242" t="e">
        <f>AND(#REF!,"AAAAAHx/b2U=")</f>
        <v>#REF!</v>
      </c>
      <c r="CY242" t="e">
        <f>AND(#REF!,"AAAAAHx/b2Y=")</f>
        <v>#REF!</v>
      </c>
      <c r="CZ242" t="e">
        <f>AND(#REF!,"AAAAAHx/b2c=")</f>
        <v>#REF!</v>
      </c>
      <c r="DA242" t="e">
        <f>AND(#REF!,"AAAAAHx/b2g=")</f>
        <v>#REF!</v>
      </c>
      <c r="DB242" t="e">
        <f>AND(#REF!,"AAAAAHx/b2k=")</f>
        <v>#REF!</v>
      </c>
      <c r="DC242" t="e">
        <f>AND(#REF!,"AAAAAHx/b2o=")</f>
        <v>#REF!</v>
      </c>
      <c r="DD242" t="e">
        <f>AND(#REF!,"AAAAAHx/b2s=")</f>
        <v>#REF!</v>
      </c>
      <c r="DE242" t="e">
        <f>AND(#REF!,"AAAAAHx/b2w=")</f>
        <v>#REF!</v>
      </c>
      <c r="DF242" t="e">
        <f>AND(#REF!,"AAAAAHx/b20=")</f>
        <v>#REF!</v>
      </c>
      <c r="DG242" t="e">
        <f>AND(#REF!,"AAAAAHx/b24=")</f>
        <v>#REF!</v>
      </c>
      <c r="DH242" t="e">
        <f>AND(#REF!,"AAAAAHx/b28=")</f>
        <v>#REF!</v>
      </c>
      <c r="DI242" t="e">
        <f>AND(#REF!,"AAAAAHx/b3A=")</f>
        <v>#REF!</v>
      </c>
      <c r="DJ242" t="e">
        <f>AND(#REF!,"AAAAAHx/b3E=")</f>
        <v>#REF!</v>
      </c>
      <c r="DK242" t="e">
        <f>AND(#REF!,"AAAAAHx/b3I=")</f>
        <v>#REF!</v>
      </c>
      <c r="DL242" t="e">
        <f>AND(#REF!,"AAAAAHx/b3M=")</f>
        <v>#REF!</v>
      </c>
      <c r="DM242" t="e">
        <f>AND(#REF!,"AAAAAHx/b3Q=")</f>
        <v>#REF!</v>
      </c>
      <c r="DN242" t="e">
        <f>AND(#REF!,"AAAAAHx/b3U=")</f>
        <v>#REF!</v>
      </c>
      <c r="DO242" t="e">
        <f>AND(#REF!,"AAAAAHx/b3Y=")</f>
        <v>#REF!</v>
      </c>
      <c r="DP242" t="e">
        <f>AND(#REF!,"AAAAAHx/b3c=")</f>
        <v>#REF!</v>
      </c>
      <c r="DQ242" t="e">
        <f>AND(#REF!,"AAAAAHx/b3g=")</f>
        <v>#REF!</v>
      </c>
      <c r="DR242" t="e">
        <f>AND(#REF!,"AAAAAHx/b3k=")</f>
        <v>#REF!</v>
      </c>
      <c r="DS242" t="e">
        <f>AND(#REF!,"AAAAAHx/b3o=")</f>
        <v>#REF!</v>
      </c>
      <c r="DT242" t="e">
        <f>AND(#REF!,"AAAAAHx/b3s=")</f>
        <v>#REF!</v>
      </c>
      <c r="DU242" t="e">
        <f>AND(#REF!,"AAAAAHx/b3w=")</f>
        <v>#REF!</v>
      </c>
      <c r="DV242" t="e">
        <f>AND(#REF!,"AAAAAHx/b30=")</f>
        <v>#REF!</v>
      </c>
      <c r="DW242" t="e">
        <f>AND(#REF!,"AAAAAHx/b34=")</f>
        <v>#REF!</v>
      </c>
      <c r="DX242" t="e">
        <f>AND(#REF!,"AAAAAHx/b38=")</f>
        <v>#REF!</v>
      </c>
      <c r="DY242" t="e">
        <f>AND(#REF!,"AAAAAHx/b4A=")</f>
        <v>#REF!</v>
      </c>
      <c r="DZ242" t="e">
        <f>AND(#REF!,"AAAAAHx/b4E=")</f>
        <v>#REF!</v>
      </c>
      <c r="EA242" t="e">
        <f>AND(#REF!,"AAAAAHx/b4I=")</f>
        <v>#REF!</v>
      </c>
      <c r="EB242" t="e">
        <f>AND(#REF!,"AAAAAHx/b4M=")</f>
        <v>#REF!</v>
      </c>
      <c r="EC242" t="e">
        <f>AND(#REF!,"AAAAAHx/b4Q=")</f>
        <v>#REF!</v>
      </c>
      <c r="ED242" t="e">
        <f>AND(#REF!,"AAAAAHx/b4U=")</f>
        <v>#REF!</v>
      </c>
      <c r="EE242" t="e">
        <f>AND(#REF!,"AAAAAHx/b4Y=")</f>
        <v>#REF!</v>
      </c>
      <c r="EF242" t="e">
        <f>AND(#REF!,"AAAAAHx/b4c=")</f>
        <v>#REF!</v>
      </c>
      <c r="EG242" t="e">
        <f>AND(#REF!,"AAAAAHx/b4g=")</f>
        <v>#REF!</v>
      </c>
      <c r="EH242" t="e">
        <f>AND(#REF!,"AAAAAHx/b4k=")</f>
        <v>#REF!</v>
      </c>
      <c r="EI242" t="e">
        <f>AND(#REF!,"AAAAAHx/b4o=")</f>
        <v>#REF!</v>
      </c>
      <c r="EJ242" t="e">
        <f>AND(#REF!,"AAAAAHx/b4s=")</f>
        <v>#REF!</v>
      </c>
      <c r="EK242" t="e">
        <f>AND(#REF!,"AAAAAHx/b4w=")</f>
        <v>#REF!</v>
      </c>
      <c r="EL242" t="e">
        <f>AND(#REF!,"AAAAAHx/b40=")</f>
        <v>#REF!</v>
      </c>
      <c r="EM242" t="e">
        <f>AND(#REF!,"AAAAAHx/b44=")</f>
        <v>#REF!</v>
      </c>
      <c r="EN242" t="e">
        <f>AND(#REF!,"AAAAAHx/b48=")</f>
        <v>#REF!</v>
      </c>
      <c r="EO242" t="e">
        <f>AND(#REF!,"AAAAAHx/b5A=")</f>
        <v>#REF!</v>
      </c>
      <c r="EP242" t="e">
        <f>AND(#REF!,"AAAAAHx/b5E=")</f>
        <v>#REF!</v>
      </c>
      <c r="EQ242" t="e">
        <f>AND(#REF!,"AAAAAHx/b5I=")</f>
        <v>#REF!</v>
      </c>
      <c r="ER242" t="e">
        <f>AND(#REF!,"AAAAAHx/b5M=")</f>
        <v>#REF!</v>
      </c>
      <c r="ES242" t="e">
        <f>AND(#REF!,"AAAAAHx/b5Q=")</f>
        <v>#REF!</v>
      </c>
      <c r="ET242" t="e">
        <f>AND(#REF!,"AAAAAHx/b5U=")</f>
        <v>#REF!</v>
      </c>
      <c r="EU242" t="e">
        <f>AND(#REF!,"AAAAAHx/b5Y=")</f>
        <v>#REF!</v>
      </c>
      <c r="EV242" t="e">
        <f>AND(#REF!,"AAAAAHx/b5c=")</f>
        <v>#REF!</v>
      </c>
      <c r="EW242" t="e">
        <f>AND(#REF!,"AAAAAHx/b5g=")</f>
        <v>#REF!</v>
      </c>
      <c r="EX242" t="e">
        <f>AND(#REF!,"AAAAAHx/b5k=")</f>
        <v>#REF!</v>
      </c>
      <c r="EY242" t="e">
        <f>AND(#REF!,"AAAAAHx/b5o=")</f>
        <v>#REF!</v>
      </c>
      <c r="EZ242" t="e">
        <f>AND(#REF!,"AAAAAHx/b5s=")</f>
        <v>#REF!</v>
      </c>
      <c r="FA242" t="e">
        <f>AND(#REF!,"AAAAAHx/b5w=")</f>
        <v>#REF!</v>
      </c>
      <c r="FB242" t="e">
        <f>AND(#REF!,"AAAAAHx/b50=")</f>
        <v>#REF!</v>
      </c>
      <c r="FC242" t="e">
        <f>AND(#REF!,"AAAAAHx/b54=")</f>
        <v>#REF!</v>
      </c>
      <c r="FD242" t="e">
        <f>AND(#REF!,"AAAAAHx/b58=")</f>
        <v>#REF!</v>
      </c>
      <c r="FE242" t="e">
        <f>AND(#REF!,"AAAAAHx/b6A=")</f>
        <v>#REF!</v>
      </c>
      <c r="FF242" t="e">
        <f>AND(#REF!,"AAAAAHx/b6E=")</f>
        <v>#REF!</v>
      </c>
      <c r="FG242" t="e">
        <f>AND(#REF!,"AAAAAHx/b6I=")</f>
        <v>#REF!</v>
      </c>
      <c r="FH242" t="e">
        <f>AND(#REF!,"AAAAAHx/b6M=")</f>
        <v>#REF!</v>
      </c>
      <c r="FI242" t="e">
        <f>AND(#REF!,"AAAAAHx/b6Q=")</f>
        <v>#REF!</v>
      </c>
      <c r="FJ242" t="e">
        <f>AND(#REF!,"AAAAAHx/b6U=")</f>
        <v>#REF!</v>
      </c>
      <c r="FK242" t="e">
        <f>AND(#REF!,"AAAAAHx/b6Y=")</f>
        <v>#REF!</v>
      </c>
      <c r="FL242" t="e">
        <f>AND(#REF!,"AAAAAHx/b6c=")</f>
        <v>#REF!</v>
      </c>
      <c r="FM242" t="e">
        <f>AND(#REF!,"AAAAAHx/b6g=")</f>
        <v>#REF!</v>
      </c>
      <c r="FN242" t="e">
        <f>AND(#REF!,"AAAAAHx/b6k=")</f>
        <v>#REF!</v>
      </c>
      <c r="FO242" t="e">
        <f>AND(#REF!,"AAAAAHx/b6o=")</f>
        <v>#REF!</v>
      </c>
      <c r="FP242" t="e">
        <f>AND(#REF!,"AAAAAHx/b6s=")</f>
        <v>#REF!</v>
      </c>
      <c r="FQ242" t="e">
        <f>AND(#REF!,"AAAAAHx/b6w=")</f>
        <v>#REF!</v>
      </c>
      <c r="FR242" t="e">
        <f>AND(#REF!,"AAAAAHx/b60=")</f>
        <v>#REF!</v>
      </c>
      <c r="FS242" t="e">
        <f>AND(#REF!,"AAAAAHx/b64=")</f>
        <v>#REF!</v>
      </c>
      <c r="FT242" t="e">
        <f>AND(#REF!,"AAAAAHx/b68=")</f>
        <v>#REF!</v>
      </c>
      <c r="FU242" t="e">
        <f>AND(#REF!,"AAAAAHx/b7A=")</f>
        <v>#REF!</v>
      </c>
      <c r="FV242" t="e">
        <f>AND(#REF!,"AAAAAHx/b7E=")</f>
        <v>#REF!</v>
      </c>
      <c r="FW242" t="e">
        <f>AND(#REF!,"AAAAAHx/b7I=")</f>
        <v>#REF!</v>
      </c>
      <c r="FX242" t="e">
        <f>AND(#REF!,"AAAAAHx/b7M=")</f>
        <v>#REF!</v>
      </c>
      <c r="FY242" t="e">
        <f>AND(#REF!,"AAAAAHx/b7Q=")</f>
        <v>#REF!</v>
      </c>
      <c r="FZ242" t="e">
        <f>AND(#REF!,"AAAAAHx/b7U=")</f>
        <v>#REF!</v>
      </c>
      <c r="GA242" t="e">
        <f>AND(#REF!,"AAAAAHx/b7Y=")</f>
        <v>#REF!</v>
      </c>
      <c r="GB242" t="e">
        <f>AND(#REF!,"AAAAAHx/b7c=")</f>
        <v>#REF!</v>
      </c>
      <c r="GC242" t="e">
        <f>AND(#REF!,"AAAAAHx/b7g=")</f>
        <v>#REF!</v>
      </c>
      <c r="GD242" t="e">
        <f>AND(#REF!,"AAAAAHx/b7k=")</f>
        <v>#REF!</v>
      </c>
      <c r="GE242" t="e">
        <f>AND(#REF!,"AAAAAHx/b7o=")</f>
        <v>#REF!</v>
      </c>
      <c r="GF242" t="e">
        <f>AND(#REF!,"AAAAAHx/b7s=")</f>
        <v>#REF!</v>
      </c>
      <c r="GG242" t="e">
        <f>AND(#REF!,"AAAAAHx/b7w=")</f>
        <v>#REF!</v>
      </c>
      <c r="GH242" t="e">
        <f>AND(#REF!,"AAAAAHx/b70=")</f>
        <v>#REF!</v>
      </c>
      <c r="GI242" t="e">
        <f>AND(#REF!,"AAAAAHx/b74=")</f>
        <v>#REF!</v>
      </c>
      <c r="GJ242" t="e">
        <f>AND(#REF!,"AAAAAHx/b78=")</f>
        <v>#REF!</v>
      </c>
      <c r="GK242" t="e">
        <f>AND(#REF!,"AAAAAHx/b8A=")</f>
        <v>#REF!</v>
      </c>
      <c r="GL242" t="e">
        <f>AND(#REF!,"AAAAAHx/b8E=")</f>
        <v>#REF!</v>
      </c>
      <c r="GM242" t="e">
        <f>AND(#REF!,"AAAAAHx/b8I=")</f>
        <v>#REF!</v>
      </c>
      <c r="GN242" t="e">
        <f>AND(#REF!,"AAAAAHx/b8M=")</f>
        <v>#REF!</v>
      </c>
      <c r="GO242" t="e">
        <f>AND(#REF!,"AAAAAHx/b8Q=")</f>
        <v>#REF!</v>
      </c>
      <c r="GP242" t="e">
        <f>AND(#REF!,"AAAAAHx/b8U=")</f>
        <v>#REF!</v>
      </c>
      <c r="GQ242" t="e">
        <f>AND(#REF!,"AAAAAHx/b8Y=")</f>
        <v>#REF!</v>
      </c>
      <c r="GR242" t="e">
        <f>AND(#REF!,"AAAAAHx/b8c=")</f>
        <v>#REF!</v>
      </c>
      <c r="GS242" t="e">
        <f>AND(#REF!,"AAAAAHx/b8g=")</f>
        <v>#REF!</v>
      </c>
      <c r="GT242" t="e">
        <f>AND(#REF!,"AAAAAHx/b8k=")</f>
        <v>#REF!</v>
      </c>
      <c r="GU242" t="e">
        <f>AND(#REF!,"AAAAAHx/b8o=")</f>
        <v>#REF!</v>
      </c>
      <c r="GV242" t="e">
        <f>AND(#REF!,"AAAAAHx/b8s=")</f>
        <v>#REF!</v>
      </c>
      <c r="GW242" t="e">
        <f>AND(#REF!,"AAAAAHx/b8w=")</f>
        <v>#REF!</v>
      </c>
      <c r="GX242" t="e">
        <f>AND(#REF!,"AAAAAHx/b80=")</f>
        <v>#REF!</v>
      </c>
      <c r="GY242" t="e">
        <f>AND(#REF!,"AAAAAHx/b84=")</f>
        <v>#REF!</v>
      </c>
      <c r="GZ242" t="e">
        <f>AND(#REF!,"AAAAAHx/b88=")</f>
        <v>#REF!</v>
      </c>
      <c r="HA242" t="e">
        <f>AND(#REF!,"AAAAAHx/b9A=")</f>
        <v>#REF!</v>
      </c>
      <c r="HB242" t="e">
        <f>AND(#REF!,"AAAAAHx/b9E=")</f>
        <v>#REF!</v>
      </c>
      <c r="HC242" t="e">
        <f>AND(#REF!,"AAAAAHx/b9I=")</f>
        <v>#REF!</v>
      </c>
      <c r="HD242" t="e">
        <f>AND(#REF!,"AAAAAHx/b9M=")</f>
        <v>#REF!</v>
      </c>
      <c r="HE242" t="e">
        <f>AND(#REF!,"AAAAAHx/b9Q=")</f>
        <v>#REF!</v>
      </c>
      <c r="HF242" t="e">
        <f>AND(#REF!,"AAAAAHx/b9U=")</f>
        <v>#REF!</v>
      </c>
      <c r="HG242" t="e">
        <f>AND(#REF!,"AAAAAHx/b9Y=")</f>
        <v>#REF!</v>
      </c>
      <c r="HH242" t="e">
        <f>AND(#REF!,"AAAAAHx/b9c=")</f>
        <v>#REF!</v>
      </c>
      <c r="HI242" t="e">
        <f>AND(#REF!,"AAAAAHx/b9g=")</f>
        <v>#REF!</v>
      </c>
      <c r="HJ242" t="e">
        <f>AND(#REF!,"AAAAAHx/b9k=")</f>
        <v>#REF!</v>
      </c>
      <c r="HK242" t="e">
        <f>AND(#REF!,"AAAAAHx/b9o=")</f>
        <v>#REF!</v>
      </c>
      <c r="HL242" t="e">
        <f>AND(#REF!,"AAAAAHx/b9s=")</f>
        <v>#REF!</v>
      </c>
      <c r="HM242" t="e">
        <f>AND(#REF!,"AAAAAHx/b9w=")</f>
        <v>#REF!</v>
      </c>
      <c r="HN242" t="e">
        <f>AND(#REF!,"AAAAAHx/b90=")</f>
        <v>#REF!</v>
      </c>
      <c r="HO242" t="e">
        <f>AND(#REF!,"AAAAAHx/b94=")</f>
        <v>#REF!</v>
      </c>
      <c r="HP242" t="e">
        <f>AND(#REF!,"AAAAAHx/b98=")</f>
        <v>#REF!</v>
      </c>
      <c r="HQ242" t="e">
        <f>AND(#REF!,"AAAAAHx/b+A=")</f>
        <v>#REF!</v>
      </c>
      <c r="HR242" t="e">
        <f>AND(#REF!,"AAAAAHx/b+E=")</f>
        <v>#REF!</v>
      </c>
      <c r="HS242" t="e">
        <f>AND(#REF!,"AAAAAHx/b+I=")</f>
        <v>#REF!</v>
      </c>
      <c r="HT242" t="e">
        <f>AND(#REF!,"AAAAAHx/b+M=")</f>
        <v>#REF!</v>
      </c>
      <c r="HU242" t="e">
        <f>AND(#REF!,"AAAAAHx/b+Q=")</f>
        <v>#REF!</v>
      </c>
      <c r="HV242" t="e">
        <f>AND(#REF!,"AAAAAHx/b+U=")</f>
        <v>#REF!</v>
      </c>
      <c r="HW242" t="e">
        <f>AND(#REF!,"AAAAAHx/b+Y=")</f>
        <v>#REF!</v>
      </c>
      <c r="HX242" t="e">
        <f>AND(#REF!,"AAAAAHx/b+c=")</f>
        <v>#REF!</v>
      </c>
      <c r="HY242" t="e">
        <f>AND(#REF!,"AAAAAHx/b+g=")</f>
        <v>#REF!</v>
      </c>
      <c r="HZ242" t="e">
        <f>AND(#REF!,"AAAAAHx/b+k=")</f>
        <v>#REF!</v>
      </c>
      <c r="IA242" t="e">
        <f>AND(#REF!,"AAAAAHx/b+o=")</f>
        <v>#REF!</v>
      </c>
      <c r="IB242" t="e">
        <f>AND(#REF!,"AAAAAHx/b+s=")</f>
        <v>#REF!</v>
      </c>
      <c r="IC242" t="e">
        <f>AND(#REF!,"AAAAAHx/b+w=")</f>
        <v>#REF!</v>
      </c>
      <c r="ID242" t="e">
        <f>AND(#REF!,"AAAAAHx/b+0=")</f>
        <v>#REF!</v>
      </c>
      <c r="IE242" t="e">
        <f>AND(#REF!,"AAAAAHx/b+4=")</f>
        <v>#REF!</v>
      </c>
      <c r="IF242" t="e">
        <f>AND(#REF!,"AAAAAHx/b+8=")</f>
        <v>#REF!</v>
      </c>
      <c r="IG242" t="e">
        <f>AND(#REF!,"AAAAAHx/b/A=")</f>
        <v>#REF!</v>
      </c>
      <c r="IH242" t="e">
        <f>AND(#REF!,"AAAAAHx/b/E=")</f>
        <v>#REF!</v>
      </c>
      <c r="II242" t="e">
        <f>AND(#REF!,"AAAAAHx/b/I=")</f>
        <v>#REF!</v>
      </c>
      <c r="IJ242" t="e">
        <f>AND(#REF!,"AAAAAHx/b/M=")</f>
        <v>#REF!</v>
      </c>
      <c r="IK242" t="e">
        <f>AND(#REF!,"AAAAAHx/b/Q=")</f>
        <v>#REF!</v>
      </c>
      <c r="IL242" t="e">
        <f>AND(#REF!,"AAAAAHx/b/U=")</f>
        <v>#REF!</v>
      </c>
      <c r="IM242" t="e">
        <f>AND(#REF!,"AAAAAHx/b/Y=")</f>
        <v>#REF!</v>
      </c>
      <c r="IN242" t="e">
        <f>AND(#REF!,"AAAAAHx/b/c=")</f>
        <v>#REF!</v>
      </c>
      <c r="IO242" t="e">
        <f>AND(#REF!,"AAAAAHx/b/g=")</f>
        <v>#REF!</v>
      </c>
      <c r="IP242" t="e">
        <f>AND(#REF!,"AAAAAHx/b/k=")</f>
        <v>#REF!</v>
      </c>
      <c r="IQ242" t="e">
        <f>AND(#REF!,"AAAAAHx/b/o=")</f>
        <v>#REF!</v>
      </c>
      <c r="IR242" t="e">
        <f>AND(#REF!,"AAAAAHx/b/s=")</f>
        <v>#REF!</v>
      </c>
      <c r="IS242" t="e">
        <f>AND(#REF!,"AAAAAHx/b/w=")</f>
        <v>#REF!</v>
      </c>
      <c r="IT242" t="e">
        <f>AND(#REF!,"AAAAAHx/b/0=")</f>
        <v>#REF!</v>
      </c>
      <c r="IU242" t="e">
        <f>AND(#REF!,"AAAAAHx/b/4=")</f>
        <v>#REF!</v>
      </c>
      <c r="IV242" t="e">
        <f>AND(#REF!,"AAAAAHx/b/8=")</f>
        <v>#REF!</v>
      </c>
    </row>
    <row r="243" spans="1:256" x14ac:dyDescent="0.25">
      <c r="A243" t="e">
        <f>AND(#REF!,"AAAAAC/3rQA=")</f>
        <v>#REF!</v>
      </c>
      <c r="B243" t="e">
        <f>AND(#REF!,"AAAAAC/3rQE=")</f>
        <v>#REF!</v>
      </c>
      <c r="C243" t="e">
        <f>AND(#REF!,"AAAAAC/3rQI=")</f>
        <v>#REF!</v>
      </c>
      <c r="D243" t="e">
        <f>AND(#REF!,"AAAAAC/3rQM=")</f>
        <v>#REF!</v>
      </c>
      <c r="E243" t="e">
        <f>AND(#REF!,"AAAAAC/3rQQ=")</f>
        <v>#REF!</v>
      </c>
      <c r="F243" t="e">
        <f>AND(#REF!,"AAAAAC/3rQU=")</f>
        <v>#REF!</v>
      </c>
      <c r="G243" t="e">
        <f>AND(#REF!,"AAAAAC/3rQY=")</f>
        <v>#REF!</v>
      </c>
      <c r="H243" t="e">
        <f>AND(#REF!,"AAAAAC/3rQc=")</f>
        <v>#REF!</v>
      </c>
      <c r="I243" t="e">
        <f>AND(#REF!,"AAAAAC/3rQg=")</f>
        <v>#REF!</v>
      </c>
      <c r="J243" t="e">
        <f>AND(#REF!,"AAAAAC/3rQk=")</f>
        <v>#REF!</v>
      </c>
      <c r="K243" t="e">
        <f>AND(#REF!,"AAAAAC/3rQo=")</f>
        <v>#REF!</v>
      </c>
      <c r="L243" t="e">
        <f>AND(#REF!,"AAAAAC/3rQs=")</f>
        <v>#REF!</v>
      </c>
      <c r="M243" t="e">
        <f>AND(#REF!,"AAAAAC/3rQw=")</f>
        <v>#REF!</v>
      </c>
      <c r="N243" t="e">
        <f>AND(#REF!,"AAAAAC/3rQ0=")</f>
        <v>#REF!</v>
      </c>
      <c r="O243" t="e">
        <f>AND(#REF!,"AAAAAC/3rQ4=")</f>
        <v>#REF!</v>
      </c>
      <c r="P243" t="e">
        <f>AND(#REF!,"AAAAAC/3rQ8=")</f>
        <v>#REF!</v>
      </c>
      <c r="Q243" t="e">
        <f>AND(#REF!,"AAAAAC/3rRA=")</f>
        <v>#REF!</v>
      </c>
      <c r="R243" t="e">
        <f>AND(#REF!,"AAAAAC/3rRE=")</f>
        <v>#REF!</v>
      </c>
      <c r="S243" t="e">
        <f>AND(#REF!,"AAAAAC/3rRI=")</f>
        <v>#REF!</v>
      </c>
      <c r="T243" t="e">
        <f>AND(#REF!,"AAAAAC/3rRM=")</f>
        <v>#REF!</v>
      </c>
      <c r="U243" t="e">
        <f>AND(#REF!,"AAAAAC/3rRQ=")</f>
        <v>#REF!</v>
      </c>
      <c r="V243" t="e">
        <f>AND(#REF!,"AAAAAC/3rRU=")</f>
        <v>#REF!</v>
      </c>
      <c r="W243" t="e">
        <f>AND(#REF!,"AAAAAC/3rRY=")</f>
        <v>#REF!</v>
      </c>
      <c r="X243" t="e">
        <f>AND(#REF!,"AAAAAC/3rRc=")</f>
        <v>#REF!</v>
      </c>
      <c r="Y243" t="e">
        <f>AND(#REF!,"AAAAAC/3rRg=")</f>
        <v>#REF!</v>
      </c>
      <c r="Z243" t="e">
        <f>AND(#REF!,"AAAAAC/3rRk=")</f>
        <v>#REF!</v>
      </c>
      <c r="AA243" t="e">
        <f>AND(#REF!,"AAAAAC/3rRo=")</f>
        <v>#REF!</v>
      </c>
      <c r="AB243" t="e">
        <f>AND(#REF!,"AAAAAC/3rRs=")</f>
        <v>#REF!</v>
      </c>
      <c r="AC243" t="e">
        <f>AND(#REF!,"AAAAAC/3rRw=")</f>
        <v>#REF!</v>
      </c>
      <c r="AD243" t="e">
        <f>AND(#REF!,"AAAAAC/3rR0=")</f>
        <v>#REF!</v>
      </c>
      <c r="AE243" t="e">
        <f>AND(#REF!,"AAAAAC/3rR4=")</f>
        <v>#REF!</v>
      </c>
      <c r="AF243" t="e">
        <f>AND(#REF!,"AAAAAC/3rR8=")</f>
        <v>#REF!</v>
      </c>
      <c r="AG243" t="e">
        <f>IF(#REF!,"AAAAAC/3rSA=",0)</f>
        <v>#REF!</v>
      </c>
      <c r="AH243" t="e">
        <f>AND(#REF!,"AAAAAC/3rSE=")</f>
        <v>#REF!</v>
      </c>
      <c r="AI243" t="e">
        <f>AND(#REF!,"AAAAAC/3rSI=")</f>
        <v>#REF!</v>
      </c>
      <c r="AJ243" t="e">
        <f>AND(#REF!,"AAAAAC/3rSM=")</f>
        <v>#REF!</v>
      </c>
      <c r="AK243" t="e">
        <f>AND(#REF!,"AAAAAC/3rSQ=")</f>
        <v>#REF!</v>
      </c>
      <c r="AL243" t="e">
        <f>AND(#REF!,"AAAAAC/3rSU=")</f>
        <v>#REF!</v>
      </c>
      <c r="AM243" t="e">
        <f>AND(#REF!,"AAAAAC/3rSY=")</f>
        <v>#REF!</v>
      </c>
      <c r="AN243" t="e">
        <f>AND(#REF!,"AAAAAC/3rSc=")</f>
        <v>#REF!</v>
      </c>
      <c r="AO243" t="e">
        <f>AND(#REF!,"AAAAAC/3rSg=")</f>
        <v>#REF!</v>
      </c>
      <c r="AP243" t="e">
        <f>AND(#REF!,"AAAAAC/3rSk=")</f>
        <v>#REF!</v>
      </c>
      <c r="AQ243" t="e">
        <f>AND(#REF!,"AAAAAC/3rSo=")</f>
        <v>#REF!</v>
      </c>
      <c r="AR243" t="e">
        <f>AND(#REF!,"AAAAAC/3rSs=")</f>
        <v>#REF!</v>
      </c>
      <c r="AS243" t="e">
        <f>AND(#REF!,"AAAAAC/3rSw=")</f>
        <v>#REF!</v>
      </c>
      <c r="AT243" t="e">
        <f>AND(#REF!,"AAAAAC/3rS0=")</f>
        <v>#REF!</v>
      </c>
      <c r="AU243" t="e">
        <f>AND(#REF!,"AAAAAC/3rS4=")</f>
        <v>#REF!</v>
      </c>
      <c r="AV243" t="e">
        <f>AND(#REF!,"AAAAAC/3rS8=")</f>
        <v>#REF!</v>
      </c>
      <c r="AW243" t="e">
        <f>AND(#REF!,"AAAAAC/3rTA=")</f>
        <v>#REF!</v>
      </c>
      <c r="AX243" t="e">
        <f>AND(#REF!,"AAAAAC/3rTE=")</f>
        <v>#REF!</v>
      </c>
      <c r="AY243" t="e">
        <f>AND(#REF!,"AAAAAC/3rTI=")</f>
        <v>#REF!</v>
      </c>
      <c r="AZ243" t="e">
        <f>AND(#REF!,"AAAAAC/3rTM=")</f>
        <v>#REF!</v>
      </c>
      <c r="BA243" t="e">
        <f>AND(#REF!,"AAAAAC/3rTQ=")</f>
        <v>#REF!</v>
      </c>
      <c r="BB243" t="e">
        <f>AND(#REF!,"AAAAAC/3rTU=")</f>
        <v>#REF!</v>
      </c>
      <c r="BC243" t="e">
        <f>AND(#REF!,"AAAAAC/3rTY=")</f>
        <v>#REF!</v>
      </c>
      <c r="BD243" t="e">
        <f>AND(#REF!,"AAAAAC/3rTc=")</f>
        <v>#REF!</v>
      </c>
      <c r="BE243" t="e">
        <f>AND(#REF!,"AAAAAC/3rTg=")</f>
        <v>#REF!</v>
      </c>
      <c r="BF243" t="e">
        <f>AND(#REF!,"AAAAAC/3rTk=")</f>
        <v>#REF!</v>
      </c>
      <c r="BG243" t="e">
        <f>AND(#REF!,"AAAAAC/3rTo=")</f>
        <v>#REF!</v>
      </c>
      <c r="BH243" t="e">
        <f>AND(#REF!,"AAAAAC/3rTs=")</f>
        <v>#REF!</v>
      </c>
      <c r="BI243" t="e">
        <f>AND(#REF!,"AAAAAC/3rTw=")</f>
        <v>#REF!</v>
      </c>
      <c r="BJ243" t="e">
        <f>AND(#REF!,"AAAAAC/3rT0=")</f>
        <v>#REF!</v>
      </c>
      <c r="BK243" t="e">
        <f>AND(#REF!,"AAAAAC/3rT4=")</f>
        <v>#REF!</v>
      </c>
      <c r="BL243" t="e">
        <f>AND(#REF!,"AAAAAC/3rT8=")</f>
        <v>#REF!</v>
      </c>
      <c r="BM243" t="e">
        <f>AND(#REF!,"AAAAAC/3rUA=")</f>
        <v>#REF!</v>
      </c>
      <c r="BN243" t="e">
        <f>AND(#REF!,"AAAAAC/3rUE=")</f>
        <v>#REF!</v>
      </c>
      <c r="BO243" t="e">
        <f>AND(#REF!,"AAAAAC/3rUI=")</f>
        <v>#REF!</v>
      </c>
      <c r="BP243" t="e">
        <f>AND(#REF!,"AAAAAC/3rUM=")</f>
        <v>#REF!</v>
      </c>
      <c r="BQ243" t="e">
        <f>AND(#REF!,"AAAAAC/3rUQ=")</f>
        <v>#REF!</v>
      </c>
      <c r="BR243" t="e">
        <f>AND(#REF!,"AAAAAC/3rUU=")</f>
        <v>#REF!</v>
      </c>
      <c r="BS243" t="e">
        <f>AND(#REF!,"AAAAAC/3rUY=")</f>
        <v>#REF!</v>
      </c>
      <c r="BT243" t="e">
        <f>AND(#REF!,"AAAAAC/3rUc=")</f>
        <v>#REF!</v>
      </c>
      <c r="BU243" t="e">
        <f>AND(#REF!,"AAAAAC/3rUg=")</f>
        <v>#REF!</v>
      </c>
      <c r="BV243" t="e">
        <f>AND(#REF!,"AAAAAC/3rUk=")</f>
        <v>#REF!</v>
      </c>
      <c r="BW243" t="e">
        <f>AND(#REF!,"AAAAAC/3rUo=")</f>
        <v>#REF!</v>
      </c>
      <c r="BX243" t="e">
        <f>AND(#REF!,"AAAAAC/3rUs=")</f>
        <v>#REF!</v>
      </c>
      <c r="BY243" t="e">
        <f>AND(#REF!,"AAAAAC/3rUw=")</f>
        <v>#REF!</v>
      </c>
      <c r="BZ243" t="e">
        <f>AND(#REF!,"AAAAAC/3rU0=")</f>
        <v>#REF!</v>
      </c>
      <c r="CA243" t="e">
        <f>AND(#REF!,"AAAAAC/3rU4=")</f>
        <v>#REF!</v>
      </c>
      <c r="CB243" t="e">
        <f>AND(#REF!,"AAAAAC/3rU8=")</f>
        <v>#REF!</v>
      </c>
      <c r="CC243" t="e">
        <f>AND(#REF!,"AAAAAC/3rVA=")</f>
        <v>#REF!</v>
      </c>
      <c r="CD243" t="e">
        <f>AND(#REF!,"AAAAAC/3rVE=")</f>
        <v>#REF!</v>
      </c>
      <c r="CE243" t="e">
        <f>AND(#REF!,"AAAAAC/3rVI=")</f>
        <v>#REF!</v>
      </c>
      <c r="CF243" t="e">
        <f>AND(#REF!,"AAAAAC/3rVM=")</f>
        <v>#REF!</v>
      </c>
      <c r="CG243" t="e">
        <f>AND(#REF!,"AAAAAC/3rVQ=")</f>
        <v>#REF!</v>
      </c>
      <c r="CH243" t="e">
        <f>AND(#REF!,"AAAAAC/3rVU=")</f>
        <v>#REF!</v>
      </c>
      <c r="CI243" t="e">
        <f>AND(#REF!,"AAAAAC/3rVY=")</f>
        <v>#REF!</v>
      </c>
      <c r="CJ243" t="e">
        <f>AND(#REF!,"AAAAAC/3rVc=")</f>
        <v>#REF!</v>
      </c>
      <c r="CK243" t="e">
        <f>AND(#REF!,"AAAAAC/3rVg=")</f>
        <v>#REF!</v>
      </c>
      <c r="CL243" t="e">
        <f>AND(#REF!,"AAAAAC/3rVk=")</f>
        <v>#REF!</v>
      </c>
      <c r="CM243" t="e">
        <f>AND(#REF!,"AAAAAC/3rVo=")</f>
        <v>#REF!</v>
      </c>
      <c r="CN243" t="e">
        <f>AND(#REF!,"AAAAAC/3rVs=")</f>
        <v>#REF!</v>
      </c>
      <c r="CO243" t="e">
        <f>AND(#REF!,"AAAAAC/3rVw=")</f>
        <v>#REF!</v>
      </c>
      <c r="CP243" t="e">
        <f>AND(#REF!,"AAAAAC/3rV0=")</f>
        <v>#REF!</v>
      </c>
      <c r="CQ243" t="e">
        <f>AND(#REF!,"AAAAAC/3rV4=")</f>
        <v>#REF!</v>
      </c>
      <c r="CR243" t="e">
        <f>AND(#REF!,"AAAAAC/3rV8=")</f>
        <v>#REF!</v>
      </c>
      <c r="CS243" t="e">
        <f>AND(#REF!,"AAAAAC/3rWA=")</f>
        <v>#REF!</v>
      </c>
      <c r="CT243" t="e">
        <f>AND(#REF!,"AAAAAC/3rWE=")</f>
        <v>#REF!</v>
      </c>
      <c r="CU243" t="e">
        <f>AND(#REF!,"AAAAAC/3rWI=")</f>
        <v>#REF!</v>
      </c>
      <c r="CV243" t="e">
        <f>AND(#REF!,"AAAAAC/3rWM=")</f>
        <v>#REF!</v>
      </c>
      <c r="CW243" t="e">
        <f>AND(#REF!,"AAAAAC/3rWQ=")</f>
        <v>#REF!</v>
      </c>
      <c r="CX243" t="e">
        <f>AND(#REF!,"AAAAAC/3rWU=")</f>
        <v>#REF!</v>
      </c>
      <c r="CY243" t="e">
        <f>AND(#REF!,"AAAAAC/3rWY=")</f>
        <v>#REF!</v>
      </c>
      <c r="CZ243" t="e">
        <f>AND(#REF!,"AAAAAC/3rWc=")</f>
        <v>#REF!</v>
      </c>
      <c r="DA243" t="e">
        <f>AND(#REF!,"AAAAAC/3rWg=")</f>
        <v>#REF!</v>
      </c>
      <c r="DB243" t="e">
        <f>AND(#REF!,"AAAAAC/3rWk=")</f>
        <v>#REF!</v>
      </c>
      <c r="DC243" t="e">
        <f>AND(#REF!,"AAAAAC/3rWo=")</f>
        <v>#REF!</v>
      </c>
      <c r="DD243" t="e">
        <f>AND(#REF!,"AAAAAC/3rWs=")</f>
        <v>#REF!</v>
      </c>
      <c r="DE243" t="e">
        <f>AND(#REF!,"AAAAAC/3rWw=")</f>
        <v>#REF!</v>
      </c>
      <c r="DF243" t="e">
        <f>AND(#REF!,"AAAAAC/3rW0=")</f>
        <v>#REF!</v>
      </c>
      <c r="DG243" t="e">
        <f>AND(#REF!,"AAAAAC/3rW4=")</f>
        <v>#REF!</v>
      </c>
      <c r="DH243" t="e">
        <f>AND(#REF!,"AAAAAC/3rW8=")</f>
        <v>#REF!</v>
      </c>
      <c r="DI243" t="e">
        <f>AND(#REF!,"AAAAAC/3rXA=")</f>
        <v>#REF!</v>
      </c>
      <c r="DJ243" t="e">
        <f>AND(#REF!,"AAAAAC/3rXE=")</f>
        <v>#REF!</v>
      </c>
      <c r="DK243" t="e">
        <f>AND(#REF!,"AAAAAC/3rXI=")</f>
        <v>#REF!</v>
      </c>
      <c r="DL243" t="e">
        <f>AND(#REF!,"AAAAAC/3rXM=")</f>
        <v>#REF!</v>
      </c>
      <c r="DM243" t="e">
        <f>AND(#REF!,"AAAAAC/3rXQ=")</f>
        <v>#REF!</v>
      </c>
      <c r="DN243" t="e">
        <f>AND(#REF!,"AAAAAC/3rXU=")</f>
        <v>#REF!</v>
      </c>
      <c r="DO243" t="e">
        <f>AND(#REF!,"AAAAAC/3rXY=")</f>
        <v>#REF!</v>
      </c>
      <c r="DP243" t="e">
        <f>AND(#REF!,"AAAAAC/3rXc=")</f>
        <v>#REF!</v>
      </c>
      <c r="DQ243" t="e">
        <f>AND(#REF!,"AAAAAC/3rXg=")</f>
        <v>#REF!</v>
      </c>
      <c r="DR243" t="e">
        <f>AND(#REF!,"AAAAAC/3rXk=")</f>
        <v>#REF!</v>
      </c>
      <c r="DS243" t="e">
        <f>AND(#REF!,"AAAAAC/3rXo=")</f>
        <v>#REF!</v>
      </c>
      <c r="DT243" t="e">
        <f>AND(#REF!,"AAAAAC/3rXs=")</f>
        <v>#REF!</v>
      </c>
      <c r="DU243" t="e">
        <f>AND(#REF!,"AAAAAC/3rXw=")</f>
        <v>#REF!</v>
      </c>
      <c r="DV243" t="e">
        <f>AND(#REF!,"AAAAAC/3rX0=")</f>
        <v>#REF!</v>
      </c>
      <c r="DW243" t="e">
        <f>AND(#REF!,"AAAAAC/3rX4=")</f>
        <v>#REF!</v>
      </c>
      <c r="DX243" t="e">
        <f>AND(#REF!,"AAAAAC/3rX8=")</f>
        <v>#REF!</v>
      </c>
      <c r="DY243" t="e">
        <f>AND(#REF!,"AAAAAC/3rYA=")</f>
        <v>#REF!</v>
      </c>
      <c r="DZ243" t="e">
        <f>AND(#REF!,"AAAAAC/3rYE=")</f>
        <v>#REF!</v>
      </c>
      <c r="EA243" t="e">
        <f>AND(#REF!,"AAAAAC/3rYI=")</f>
        <v>#REF!</v>
      </c>
      <c r="EB243" t="e">
        <f>AND(#REF!,"AAAAAC/3rYM=")</f>
        <v>#REF!</v>
      </c>
      <c r="EC243" t="e">
        <f>AND(#REF!,"AAAAAC/3rYQ=")</f>
        <v>#REF!</v>
      </c>
      <c r="ED243" t="e">
        <f>AND(#REF!,"AAAAAC/3rYU=")</f>
        <v>#REF!</v>
      </c>
      <c r="EE243" t="e">
        <f>AND(#REF!,"AAAAAC/3rYY=")</f>
        <v>#REF!</v>
      </c>
      <c r="EF243" t="e">
        <f>AND(#REF!,"AAAAAC/3rYc=")</f>
        <v>#REF!</v>
      </c>
      <c r="EG243" t="e">
        <f>AND(#REF!,"AAAAAC/3rYg=")</f>
        <v>#REF!</v>
      </c>
      <c r="EH243" t="e">
        <f>AND(#REF!,"AAAAAC/3rYk=")</f>
        <v>#REF!</v>
      </c>
      <c r="EI243" t="e">
        <f>AND(#REF!,"AAAAAC/3rYo=")</f>
        <v>#REF!</v>
      </c>
      <c r="EJ243" t="e">
        <f>AND(#REF!,"AAAAAC/3rYs=")</f>
        <v>#REF!</v>
      </c>
      <c r="EK243" t="e">
        <f>AND(#REF!,"AAAAAC/3rYw=")</f>
        <v>#REF!</v>
      </c>
      <c r="EL243" t="e">
        <f>AND(#REF!,"AAAAAC/3rY0=")</f>
        <v>#REF!</v>
      </c>
      <c r="EM243" t="e">
        <f>AND(#REF!,"AAAAAC/3rY4=")</f>
        <v>#REF!</v>
      </c>
      <c r="EN243" t="e">
        <f>AND(#REF!,"AAAAAC/3rY8=")</f>
        <v>#REF!</v>
      </c>
      <c r="EO243" t="e">
        <f>AND(#REF!,"AAAAAC/3rZA=")</f>
        <v>#REF!</v>
      </c>
      <c r="EP243" t="e">
        <f>AND(#REF!,"AAAAAC/3rZE=")</f>
        <v>#REF!</v>
      </c>
      <c r="EQ243" t="e">
        <f>AND(#REF!,"AAAAAC/3rZI=")</f>
        <v>#REF!</v>
      </c>
      <c r="ER243" t="e">
        <f>AND(#REF!,"AAAAAC/3rZM=")</f>
        <v>#REF!</v>
      </c>
      <c r="ES243" t="e">
        <f>AND(#REF!,"AAAAAC/3rZQ=")</f>
        <v>#REF!</v>
      </c>
      <c r="ET243" t="e">
        <f>AND(#REF!,"AAAAAC/3rZU=")</f>
        <v>#REF!</v>
      </c>
      <c r="EU243" t="e">
        <f>AND(#REF!,"AAAAAC/3rZY=")</f>
        <v>#REF!</v>
      </c>
      <c r="EV243" t="e">
        <f>AND(#REF!,"AAAAAC/3rZc=")</f>
        <v>#REF!</v>
      </c>
      <c r="EW243" t="e">
        <f>AND(#REF!,"AAAAAC/3rZg=")</f>
        <v>#REF!</v>
      </c>
      <c r="EX243" t="e">
        <f>AND(#REF!,"AAAAAC/3rZk=")</f>
        <v>#REF!</v>
      </c>
      <c r="EY243" t="e">
        <f>AND(#REF!,"AAAAAC/3rZo=")</f>
        <v>#REF!</v>
      </c>
      <c r="EZ243" t="e">
        <f>AND(#REF!,"AAAAAC/3rZs=")</f>
        <v>#REF!</v>
      </c>
      <c r="FA243" t="e">
        <f>AND(#REF!,"AAAAAC/3rZw=")</f>
        <v>#REF!</v>
      </c>
      <c r="FB243" t="e">
        <f>AND(#REF!,"AAAAAC/3rZ0=")</f>
        <v>#REF!</v>
      </c>
      <c r="FC243" t="e">
        <f>AND(#REF!,"AAAAAC/3rZ4=")</f>
        <v>#REF!</v>
      </c>
      <c r="FD243" t="e">
        <f>AND(#REF!,"AAAAAC/3rZ8=")</f>
        <v>#REF!</v>
      </c>
      <c r="FE243" t="e">
        <f>AND(#REF!,"AAAAAC/3raA=")</f>
        <v>#REF!</v>
      </c>
      <c r="FF243" t="e">
        <f>AND(#REF!,"AAAAAC/3raE=")</f>
        <v>#REF!</v>
      </c>
      <c r="FG243" t="e">
        <f>AND(#REF!,"AAAAAC/3raI=")</f>
        <v>#REF!</v>
      </c>
      <c r="FH243" t="e">
        <f>AND(#REF!,"AAAAAC/3raM=")</f>
        <v>#REF!</v>
      </c>
      <c r="FI243" t="e">
        <f>AND(#REF!,"AAAAAC/3raQ=")</f>
        <v>#REF!</v>
      </c>
      <c r="FJ243" t="e">
        <f>AND(#REF!,"AAAAAC/3raU=")</f>
        <v>#REF!</v>
      </c>
      <c r="FK243" t="e">
        <f>AND(#REF!,"AAAAAC/3raY=")</f>
        <v>#REF!</v>
      </c>
      <c r="FL243" t="e">
        <f>AND(#REF!,"AAAAAC/3rac=")</f>
        <v>#REF!</v>
      </c>
      <c r="FM243" t="e">
        <f>AND(#REF!,"AAAAAC/3rag=")</f>
        <v>#REF!</v>
      </c>
      <c r="FN243" t="e">
        <f>AND(#REF!,"AAAAAC/3rak=")</f>
        <v>#REF!</v>
      </c>
      <c r="FO243" t="e">
        <f>AND(#REF!,"AAAAAC/3rao=")</f>
        <v>#REF!</v>
      </c>
      <c r="FP243" t="e">
        <f>AND(#REF!,"AAAAAC/3ras=")</f>
        <v>#REF!</v>
      </c>
      <c r="FQ243" t="e">
        <f>AND(#REF!,"AAAAAC/3raw=")</f>
        <v>#REF!</v>
      </c>
      <c r="FR243" t="e">
        <f>AND(#REF!,"AAAAAC/3ra0=")</f>
        <v>#REF!</v>
      </c>
      <c r="FS243" t="e">
        <f>AND(#REF!,"AAAAAC/3ra4=")</f>
        <v>#REF!</v>
      </c>
      <c r="FT243" t="e">
        <f>AND(#REF!,"AAAAAC/3ra8=")</f>
        <v>#REF!</v>
      </c>
      <c r="FU243" t="e">
        <f>AND(#REF!,"AAAAAC/3rbA=")</f>
        <v>#REF!</v>
      </c>
      <c r="FV243" t="e">
        <f>AND(#REF!,"AAAAAC/3rbE=")</f>
        <v>#REF!</v>
      </c>
      <c r="FW243" t="e">
        <f>AND(#REF!,"AAAAAC/3rbI=")</f>
        <v>#REF!</v>
      </c>
      <c r="FX243" t="e">
        <f>AND(#REF!,"AAAAAC/3rbM=")</f>
        <v>#REF!</v>
      </c>
      <c r="FY243" t="e">
        <f>AND(#REF!,"AAAAAC/3rbQ=")</f>
        <v>#REF!</v>
      </c>
      <c r="FZ243" t="e">
        <f>AND(#REF!,"AAAAAC/3rbU=")</f>
        <v>#REF!</v>
      </c>
      <c r="GA243" t="e">
        <f>AND(#REF!,"AAAAAC/3rbY=")</f>
        <v>#REF!</v>
      </c>
      <c r="GB243" t="e">
        <f>AND(#REF!,"AAAAAC/3rbc=")</f>
        <v>#REF!</v>
      </c>
      <c r="GC243" t="e">
        <f>AND(#REF!,"AAAAAC/3rbg=")</f>
        <v>#REF!</v>
      </c>
      <c r="GD243" t="e">
        <f>AND(#REF!,"AAAAAC/3rbk=")</f>
        <v>#REF!</v>
      </c>
      <c r="GE243" t="e">
        <f>AND(#REF!,"AAAAAC/3rbo=")</f>
        <v>#REF!</v>
      </c>
      <c r="GF243" t="e">
        <f>AND(#REF!,"AAAAAC/3rbs=")</f>
        <v>#REF!</v>
      </c>
      <c r="GG243" t="e">
        <f>AND(#REF!,"AAAAAC/3rbw=")</f>
        <v>#REF!</v>
      </c>
      <c r="GH243" t="e">
        <f>AND(#REF!,"AAAAAC/3rb0=")</f>
        <v>#REF!</v>
      </c>
      <c r="GI243" t="e">
        <f>AND(#REF!,"AAAAAC/3rb4=")</f>
        <v>#REF!</v>
      </c>
      <c r="GJ243" t="e">
        <f>AND(#REF!,"AAAAAC/3rb8=")</f>
        <v>#REF!</v>
      </c>
      <c r="GK243" t="e">
        <f>AND(#REF!,"AAAAAC/3rcA=")</f>
        <v>#REF!</v>
      </c>
      <c r="GL243" t="e">
        <f>AND(#REF!,"AAAAAC/3rcE=")</f>
        <v>#REF!</v>
      </c>
      <c r="GM243" t="e">
        <f>AND(#REF!,"AAAAAC/3rcI=")</f>
        <v>#REF!</v>
      </c>
      <c r="GN243" t="e">
        <f>AND(#REF!,"AAAAAC/3rcM=")</f>
        <v>#REF!</v>
      </c>
      <c r="GO243" t="e">
        <f>AND(#REF!,"AAAAAC/3rcQ=")</f>
        <v>#REF!</v>
      </c>
      <c r="GP243" t="e">
        <f>AND(#REF!,"AAAAAC/3rcU=")</f>
        <v>#REF!</v>
      </c>
      <c r="GQ243" t="e">
        <f>AND(#REF!,"AAAAAC/3rcY=")</f>
        <v>#REF!</v>
      </c>
      <c r="GR243" t="e">
        <f>AND(#REF!,"AAAAAC/3rcc=")</f>
        <v>#REF!</v>
      </c>
      <c r="GS243" t="e">
        <f>AND(#REF!,"AAAAAC/3rcg=")</f>
        <v>#REF!</v>
      </c>
      <c r="GT243" t="e">
        <f>AND(#REF!,"AAAAAC/3rck=")</f>
        <v>#REF!</v>
      </c>
      <c r="GU243" t="e">
        <f>AND(#REF!,"AAAAAC/3rco=")</f>
        <v>#REF!</v>
      </c>
      <c r="GV243" t="e">
        <f>AND(#REF!,"AAAAAC/3rcs=")</f>
        <v>#REF!</v>
      </c>
      <c r="GW243" t="e">
        <f>AND(#REF!,"AAAAAC/3rcw=")</f>
        <v>#REF!</v>
      </c>
      <c r="GX243" t="e">
        <f>AND(#REF!,"AAAAAC/3rc0=")</f>
        <v>#REF!</v>
      </c>
      <c r="GY243" t="e">
        <f>AND(#REF!,"AAAAAC/3rc4=")</f>
        <v>#REF!</v>
      </c>
      <c r="GZ243" t="e">
        <f>AND(#REF!,"AAAAAC/3rc8=")</f>
        <v>#REF!</v>
      </c>
      <c r="HA243" t="e">
        <f>AND(#REF!,"AAAAAC/3rdA=")</f>
        <v>#REF!</v>
      </c>
      <c r="HB243" t="e">
        <f>AND(#REF!,"AAAAAC/3rdE=")</f>
        <v>#REF!</v>
      </c>
      <c r="HC243" t="e">
        <f>AND(#REF!,"AAAAAC/3rdI=")</f>
        <v>#REF!</v>
      </c>
      <c r="HD243" t="e">
        <f>AND(#REF!,"AAAAAC/3rdM=")</f>
        <v>#REF!</v>
      </c>
      <c r="HE243" t="e">
        <f>AND(#REF!,"AAAAAC/3rdQ=")</f>
        <v>#REF!</v>
      </c>
      <c r="HF243" t="e">
        <f>AND(#REF!,"AAAAAC/3rdU=")</f>
        <v>#REF!</v>
      </c>
      <c r="HG243" t="e">
        <f>AND(#REF!,"AAAAAC/3rdY=")</f>
        <v>#REF!</v>
      </c>
      <c r="HH243" t="e">
        <f>AND(#REF!,"AAAAAC/3rdc=")</f>
        <v>#REF!</v>
      </c>
      <c r="HI243" t="e">
        <f>AND(#REF!,"AAAAAC/3rdg=")</f>
        <v>#REF!</v>
      </c>
      <c r="HJ243" t="e">
        <f>AND(#REF!,"AAAAAC/3rdk=")</f>
        <v>#REF!</v>
      </c>
      <c r="HK243" t="e">
        <f>AND(#REF!,"AAAAAC/3rdo=")</f>
        <v>#REF!</v>
      </c>
      <c r="HL243" t="e">
        <f>AND(#REF!,"AAAAAC/3rds=")</f>
        <v>#REF!</v>
      </c>
      <c r="HM243" t="e">
        <f>AND(#REF!,"AAAAAC/3rdw=")</f>
        <v>#REF!</v>
      </c>
      <c r="HN243" t="e">
        <f>IF(#REF!,"AAAAAC/3rd0=",0)</f>
        <v>#REF!</v>
      </c>
      <c r="HO243" t="e">
        <f>AND(#REF!,"AAAAAC/3rd4=")</f>
        <v>#REF!</v>
      </c>
      <c r="HP243" t="e">
        <f>AND(#REF!,"AAAAAC/3rd8=")</f>
        <v>#REF!</v>
      </c>
      <c r="HQ243" t="e">
        <f>AND(#REF!,"AAAAAC/3reA=")</f>
        <v>#REF!</v>
      </c>
      <c r="HR243" t="e">
        <f>AND(#REF!,"AAAAAC/3reE=")</f>
        <v>#REF!</v>
      </c>
      <c r="HS243" t="e">
        <f>AND(#REF!,"AAAAAC/3reI=")</f>
        <v>#REF!</v>
      </c>
      <c r="HT243" t="e">
        <f>AND(#REF!,"AAAAAC/3reM=")</f>
        <v>#REF!</v>
      </c>
      <c r="HU243" t="e">
        <f>AND(#REF!,"AAAAAC/3reQ=")</f>
        <v>#REF!</v>
      </c>
      <c r="HV243" t="e">
        <f>AND(#REF!,"AAAAAC/3reU=")</f>
        <v>#REF!</v>
      </c>
      <c r="HW243" t="e">
        <f>AND(#REF!,"AAAAAC/3reY=")</f>
        <v>#REF!</v>
      </c>
      <c r="HX243" t="e">
        <f>AND(#REF!,"AAAAAC/3rec=")</f>
        <v>#REF!</v>
      </c>
      <c r="HY243" t="e">
        <f>AND(#REF!,"AAAAAC/3reg=")</f>
        <v>#REF!</v>
      </c>
      <c r="HZ243" t="e">
        <f>AND(#REF!,"AAAAAC/3rek=")</f>
        <v>#REF!</v>
      </c>
      <c r="IA243" t="e">
        <f>AND(#REF!,"AAAAAC/3reo=")</f>
        <v>#REF!</v>
      </c>
      <c r="IB243" t="e">
        <f>AND(#REF!,"AAAAAC/3res=")</f>
        <v>#REF!</v>
      </c>
      <c r="IC243" t="e">
        <f>AND(#REF!,"AAAAAC/3rew=")</f>
        <v>#REF!</v>
      </c>
      <c r="ID243" t="e">
        <f>AND(#REF!,"AAAAAC/3re0=")</f>
        <v>#REF!</v>
      </c>
      <c r="IE243" t="e">
        <f>AND(#REF!,"AAAAAC/3re4=")</f>
        <v>#REF!</v>
      </c>
      <c r="IF243" t="e">
        <f>AND(#REF!,"AAAAAC/3re8=")</f>
        <v>#REF!</v>
      </c>
      <c r="IG243" t="e">
        <f>AND(#REF!,"AAAAAC/3rfA=")</f>
        <v>#REF!</v>
      </c>
      <c r="IH243" t="e">
        <f>AND(#REF!,"AAAAAC/3rfE=")</f>
        <v>#REF!</v>
      </c>
      <c r="II243" t="e">
        <f>AND(#REF!,"AAAAAC/3rfI=")</f>
        <v>#REF!</v>
      </c>
      <c r="IJ243" t="e">
        <f>AND(#REF!,"AAAAAC/3rfM=")</f>
        <v>#REF!</v>
      </c>
      <c r="IK243" t="e">
        <f>AND(#REF!,"AAAAAC/3rfQ=")</f>
        <v>#REF!</v>
      </c>
      <c r="IL243" t="e">
        <f>AND(#REF!,"AAAAAC/3rfU=")</f>
        <v>#REF!</v>
      </c>
      <c r="IM243" t="e">
        <f>AND(#REF!,"AAAAAC/3rfY=")</f>
        <v>#REF!</v>
      </c>
      <c r="IN243" t="e">
        <f>AND(#REF!,"AAAAAC/3rfc=")</f>
        <v>#REF!</v>
      </c>
      <c r="IO243" t="e">
        <f>AND(#REF!,"AAAAAC/3rfg=")</f>
        <v>#REF!</v>
      </c>
      <c r="IP243" t="e">
        <f>AND(#REF!,"AAAAAC/3rfk=")</f>
        <v>#REF!</v>
      </c>
      <c r="IQ243" t="e">
        <f>AND(#REF!,"AAAAAC/3rfo=")</f>
        <v>#REF!</v>
      </c>
      <c r="IR243" t="e">
        <f>AND(#REF!,"AAAAAC/3rfs=")</f>
        <v>#REF!</v>
      </c>
      <c r="IS243" t="e">
        <f>AND(#REF!,"AAAAAC/3rfw=")</f>
        <v>#REF!</v>
      </c>
      <c r="IT243" t="e">
        <f>AND(#REF!,"AAAAAC/3rf0=")</f>
        <v>#REF!</v>
      </c>
      <c r="IU243" t="e">
        <f>AND(#REF!,"AAAAAC/3rf4=")</f>
        <v>#REF!</v>
      </c>
      <c r="IV243" t="e">
        <f>AND(#REF!,"AAAAAC/3rf8=")</f>
        <v>#REF!</v>
      </c>
    </row>
    <row r="244" spans="1:256" x14ac:dyDescent="0.25">
      <c r="A244" t="e">
        <f>AND(#REF!,"AAAAADc/+wA=")</f>
        <v>#REF!</v>
      </c>
      <c r="B244" t="e">
        <f>AND(#REF!,"AAAAADc/+wE=")</f>
        <v>#REF!</v>
      </c>
      <c r="C244" t="e">
        <f>AND(#REF!,"AAAAADc/+wI=")</f>
        <v>#REF!</v>
      </c>
      <c r="D244" t="e">
        <f>AND(#REF!,"AAAAADc/+wM=")</f>
        <v>#REF!</v>
      </c>
      <c r="E244" t="e">
        <f>AND(#REF!,"AAAAADc/+wQ=")</f>
        <v>#REF!</v>
      </c>
      <c r="F244" t="e">
        <f>AND(#REF!,"AAAAADc/+wU=")</f>
        <v>#REF!</v>
      </c>
      <c r="G244" t="e">
        <f>AND(#REF!,"AAAAADc/+wY=")</f>
        <v>#REF!</v>
      </c>
      <c r="H244" t="e">
        <f>AND(#REF!,"AAAAADc/+wc=")</f>
        <v>#REF!</v>
      </c>
      <c r="I244" t="e">
        <f>AND(#REF!,"AAAAADc/+wg=")</f>
        <v>#REF!</v>
      </c>
      <c r="J244" t="e">
        <f>AND(#REF!,"AAAAADc/+wk=")</f>
        <v>#REF!</v>
      </c>
      <c r="K244" t="e">
        <f>AND(#REF!,"AAAAADc/+wo=")</f>
        <v>#REF!</v>
      </c>
      <c r="L244" t="e">
        <f>AND(#REF!,"AAAAADc/+ws=")</f>
        <v>#REF!</v>
      </c>
      <c r="M244" t="e">
        <f>AND(#REF!,"AAAAADc/+ww=")</f>
        <v>#REF!</v>
      </c>
      <c r="N244" t="e">
        <f>AND(#REF!,"AAAAADc/+w0=")</f>
        <v>#REF!</v>
      </c>
      <c r="O244" t="e">
        <f>AND(#REF!,"AAAAADc/+w4=")</f>
        <v>#REF!</v>
      </c>
      <c r="P244" t="e">
        <f>AND(#REF!,"AAAAADc/+w8=")</f>
        <v>#REF!</v>
      </c>
      <c r="Q244" t="e">
        <f>AND(#REF!,"AAAAADc/+xA=")</f>
        <v>#REF!</v>
      </c>
      <c r="R244" t="e">
        <f>AND(#REF!,"AAAAADc/+xE=")</f>
        <v>#REF!</v>
      </c>
      <c r="S244" t="e">
        <f>AND(#REF!,"AAAAADc/+xI=")</f>
        <v>#REF!</v>
      </c>
      <c r="T244" t="e">
        <f>AND(#REF!,"AAAAADc/+xM=")</f>
        <v>#REF!</v>
      </c>
      <c r="U244" t="e">
        <f>AND(#REF!,"AAAAADc/+xQ=")</f>
        <v>#REF!</v>
      </c>
      <c r="V244" t="e">
        <f>AND(#REF!,"AAAAADc/+xU=")</f>
        <v>#REF!</v>
      </c>
      <c r="W244" t="e">
        <f>AND(#REF!,"AAAAADc/+xY=")</f>
        <v>#REF!</v>
      </c>
      <c r="X244" t="e">
        <f>AND(#REF!,"AAAAADc/+xc=")</f>
        <v>#REF!</v>
      </c>
      <c r="Y244" t="e">
        <f>AND(#REF!,"AAAAADc/+xg=")</f>
        <v>#REF!</v>
      </c>
      <c r="Z244" t="e">
        <f>AND(#REF!,"AAAAADc/+xk=")</f>
        <v>#REF!</v>
      </c>
      <c r="AA244" t="e">
        <f>AND(#REF!,"AAAAADc/+xo=")</f>
        <v>#REF!</v>
      </c>
      <c r="AB244" t="e">
        <f>AND(#REF!,"AAAAADc/+xs=")</f>
        <v>#REF!</v>
      </c>
      <c r="AC244" t="e">
        <f>AND(#REF!,"AAAAADc/+xw=")</f>
        <v>#REF!</v>
      </c>
      <c r="AD244" t="e">
        <f>AND(#REF!,"AAAAADc/+x0=")</f>
        <v>#REF!</v>
      </c>
      <c r="AE244" t="e">
        <f>AND(#REF!,"AAAAADc/+x4=")</f>
        <v>#REF!</v>
      </c>
      <c r="AF244" t="e">
        <f>AND(#REF!,"AAAAADc/+x8=")</f>
        <v>#REF!</v>
      </c>
      <c r="AG244" t="e">
        <f>AND(#REF!,"AAAAADc/+yA=")</f>
        <v>#REF!</v>
      </c>
      <c r="AH244" t="e">
        <f>AND(#REF!,"AAAAADc/+yE=")</f>
        <v>#REF!</v>
      </c>
      <c r="AI244" t="e">
        <f>AND(#REF!,"AAAAADc/+yI=")</f>
        <v>#REF!</v>
      </c>
      <c r="AJ244" t="e">
        <f>AND(#REF!,"AAAAADc/+yM=")</f>
        <v>#REF!</v>
      </c>
      <c r="AK244" t="e">
        <f>AND(#REF!,"AAAAADc/+yQ=")</f>
        <v>#REF!</v>
      </c>
      <c r="AL244" t="e">
        <f>AND(#REF!,"AAAAADc/+yU=")</f>
        <v>#REF!</v>
      </c>
      <c r="AM244" t="e">
        <f>AND(#REF!,"AAAAADc/+yY=")</f>
        <v>#REF!</v>
      </c>
      <c r="AN244" t="e">
        <f>AND(#REF!,"AAAAADc/+yc=")</f>
        <v>#REF!</v>
      </c>
      <c r="AO244" t="e">
        <f>AND(#REF!,"AAAAADc/+yg=")</f>
        <v>#REF!</v>
      </c>
      <c r="AP244" t="e">
        <f>AND(#REF!,"AAAAADc/+yk=")</f>
        <v>#REF!</v>
      </c>
      <c r="AQ244" t="e">
        <f>AND(#REF!,"AAAAADc/+yo=")</f>
        <v>#REF!</v>
      </c>
      <c r="AR244" t="e">
        <f>AND(#REF!,"AAAAADc/+ys=")</f>
        <v>#REF!</v>
      </c>
      <c r="AS244" t="e">
        <f>AND(#REF!,"AAAAADc/+yw=")</f>
        <v>#REF!</v>
      </c>
      <c r="AT244" t="e">
        <f>AND(#REF!,"AAAAADc/+y0=")</f>
        <v>#REF!</v>
      </c>
      <c r="AU244" t="e">
        <f>AND(#REF!,"AAAAADc/+y4=")</f>
        <v>#REF!</v>
      </c>
      <c r="AV244" t="e">
        <f>AND(#REF!,"AAAAADc/+y8=")</f>
        <v>#REF!</v>
      </c>
      <c r="AW244" t="e">
        <f>AND(#REF!,"AAAAADc/+zA=")</f>
        <v>#REF!</v>
      </c>
      <c r="AX244" t="e">
        <f>AND(#REF!,"AAAAADc/+zE=")</f>
        <v>#REF!</v>
      </c>
      <c r="AY244" t="e">
        <f>AND(#REF!,"AAAAADc/+zI=")</f>
        <v>#REF!</v>
      </c>
      <c r="AZ244" t="e">
        <f>AND(#REF!,"AAAAADc/+zM=")</f>
        <v>#REF!</v>
      </c>
      <c r="BA244" t="e">
        <f>AND(#REF!,"AAAAADc/+zQ=")</f>
        <v>#REF!</v>
      </c>
      <c r="BB244" t="e">
        <f>AND(#REF!,"AAAAADc/+zU=")</f>
        <v>#REF!</v>
      </c>
      <c r="BC244" t="e">
        <f>AND(#REF!,"AAAAADc/+zY=")</f>
        <v>#REF!</v>
      </c>
      <c r="BD244" t="e">
        <f>AND(#REF!,"AAAAADc/+zc=")</f>
        <v>#REF!</v>
      </c>
      <c r="BE244" t="e">
        <f>AND(#REF!,"AAAAADc/+zg=")</f>
        <v>#REF!</v>
      </c>
      <c r="BF244" t="e">
        <f>AND(#REF!,"AAAAADc/+zk=")</f>
        <v>#REF!</v>
      </c>
      <c r="BG244" t="e">
        <f>AND(#REF!,"AAAAADc/+zo=")</f>
        <v>#REF!</v>
      </c>
      <c r="BH244" t="e">
        <f>AND(#REF!,"AAAAADc/+zs=")</f>
        <v>#REF!</v>
      </c>
      <c r="BI244" t="e">
        <f>AND(#REF!,"AAAAADc/+zw=")</f>
        <v>#REF!</v>
      </c>
      <c r="BJ244" t="e">
        <f>AND(#REF!,"AAAAADc/+z0=")</f>
        <v>#REF!</v>
      </c>
      <c r="BK244" t="e">
        <f>AND(#REF!,"AAAAADc/+z4=")</f>
        <v>#REF!</v>
      </c>
      <c r="BL244" t="e">
        <f>AND(#REF!,"AAAAADc/+z8=")</f>
        <v>#REF!</v>
      </c>
      <c r="BM244" t="e">
        <f>AND(#REF!,"AAAAADc/+0A=")</f>
        <v>#REF!</v>
      </c>
      <c r="BN244" t="e">
        <f>AND(#REF!,"AAAAADc/+0E=")</f>
        <v>#REF!</v>
      </c>
      <c r="BO244" t="e">
        <f>AND(#REF!,"AAAAADc/+0I=")</f>
        <v>#REF!</v>
      </c>
      <c r="BP244" t="e">
        <f>AND(#REF!,"AAAAADc/+0M=")</f>
        <v>#REF!</v>
      </c>
      <c r="BQ244" t="e">
        <f>AND(#REF!,"AAAAADc/+0Q=")</f>
        <v>#REF!</v>
      </c>
      <c r="BR244" t="e">
        <f>AND(#REF!,"AAAAADc/+0U=")</f>
        <v>#REF!</v>
      </c>
      <c r="BS244" t="e">
        <f>AND(#REF!,"AAAAADc/+0Y=")</f>
        <v>#REF!</v>
      </c>
      <c r="BT244" t="e">
        <f>AND(#REF!,"AAAAADc/+0c=")</f>
        <v>#REF!</v>
      </c>
      <c r="BU244" t="e">
        <f>AND(#REF!,"AAAAADc/+0g=")</f>
        <v>#REF!</v>
      </c>
      <c r="BV244" t="e">
        <f>AND(#REF!,"AAAAADc/+0k=")</f>
        <v>#REF!</v>
      </c>
      <c r="BW244" t="e">
        <f>AND(#REF!,"AAAAADc/+0o=")</f>
        <v>#REF!</v>
      </c>
      <c r="BX244" t="e">
        <f>AND(#REF!,"AAAAADc/+0s=")</f>
        <v>#REF!</v>
      </c>
      <c r="BY244" t="e">
        <f>AND(#REF!,"AAAAADc/+0w=")</f>
        <v>#REF!</v>
      </c>
      <c r="BZ244" t="e">
        <f>AND(#REF!,"AAAAADc/+00=")</f>
        <v>#REF!</v>
      </c>
      <c r="CA244" t="e">
        <f>AND(#REF!,"AAAAADc/+04=")</f>
        <v>#REF!</v>
      </c>
      <c r="CB244" t="e">
        <f>AND(#REF!,"AAAAADc/+08=")</f>
        <v>#REF!</v>
      </c>
      <c r="CC244" t="e">
        <f>AND(#REF!,"AAAAADc/+1A=")</f>
        <v>#REF!</v>
      </c>
      <c r="CD244" t="e">
        <f>AND(#REF!,"AAAAADc/+1E=")</f>
        <v>#REF!</v>
      </c>
      <c r="CE244" t="e">
        <f>AND(#REF!,"AAAAADc/+1I=")</f>
        <v>#REF!</v>
      </c>
      <c r="CF244" t="e">
        <f>AND(#REF!,"AAAAADc/+1M=")</f>
        <v>#REF!</v>
      </c>
      <c r="CG244" t="e">
        <f>AND(#REF!,"AAAAADc/+1Q=")</f>
        <v>#REF!</v>
      </c>
      <c r="CH244" t="e">
        <f>AND(#REF!,"AAAAADc/+1U=")</f>
        <v>#REF!</v>
      </c>
      <c r="CI244" t="e">
        <f>AND(#REF!,"AAAAADc/+1Y=")</f>
        <v>#REF!</v>
      </c>
      <c r="CJ244" t="e">
        <f>AND(#REF!,"AAAAADc/+1c=")</f>
        <v>#REF!</v>
      </c>
      <c r="CK244" t="e">
        <f>AND(#REF!,"AAAAADc/+1g=")</f>
        <v>#REF!</v>
      </c>
      <c r="CL244" t="e">
        <f>AND(#REF!,"AAAAADc/+1k=")</f>
        <v>#REF!</v>
      </c>
      <c r="CM244" t="e">
        <f>AND(#REF!,"AAAAADc/+1o=")</f>
        <v>#REF!</v>
      </c>
      <c r="CN244" t="e">
        <f>AND(#REF!,"AAAAADc/+1s=")</f>
        <v>#REF!</v>
      </c>
      <c r="CO244" t="e">
        <f>AND(#REF!,"AAAAADc/+1w=")</f>
        <v>#REF!</v>
      </c>
      <c r="CP244" t="e">
        <f>AND(#REF!,"AAAAADc/+10=")</f>
        <v>#REF!</v>
      </c>
      <c r="CQ244" t="e">
        <f>AND(#REF!,"AAAAADc/+14=")</f>
        <v>#REF!</v>
      </c>
      <c r="CR244" t="e">
        <f>AND(#REF!,"AAAAADc/+18=")</f>
        <v>#REF!</v>
      </c>
      <c r="CS244" t="e">
        <f>AND(#REF!,"AAAAADc/+2A=")</f>
        <v>#REF!</v>
      </c>
      <c r="CT244" t="e">
        <f>AND(#REF!,"AAAAADc/+2E=")</f>
        <v>#REF!</v>
      </c>
      <c r="CU244" t="e">
        <f>AND(#REF!,"AAAAADc/+2I=")</f>
        <v>#REF!</v>
      </c>
      <c r="CV244" t="e">
        <f>AND(#REF!,"AAAAADc/+2M=")</f>
        <v>#REF!</v>
      </c>
      <c r="CW244" t="e">
        <f>AND(#REF!,"AAAAADc/+2Q=")</f>
        <v>#REF!</v>
      </c>
      <c r="CX244" t="e">
        <f>AND(#REF!,"AAAAADc/+2U=")</f>
        <v>#REF!</v>
      </c>
      <c r="CY244" t="e">
        <f>AND(#REF!,"AAAAADc/+2Y=")</f>
        <v>#REF!</v>
      </c>
      <c r="CZ244" t="e">
        <f>AND(#REF!,"AAAAADc/+2c=")</f>
        <v>#REF!</v>
      </c>
      <c r="DA244" t="e">
        <f>AND(#REF!,"AAAAADc/+2g=")</f>
        <v>#REF!</v>
      </c>
      <c r="DB244" t="e">
        <f>AND(#REF!,"AAAAADc/+2k=")</f>
        <v>#REF!</v>
      </c>
      <c r="DC244" t="e">
        <f>AND(#REF!,"AAAAADc/+2o=")</f>
        <v>#REF!</v>
      </c>
      <c r="DD244" t="e">
        <f>AND(#REF!,"AAAAADc/+2s=")</f>
        <v>#REF!</v>
      </c>
      <c r="DE244" t="e">
        <f>AND(#REF!,"AAAAADc/+2w=")</f>
        <v>#REF!</v>
      </c>
      <c r="DF244" t="e">
        <f>AND(#REF!,"AAAAADc/+20=")</f>
        <v>#REF!</v>
      </c>
      <c r="DG244" t="e">
        <f>AND(#REF!,"AAAAADc/+24=")</f>
        <v>#REF!</v>
      </c>
      <c r="DH244" t="e">
        <f>AND(#REF!,"AAAAADc/+28=")</f>
        <v>#REF!</v>
      </c>
      <c r="DI244" t="e">
        <f>AND(#REF!,"AAAAADc/+3A=")</f>
        <v>#REF!</v>
      </c>
      <c r="DJ244" t="e">
        <f>AND(#REF!,"AAAAADc/+3E=")</f>
        <v>#REF!</v>
      </c>
      <c r="DK244" t="e">
        <f>AND(#REF!,"AAAAADc/+3I=")</f>
        <v>#REF!</v>
      </c>
      <c r="DL244" t="e">
        <f>AND(#REF!,"AAAAADc/+3M=")</f>
        <v>#REF!</v>
      </c>
      <c r="DM244" t="e">
        <f>AND(#REF!,"AAAAADc/+3Q=")</f>
        <v>#REF!</v>
      </c>
      <c r="DN244" t="e">
        <f>AND(#REF!,"AAAAADc/+3U=")</f>
        <v>#REF!</v>
      </c>
      <c r="DO244" t="e">
        <f>AND(#REF!,"AAAAADc/+3Y=")</f>
        <v>#REF!</v>
      </c>
      <c r="DP244" t="e">
        <f>AND(#REF!,"AAAAADc/+3c=")</f>
        <v>#REF!</v>
      </c>
      <c r="DQ244" t="e">
        <f>AND(#REF!,"AAAAADc/+3g=")</f>
        <v>#REF!</v>
      </c>
      <c r="DR244" t="e">
        <f>AND(#REF!,"AAAAADc/+3k=")</f>
        <v>#REF!</v>
      </c>
      <c r="DS244" t="e">
        <f>AND(#REF!,"AAAAADc/+3o=")</f>
        <v>#REF!</v>
      </c>
      <c r="DT244" t="e">
        <f>AND(#REF!,"AAAAADc/+3s=")</f>
        <v>#REF!</v>
      </c>
      <c r="DU244" t="e">
        <f>AND(#REF!,"AAAAADc/+3w=")</f>
        <v>#REF!</v>
      </c>
      <c r="DV244" t="e">
        <f>AND(#REF!,"AAAAADc/+30=")</f>
        <v>#REF!</v>
      </c>
      <c r="DW244" t="e">
        <f>AND(#REF!,"AAAAADc/+34=")</f>
        <v>#REF!</v>
      </c>
      <c r="DX244" t="e">
        <f>AND(#REF!,"AAAAADc/+38=")</f>
        <v>#REF!</v>
      </c>
      <c r="DY244" t="e">
        <f>AND(#REF!,"AAAAADc/+4A=")</f>
        <v>#REF!</v>
      </c>
      <c r="DZ244" t="e">
        <f>AND(#REF!,"AAAAADc/+4E=")</f>
        <v>#REF!</v>
      </c>
      <c r="EA244" t="e">
        <f>AND(#REF!,"AAAAADc/+4I=")</f>
        <v>#REF!</v>
      </c>
      <c r="EB244" t="e">
        <f>AND(#REF!,"AAAAADc/+4M=")</f>
        <v>#REF!</v>
      </c>
      <c r="EC244" t="e">
        <f>AND(#REF!,"AAAAADc/+4Q=")</f>
        <v>#REF!</v>
      </c>
      <c r="ED244" t="e">
        <f>AND(#REF!,"AAAAADc/+4U=")</f>
        <v>#REF!</v>
      </c>
      <c r="EE244" t="e">
        <f>AND(#REF!,"AAAAADc/+4Y=")</f>
        <v>#REF!</v>
      </c>
      <c r="EF244" t="e">
        <f>AND(#REF!,"AAAAADc/+4c=")</f>
        <v>#REF!</v>
      </c>
      <c r="EG244" t="e">
        <f>AND(#REF!,"AAAAADc/+4g=")</f>
        <v>#REF!</v>
      </c>
      <c r="EH244" t="e">
        <f>AND(#REF!,"AAAAADc/+4k=")</f>
        <v>#REF!</v>
      </c>
      <c r="EI244" t="e">
        <f>AND(#REF!,"AAAAADc/+4o=")</f>
        <v>#REF!</v>
      </c>
      <c r="EJ244" t="e">
        <f>AND(#REF!,"AAAAADc/+4s=")</f>
        <v>#REF!</v>
      </c>
      <c r="EK244" t="e">
        <f>AND(#REF!,"AAAAADc/+4w=")</f>
        <v>#REF!</v>
      </c>
      <c r="EL244" t="e">
        <f>AND(#REF!,"AAAAADc/+40=")</f>
        <v>#REF!</v>
      </c>
      <c r="EM244" t="e">
        <f>AND(#REF!,"AAAAADc/+44=")</f>
        <v>#REF!</v>
      </c>
      <c r="EN244" t="e">
        <f>AND(#REF!,"AAAAADc/+48=")</f>
        <v>#REF!</v>
      </c>
      <c r="EO244" t="e">
        <f>AND(#REF!,"AAAAADc/+5A=")</f>
        <v>#REF!</v>
      </c>
      <c r="EP244" t="e">
        <f>AND(#REF!,"AAAAADc/+5E=")</f>
        <v>#REF!</v>
      </c>
      <c r="EQ244" t="e">
        <f>AND(#REF!,"AAAAADc/+5I=")</f>
        <v>#REF!</v>
      </c>
      <c r="ER244" t="e">
        <f>AND(#REF!,"AAAAADc/+5M=")</f>
        <v>#REF!</v>
      </c>
      <c r="ES244" t="e">
        <f>AND(#REF!,"AAAAADc/+5Q=")</f>
        <v>#REF!</v>
      </c>
      <c r="ET244" t="e">
        <f>AND(#REF!,"AAAAADc/+5U=")</f>
        <v>#REF!</v>
      </c>
      <c r="EU244" t="e">
        <f>AND(#REF!,"AAAAADc/+5Y=")</f>
        <v>#REF!</v>
      </c>
      <c r="EV244" t="e">
        <f>AND(#REF!,"AAAAADc/+5c=")</f>
        <v>#REF!</v>
      </c>
      <c r="EW244" t="e">
        <f>AND(#REF!,"AAAAADc/+5g=")</f>
        <v>#REF!</v>
      </c>
      <c r="EX244" t="e">
        <f>AND(#REF!,"AAAAADc/+5k=")</f>
        <v>#REF!</v>
      </c>
      <c r="EY244" t="e">
        <f>IF(#REF!,"AAAAADc/+5o=",0)</f>
        <v>#REF!</v>
      </c>
      <c r="EZ244" t="e">
        <f>AND(#REF!,"AAAAADc/+5s=")</f>
        <v>#REF!</v>
      </c>
      <c r="FA244" t="e">
        <f>AND(#REF!,"AAAAADc/+5w=")</f>
        <v>#REF!</v>
      </c>
      <c r="FB244" t="e">
        <f>AND(#REF!,"AAAAADc/+50=")</f>
        <v>#REF!</v>
      </c>
      <c r="FC244" t="e">
        <f>AND(#REF!,"AAAAADc/+54=")</f>
        <v>#REF!</v>
      </c>
      <c r="FD244" t="e">
        <f>AND(#REF!,"AAAAADc/+58=")</f>
        <v>#REF!</v>
      </c>
      <c r="FE244" t="e">
        <f>AND(#REF!,"AAAAADc/+6A=")</f>
        <v>#REF!</v>
      </c>
      <c r="FF244" t="e">
        <f>AND(#REF!,"AAAAADc/+6E=")</f>
        <v>#REF!</v>
      </c>
      <c r="FG244" t="e">
        <f>AND(#REF!,"AAAAADc/+6I=")</f>
        <v>#REF!</v>
      </c>
      <c r="FH244" t="e">
        <f>AND(#REF!,"AAAAADc/+6M=")</f>
        <v>#REF!</v>
      </c>
      <c r="FI244" t="e">
        <f>AND(#REF!,"AAAAADc/+6Q=")</f>
        <v>#REF!</v>
      </c>
      <c r="FJ244" t="e">
        <f>AND(#REF!,"AAAAADc/+6U=")</f>
        <v>#REF!</v>
      </c>
      <c r="FK244" t="e">
        <f>AND(#REF!,"AAAAADc/+6Y=")</f>
        <v>#REF!</v>
      </c>
      <c r="FL244" t="e">
        <f>AND(#REF!,"AAAAADc/+6c=")</f>
        <v>#REF!</v>
      </c>
      <c r="FM244" t="e">
        <f>AND(#REF!,"AAAAADc/+6g=")</f>
        <v>#REF!</v>
      </c>
      <c r="FN244" t="e">
        <f>AND(#REF!,"AAAAADc/+6k=")</f>
        <v>#REF!</v>
      </c>
      <c r="FO244" t="e">
        <f>AND(#REF!,"AAAAADc/+6o=")</f>
        <v>#REF!</v>
      </c>
      <c r="FP244" t="e">
        <f>AND(#REF!,"AAAAADc/+6s=")</f>
        <v>#REF!</v>
      </c>
      <c r="FQ244" t="e">
        <f>AND(#REF!,"AAAAADc/+6w=")</f>
        <v>#REF!</v>
      </c>
      <c r="FR244" t="e">
        <f>AND(#REF!,"AAAAADc/+60=")</f>
        <v>#REF!</v>
      </c>
      <c r="FS244" t="e">
        <f>AND(#REF!,"AAAAADc/+64=")</f>
        <v>#REF!</v>
      </c>
      <c r="FT244" t="e">
        <f>AND(#REF!,"AAAAADc/+68=")</f>
        <v>#REF!</v>
      </c>
      <c r="FU244" t="e">
        <f>AND(#REF!,"AAAAADc/+7A=")</f>
        <v>#REF!</v>
      </c>
      <c r="FV244" t="e">
        <f>AND(#REF!,"AAAAADc/+7E=")</f>
        <v>#REF!</v>
      </c>
      <c r="FW244" t="e">
        <f>AND(#REF!,"AAAAADc/+7I=")</f>
        <v>#REF!</v>
      </c>
      <c r="FX244" t="e">
        <f>AND(#REF!,"AAAAADc/+7M=")</f>
        <v>#REF!</v>
      </c>
      <c r="FY244" t="e">
        <f>AND(#REF!,"AAAAADc/+7Q=")</f>
        <v>#REF!</v>
      </c>
      <c r="FZ244" t="e">
        <f>AND(#REF!,"AAAAADc/+7U=")</f>
        <v>#REF!</v>
      </c>
      <c r="GA244" t="e">
        <f>AND(#REF!,"AAAAADc/+7Y=")</f>
        <v>#REF!</v>
      </c>
      <c r="GB244" t="e">
        <f>AND(#REF!,"AAAAADc/+7c=")</f>
        <v>#REF!</v>
      </c>
      <c r="GC244" t="e">
        <f>AND(#REF!,"AAAAADc/+7g=")</f>
        <v>#REF!</v>
      </c>
      <c r="GD244" t="e">
        <f>AND(#REF!,"AAAAADc/+7k=")</f>
        <v>#REF!</v>
      </c>
      <c r="GE244" t="e">
        <f>AND(#REF!,"AAAAADc/+7o=")</f>
        <v>#REF!</v>
      </c>
      <c r="GF244" t="e">
        <f>AND(#REF!,"AAAAADc/+7s=")</f>
        <v>#REF!</v>
      </c>
      <c r="GG244" t="e">
        <f>AND(#REF!,"AAAAADc/+7w=")</f>
        <v>#REF!</v>
      </c>
      <c r="GH244" t="e">
        <f>AND(#REF!,"AAAAADc/+70=")</f>
        <v>#REF!</v>
      </c>
      <c r="GI244" t="e">
        <f>AND(#REF!,"AAAAADc/+74=")</f>
        <v>#REF!</v>
      </c>
      <c r="GJ244" t="e">
        <f>AND(#REF!,"AAAAADc/+78=")</f>
        <v>#REF!</v>
      </c>
      <c r="GK244" t="e">
        <f>AND(#REF!,"AAAAADc/+8A=")</f>
        <v>#REF!</v>
      </c>
      <c r="GL244" t="e">
        <f>AND(#REF!,"AAAAADc/+8E=")</f>
        <v>#REF!</v>
      </c>
      <c r="GM244" t="e">
        <f>AND(#REF!,"AAAAADc/+8I=")</f>
        <v>#REF!</v>
      </c>
      <c r="GN244" t="e">
        <f>AND(#REF!,"AAAAADc/+8M=")</f>
        <v>#REF!</v>
      </c>
      <c r="GO244" t="e">
        <f>AND(#REF!,"AAAAADc/+8Q=")</f>
        <v>#REF!</v>
      </c>
      <c r="GP244" t="e">
        <f>AND(#REF!,"AAAAADc/+8U=")</f>
        <v>#REF!</v>
      </c>
      <c r="GQ244" t="e">
        <f>AND(#REF!,"AAAAADc/+8Y=")</f>
        <v>#REF!</v>
      </c>
      <c r="GR244" t="e">
        <f>AND(#REF!,"AAAAADc/+8c=")</f>
        <v>#REF!</v>
      </c>
      <c r="GS244" t="e">
        <f>AND(#REF!,"AAAAADc/+8g=")</f>
        <v>#REF!</v>
      </c>
      <c r="GT244" t="e">
        <f>AND(#REF!,"AAAAADc/+8k=")</f>
        <v>#REF!</v>
      </c>
      <c r="GU244" t="e">
        <f>AND(#REF!,"AAAAADc/+8o=")</f>
        <v>#REF!</v>
      </c>
      <c r="GV244" t="e">
        <f>AND(#REF!,"AAAAADc/+8s=")</f>
        <v>#REF!</v>
      </c>
      <c r="GW244" t="e">
        <f>AND(#REF!,"AAAAADc/+8w=")</f>
        <v>#REF!</v>
      </c>
      <c r="GX244" t="e">
        <f>AND(#REF!,"AAAAADc/+80=")</f>
        <v>#REF!</v>
      </c>
      <c r="GY244" t="e">
        <f>AND(#REF!,"AAAAADc/+84=")</f>
        <v>#REF!</v>
      </c>
      <c r="GZ244" t="e">
        <f>AND(#REF!,"AAAAADc/+88=")</f>
        <v>#REF!</v>
      </c>
      <c r="HA244" t="e">
        <f>AND(#REF!,"AAAAADc/+9A=")</f>
        <v>#REF!</v>
      </c>
      <c r="HB244" t="e">
        <f>AND(#REF!,"AAAAADc/+9E=")</f>
        <v>#REF!</v>
      </c>
      <c r="HC244" t="e">
        <f>AND(#REF!,"AAAAADc/+9I=")</f>
        <v>#REF!</v>
      </c>
      <c r="HD244" t="e">
        <f>AND(#REF!,"AAAAADc/+9M=")</f>
        <v>#REF!</v>
      </c>
      <c r="HE244" t="e">
        <f>AND(#REF!,"AAAAADc/+9Q=")</f>
        <v>#REF!</v>
      </c>
      <c r="HF244" t="e">
        <f>AND(#REF!,"AAAAADc/+9U=")</f>
        <v>#REF!</v>
      </c>
      <c r="HG244" t="e">
        <f>AND(#REF!,"AAAAADc/+9Y=")</f>
        <v>#REF!</v>
      </c>
      <c r="HH244" t="e">
        <f>AND(#REF!,"AAAAADc/+9c=")</f>
        <v>#REF!</v>
      </c>
      <c r="HI244" t="e">
        <f>AND(#REF!,"AAAAADc/+9g=")</f>
        <v>#REF!</v>
      </c>
      <c r="HJ244" t="e">
        <f>AND(#REF!,"AAAAADc/+9k=")</f>
        <v>#REF!</v>
      </c>
      <c r="HK244" t="e">
        <f>AND(#REF!,"AAAAADc/+9o=")</f>
        <v>#REF!</v>
      </c>
      <c r="HL244" t="e">
        <f>AND(#REF!,"AAAAADc/+9s=")</f>
        <v>#REF!</v>
      </c>
      <c r="HM244" t="e">
        <f>AND(#REF!,"AAAAADc/+9w=")</f>
        <v>#REF!</v>
      </c>
      <c r="HN244" t="e">
        <f>AND(#REF!,"AAAAADc/+90=")</f>
        <v>#REF!</v>
      </c>
      <c r="HO244" t="e">
        <f>AND(#REF!,"AAAAADc/+94=")</f>
        <v>#REF!</v>
      </c>
      <c r="HP244" t="e">
        <f>AND(#REF!,"AAAAADc/+98=")</f>
        <v>#REF!</v>
      </c>
      <c r="HQ244" t="e">
        <f>AND(#REF!,"AAAAADc/++A=")</f>
        <v>#REF!</v>
      </c>
      <c r="HR244" t="e">
        <f>AND(#REF!,"AAAAADc/++E=")</f>
        <v>#REF!</v>
      </c>
      <c r="HS244" t="e">
        <f>AND(#REF!,"AAAAADc/++I=")</f>
        <v>#REF!</v>
      </c>
      <c r="HT244" t="e">
        <f>AND(#REF!,"AAAAADc/++M=")</f>
        <v>#REF!</v>
      </c>
      <c r="HU244" t="e">
        <f>AND(#REF!,"AAAAADc/++Q=")</f>
        <v>#REF!</v>
      </c>
      <c r="HV244" t="e">
        <f>AND(#REF!,"AAAAADc/++U=")</f>
        <v>#REF!</v>
      </c>
      <c r="HW244" t="e">
        <f>AND(#REF!,"AAAAADc/++Y=")</f>
        <v>#REF!</v>
      </c>
      <c r="HX244" t="e">
        <f>AND(#REF!,"AAAAADc/++c=")</f>
        <v>#REF!</v>
      </c>
      <c r="HY244" t="e">
        <f>AND(#REF!,"AAAAADc/++g=")</f>
        <v>#REF!</v>
      </c>
      <c r="HZ244" t="e">
        <f>AND(#REF!,"AAAAADc/++k=")</f>
        <v>#REF!</v>
      </c>
      <c r="IA244" t="e">
        <f>AND(#REF!,"AAAAADc/++o=")</f>
        <v>#REF!</v>
      </c>
      <c r="IB244" t="e">
        <f>AND(#REF!,"AAAAADc/++s=")</f>
        <v>#REF!</v>
      </c>
      <c r="IC244" t="e">
        <f>AND(#REF!,"AAAAADc/++w=")</f>
        <v>#REF!</v>
      </c>
      <c r="ID244" t="e">
        <f>AND(#REF!,"AAAAADc/++0=")</f>
        <v>#REF!</v>
      </c>
      <c r="IE244" t="e">
        <f>AND(#REF!,"AAAAADc/++4=")</f>
        <v>#REF!</v>
      </c>
      <c r="IF244" t="e">
        <f>AND(#REF!,"AAAAADc/++8=")</f>
        <v>#REF!</v>
      </c>
      <c r="IG244" t="e">
        <f>AND(#REF!,"AAAAADc/+/A=")</f>
        <v>#REF!</v>
      </c>
      <c r="IH244" t="e">
        <f>AND(#REF!,"AAAAADc/+/E=")</f>
        <v>#REF!</v>
      </c>
      <c r="II244" t="e">
        <f>AND(#REF!,"AAAAADc/+/I=")</f>
        <v>#REF!</v>
      </c>
      <c r="IJ244" t="e">
        <f>AND(#REF!,"AAAAADc/+/M=")</f>
        <v>#REF!</v>
      </c>
      <c r="IK244" t="e">
        <f>AND(#REF!,"AAAAADc/+/Q=")</f>
        <v>#REF!</v>
      </c>
      <c r="IL244" t="e">
        <f>AND(#REF!,"AAAAADc/+/U=")</f>
        <v>#REF!</v>
      </c>
      <c r="IM244" t="e">
        <f>AND(#REF!,"AAAAADc/+/Y=")</f>
        <v>#REF!</v>
      </c>
      <c r="IN244" t="e">
        <f>AND(#REF!,"AAAAADc/+/c=")</f>
        <v>#REF!</v>
      </c>
      <c r="IO244" t="e">
        <f>AND(#REF!,"AAAAADc/+/g=")</f>
        <v>#REF!</v>
      </c>
      <c r="IP244" t="e">
        <f>AND(#REF!,"AAAAADc/+/k=")</f>
        <v>#REF!</v>
      </c>
      <c r="IQ244" t="e">
        <f>AND(#REF!,"AAAAADc/+/o=")</f>
        <v>#REF!</v>
      </c>
      <c r="IR244" t="e">
        <f>AND(#REF!,"AAAAADc/+/s=")</f>
        <v>#REF!</v>
      </c>
      <c r="IS244" t="e">
        <f>AND(#REF!,"AAAAADc/+/w=")</f>
        <v>#REF!</v>
      </c>
      <c r="IT244" t="e">
        <f>AND(#REF!,"AAAAADc/+/0=")</f>
        <v>#REF!</v>
      </c>
      <c r="IU244" t="e">
        <f>AND(#REF!,"AAAAADc/+/4=")</f>
        <v>#REF!</v>
      </c>
      <c r="IV244" t="e">
        <f>AND(#REF!,"AAAAADc/+/8=")</f>
        <v>#REF!</v>
      </c>
    </row>
    <row r="245" spans="1:256" x14ac:dyDescent="0.25">
      <c r="A245" t="e">
        <f>AND(#REF!,"AAAAAH/++wA=")</f>
        <v>#REF!</v>
      </c>
      <c r="B245" t="e">
        <f>AND(#REF!,"AAAAAH/++wE=")</f>
        <v>#REF!</v>
      </c>
      <c r="C245" t="e">
        <f>AND(#REF!,"AAAAAH/++wI=")</f>
        <v>#REF!</v>
      </c>
      <c r="D245" t="e">
        <f>AND(#REF!,"AAAAAH/++wM=")</f>
        <v>#REF!</v>
      </c>
      <c r="E245" t="e">
        <f>AND(#REF!,"AAAAAH/++wQ=")</f>
        <v>#REF!</v>
      </c>
      <c r="F245" t="e">
        <f>AND(#REF!,"AAAAAH/++wU=")</f>
        <v>#REF!</v>
      </c>
      <c r="G245" t="e">
        <f>AND(#REF!,"AAAAAH/++wY=")</f>
        <v>#REF!</v>
      </c>
      <c r="H245" t="e">
        <f>AND(#REF!,"AAAAAH/++wc=")</f>
        <v>#REF!</v>
      </c>
      <c r="I245" t="e">
        <f>AND(#REF!,"AAAAAH/++wg=")</f>
        <v>#REF!</v>
      </c>
      <c r="J245" t="e">
        <f>AND(#REF!,"AAAAAH/++wk=")</f>
        <v>#REF!</v>
      </c>
      <c r="K245" t="e">
        <f>AND(#REF!,"AAAAAH/++wo=")</f>
        <v>#REF!</v>
      </c>
      <c r="L245" t="e">
        <f>AND(#REF!,"AAAAAH/++ws=")</f>
        <v>#REF!</v>
      </c>
      <c r="M245" t="e">
        <f>AND(#REF!,"AAAAAH/++ww=")</f>
        <v>#REF!</v>
      </c>
      <c r="N245" t="e">
        <f>AND(#REF!,"AAAAAH/++w0=")</f>
        <v>#REF!</v>
      </c>
      <c r="O245" t="e">
        <f>AND(#REF!,"AAAAAH/++w4=")</f>
        <v>#REF!</v>
      </c>
      <c r="P245" t="e">
        <f>AND(#REF!,"AAAAAH/++w8=")</f>
        <v>#REF!</v>
      </c>
      <c r="Q245" t="e">
        <f>AND(#REF!,"AAAAAH/++xA=")</f>
        <v>#REF!</v>
      </c>
      <c r="R245" t="e">
        <f>AND(#REF!,"AAAAAH/++xE=")</f>
        <v>#REF!</v>
      </c>
      <c r="S245" t="e">
        <f>AND(#REF!,"AAAAAH/++xI=")</f>
        <v>#REF!</v>
      </c>
      <c r="T245" t="e">
        <f>AND(#REF!,"AAAAAH/++xM=")</f>
        <v>#REF!</v>
      </c>
      <c r="U245" t="e">
        <f>AND(#REF!,"AAAAAH/++xQ=")</f>
        <v>#REF!</v>
      </c>
      <c r="V245" t="e">
        <f>AND(#REF!,"AAAAAH/++xU=")</f>
        <v>#REF!</v>
      </c>
      <c r="W245" t="e">
        <f>AND(#REF!,"AAAAAH/++xY=")</f>
        <v>#REF!</v>
      </c>
      <c r="X245" t="e">
        <f>AND(#REF!,"AAAAAH/++xc=")</f>
        <v>#REF!</v>
      </c>
      <c r="Y245" t="e">
        <f>AND(#REF!,"AAAAAH/++xg=")</f>
        <v>#REF!</v>
      </c>
      <c r="Z245" t="e">
        <f>AND(#REF!,"AAAAAH/++xk=")</f>
        <v>#REF!</v>
      </c>
      <c r="AA245" t="e">
        <f>AND(#REF!,"AAAAAH/++xo=")</f>
        <v>#REF!</v>
      </c>
      <c r="AB245" t="e">
        <f>AND(#REF!,"AAAAAH/++xs=")</f>
        <v>#REF!</v>
      </c>
      <c r="AC245" t="e">
        <f>AND(#REF!,"AAAAAH/++xw=")</f>
        <v>#REF!</v>
      </c>
      <c r="AD245" t="e">
        <f>AND(#REF!,"AAAAAH/++x0=")</f>
        <v>#REF!</v>
      </c>
      <c r="AE245" t="e">
        <f>AND(#REF!,"AAAAAH/++x4=")</f>
        <v>#REF!</v>
      </c>
      <c r="AF245" t="e">
        <f>AND(#REF!,"AAAAAH/++x8=")</f>
        <v>#REF!</v>
      </c>
      <c r="AG245" t="e">
        <f>AND(#REF!,"AAAAAH/++yA=")</f>
        <v>#REF!</v>
      </c>
      <c r="AH245" t="e">
        <f>AND(#REF!,"AAAAAH/++yE=")</f>
        <v>#REF!</v>
      </c>
      <c r="AI245" t="e">
        <f>AND(#REF!,"AAAAAH/++yI=")</f>
        <v>#REF!</v>
      </c>
      <c r="AJ245" t="e">
        <f>AND(#REF!,"AAAAAH/++yM=")</f>
        <v>#REF!</v>
      </c>
      <c r="AK245" t="e">
        <f>AND(#REF!,"AAAAAH/++yQ=")</f>
        <v>#REF!</v>
      </c>
      <c r="AL245" t="e">
        <f>AND(#REF!,"AAAAAH/++yU=")</f>
        <v>#REF!</v>
      </c>
      <c r="AM245" t="e">
        <f>AND(#REF!,"AAAAAH/++yY=")</f>
        <v>#REF!</v>
      </c>
      <c r="AN245" t="e">
        <f>AND(#REF!,"AAAAAH/++yc=")</f>
        <v>#REF!</v>
      </c>
      <c r="AO245" t="e">
        <f>AND(#REF!,"AAAAAH/++yg=")</f>
        <v>#REF!</v>
      </c>
      <c r="AP245" t="e">
        <f>AND(#REF!,"AAAAAH/++yk=")</f>
        <v>#REF!</v>
      </c>
      <c r="AQ245" t="e">
        <f>AND(#REF!,"AAAAAH/++yo=")</f>
        <v>#REF!</v>
      </c>
      <c r="AR245" t="e">
        <f>AND(#REF!,"AAAAAH/++ys=")</f>
        <v>#REF!</v>
      </c>
      <c r="AS245" t="e">
        <f>AND(#REF!,"AAAAAH/++yw=")</f>
        <v>#REF!</v>
      </c>
      <c r="AT245" t="e">
        <f>AND(#REF!,"AAAAAH/++y0=")</f>
        <v>#REF!</v>
      </c>
      <c r="AU245" t="e">
        <f>AND(#REF!,"AAAAAH/++y4=")</f>
        <v>#REF!</v>
      </c>
      <c r="AV245" t="e">
        <f>AND(#REF!,"AAAAAH/++y8=")</f>
        <v>#REF!</v>
      </c>
      <c r="AW245" t="e">
        <f>AND(#REF!,"AAAAAH/++zA=")</f>
        <v>#REF!</v>
      </c>
      <c r="AX245" t="e">
        <f>AND(#REF!,"AAAAAH/++zE=")</f>
        <v>#REF!</v>
      </c>
      <c r="AY245" t="e">
        <f>AND(#REF!,"AAAAAH/++zI=")</f>
        <v>#REF!</v>
      </c>
      <c r="AZ245" t="e">
        <f>AND(#REF!,"AAAAAH/++zM=")</f>
        <v>#REF!</v>
      </c>
      <c r="BA245" t="e">
        <f>AND(#REF!,"AAAAAH/++zQ=")</f>
        <v>#REF!</v>
      </c>
      <c r="BB245" t="e">
        <f>AND(#REF!,"AAAAAH/++zU=")</f>
        <v>#REF!</v>
      </c>
      <c r="BC245" t="e">
        <f>AND(#REF!,"AAAAAH/++zY=")</f>
        <v>#REF!</v>
      </c>
      <c r="BD245" t="e">
        <f>AND(#REF!,"AAAAAH/++zc=")</f>
        <v>#REF!</v>
      </c>
      <c r="BE245" t="e">
        <f>AND(#REF!,"AAAAAH/++zg=")</f>
        <v>#REF!</v>
      </c>
      <c r="BF245" t="e">
        <f>AND(#REF!,"AAAAAH/++zk=")</f>
        <v>#REF!</v>
      </c>
      <c r="BG245" t="e">
        <f>AND(#REF!,"AAAAAH/++zo=")</f>
        <v>#REF!</v>
      </c>
      <c r="BH245" t="e">
        <f>AND(#REF!,"AAAAAH/++zs=")</f>
        <v>#REF!</v>
      </c>
      <c r="BI245" t="e">
        <f>AND(#REF!,"AAAAAH/++zw=")</f>
        <v>#REF!</v>
      </c>
      <c r="BJ245" t="e">
        <f>AND(#REF!,"AAAAAH/++z0=")</f>
        <v>#REF!</v>
      </c>
      <c r="BK245" t="e">
        <f>AND(#REF!,"AAAAAH/++z4=")</f>
        <v>#REF!</v>
      </c>
      <c r="BL245" t="e">
        <f>AND(#REF!,"AAAAAH/++z8=")</f>
        <v>#REF!</v>
      </c>
      <c r="BM245" t="e">
        <f>AND(#REF!,"AAAAAH/++0A=")</f>
        <v>#REF!</v>
      </c>
      <c r="BN245" t="e">
        <f>AND(#REF!,"AAAAAH/++0E=")</f>
        <v>#REF!</v>
      </c>
      <c r="BO245" t="e">
        <f>AND(#REF!,"AAAAAH/++0I=")</f>
        <v>#REF!</v>
      </c>
      <c r="BP245" t="e">
        <f>AND(#REF!,"AAAAAH/++0M=")</f>
        <v>#REF!</v>
      </c>
      <c r="BQ245" t="e">
        <f>AND(#REF!,"AAAAAH/++0Q=")</f>
        <v>#REF!</v>
      </c>
      <c r="BR245" t="e">
        <f>AND(#REF!,"AAAAAH/++0U=")</f>
        <v>#REF!</v>
      </c>
      <c r="BS245" t="e">
        <f>AND(#REF!,"AAAAAH/++0Y=")</f>
        <v>#REF!</v>
      </c>
      <c r="BT245" t="e">
        <f>AND(#REF!,"AAAAAH/++0c=")</f>
        <v>#REF!</v>
      </c>
      <c r="BU245" t="e">
        <f>AND(#REF!,"AAAAAH/++0g=")</f>
        <v>#REF!</v>
      </c>
      <c r="BV245" t="e">
        <f>AND(#REF!,"AAAAAH/++0k=")</f>
        <v>#REF!</v>
      </c>
      <c r="BW245" t="e">
        <f>AND(#REF!,"AAAAAH/++0o=")</f>
        <v>#REF!</v>
      </c>
      <c r="BX245" t="e">
        <f>AND(#REF!,"AAAAAH/++0s=")</f>
        <v>#REF!</v>
      </c>
      <c r="BY245" t="e">
        <f>AND(#REF!,"AAAAAH/++0w=")</f>
        <v>#REF!</v>
      </c>
      <c r="BZ245" t="e">
        <f>AND(#REF!,"AAAAAH/++00=")</f>
        <v>#REF!</v>
      </c>
      <c r="CA245" t="e">
        <f>AND(#REF!,"AAAAAH/++04=")</f>
        <v>#REF!</v>
      </c>
      <c r="CB245" t="e">
        <f>AND(#REF!,"AAAAAH/++08=")</f>
        <v>#REF!</v>
      </c>
      <c r="CC245" t="e">
        <f>AND(#REF!,"AAAAAH/++1A=")</f>
        <v>#REF!</v>
      </c>
      <c r="CD245" t="e">
        <f>AND(#REF!,"AAAAAH/++1E=")</f>
        <v>#REF!</v>
      </c>
      <c r="CE245" t="e">
        <f>AND(#REF!,"AAAAAH/++1I=")</f>
        <v>#REF!</v>
      </c>
      <c r="CF245" t="e">
        <f>AND(#REF!,"AAAAAH/++1M=")</f>
        <v>#REF!</v>
      </c>
      <c r="CG245" t="e">
        <f>AND(#REF!,"AAAAAH/++1Q=")</f>
        <v>#REF!</v>
      </c>
      <c r="CH245" t="e">
        <f>AND(#REF!,"AAAAAH/++1U=")</f>
        <v>#REF!</v>
      </c>
      <c r="CI245" t="e">
        <f>AND(#REF!,"AAAAAH/++1Y=")</f>
        <v>#REF!</v>
      </c>
      <c r="CJ245" t="e">
        <f>IF(#REF!,"AAAAAH/++1c=",0)</f>
        <v>#REF!</v>
      </c>
      <c r="CK245" t="e">
        <f>AND(#REF!,"AAAAAH/++1g=")</f>
        <v>#REF!</v>
      </c>
      <c r="CL245" t="e">
        <f>AND(#REF!,"AAAAAH/++1k=")</f>
        <v>#REF!</v>
      </c>
      <c r="CM245" t="e">
        <f>AND(#REF!,"AAAAAH/++1o=")</f>
        <v>#REF!</v>
      </c>
      <c r="CN245" t="e">
        <f>AND(#REF!,"AAAAAH/++1s=")</f>
        <v>#REF!</v>
      </c>
      <c r="CO245" t="e">
        <f>AND(#REF!,"AAAAAH/++1w=")</f>
        <v>#REF!</v>
      </c>
      <c r="CP245" t="e">
        <f>AND(#REF!,"AAAAAH/++10=")</f>
        <v>#REF!</v>
      </c>
      <c r="CQ245" t="e">
        <f>AND(#REF!,"AAAAAH/++14=")</f>
        <v>#REF!</v>
      </c>
      <c r="CR245" t="e">
        <f>AND(#REF!,"AAAAAH/++18=")</f>
        <v>#REF!</v>
      </c>
      <c r="CS245" t="e">
        <f>AND(#REF!,"AAAAAH/++2A=")</f>
        <v>#REF!</v>
      </c>
      <c r="CT245" t="e">
        <f>AND(#REF!,"AAAAAH/++2E=")</f>
        <v>#REF!</v>
      </c>
      <c r="CU245" t="e">
        <f>AND(#REF!,"AAAAAH/++2I=")</f>
        <v>#REF!</v>
      </c>
      <c r="CV245" t="e">
        <f>AND(#REF!,"AAAAAH/++2M=")</f>
        <v>#REF!</v>
      </c>
      <c r="CW245" t="e">
        <f>AND(#REF!,"AAAAAH/++2Q=")</f>
        <v>#REF!</v>
      </c>
      <c r="CX245" t="e">
        <f>AND(#REF!,"AAAAAH/++2U=")</f>
        <v>#REF!</v>
      </c>
      <c r="CY245" t="e">
        <f>AND(#REF!,"AAAAAH/++2Y=")</f>
        <v>#REF!</v>
      </c>
      <c r="CZ245" t="e">
        <f>AND(#REF!,"AAAAAH/++2c=")</f>
        <v>#REF!</v>
      </c>
      <c r="DA245" t="e">
        <f>AND(#REF!,"AAAAAH/++2g=")</f>
        <v>#REF!</v>
      </c>
      <c r="DB245" t="e">
        <f>AND(#REF!,"AAAAAH/++2k=")</f>
        <v>#REF!</v>
      </c>
      <c r="DC245" t="e">
        <f>AND(#REF!,"AAAAAH/++2o=")</f>
        <v>#REF!</v>
      </c>
      <c r="DD245" t="e">
        <f>AND(#REF!,"AAAAAH/++2s=")</f>
        <v>#REF!</v>
      </c>
      <c r="DE245" t="e">
        <f>AND(#REF!,"AAAAAH/++2w=")</f>
        <v>#REF!</v>
      </c>
      <c r="DF245" t="e">
        <f>AND(#REF!,"AAAAAH/++20=")</f>
        <v>#REF!</v>
      </c>
      <c r="DG245" t="e">
        <f>AND(#REF!,"AAAAAH/++24=")</f>
        <v>#REF!</v>
      </c>
      <c r="DH245" t="e">
        <f>AND(#REF!,"AAAAAH/++28=")</f>
        <v>#REF!</v>
      </c>
      <c r="DI245" t="e">
        <f>AND(#REF!,"AAAAAH/++3A=")</f>
        <v>#REF!</v>
      </c>
      <c r="DJ245" t="e">
        <f>AND(#REF!,"AAAAAH/++3E=")</f>
        <v>#REF!</v>
      </c>
      <c r="DK245" t="e">
        <f>AND(#REF!,"AAAAAH/++3I=")</f>
        <v>#REF!</v>
      </c>
      <c r="DL245" t="e">
        <f>AND(#REF!,"AAAAAH/++3M=")</f>
        <v>#REF!</v>
      </c>
      <c r="DM245" t="e">
        <f>AND(#REF!,"AAAAAH/++3Q=")</f>
        <v>#REF!</v>
      </c>
      <c r="DN245" t="e">
        <f>AND(#REF!,"AAAAAH/++3U=")</f>
        <v>#REF!</v>
      </c>
      <c r="DO245" t="e">
        <f>AND(#REF!,"AAAAAH/++3Y=")</f>
        <v>#REF!</v>
      </c>
      <c r="DP245" t="e">
        <f>AND(#REF!,"AAAAAH/++3c=")</f>
        <v>#REF!</v>
      </c>
      <c r="DQ245" t="e">
        <f>AND(#REF!,"AAAAAH/++3g=")</f>
        <v>#REF!</v>
      </c>
      <c r="DR245" t="e">
        <f>AND(#REF!,"AAAAAH/++3k=")</f>
        <v>#REF!</v>
      </c>
      <c r="DS245" t="e">
        <f>AND(#REF!,"AAAAAH/++3o=")</f>
        <v>#REF!</v>
      </c>
      <c r="DT245" t="e">
        <f>AND(#REF!,"AAAAAH/++3s=")</f>
        <v>#REF!</v>
      </c>
      <c r="DU245" t="e">
        <f>AND(#REF!,"AAAAAH/++3w=")</f>
        <v>#REF!</v>
      </c>
      <c r="DV245" t="e">
        <f>AND(#REF!,"AAAAAH/++30=")</f>
        <v>#REF!</v>
      </c>
      <c r="DW245" t="e">
        <f>AND(#REF!,"AAAAAH/++34=")</f>
        <v>#REF!</v>
      </c>
      <c r="DX245" t="e">
        <f>AND(#REF!,"AAAAAH/++38=")</f>
        <v>#REF!</v>
      </c>
      <c r="DY245" t="e">
        <f>AND(#REF!,"AAAAAH/++4A=")</f>
        <v>#REF!</v>
      </c>
      <c r="DZ245" t="e">
        <f>AND(#REF!,"AAAAAH/++4E=")</f>
        <v>#REF!</v>
      </c>
      <c r="EA245" t="e">
        <f>AND(#REF!,"AAAAAH/++4I=")</f>
        <v>#REF!</v>
      </c>
      <c r="EB245" t="e">
        <f>AND(#REF!,"AAAAAH/++4M=")</f>
        <v>#REF!</v>
      </c>
      <c r="EC245" t="e">
        <f>AND(#REF!,"AAAAAH/++4Q=")</f>
        <v>#REF!</v>
      </c>
      <c r="ED245" t="e">
        <f>AND(#REF!,"AAAAAH/++4U=")</f>
        <v>#REF!</v>
      </c>
      <c r="EE245" t="e">
        <f>AND(#REF!,"AAAAAH/++4Y=")</f>
        <v>#REF!</v>
      </c>
      <c r="EF245" t="e">
        <f>AND(#REF!,"AAAAAH/++4c=")</f>
        <v>#REF!</v>
      </c>
      <c r="EG245" t="e">
        <f>AND(#REF!,"AAAAAH/++4g=")</f>
        <v>#REF!</v>
      </c>
      <c r="EH245" t="e">
        <f>AND(#REF!,"AAAAAH/++4k=")</f>
        <v>#REF!</v>
      </c>
      <c r="EI245" t="e">
        <f>AND(#REF!,"AAAAAH/++4o=")</f>
        <v>#REF!</v>
      </c>
      <c r="EJ245" t="e">
        <f>AND(#REF!,"AAAAAH/++4s=")</f>
        <v>#REF!</v>
      </c>
      <c r="EK245" t="e">
        <f>AND(#REF!,"AAAAAH/++4w=")</f>
        <v>#REF!</v>
      </c>
      <c r="EL245" t="e">
        <f>AND(#REF!,"AAAAAH/++40=")</f>
        <v>#REF!</v>
      </c>
      <c r="EM245" t="e">
        <f>AND(#REF!,"AAAAAH/++44=")</f>
        <v>#REF!</v>
      </c>
      <c r="EN245" t="e">
        <f>AND(#REF!,"AAAAAH/++48=")</f>
        <v>#REF!</v>
      </c>
      <c r="EO245" t="e">
        <f>AND(#REF!,"AAAAAH/++5A=")</f>
        <v>#REF!</v>
      </c>
      <c r="EP245" t="e">
        <f>AND(#REF!,"AAAAAH/++5E=")</f>
        <v>#REF!</v>
      </c>
      <c r="EQ245" t="e">
        <f>AND(#REF!,"AAAAAH/++5I=")</f>
        <v>#REF!</v>
      </c>
      <c r="ER245" t="e">
        <f>AND(#REF!,"AAAAAH/++5M=")</f>
        <v>#REF!</v>
      </c>
      <c r="ES245" t="e">
        <f>AND(#REF!,"AAAAAH/++5Q=")</f>
        <v>#REF!</v>
      </c>
      <c r="ET245" t="e">
        <f>AND(#REF!,"AAAAAH/++5U=")</f>
        <v>#REF!</v>
      </c>
      <c r="EU245" t="e">
        <f>AND(#REF!,"AAAAAH/++5Y=")</f>
        <v>#REF!</v>
      </c>
      <c r="EV245" t="e">
        <f>AND(#REF!,"AAAAAH/++5c=")</f>
        <v>#REF!</v>
      </c>
      <c r="EW245" t="e">
        <f>AND(#REF!,"AAAAAH/++5g=")</f>
        <v>#REF!</v>
      </c>
      <c r="EX245" t="e">
        <f>AND(#REF!,"AAAAAH/++5k=")</f>
        <v>#REF!</v>
      </c>
      <c r="EY245" t="e">
        <f>AND(#REF!,"AAAAAH/++5o=")</f>
        <v>#REF!</v>
      </c>
      <c r="EZ245" t="e">
        <f>AND(#REF!,"AAAAAH/++5s=")</f>
        <v>#REF!</v>
      </c>
      <c r="FA245" t="e">
        <f>AND(#REF!,"AAAAAH/++5w=")</f>
        <v>#REF!</v>
      </c>
      <c r="FB245" t="e">
        <f>AND(#REF!,"AAAAAH/++50=")</f>
        <v>#REF!</v>
      </c>
      <c r="FC245" t="e">
        <f>AND(#REF!,"AAAAAH/++54=")</f>
        <v>#REF!</v>
      </c>
      <c r="FD245" t="e">
        <f>AND(#REF!,"AAAAAH/++58=")</f>
        <v>#REF!</v>
      </c>
      <c r="FE245" t="e">
        <f>AND(#REF!,"AAAAAH/++6A=")</f>
        <v>#REF!</v>
      </c>
      <c r="FF245" t="e">
        <f>AND(#REF!,"AAAAAH/++6E=")</f>
        <v>#REF!</v>
      </c>
      <c r="FG245" t="e">
        <f>AND(#REF!,"AAAAAH/++6I=")</f>
        <v>#REF!</v>
      </c>
      <c r="FH245" t="e">
        <f>AND(#REF!,"AAAAAH/++6M=")</f>
        <v>#REF!</v>
      </c>
      <c r="FI245" t="e">
        <f>AND(#REF!,"AAAAAH/++6Q=")</f>
        <v>#REF!</v>
      </c>
      <c r="FJ245" t="e">
        <f>AND(#REF!,"AAAAAH/++6U=")</f>
        <v>#REF!</v>
      </c>
      <c r="FK245" t="e">
        <f>AND(#REF!,"AAAAAH/++6Y=")</f>
        <v>#REF!</v>
      </c>
      <c r="FL245" t="e">
        <f>AND(#REF!,"AAAAAH/++6c=")</f>
        <v>#REF!</v>
      </c>
      <c r="FM245" t="e">
        <f>AND(#REF!,"AAAAAH/++6g=")</f>
        <v>#REF!</v>
      </c>
      <c r="FN245" t="e">
        <f>AND(#REF!,"AAAAAH/++6k=")</f>
        <v>#REF!</v>
      </c>
      <c r="FO245" t="e">
        <f>AND(#REF!,"AAAAAH/++6o=")</f>
        <v>#REF!</v>
      </c>
      <c r="FP245" t="e">
        <f>AND(#REF!,"AAAAAH/++6s=")</f>
        <v>#REF!</v>
      </c>
      <c r="FQ245" t="e">
        <f>AND(#REF!,"AAAAAH/++6w=")</f>
        <v>#REF!</v>
      </c>
      <c r="FR245" t="e">
        <f>AND(#REF!,"AAAAAH/++60=")</f>
        <v>#REF!</v>
      </c>
      <c r="FS245" t="e">
        <f>AND(#REF!,"AAAAAH/++64=")</f>
        <v>#REF!</v>
      </c>
      <c r="FT245" t="e">
        <f>AND(#REF!,"AAAAAH/++68=")</f>
        <v>#REF!</v>
      </c>
      <c r="FU245" t="e">
        <f>AND(#REF!,"AAAAAH/++7A=")</f>
        <v>#REF!</v>
      </c>
      <c r="FV245" t="e">
        <f>AND(#REF!,"AAAAAH/++7E=")</f>
        <v>#REF!</v>
      </c>
      <c r="FW245" t="e">
        <f>AND(#REF!,"AAAAAH/++7I=")</f>
        <v>#REF!</v>
      </c>
      <c r="FX245" t="e">
        <f>AND(#REF!,"AAAAAH/++7M=")</f>
        <v>#REF!</v>
      </c>
      <c r="FY245" t="e">
        <f>AND(#REF!,"AAAAAH/++7Q=")</f>
        <v>#REF!</v>
      </c>
      <c r="FZ245" t="e">
        <f>AND(#REF!,"AAAAAH/++7U=")</f>
        <v>#REF!</v>
      </c>
      <c r="GA245" t="e">
        <f>AND(#REF!,"AAAAAH/++7Y=")</f>
        <v>#REF!</v>
      </c>
      <c r="GB245" t="e">
        <f>AND(#REF!,"AAAAAH/++7c=")</f>
        <v>#REF!</v>
      </c>
      <c r="GC245" t="e">
        <f>AND(#REF!,"AAAAAH/++7g=")</f>
        <v>#REF!</v>
      </c>
      <c r="GD245" t="e">
        <f>AND(#REF!,"AAAAAH/++7k=")</f>
        <v>#REF!</v>
      </c>
      <c r="GE245" t="e">
        <f>AND(#REF!,"AAAAAH/++7o=")</f>
        <v>#REF!</v>
      </c>
      <c r="GF245" t="e">
        <f>AND(#REF!,"AAAAAH/++7s=")</f>
        <v>#REF!</v>
      </c>
      <c r="GG245" t="e">
        <f>AND(#REF!,"AAAAAH/++7w=")</f>
        <v>#REF!</v>
      </c>
      <c r="GH245" t="e">
        <f>AND(#REF!,"AAAAAH/++70=")</f>
        <v>#REF!</v>
      </c>
      <c r="GI245" t="e">
        <f>AND(#REF!,"AAAAAH/++74=")</f>
        <v>#REF!</v>
      </c>
      <c r="GJ245" t="e">
        <f>AND(#REF!,"AAAAAH/++78=")</f>
        <v>#REF!</v>
      </c>
      <c r="GK245" t="e">
        <f>AND(#REF!,"AAAAAH/++8A=")</f>
        <v>#REF!</v>
      </c>
      <c r="GL245" t="e">
        <f>AND(#REF!,"AAAAAH/++8E=")</f>
        <v>#REF!</v>
      </c>
      <c r="GM245" t="e">
        <f>AND(#REF!,"AAAAAH/++8I=")</f>
        <v>#REF!</v>
      </c>
      <c r="GN245" t="e">
        <f>AND(#REF!,"AAAAAH/++8M=")</f>
        <v>#REF!</v>
      </c>
      <c r="GO245" t="e">
        <f>AND(#REF!,"AAAAAH/++8Q=")</f>
        <v>#REF!</v>
      </c>
      <c r="GP245" t="e">
        <f>AND(#REF!,"AAAAAH/++8U=")</f>
        <v>#REF!</v>
      </c>
      <c r="GQ245" t="e">
        <f>AND(#REF!,"AAAAAH/++8Y=")</f>
        <v>#REF!</v>
      </c>
      <c r="GR245" t="e">
        <f>AND(#REF!,"AAAAAH/++8c=")</f>
        <v>#REF!</v>
      </c>
      <c r="GS245" t="e">
        <f>AND(#REF!,"AAAAAH/++8g=")</f>
        <v>#REF!</v>
      </c>
      <c r="GT245" t="e">
        <f>AND(#REF!,"AAAAAH/++8k=")</f>
        <v>#REF!</v>
      </c>
      <c r="GU245" t="e">
        <f>AND(#REF!,"AAAAAH/++8o=")</f>
        <v>#REF!</v>
      </c>
      <c r="GV245" t="e">
        <f>AND(#REF!,"AAAAAH/++8s=")</f>
        <v>#REF!</v>
      </c>
      <c r="GW245" t="e">
        <f>AND(#REF!,"AAAAAH/++8w=")</f>
        <v>#REF!</v>
      </c>
      <c r="GX245" t="e">
        <f>AND(#REF!,"AAAAAH/++80=")</f>
        <v>#REF!</v>
      </c>
      <c r="GY245" t="e">
        <f>AND(#REF!,"AAAAAH/++84=")</f>
        <v>#REF!</v>
      </c>
      <c r="GZ245" t="e">
        <f>AND(#REF!,"AAAAAH/++88=")</f>
        <v>#REF!</v>
      </c>
      <c r="HA245" t="e">
        <f>AND(#REF!,"AAAAAH/++9A=")</f>
        <v>#REF!</v>
      </c>
      <c r="HB245" t="e">
        <f>AND(#REF!,"AAAAAH/++9E=")</f>
        <v>#REF!</v>
      </c>
      <c r="HC245" t="e">
        <f>AND(#REF!,"AAAAAH/++9I=")</f>
        <v>#REF!</v>
      </c>
      <c r="HD245" t="e">
        <f>AND(#REF!,"AAAAAH/++9M=")</f>
        <v>#REF!</v>
      </c>
      <c r="HE245" t="e">
        <f>AND(#REF!,"AAAAAH/++9Q=")</f>
        <v>#REF!</v>
      </c>
      <c r="HF245" t="e">
        <f>AND(#REF!,"AAAAAH/++9U=")</f>
        <v>#REF!</v>
      </c>
      <c r="HG245" t="e">
        <f>AND(#REF!,"AAAAAH/++9Y=")</f>
        <v>#REF!</v>
      </c>
      <c r="HH245" t="e">
        <f>AND(#REF!,"AAAAAH/++9c=")</f>
        <v>#REF!</v>
      </c>
      <c r="HI245" t="e">
        <f>AND(#REF!,"AAAAAH/++9g=")</f>
        <v>#REF!</v>
      </c>
      <c r="HJ245" t="e">
        <f>AND(#REF!,"AAAAAH/++9k=")</f>
        <v>#REF!</v>
      </c>
      <c r="HK245" t="e">
        <f>AND(#REF!,"AAAAAH/++9o=")</f>
        <v>#REF!</v>
      </c>
      <c r="HL245" t="e">
        <f>AND(#REF!,"AAAAAH/++9s=")</f>
        <v>#REF!</v>
      </c>
      <c r="HM245" t="e">
        <f>AND(#REF!,"AAAAAH/++9w=")</f>
        <v>#REF!</v>
      </c>
      <c r="HN245" t="e">
        <f>AND(#REF!,"AAAAAH/++90=")</f>
        <v>#REF!</v>
      </c>
      <c r="HO245" t="e">
        <f>AND(#REF!,"AAAAAH/++94=")</f>
        <v>#REF!</v>
      </c>
      <c r="HP245" t="e">
        <f>AND(#REF!,"AAAAAH/++98=")</f>
        <v>#REF!</v>
      </c>
      <c r="HQ245" t="e">
        <f>AND(#REF!,"AAAAAH/+++A=")</f>
        <v>#REF!</v>
      </c>
      <c r="HR245" t="e">
        <f>AND(#REF!,"AAAAAH/+++E=")</f>
        <v>#REF!</v>
      </c>
      <c r="HS245" t="e">
        <f>AND(#REF!,"AAAAAH/+++I=")</f>
        <v>#REF!</v>
      </c>
      <c r="HT245" t="e">
        <f>AND(#REF!,"AAAAAH/+++M=")</f>
        <v>#REF!</v>
      </c>
      <c r="HU245" t="e">
        <f>AND(#REF!,"AAAAAH/+++Q=")</f>
        <v>#REF!</v>
      </c>
      <c r="HV245" t="e">
        <f>AND(#REF!,"AAAAAH/+++U=")</f>
        <v>#REF!</v>
      </c>
      <c r="HW245" t="e">
        <f>AND(#REF!,"AAAAAH/+++Y=")</f>
        <v>#REF!</v>
      </c>
      <c r="HX245" t="e">
        <f>AND(#REF!,"AAAAAH/+++c=")</f>
        <v>#REF!</v>
      </c>
      <c r="HY245" t="e">
        <f>AND(#REF!,"AAAAAH/+++g=")</f>
        <v>#REF!</v>
      </c>
      <c r="HZ245" t="e">
        <f>AND(#REF!,"AAAAAH/+++k=")</f>
        <v>#REF!</v>
      </c>
      <c r="IA245" t="e">
        <f>AND(#REF!,"AAAAAH/+++o=")</f>
        <v>#REF!</v>
      </c>
      <c r="IB245" t="e">
        <f>AND(#REF!,"AAAAAH/+++s=")</f>
        <v>#REF!</v>
      </c>
      <c r="IC245" t="e">
        <f>AND(#REF!,"AAAAAH/+++w=")</f>
        <v>#REF!</v>
      </c>
      <c r="ID245" t="e">
        <f>AND(#REF!,"AAAAAH/+++0=")</f>
        <v>#REF!</v>
      </c>
      <c r="IE245" t="e">
        <f>AND(#REF!,"AAAAAH/+++4=")</f>
        <v>#REF!</v>
      </c>
      <c r="IF245" t="e">
        <f>AND(#REF!,"AAAAAH/+++8=")</f>
        <v>#REF!</v>
      </c>
      <c r="IG245" t="e">
        <f>AND(#REF!,"AAAAAH/++/A=")</f>
        <v>#REF!</v>
      </c>
      <c r="IH245" t="e">
        <f>AND(#REF!,"AAAAAH/++/E=")</f>
        <v>#REF!</v>
      </c>
      <c r="II245" t="e">
        <f>AND(#REF!,"AAAAAH/++/I=")</f>
        <v>#REF!</v>
      </c>
      <c r="IJ245" t="e">
        <f>AND(#REF!,"AAAAAH/++/M=")</f>
        <v>#REF!</v>
      </c>
      <c r="IK245" t="e">
        <f>AND(#REF!,"AAAAAH/++/Q=")</f>
        <v>#REF!</v>
      </c>
      <c r="IL245" t="e">
        <f>AND(#REF!,"AAAAAH/++/U=")</f>
        <v>#REF!</v>
      </c>
      <c r="IM245" t="e">
        <f>AND(#REF!,"AAAAAH/++/Y=")</f>
        <v>#REF!</v>
      </c>
      <c r="IN245" t="e">
        <f>AND(#REF!,"AAAAAH/++/c=")</f>
        <v>#REF!</v>
      </c>
      <c r="IO245" t="e">
        <f>AND(#REF!,"AAAAAH/++/g=")</f>
        <v>#REF!</v>
      </c>
      <c r="IP245" t="e">
        <f>AND(#REF!,"AAAAAH/++/k=")</f>
        <v>#REF!</v>
      </c>
      <c r="IQ245" t="e">
        <f>AND(#REF!,"AAAAAH/++/o=")</f>
        <v>#REF!</v>
      </c>
      <c r="IR245" t="e">
        <f>AND(#REF!,"AAAAAH/++/s=")</f>
        <v>#REF!</v>
      </c>
      <c r="IS245" t="e">
        <f>AND(#REF!,"AAAAAH/++/w=")</f>
        <v>#REF!</v>
      </c>
      <c r="IT245" t="e">
        <f>AND(#REF!,"AAAAAH/++/0=")</f>
        <v>#REF!</v>
      </c>
      <c r="IU245" t="e">
        <f>AND(#REF!,"AAAAAH/++/4=")</f>
        <v>#REF!</v>
      </c>
      <c r="IV245" t="e">
        <f>AND(#REF!,"AAAAAH/++/8=")</f>
        <v>#REF!</v>
      </c>
    </row>
    <row r="246" spans="1:256" x14ac:dyDescent="0.25">
      <c r="A246" t="e">
        <f>AND(#REF!,"AAAAAD8SuwA=")</f>
        <v>#REF!</v>
      </c>
      <c r="B246" t="e">
        <f>AND(#REF!,"AAAAAD8SuwE=")</f>
        <v>#REF!</v>
      </c>
      <c r="C246" t="e">
        <f>AND(#REF!,"AAAAAD8SuwI=")</f>
        <v>#REF!</v>
      </c>
      <c r="D246" t="e">
        <f>AND(#REF!,"AAAAAD8SuwM=")</f>
        <v>#REF!</v>
      </c>
      <c r="E246" t="e">
        <f>AND(#REF!,"AAAAAD8SuwQ=")</f>
        <v>#REF!</v>
      </c>
      <c r="F246" t="e">
        <f>AND(#REF!,"AAAAAD8SuwU=")</f>
        <v>#REF!</v>
      </c>
      <c r="G246" t="e">
        <f>AND(#REF!,"AAAAAD8SuwY=")</f>
        <v>#REF!</v>
      </c>
      <c r="H246" t="e">
        <f>AND(#REF!,"AAAAAD8Suwc=")</f>
        <v>#REF!</v>
      </c>
      <c r="I246" t="e">
        <f>AND(#REF!,"AAAAAD8Suwg=")</f>
        <v>#REF!</v>
      </c>
      <c r="J246" t="e">
        <f>AND(#REF!,"AAAAAD8Suwk=")</f>
        <v>#REF!</v>
      </c>
      <c r="K246" t="e">
        <f>AND(#REF!,"AAAAAD8Suwo=")</f>
        <v>#REF!</v>
      </c>
      <c r="L246" t="e">
        <f>AND(#REF!,"AAAAAD8Suws=")</f>
        <v>#REF!</v>
      </c>
      <c r="M246" t="e">
        <f>AND(#REF!,"AAAAAD8Suww=")</f>
        <v>#REF!</v>
      </c>
      <c r="N246" t="e">
        <f>AND(#REF!,"AAAAAD8Suw0=")</f>
        <v>#REF!</v>
      </c>
      <c r="O246" t="e">
        <f>AND(#REF!,"AAAAAD8Suw4=")</f>
        <v>#REF!</v>
      </c>
      <c r="P246" t="e">
        <f>AND(#REF!,"AAAAAD8Suw8=")</f>
        <v>#REF!</v>
      </c>
      <c r="Q246" t="e">
        <f>AND(#REF!,"AAAAAD8SuxA=")</f>
        <v>#REF!</v>
      </c>
      <c r="R246" t="e">
        <f>AND(#REF!,"AAAAAD8SuxE=")</f>
        <v>#REF!</v>
      </c>
      <c r="S246" t="e">
        <f>AND(#REF!,"AAAAAD8SuxI=")</f>
        <v>#REF!</v>
      </c>
      <c r="T246" t="e">
        <f>AND(#REF!,"AAAAAD8SuxM=")</f>
        <v>#REF!</v>
      </c>
      <c r="U246" t="e">
        <f>IF(#REF!,"AAAAAD8SuxQ=",0)</f>
        <v>#REF!</v>
      </c>
      <c r="V246" t="e">
        <f>AND(#REF!,"AAAAAD8SuxU=")</f>
        <v>#REF!</v>
      </c>
      <c r="W246" t="e">
        <f>AND(#REF!,"AAAAAD8SuxY=")</f>
        <v>#REF!</v>
      </c>
      <c r="X246" t="e">
        <f>AND(#REF!,"AAAAAD8Suxc=")</f>
        <v>#REF!</v>
      </c>
      <c r="Y246" t="e">
        <f>AND(#REF!,"AAAAAD8Suxg=")</f>
        <v>#REF!</v>
      </c>
      <c r="Z246" t="e">
        <f>AND(#REF!,"AAAAAD8Suxk=")</f>
        <v>#REF!</v>
      </c>
      <c r="AA246" t="e">
        <f>AND(#REF!,"AAAAAD8Suxo=")</f>
        <v>#REF!</v>
      </c>
      <c r="AB246" t="e">
        <f>AND(#REF!,"AAAAAD8Suxs=")</f>
        <v>#REF!</v>
      </c>
      <c r="AC246" t="e">
        <f>AND(#REF!,"AAAAAD8Suxw=")</f>
        <v>#REF!</v>
      </c>
      <c r="AD246" t="e">
        <f>AND(#REF!,"AAAAAD8Sux0=")</f>
        <v>#REF!</v>
      </c>
      <c r="AE246" t="e">
        <f>AND(#REF!,"AAAAAD8Sux4=")</f>
        <v>#REF!</v>
      </c>
      <c r="AF246" t="e">
        <f>AND(#REF!,"AAAAAD8Sux8=")</f>
        <v>#REF!</v>
      </c>
      <c r="AG246" t="e">
        <f>AND(#REF!,"AAAAAD8SuyA=")</f>
        <v>#REF!</v>
      </c>
      <c r="AH246" t="e">
        <f>AND(#REF!,"AAAAAD8SuyE=")</f>
        <v>#REF!</v>
      </c>
      <c r="AI246" t="e">
        <f>AND(#REF!,"AAAAAD8SuyI=")</f>
        <v>#REF!</v>
      </c>
      <c r="AJ246" t="e">
        <f>AND(#REF!,"AAAAAD8SuyM=")</f>
        <v>#REF!</v>
      </c>
      <c r="AK246" t="e">
        <f>AND(#REF!,"AAAAAD8SuyQ=")</f>
        <v>#REF!</v>
      </c>
      <c r="AL246" t="e">
        <f>AND(#REF!,"AAAAAD8SuyU=")</f>
        <v>#REF!</v>
      </c>
      <c r="AM246" t="e">
        <f>AND(#REF!,"AAAAAD8SuyY=")</f>
        <v>#REF!</v>
      </c>
      <c r="AN246" t="e">
        <f>AND(#REF!,"AAAAAD8Suyc=")</f>
        <v>#REF!</v>
      </c>
      <c r="AO246" t="e">
        <f>AND(#REF!,"AAAAAD8Suyg=")</f>
        <v>#REF!</v>
      </c>
      <c r="AP246" t="e">
        <f>AND(#REF!,"AAAAAD8Suyk=")</f>
        <v>#REF!</v>
      </c>
      <c r="AQ246" t="e">
        <f>AND(#REF!,"AAAAAD8Suyo=")</f>
        <v>#REF!</v>
      </c>
      <c r="AR246" t="e">
        <f>AND(#REF!,"AAAAAD8Suys=")</f>
        <v>#REF!</v>
      </c>
      <c r="AS246" t="e">
        <f>AND(#REF!,"AAAAAD8Suyw=")</f>
        <v>#REF!</v>
      </c>
      <c r="AT246" t="e">
        <f>AND(#REF!,"AAAAAD8Suy0=")</f>
        <v>#REF!</v>
      </c>
      <c r="AU246" t="e">
        <f>AND(#REF!,"AAAAAD8Suy4=")</f>
        <v>#REF!</v>
      </c>
      <c r="AV246" t="e">
        <f>AND(#REF!,"AAAAAD8Suy8=")</f>
        <v>#REF!</v>
      </c>
      <c r="AW246" t="e">
        <f>AND(#REF!,"AAAAAD8SuzA=")</f>
        <v>#REF!</v>
      </c>
      <c r="AX246" t="e">
        <f>AND(#REF!,"AAAAAD8SuzE=")</f>
        <v>#REF!</v>
      </c>
      <c r="AY246" t="e">
        <f>AND(#REF!,"AAAAAD8SuzI=")</f>
        <v>#REF!</v>
      </c>
      <c r="AZ246" t="e">
        <f>AND(#REF!,"AAAAAD8SuzM=")</f>
        <v>#REF!</v>
      </c>
      <c r="BA246" t="e">
        <f>AND(#REF!,"AAAAAD8SuzQ=")</f>
        <v>#REF!</v>
      </c>
      <c r="BB246" t="e">
        <f>AND(#REF!,"AAAAAD8SuzU=")</f>
        <v>#REF!</v>
      </c>
      <c r="BC246" t="e">
        <f>AND(#REF!,"AAAAAD8SuzY=")</f>
        <v>#REF!</v>
      </c>
      <c r="BD246" t="e">
        <f>AND(#REF!,"AAAAAD8Suzc=")</f>
        <v>#REF!</v>
      </c>
      <c r="BE246" t="e">
        <f>AND(#REF!,"AAAAAD8Suzg=")</f>
        <v>#REF!</v>
      </c>
      <c r="BF246" t="e">
        <f>AND(#REF!,"AAAAAD8Suzk=")</f>
        <v>#REF!</v>
      </c>
      <c r="BG246" t="e">
        <f>AND(#REF!,"AAAAAD8Suzo=")</f>
        <v>#REF!</v>
      </c>
      <c r="BH246" t="e">
        <f>AND(#REF!,"AAAAAD8Suzs=")</f>
        <v>#REF!</v>
      </c>
      <c r="BI246" t="e">
        <f>AND(#REF!,"AAAAAD8Suzw=")</f>
        <v>#REF!</v>
      </c>
      <c r="BJ246" t="e">
        <f>AND(#REF!,"AAAAAD8Suz0=")</f>
        <v>#REF!</v>
      </c>
      <c r="BK246" t="e">
        <f>AND(#REF!,"AAAAAD8Suz4=")</f>
        <v>#REF!</v>
      </c>
      <c r="BL246" t="e">
        <f>AND(#REF!,"AAAAAD8Suz8=")</f>
        <v>#REF!</v>
      </c>
      <c r="BM246" t="e">
        <f>AND(#REF!,"AAAAAD8Su0A=")</f>
        <v>#REF!</v>
      </c>
      <c r="BN246" t="e">
        <f>AND(#REF!,"AAAAAD8Su0E=")</f>
        <v>#REF!</v>
      </c>
      <c r="BO246" t="e">
        <f>AND(#REF!,"AAAAAD8Su0I=")</f>
        <v>#REF!</v>
      </c>
      <c r="BP246" t="e">
        <f>AND(#REF!,"AAAAAD8Su0M=")</f>
        <v>#REF!</v>
      </c>
      <c r="BQ246" t="e">
        <f>AND(#REF!,"AAAAAD8Su0Q=")</f>
        <v>#REF!</v>
      </c>
      <c r="BR246" t="e">
        <f>AND(#REF!,"AAAAAD8Su0U=")</f>
        <v>#REF!</v>
      </c>
      <c r="BS246" t="e">
        <f>AND(#REF!,"AAAAAD8Su0Y=")</f>
        <v>#REF!</v>
      </c>
      <c r="BT246" t="e">
        <f>AND(#REF!,"AAAAAD8Su0c=")</f>
        <v>#REF!</v>
      </c>
      <c r="BU246" t="e">
        <f>AND(#REF!,"AAAAAD8Su0g=")</f>
        <v>#REF!</v>
      </c>
      <c r="BV246" t="e">
        <f>AND(#REF!,"AAAAAD8Su0k=")</f>
        <v>#REF!</v>
      </c>
      <c r="BW246" t="e">
        <f>AND(#REF!,"AAAAAD8Su0o=")</f>
        <v>#REF!</v>
      </c>
      <c r="BX246" t="e">
        <f>AND(#REF!,"AAAAAD8Su0s=")</f>
        <v>#REF!</v>
      </c>
      <c r="BY246" t="e">
        <f>AND(#REF!,"AAAAAD8Su0w=")</f>
        <v>#REF!</v>
      </c>
      <c r="BZ246" t="e">
        <f>AND(#REF!,"AAAAAD8Su00=")</f>
        <v>#REF!</v>
      </c>
      <c r="CA246" t="e">
        <f>AND(#REF!,"AAAAAD8Su04=")</f>
        <v>#REF!</v>
      </c>
      <c r="CB246" t="e">
        <f>AND(#REF!,"AAAAAD8Su08=")</f>
        <v>#REF!</v>
      </c>
      <c r="CC246" t="e">
        <f>AND(#REF!,"AAAAAD8Su1A=")</f>
        <v>#REF!</v>
      </c>
      <c r="CD246" t="e">
        <f>AND(#REF!,"AAAAAD8Su1E=")</f>
        <v>#REF!</v>
      </c>
      <c r="CE246" t="e">
        <f>AND(#REF!,"AAAAAD8Su1I=")</f>
        <v>#REF!</v>
      </c>
      <c r="CF246" t="e">
        <f>AND(#REF!,"AAAAAD8Su1M=")</f>
        <v>#REF!</v>
      </c>
      <c r="CG246" t="e">
        <f>AND(#REF!,"AAAAAD8Su1Q=")</f>
        <v>#REF!</v>
      </c>
      <c r="CH246" t="e">
        <f>AND(#REF!,"AAAAAD8Su1U=")</f>
        <v>#REF!</v>
      </c>
      <c r="CI246" t="e">
        <f>AND(#REF!,"AAAAAD8Su1Y=")</f>
        <v>#REF!</v>
      </c>
      <c r="CJ246" t="e">
        <f>AND(#REF!,"AAAAAD8Su1c=")</f>
        <v>#REF!</v>
      </c>
      <c r="CK246" t="e">
        <f>AND(#REF!,"AAAAAD8Su1g=")</f>
        <v>#REF!</v>
      </c>
      <c r="CL246" t="e">
        <f>AND(#REF!,"AAAAAD8Su1k=")</f>
        <v>#REF!</v>
      </c>
      <c r="CM246" t="e">
        <f>AND(#REF!,"AAAAAD8Su1o=")</f>
        <v>#REF!</v>
      </c>
      <c r="CN246" t="e">
        <f>AND(#REF!,"AAAAAD8Su1s=")</f>
        <v>#REF!</v>
      </c>
      <c r="CO246" t="e">
        <f>AND(#REF!,"AAAAAD8Su1w=")</f>
        <v>#REF!</v>
      </c>
      <c r="CP246" t="e">
        <f>AND(#REF!,"AAAAAD8Su10=")</f>
        <v>#REF!</v>
      </c>
      <c r="CQ246" t="e">
        <f>AND(#REF!,"AAAAAD8Su14=")</f>
        <v>#REF!</v>
      </c>
      <c r="CR246" t="e">
        <f>AND(#REF!,"AAAAAD8Su18=")</f>
        <v>#REF!</v>
      </c>
      <c r="CS246" t="e">
        <f>AND(#REF!,"AAAAAD8Su2A=")</f>
        <v>#REF!</v>
      </c>
      <c r="CT246" t="e">
        <f>AND(#REF!,"AAAAAD8Su2E=")</f>
        <v>#REF!</v>
      </c>
      <c r="CU246" t="e">
        <f>AND(#REF!,"AAAAAD8Su2I=")</f>
        <v>#REF!</v>
      </c>
      <c r="CV246" t="e">
        <f>AND(#REF!,"AAAAAD8Su2M=")</f>
        <v>#REF!</v>
      </c>
      <c r="CW246" t="e">
        <f>AND(#REF!,"AAAAAD8Su2Q=")</f>
        <v>#REF!</v>
      </c>
      <c r="CX246" t="e">
        <f>AND(#REF!,"AAAAAD8Su2U=")</f>
        <v>#REF!</v>
      </c>
      <c r="CY246" t="e">
        <f>AND(#REF!,"AAAAAD8Su2Y=")</f>
        <v>#REF!</v>
      </c>
      <c r="CZ246" t="e">
        <f>AND(#REF!,"AAAAAD8Su2c=")</f>
        <v>#REF!</v>
      </c>
      <c r="DA246" t="e">
        <f>AND(#REF!,"AAAAAD8Su2g=")</f>
        <v>#REF!</v>
      </c>
      <c r="DB246" t="e">
        <f>AND(#REF!,"AAAAAD8Su2k=")</f>
        <v>#REF!</v>
      </c>
      <c r="DC246" t="e">
        <f>AND(#REF!,"AAAAAD8Su2o=")</f>
        <v>#REF!</v>
      </c>
      <c r="DD246" t="e">
        <f>AND(#REF!,"AAAAAD8Su2s=")</f>
        <v>#REF!</v>
      </c>
      <c r="DE246" t="e">
        <f>AND(#REF!,"AAAAAD8Su2w=")</f>
        <v>#REF!</v>
      </c>
      <c r="DF246" t="e">
        <f>AND(#REF!,"AAAAAD8Su20=")</f>
        <v>#REF!</v>
      </c>
      <c r="DG246" t="e">
        <f>AND(#REF!,"AAAAAD8Su24=")</f>
        <v>#REF!</v>
      </c>
      <c r="DH246" t="e">
        <f>AND(#REF!,"AAAAAD8Su28=")</f>
        <v>#REF!</v>
      </c>
      <c r="DI246" t="e">
        <f>AND(#REF!,"AAAAAD8Su3A=")</f>
        <v>#REF!</v>
      </c>
      <c r="DJ246" t="e">
        <f>AND(#REF!,"AAAAAD8Su3E=")</f>
        <v>#REF!</v>
      </c>
      <c r="DK246" t="e">
        <f>AND(#REF!,"AAAAAD8Su3I=")</f>
        <v>#REF!</v>
      </c>
      <c r="DL246" t="e">
        <f>AND(#REF!,"AAAAAD8Su3M=")</f>
        <v>#REF!</v>
      </c>
      <c r="DM246" t="e">
        <f>AND(#REF!,"AAAAAD8Su3Q=")</f>
        <v>#REF!</v>
      </c>
      <c r="DN246" t="e">
        <f>AND(#REF!,"AAAAAD8Su3U=")</f>
        <v>#REF!</v>
      </c>
      <c r="DO246" t="e">
        <f>AND(#REF!,"AAAAAD8Su3Y=")</f>
        <v>#REF!</v>
      </c>
      <c r="DP246" t="e">
        <f>AND(#REF!,"AAAAAD8Su3c=")</f>
        <v>#REF!</v>
      </c>
      <c r="DQ246" t="e">
        <f>AND(#REF!,"AAAAAD8Su3g=")</f>
        <v>#REF!</v>
      </c>
      <c r="DR246" t="e">
        <f>AND(#REF!,"AAAAAD8Su3k=")</f>
        <v>#REF!</v>
      </c>
      <c r="DS246" t="e">
        <f>AND(#REF!,"AAAAAD8Su3o=")</f>
        <v>#REF!</v>
      </c>
      <c r="DT246" t="e">
        <f>AND(#REF!,"AAAAAD8Su3s=")</f>
        <v>#REF!</v>
      </c>
      <c r="DU246" t="e">
        <f>AND(#REF!,"AAAAAD8Su3w=")</f>
        <v>#REF!</v>
      </c>
      <c r="DV246" t="e">
        <f>AND(#REF!,"AAAAAD8Su30=")</f>
        <v>#REF!</v>
      </c>
      <c r="DW246" t="e">
        <f>AND(#REF!,"AAAAAD8Su34=")</f>
        <v>#REF!</v>
      </c>
      <c r="DX246" t="e">
        <f>AND(#REF!,"AAAAAD8Su38=")</f>
        <v>#REF!</v>
      </c>
      <c r="DY246" t="e">
        <f>AND(#REF!,"AAAAAD8Su4A=")</f>
        <v>#REF!</v>
      </c>
      <c r="DZ246" t="e">
        <f>AND(#REF!,"AAAAAD8Su4E=")</f>
        <v>#REF!</v>
      </c>
      <c r="EA246" t="e">
        <f>AND(#REF!,"AAAAAD8Su4I=")</f>
        <v>#REF!</v>
      </c>
      <c r="EB246" t="e">
        <f>AND(#REF!,"AAAAAD8Su4M=")</f>
        <v>#REF!</v>
      </c>
      <c r="EC246" t="e">
        <f>AND(#REF!,"AAAAAD8Su4Q=")</f>
        <v>#REF!</v>
      </c>
      <c r="ED246" t="e">
        <f>AND(#REF!,"AAAAAD8Su4U=")</f>
        <v>#REF!</v>
      </c>
      <c r="EE246" t="e">
        <f>AND(#REF!,"AAAAAD8Su4Y=")</f>
        <v>#REF!</v>
      </c>
      <c r="EF246" t="e">
        <f>AND(#REF!,"AAAAAD8Su4c=")</f>
        <v>#REF!</v>
      </c>
      <c r="EG246" t="e">
        <f>AND(#REF!,"AAAAAD8Su4g=")</f>
        <v>#REF!</v>
      </c>
      <c r="EH246" t="e">
        <f>AND(#REF!,"AAAAAD8Su4k=")</f>
        <v>#REF!</v>
      </c>
      <c r="EI246" t="e">
        <f>AND(#REF!,"AAAAAD8Su4o=")</f>
        <v>#REF!</v>
      </c>
      <c r="EJ246" t="e">
        <f>AND(#REF!,"AAAAAD8Su4s=")</f>
        <v>#REF!</v>
      </c>
      <c r="EK246" t="e">
        <f>AND(#REF!,"AAAAAD8Su4w=")</f>
        <v>#REF!</v>
      </c>
      <c r="EL246" t="e">
        <f>AND(#REF!,"AAAAAD8Su40=")</f>
        <v>#REF!</v>
      </c>
      <c r="EM246" t="e">
        <f>AND(#REF!,"AAAAAD8Su44=")</f>
        <v>#REF!</v>
      </c>
      <c r="EN246" t="e">
        <f>AND(#REF!,"AAAAAD8Su48=")</f>
        <v>#REF!</v>
      </c>
      <c r="EO246" t="e">
        <f>AND(#REF!,"AAAAAD8Su5A=")</f>
        <v>#REF!</v>
      </c>
      <c r="EP246" t="e">
        <f>AND(#REF!,"AAAAAD8Su5E=")</f>
        <v>#REF!</v>
      </c>
      <c r="EQ246" t="e">
        <f>AND(#REF!,"AAAAAD8Su5I=")</f>
        <v>#REF!</v>
      </c>
      <c r="ER246" t="e">
        <f>AND(#REF!,"AAAAAD8Su5M=")</f>
        <v>#REF!</v>
      </c>
      <c r="ES246" t="e">
        <f>AND(#REF!,"AAAAAD8Su5Q=")</f>
        <v>#REF!</v>
      </c>
      <c r="ET246" t="e">
        <f>AND(#REF!,"AAAAAD8Su5U=")</f>
        <v>#REF!</v>
      </c>
      <c r="EU246" t="e">
        <f>AND(#REF!,"AAAAAD8Su5Y=")</f>
        <v>#REF!</v>
      </c>
      <c r="EV246" t="e">
        <f>AND(#REF!,"AAAAAD8Su5c=")</f>
        <v>#REF!</v>
      </c>
      <c r="EW246" t="e">
        <f>AND(#REF!,"AAAAAD8Su5g=")</f>
        <v>#REF!</v>
      </c>
      <c r="EX246" t="e">
        <f>AND(#REF!,"AAAAAD8Su5k=")</f>
        <v>#REF!</v>
      </c>
      <c r="EY246" t="e">
        <f>AND(#REF!,"AAAAAD8Su5o=")</f>
        <v>#REF!</v>
      </c>
      <c r="EZ246" t="e">
        <f>AND(#REF!,"AAAAAD8Su5s=")</f>
        <v>#REF!</v>
      </c>
      <c r="FA246" t="e">
        <f>AND(#REF!,"AAAAAD8Su5w=")</f>
        <v>#REF!</v>
      </c>
      <c r="FB246" t="e">
        <f>AND(#REF!,"AAAAAD8Su50=")</f>
        <v>#REF!</v>
      </c>
      <c r="FC246" t="e">
        <f>AND(#REF!,"AAAAAD8Su54=")</f>
        <v>#REF!</v>
      </c>
      <c r="FD246" t="e">
        <f>AND(#REF!,"AAAAAD8Su58=")</f>
        <v>#REF!</v>
      </c>
      <c r="FE246" t="e">
        <f>AND(#REF!,"AAAAAD8Su6A=")</f>
        <v>#REF!</v>
      </c>
      <c r="FF246" t="e">
        <f>AND(#REF!,"AAAAAD8Su6E=")</f>
        <v>#REF!</v>
      </c>
      <c r="FG246" t="e">
        <f>AND(#REF!,"AAAAAD8Su6I=")</f>
        <v>#REF!</v>
      </c>
      <c r="FH246" t="e">
        <f>AND(#REF!,"AAAAAD8Su6M=")</f>
        <v>#REF!</v>
      </c>
      <c r="FI246" t="e">
        <f>AND(#REF!,"AAAAAD8Su6Q=")</f>
        <v>#REF!</v>
      </c>
      <c r="FJ246" t="e">
        <f>AND(#REF!,"AAAAAD8Su6U=")</f>
        <v>#REF!</v>
      </c>
      <c r="FK246" t="e">
        <f>AND(#REF!,"AAAAAD8Su6Y=")</f>
        <v>#REF!</v>
      </c>
      <c r="FL246" t="e">
        <f>AND(#REF!,"AAAAAD8Su6c=")</f>
        <v>#REF!</v>
      </c>
      <c r="FM246" t="e">
        <f>AND(#REF!,"AAAAAD8Su6g=")</f>
        <v>#REF!</v>
      </c>
      <c r="FN246" t="e">
        <f>AND(#REF!,"AAAAAD8Su6k=")</f>
        <v>#REF!</v>
      </c>
      <c r="FO246" t="e">
        <f>AND(#REF!,"AAAAAD8Su6o=")</f>
        <v>#REF!</v>
      </c>
      <c r="FP246" t="e">
        <f>AND(#REF!,"AAAAAD8Su6s=")</f>
        <v>#REF!</v>
      </c>
      <c r="FQ246" t="e">
        <f>AND(#REF!,"AAAAAD8Su6w=")</f>
        <v>#REF!</v>
      </c>
      <c r="FR246" t="e">
        <f>AND(#REF!,"AAAAAD8Su60=")</f>
        <v>#REF!</v>
      </c>
      <c r="FS246" t="e">
        <f>AND(#REF!,"AAAAAD8Su64=")</f>
        <v>#REF!</v>
      </c>
      <c r="FT246" t="e">
        <f>AND(#REF!,"AAAAAD8Su68=")</f>
        <v>#REF!</v>
      </c>
      <c r="FU246" t="e">
        <f>AND(#REF!,"AAAAAD8Su7A=")</f>
        <v>#REF!</v>
      </c>
      <c r="FV246" t="e">
        <f>AND(#REF!,"AAAAAD8Su7E=")</f>
        <v>#REF!</v>
      </c>
      <c r="FW246" t="e">
        <f>AND(#REF!,"AAAAAD8Su7I=")</f>
        <v>#REF!</v>
      </c>
      <c r="FX246" t="e">
        <f>AND(#REF!,"AAAAAD8Su7M=")</f>
        <v>#REF!</v>
      </c>
      <c r="FY246" t="e">
        <f>AND(#REF!,"AAAAAD8Su7Q=")</f>
        <v>#REF!</v>
      </c>
      <c r="FZ246" t="e">
        <f>AND(#REF!,"AAAAAD8Su7U=")</f>
        <v>#REF!</v>
      </c>
      <c r="GA246" t="e">
        <f>AND(#REF!,"AAAAAD8Su7Y=")</f>
        <v>#REF!</v>
      </c>
      <c r="GB246" t="e">
        <f>AND(#REF!,"AAAAAD8Su7c=")</f>
        <v>#REF!</v>
      </c>
      <c r="GC246" t="e">
        <f>AND(#REF!,"AAAAAD8Su7g=")</f>
        <v>#REF!</v>
      </c>
      <c r="GD246" t="e">
        <f>AND(#REF!,"AAAAAD8Su7k=")</f>
        <v>#REF!</v>
      </c>
      <c r="GE246" t="e">
        <f>AND(#REF!,"AAAAAD8Su7o=")</f>
        <v>#REF!</v>
      </c>
      <c r="GF246" t="e">
        <f>AND(#REF!,"AAAAAD8Su7s=")</f>
        <v>#REF!</v>
      </c>
      <c r="GG246" t="e">
        <f>AND(#REF!,"AAAAAD8Su7w=")</f>
        <v>#REF!</v>
      </c>
      <c r="GH246" t="e">
        <f>AND(#REF!,"AAAAAD8Su70=")</f>
        <v>#REF!</v>
      </c>
      <c r="GI246" t="e">
        <f>AND(#REF!,"AAAAAD8Su74=")</f>
        <v>#REF!</v>
      </c>
      <c r="GJ246" t="e">
        <f>AND(#REF!,"AAAAAD8Su78=")</f>
        <v>#REF!</v>
      </c>
      <c r="GK246" t="e">
        <f>AND(#REF!,"AAAAAD8Su8A=")</f>
        <v>#REF!</v>
      </c>
      <c r="GL246" t="e">
        <f>AND(#REF!,"AAAAAD8Su8E=")</f>
        <v>#REF!</v>
      </c>
      <c r="GM246" t="e">
        <f>AND(#REF!,"AAAAAD8Su8I=")</f>
        <v>#REF!</v>
      </c>
      <c r="GN246" t="e">
        <f>AND(#REF!,"AAAAAD8Su8M=")</f>
        <v>#REF!</v>
      </c>
      <c r="GO246" t="e">
        <f>AND(#REF!,"AAAAAD8Su8Q=")</f>
        <v>#REF!</v>
      </c>
      <c r="GP246" t="e">
        <f>AND(#REF!,"AAAAAD8Su8U=")</f>
        <v>#REF!</v>
      </c>
      <c r="GQ246" t="e">
        <f>AND(#REF!,"AAAAAD8Su8Y=")</f>
        <v>#REF!</v>
      </c>
      <c r="GR246" t="e">
        <f>AND(#REF!,"AAAAAD8Su8c=")</f>
        <v>#REF!</v>
      </c>
      <c r="GS246" t="e">
        <f>AND(#REF!,"AAAAAD8Su8g=")</f>
        <v>#REF!</v>
      </c>
      <c r="GT246" t="e">
        <f>AND(#REF!,"AAAAAD8Su8k=")</f>
        <v>#REF!</v>
      </c>
      <c r="GU246" t="e">
        <f>AND(#REF!,"AAAAAD8Su8o=")</f>
        <v>#REF!</v>
      </c>
      <c r="GV246" t="e">
        <f>AND(#REF!,"AAAAAD8Su8s=")</f>
        <v>#REF!</v>
      </c>
      <c r="GW246" t="e">
        <f>AND(#REF!,"AAAAAD8Su8w=")</f>
        <v>#REF!</v>
      </c>
      <c r="GX246" t="e">
        <f>AND(#REF!,"AAAAAD8Su80=")</f>
        <v>#REF!</v>
      </c>
      <c r="GY246" t="e">
        <f>AND(#REF!,"AAAAAD8Su84=")</f>
        <v>#REF!</v>
      </c>
      <c r="GZ246" t="e">
        <f>AND(#REF!,"AAAAAD8Su88=")</f>
        <v>#REF!</v>
      </c>
      <c r="HA246" t="e">
        <f>AND(#REF!,"AAAAAD8Su9A=")</f>
        <v>#REF!</v>
      </c>
      <c r="HB246" t="e">
        <f>IF(#REF!,"AAAAAD8Su9E=",0)</f>
        <v>#REF!</v>
      </c>
      <c r="HC246" t="e">
        <f>AND(#REF!,"AAAAAD8Su9I=")</f>
        <v>#REF!</v>
      </c>
      <c r="HD246" t="e">
        <f>AND(#REF!,"AAAAAD8Su9M=")</f>
        <v>#REF!</v>
      </c>
      <c r="HE246" t="e">
        <f>AND(#REF!,"AAAAAD8Su9Q=")</f>
        <v>#REF!</v>
      </c>
      <c r="HF246" t="e">
        <f>AND(#REF!,"AAAAAD8Su9U=")</f>
        <v>#REF!</v>
      </c>
      <c r="HG246" t="e">
        <f>AND(#REF!,"AAAAAD8Su9Y=")</f>
        <v>#REF!</v>
      </c>
      <c r="HH246" t="e">
        <f>AND(#REF!,"AAAAAD8Su9c=")</f>
        <v>#REF!</v>
      </c>
      <c r="HI246" t="e">
        <f>AND(#REF!,"AAAAAD8Su9g=")</f>
        <v>#REF!</v>
      </c>
      <c r="HJ246" t="e">
        <f>AND(#REF!,"AAAAAD8Su9k=")</f>
        <v>#REF!</v>
      </c>
      <c r="HK246" t="e">
        <f>AND(#REF!,"AAAAAD8Su9o=")</f>
        <v>#REF!</v>
      </c>
      <c r="HL246" t="e">
        <f>AND(#REF!,"AAAAAD8Su9s=")</f>
        <v>#REF!</v>
      </c>
      <c r="HM246" t="e">
        <f>AND(#REF!,"AAAAAD8Su9w=")</f>
        <v>#REF!</v>
      </c>
      <c r="HN246" t="e">
        <f>AND(#REF!,"AAAAAD8Su90=")</f>
        <v>#REF!</v>
      </c>
      <c r="HO246" t="e">
        <f>AND(#REF!,"AAAAAD8Su94=")</f>
        <v>#REF!</v>
      </c>
      <c r="HP246" t="e">
        <f>AND(#REF!,"AAAAAD8Su98=")</f>
        <v>#REF!</v>
      </c>
      <c r="HQ246" t="e">
        <f>AND(#REF!,"AAAAAD8Su+A=")</f>
        <v>#REF!</v>
      </c>
      <c r="HR246" t="e">
        <f>AND(#REF!,"AAAAAD8Su+E=")</f>
        <v>#REF!</v>
      </c>
      <c r="HS246" t="e">
        <f>AND(#REF!,"AAAAAD8Su+I=")</f>
        <v>#REF!</v>
      </c>
      <c r="HT246" t="e">
        <f>AND(#REF!,"AAAAAD8Su+M=")</f>
        <v>#REF!</v>
      </c>
      <c r="HU246" t="e">
        <f>AND(#REF!,"AAAAAD8Su+Q=")</f>
        <v>#REF!</v>
      </c>
      <c r="HV246" t="e">
        <f>AND(#REF!,"AAAAAD8Su+U=")</f>
        <v>#REF!</v>
      </c>
      <c r="HW246" t="e">
        <f>AND(#REF!,"AAAAAD8Su+Y=")</f>
        <v>#REF!</v>
      </c>
      <c r="HX246" t="e">
        <f>AND(#REF!,"AAAAAD8Su+c=")</f>
        <v>#REF!</v>
      </c>
      <c r="HY246" t="e">
        <f>AND(#REF!,"AAAAAD8Su+g=")</f>
        <v>#REF!</v>
      </c>
      <c r="HZ246" t="e">
        <f>AND(#REF!,"AAAAAD8Su+k=")</f>
        <v>#REF!</v>
      </c>
      <c r="IA246" t="e">
        <f>AND(#REF!,"AAAAAD8Su+o=")</f>
        <v>#REF!</v>
      </c>
      <c r="IB246" t="e">
        <f>AND(#REF!,"AAAAAD8Su+s=")</f>
        <v>#REF!</v>
      </c>
      <c r="IC246" t="e">
        <f>AND(#REF!,"AAAAAD8Su+w=")</f>
        <v>#REF!</v>
      </c>
      <c r="ID246" t="e">
        <f>AND(#REF!,"AAAAAD8Su+0=")</f>
        <v>#REF!</v>
      </c>
      <c r="IE246" t="e">
        <f>AND(#REF!,"AAAAAD8Su+4=")</f>
        <v>#REF!</v>
      </c>
      <c r="IF246" t="e">
        <f>AND(#REF!,"AAAAAD8Su+8=")</f>
        <v>#REF!</v>
      </c>
      <c r="IG246" t="e">
        <f>AND(#REF!,"AAAAAD8Su/A=")</f>
        <v>#REF!</v>
      </c>
      <c r="IH246" t="e">
        <f>AND(#REF!,"AAAAAD8Su/E=")</f>
        <v>#REF!</v>
      </c>
      <c r="II246" t="e">
        <f>AND(#REF!,"AAAAAD8Su/I=")</f>
        <v>#REF!</v>
      </c>
      <c r="IJ246" t="e">
        <f>AND(#REF!,"AAAAAD8Su/M=")</f>
        <v>#REF!</v>
      </c>
      <c r="IK246" t="e">
        <f>AND(#REF!,"AAAAAD8Su/Q=")</f>
        <v>#REF!</v>
      </c>
      <c r="IL246" t="e">
        <f>AND(#REF!,"AAAAAD8Su/U=")</f>
        <v>#REF!</v>
      </c>
      <c r="IM246" t="e">
        <f>AND(#REF!,"AAAAAD8Su/Y=")</f>
        <v>#REF!</v>
      </c>
      <c r="IN246" t="e">
        <f>AND(#REF!,"AAAAAD8Su/c=")</f>
        <v>#REF!</v>
      </c>
      <c r="IO246" t="e">
        <f>AND(#REF!,"AAAAAD8Su/g=")</f>
        <v>#REF!</v>
      </c>
      <c r="IP246" t="e">
        <f>AND(#REF!,"AAAAAD8Su/k=")</f>
        <v>#REF!</v>
      </c>
      <c r="IQ246" t="e">
        <f>AND(#REF!,"AAAAAD8Su/o=")</f>
        <v>#REF!</v>
      </c>
      <c r="IR246" t="e">
        <f>AND(#REF!,"AAAAAD8Su/s=")</f>
        <v>#REF!</v>
      </c>
      <c r="IS246" t="e">
        <f>AND(#REF!,"AAAAAD8Su/w=")</f>
        <v>#REF!</v>
      </c>
      <c r="IT246" t="e">
        <f>AND(#REF!,"AAAAAD8Su/0=")</f>
        <v>#REF!</v>
      </c>
      <c r="IU246" t="e">
        <f>AND(#REF!,"AAAAAD8Su/4=")</f>
        <v>#REF!</v>
      </c>
      <c r="IV246" t="e">
        <f>AND(#REF!,"AAAAAD8Su/8=")</f>
        <v>#REF!</v>
      </c>
    </row>
    <row r="247" spans="1:256" x14ac:dyDescent="0.25">
      <c r="A247" t="e">
        <f>AND(#REF!,"AAAAADv/PwA=")</f>
        <v>#REF!</v>
      </c>
      <c r="B247" t="e">
        <f>AND(#REF!,"AAAAADv/PwE=")</f>
        <v>#REF!</v>
      </c>
      <c r="C247" t="e">
        <f>AND(#REF!,"AAAAADv/PwI=")</f>
        <v>#REF!</v>
      </c>
      <c r="D247" t="e">
        <f>AND(#REF!,"AAAAADv/PwM=")</f>
        <v>#REF!</v>
      </c>
      <c r="E247" t="e">
        <f>AND(#REF!,"AAAAADv/PwQ=")</f>
        <v>#REF!</v>
      </c>
      <c r="F247" t="e">
        <f>AND(#REF!,"AAAAADv/PwU=")</f>
        <v>#REF!</v>
      </c>
      <c r="G247" t="e">
        <f>AND(#REF!,"AAAAADv/PwY=")</f>
        <v>#REF!</v>
      </c>
      <c r="H247" t="e">
        <f>AND(#REF!,"AAAAADv/Pwc=")</f>
        <v>#REF!</v>
      </c>
      <c r="I247" t="e">
        <f>AND(#REF!,"AAAAADv/Pwg=")</f>
        <v>#REF!</v>
      </c>
      <c r="J247" t="e">
        <f>AND(#REF!,"AAAAADv/Pwk=")</f>
        <v>#REF!</v>
      </c>
      <c r="K247" t="e">
        <f>AND(#REF!,"AAAAADv/Pwo=")</f>
        <v>#REF!</v>
      </c>
      <c r="L247" t="e">
        <f>AND(#REF!,"AAAAADv/Pws=")</f>
        <v>#REF!</v>
      </c>
      <c r="M247" t="e">
        <f>AND(#REF!,"AAAAADv/Pww=")</f>
        <v>#REF!</v>
      </c>
      <c r="N247" t="e">
        <f>AND(#REF!,"AAAAADv/Pw0=")</f>
        <v>#REF!</v>
      </c>
      <c r="O247" t="e">
        <f>AND(#REF!,"AAAAADv/Pw4=")</f>
        <v>#REF!</v>
      </c>
      <c r="P247" t="e">
        <f>AND(#REF!,"AAAAADv/Pw8=")</f>
        <v>#REF!</v>
      </c>
      <c r="Q247" t="e">
        <f>AND(#REF!,"AAAAADv/PxA=")</f>
        <v>#REF!</v>
      </c>
      <c r="R247" t="e">
        <f>AND(#REF!,"AAAAADv/PxE=")</f>
        <v>#REF!</v>
      </c>
      <c r="S247" t="e">
        <f>AND(#REF!,"AAAAADv/PxI=")</f>
        <v>#REF!</v>
      </c>
      <c r="T247" t="e">
        <f>AND(#REF!,"AAAAADv/PxM=")</f>
        <v>#REF!</v>
      </c>
      <c r="U247" t="e">
        <f>AND(#REF!,"AAAAADv/PxQ=")</f>
        <v>#REF!</v>
      </c>
      <c r="V247" t="e">
        <f>AND(#REF!,"AAAAADv/PxU=")</f>
        <v>#REF!</v>
      </c>
      <c r="W247" t="e">
        <f>AND(#REF!,"AAAAADv/PxY=")</f>
        <v>#REF!</v>
      </c>
      <c r="X247" t="e">
        <f>AND(#REF!,"AAAAADv/Pxc=")</f>
        <v>#REF!</v>
      </c>
      <c r="Y247" t="e">
        <f>AND(#REF!,"AAAAADv/Pxg=")</f>
        <v>#REF!</v>
      </c>
      <c r="Z247" t="e">
        <f>AND(#REF!,"AAAAADv/Pxk=")</f>
        <v>#REF!</v>
      </c>
      <c r="AA247" t="e">
        <f>AND(#REF!,"AAAAADv/Pxo=")</f>
        <v>#REF!</v>
      </c>
      <c r="AB247" t="e">
        <f>AND(#REF!,"AAAAADv/Pxs=")</f>
        <v>#REF!</v>
      </c>
      <c r="AC247" t="e">
        <f>AND(#REF!,"AAAAADv/Pxw=")</f>
        <v>#REF!</v>
      </c>
      <c r="AD247" t="e">
        <f>AND(#REF!,"AAAAADv/Px0=")</f>
        <v>#REF!</v>
      </c>
      <c r="AE247" t="e">
        <f>AND(#REF!,"AAAAADv/Px4=")</f>
        <v>#REF!</v>
      </c>
      <c r="AF247" t="e">
        <f>AND(#REF!,"AAAAADv/Px8=")</f>
        <v>#REF!</v>
      </c>
      <c r="AG247" t="e">
        <f>AND(#REF!,"AAAAADv/PyA=")</f>
        <v>#REF!</v>
      </c>
      <c r="AH247" t="e">
        <f>AND(#REF!,"AAAAADv/PyE=")</f>
        <v>#REF!</v>
      </c>
      <c r="AI247" t="e">
        <f>AND(#REF!,"AAAAADv/PyI=")</f>
        <v>#REF!</v>
      </c>
      <c r="AJ247" t="e">
        <f>AND(#REF!,"AAAAADv/PyM=")</f>
        <v>#REF!</v>
      </c>
      <c r="AK247" t="e">
        <f>AND(#REF!,"AAAAADv/PyQ=")</f>
        <v>#REF!</v>
      </c>
      <c r="AL247" t="e">
        <f>AND(#REF!,"AAAAADv/PyU=")</f>
        <v>#REF!</v>
      </c>
      <c r="AM247" t="e">
        <f>AND(#REF!,"AAAAADv/PyY=")</f>
        <v>#REF!</v>
      </c>
      <c r="AN247" t="e">
        <f>AND(#REF!,"AAAAADv/Pyc=")</f>
        <v>#REF!</v>
      </c>
      <c r="AO247" t="e">
        <f>AND(#REF!,"AAAAADv/Pyg=")</f>
        <v>#REF!</v>
      </c>
      <c r="AP247" t="e">
        <f>AND(#REF!,"AAAAADv/Pyk=")</f>
        <v>#REF!</v>
      </c>
      <c r="AQ247" t="e">
        <f>AND(#REF!,"AAAAADv/Pyo=")</f>
        <v>#REF!</v>
      </c>
      <c r="AR247" t="e">
        <f>AND(#REF!,"AAAAADv/Pys=")</f>
        <v>#REF!</v>
      </c>
      <c r="AS247" t="e">
        <f>AND(#REF!,"AAAAADv/Pyw=")</f>
        <v>#REF!</v>
      </c>
      <c r="AT247" t="e">
        <f>AND(#REF!,"AAAAADv/Py0=")</f>
        <v>#REF!</v>
      </c>
      <c r="AU247" t="e">
        <f>AND(#REF!,"AAAAADv/Py4=")</f>
        <v>#REF!</v>
      </c>
      <c r="AV247" t="e">
        <f>AND(#REF!,"AAAAADv/Py8=")</f>
        <v>#REF!</v>
      </c>
      <c r="AW247" t="e">
        <f>AND(#REF!,"AAAAADv/PzA=")</f>
        <v>#REF!</v>
      </c>
      <c r="AX247" t="e">
        <f>AND(#REF!,"AAAAADv/PzE=")</f>
        <v>#REF!</v>
      </c>
      <c r="AY247" t="e">
        <f>AND(#REF!,"AAAAADv/PzI=")</f>
        <v>#REF!</v>
      </c>
      <c r="AZ247" t="e">
        <f>AND(#REF!,"AAAAADv/PzM=")</f>
        <v>#REF!</v>
      </c>
      <c r="BA247" t="e">
        <f>AND(#REF!,"AAAAADv/PzQ=")</f>
        <v>#REF!</v>
      </c>
      <c r="BB247" t="e">
        <f>AND(#REF!,"AAAAADv/PzU=")</f>
        <v>#REF!</v>
      </c>
      <c r="BC247" t="e">
        <f>AND(#REF!,"AAAAADv/PzY=")</f>
        <v>#REF!</v>
      </c>
      <c r="BD247" t="e">
        <f>AND(#REF!,"AAAAADv/Pzc=")</f>
        <v>#REF!</v>
      </c>
      <c r="BE247" t="e">
        <f>AND(#REF!,"AAAAADv/Pzg=")</f>
        <v>#REF!</v>
      </c>
      <c r="BF247" t="e">
        <f>AND(#REF!,"AAAAADv/Pzk=")</f>
        <v>#REF!</v>
      </c>
      <c r="BG247" t="e">
        <f>AND(#REF!,"AAAAADv/Pzo=")</f>
        <v>#REF!</v>
      </c>
      <c r="BH247" t="e">
        <f>AND(#REF!,"AAAAADv/Pzs=")</f>
        <v>#REF!</v>
      </c>
      <c r="BI247" t="e">
        <f>AND(#REF!,"AAAAADv/Pzw=")</f>
        <v>#REF!</v>
      </c>
      <c r="BJ247" t="e">
        <f>AND(#REF!,"AAAAADv/Pz0=")</f>
        <v>#REF!</v>
      </c>
      <c r="BK247" t="e">
        <f>AND(#REF!,"AAAAADv/Pz4=")</f>
        <v>#REF!</v>
      </c>
      <c r="BL247" t="e">
        <f>AND(#REF!,"AAAAADv/Pz8=")</f>
        <v>#REF!</v>
      </c>
      <c r="BM247" t="e">
        <f>AND(#REF!,"AAAAADv/P0A=")</f>
        <v>#REF!</v>
      </c>
      <c r="BN247" t="e">
        <f>AND(#REF!,"AAAAADv/P0E=")</f>
        <v>#REF!</v>
      </c>
      <c r="BO247" t="e">
        <f>AND(#REF!,"AAAAADv/P0I=")</f>
        <v>#REF!</v>
      </c>
      <c r="BP247" t="e">
        <f>AND(#REF!,"AAAAADv/P0M=")</f>
        <v>#REF!</v>
      </c>
      <c r="BQ247" t="e">
        <f>AND(#REF!,"AAAAADv/P0Q=")</f>
        <v>#REF!</v>
      </c>
      <c r="BR247" t="e">
        <f>AND(#REF!,"AAAAADv/P0U=")</f>
        <v>#REF!</v>
      </c>
      <c r="BS247" t="e">
        <f>AND(#REF!,"AAAAADv/P0Y=")</f>
        <v>#REF!</v>
      </c>
      <c r="BT247" t="e">
        <f>AND(#REF!,"AAAAADv/P0c=")</f>
        <v>#REF!</v>
      </c>
      <c r="BU247" t="e">
        <f>AND(#REF!,"AAAAADv/P0g=")</f>
        <v>#REF!</v>
      </c>
      <c r="BV247" t="e">
        <f>AND(#REF!,"AAAAADv/P0k=")</f>
        <v>#REF!</v>
      </c>
      <c r="BW247" t="e">
        <f>AND(#REF!,"AAAAADv/P0o=")</f>
        <v>#REF!</v>
      </c>
      <c r="BX247" t="e">
        <f>AND(#REF!,"AAAAADv/P0s=")</f>
        <v>#REF!</v>
      </c>
      <c r="BY247" t="e">
        <f>AND(#REF!,"AAAAADv/P0w=")</f>
        <v>#REF!</v>
      </c>
      <c r="BZ247" t="e">
        <f>AND(#REF!,"AAAAADv/P00=")</f>
        <v>#REF!</v>
      </c>
      <c r="CA247" t="e">
        <f>AND(#REF!,"AAAAADv/P04=")</f>
        <v>#REF!</v>
      </c>
      <c r="CB247" t="e">
        <f>AND(#REF!,"AAAAADv/P08=")</f>
        <v>#REF!</v>
      </c>
      <c r="CC247" t="e">
        <f>AND(#REF!,"AAAAADv/P1A=")</f>
        <v>#REF!</v>
      </c>
      <c r="CD247" t="e">
        <f>AND(#REF!,"AAAAADv/P1E=")</f>
        <v>#REF!</v>
      </c>
      <c r="CE247" t="e">
        <f>AND(#REF!,"AAAAADv/P1I=")</f>
        <v>#REF!</v>
      </c>
      <c r="CF247" t="e">
        <f>AND(#REF!,"AAAAADv/P1M=")</f>
        <v>#REF!</v>
      </c>
      <c r="CG247" t="e">
        <f>AND(#REF!,"AAAAADv/P1Q=")</f>
        <v>#REF!</v>
      </c>
      <c r="CH247" t="e">
        <f>AND(#REF!,"AAAAADv/P1U=")</f>
        <v>#REF!</v>
      </c>
      <c r="CI247" t="e">
        <f>AND(#REF!,"AAAAADv/P1Y=")</f>
        <v>#REF!</v>
      </c>
      <c r="CJ247" t="e">
        <f>AND(#REF!,"AAAAADv/P1c=")</f>
        <v>#REF!</v>
      </c>
      <c r="CK247" t="e">
        <f>AND(#REF!,"AAAAADv/P1g=")</f>
        <v>#REF!</v>
      </c>
      <c r="CL247" t="e">
        <f>AND(#REF!,"AAAAADv/P1k=")</f>
        <v>#REF!</v>
      </c>
      <c r="CM247" t="e">
        <f>AND(#REF!,"AAAAADv/P1o=")</f>
        <v>#REF!</v>
      </c>
      <c r="CN247" t="e">
        <f>AND(#REF!,"AAAAADv/P1s=")</f>
        <v>#REF!</v>
      </c>
      <c r="CO247" t="e">
        <f>AND(#REF!,"AAAAADv/P1w=")</f>
        <v>#REF!</v>
      </c>
      <c r="CP247" t="e">
        <f>AND(#REF!,"AAAAADv/P10=")</f>
        <v>#REF!</v>
      </c>
      <c r="CQ247" t="e">
        <f>AND(#REF!,"AAAAADv/P14=")</f>
        <v>#REF!</v>
      </c>
      <c r="CR247" t="e">
        <f>AND(#REF!,"AAAAADv/P18=")</f>
        <v>#REF!</v>
      </c>
      <c r="CS247" t="e">
        <f>AND(#REF!,"AAAAADv/P2A=")</f>
        <v>#REF!</v>
      </c>
      <c r="CT247" t="e">
        <f>AND(#REF!,"AAAAADv/P2E=")</f>
        <v>#REF!</v>
      </c>
      <c r="CU247" t="e">
        <f>AND(#REF!,"AAAAADv/P2I=")</f>
        <v>#REF!</v>
      </c>
      <c r="CV247" t="e">
        <f>AND(#REF!,"AAAAADv/P2M=")</f>
        <v>#REF!</v>
      </c>
      <c r="CW247" t="e">
        <f>AND(#REF!,"AAAAADv/P2Q=")</f>
        <v>#REF!</v>
      </c>
      <c r="CX247" t="e">
        <f>AND(#REF!,"AAAAADv/P2U=")</f>
        <v>#REF!</v>
      </c>
      <c r="CY247" t="e">
        <f>AND(#REF!,"AAAAADv/P2Y=")</f>
        <v>#REF!</v>
      </c>
      <c r="CZ247" t="e">
        <f>AND(#REF!,"AAAAADv/P2c=")</f>
        <v>#REF!</v>
      </c>
      <c r="DA247" t="e">
        <f>AND(#REF!,"AAAAADv/P2g=")</f>
        <v>#REF!</v>
      </c>
      <c r="DB247" t="e">
        <f>AND(#REF!,"AAAAADv/P2k=")</f>
        <v>#REF!</v>
      </c>
      <c r="DC247" t="e">
        <f>AND(#REF!,"AAAAADv/P2o=")</f>
        <v>#REF!</v>
      </c>
      <c r="DD247" t="e">
        <f>AND(#REF!,"AAAAADv/P2s=")</f>
        <v>#REF!</v>
      </c>
      <c r="DE247" t="e">
        <f>AND(#REF!,"AAAAADv/P2w=")</f>
        <v>#REF!</v>
      </c>
      <c r="DF247" t="e">
        <f>AND(#REF!,"AAAAADv/P20=")</f>
        <v>#REF!</v>
      </c>
      <c r="DG247" t="e">
        <f>AND(#REF!,"AAAAADv/P24=")</f>
        <v>#REF!</v>
      </c>
      <c r="DH247" t="e">
        <f>AND(#REF!,"AAAAADv/P28=")</f>
        <v>#REF!</v>
      </c>
      <c r="DI247" t="e">
        <f>AND(#REF!,"AAAAADv/P3A=")</f>
        <v>#REF!</v>
      </c>
      <c r="DJ247" t="e">
        <f>AND(#REF!,"AAAAADv/P3E=")</f>
        <v>#REF!</v>
      </c>
      <c r="DK247" t="e">
        <f>AND(#REF!,"AAAAADv/P3I=")</f>
        <v>#REF!</v>
      </c>
      <c r="DL247" t="e">
        <f>AND(#REF!,"AAAAADv/P3M=")</f>
        <v>#REF!</v>
      </c>
      <c r="DM247" t="e">
        <f>AND(#REF!,"AAAAADv/P3Q=")</f>
        <v>#REF!</v>
      </c>
      <c r="DN247" t="e">
        <f>AND(#REF!,"AAAAADv/P3U=")</f>
        <v>#REF!</v>
      </c>
      <c r="DO247" t="e">
        <f>AND(#REF!,"AAAAADv/P3Y=")</f>
        <v>#REF!</v>
      </c>
      <c r="DP247" t="e">
        <f>AND(#REF!,"AAAAADv/P3c=")</f>
        <v>#REF!</v>
      </c>
      <c r="DQ247" t="e">
        <f>AND(#REF!,"AAAAADv/P3g=")</f>
        <v>#REF!</v>
      </c>
      <c r="DR247" t="e">
        <f>AND(#REF!,"AAAAADv/P3k=")</f>
        <v>#REF!</v>
      </c>
      <c r="DS247" t="e">
        <f>AND(#REF!,"AAAAADv/P3o=")</f>
        <v>#REF!</v>
      </c>
      <c r="DT247" t="e">
        <f>AND(#REF!,"AAAAADv/P3s=")</f>
        <v>#REF!</v>
      </c>
      <c r="DU247" t="e">
        <f>AND(#REF!,"AAAAADv/P3w=")</f>
        <v>#REF!</v>
      </c>
      <c r="DV247" t="e">
        <f>AND(#REF!,"AAAAADv/P30=")</f>
        <v>#REF!</v>
      </c>
      <c r="DW247" t="e">
        <f>AND(#REF!,"AAAAADv/P34=")</f>
        <v>#REF!</v>
      </c>
      <c r="DX247" t="e">
        <f>AND(#REF!,"AAAAADv/P38=")</f>
        <v>#REF!</v>
      </c>
      <c r="DY247" t="e">
        <f>AND(#REF!,"AAAAADv/P4A=")</f>
        <v>#REF!</v>
      </c>
      <c r="DZ247" t="e">
        <f>AND(#REF!,"AAAAADv/P4E=")</f>
        <v>#REF!</v>
      </c>
      <c r="EA247" t="e">
        <f>AND(#REF!,"AAAAADv/P4I=")</f>
        <v>#REF!</v>
      </c>
      <c r="EB247" t="e">
        <f>AND(#REF!,"AAAAADv/P4M=")</f>
        <v>#REF!</v>
      </c>
      <c r="EC247" t="e">
        <f>AND(#REF!,"AAAAADv/P4Q=")</f>
        <v>#REF!</v>
      </c>
      <c r="ED247" t="e">
        <f>AND(#REF!,"AAAAADv/P4U=")</f>
        <v>#REF!</v>
      </c>
      <c r="EE247" t="e">
        <f>AND(#REF!,"AAAAADv/P4Y=")</f>
        <v>#REF!</v>
      </c>
      <c r="EF247" t="e">
        <f>AND(#REF!,"AAAAADv/P4c=")</f>
        <v>#REF!</v>
      </c>
      <c r="EG247" t="e">
        <f>AND(#REF!,"AAAAADv/P4g=")</f>
        <v>#REF!</v>
      </c>
      <c r="EH247" t="e">
        <f>AND(#REF!,"AAAAADv/P4k=")</f>
        <v>#REF!</v>
      </c>
      <c r="EI247" t="e">
        <f>AND(#REF!,"AAAAADv/P4o=")</f>
        <v>#REF!</v>
      </c>
      <c r="EJ247" t="e">
        <f>AND(#REF!,"AAAAADv/P4s=")</f>
        <v>#REF!</v>
      </c>
      <c r="EK247" t="e">
        <f>AND(#REF!,"AAAAADv/P4w=")</f>
        <v>#REF!</v>
      </c>
      <c r="EL247" t="e">
        <f>AND(#REF!,"AAAAADv/P40=")</f>
        <v>#REF!</v>
      </c>
      <c r="EM247" t="e">
        <f>IF(#REF!,"AAAAADv/P44=",0)</f>
        <v>#REF!</v>
      </c>
      <c r="EN247" t="e">
        <f>AND(#REF!,"AAAAADv/P48=")</f>
        <v>#REF!</v>
      </c>
      <c r="EO247" t="e">
        <f>AND(#REF!,"AAAAADv/P5A=")</f>
        <v>#REF!</v>
      </c>
      <c r="EP247" t="e">
        <f>AND(#REF!,"AAAAADv/P5E=")</f>
        <v>#REF!</v>
      </c>
      <c r="EQ247" t="e">
        <f>AND(#REF!,"AAAAADv/P5I=")</f>
        <v>#REF!</v>
      </c>
      <c r="ER247" t="e">
        <f>AND(#REF!,"AAAAADv/P5M=")</f>
        <v>#REF!</v>
      </c>
      <c r="ES247" t="e">
        <f>AND(#REF!,"AAAAADv/P5Q=")</f>
        <v>#REF!</v>
      </c>
      <c r="ET247" t="e">
        <f>AND(#REF!,"AAAAADv/P5U=")</f>
        <v>#REF!</v>
      </c>
      <c r="EU247" t="e">
        <f>AND(#REF!,"AAAAADv/P5Y=")</f>
        <v>#REF!</v>
      </c>
      <c r="EV247" t="e">
        <f>AND(#REF!,"AAAAADv/P5c=")</f>
        <v>#REF!</v>
      </c>
      <c r="EW247" t="e">
        <f>AND(#REF!,"AAAAADv/P5g=")</f>
        <v>#REF!</v>
      </c>
      <c r="EX247" t="e">
        <f>AND(#REF!,"AAAAADv/P5k=")</f>
        <v>#REF!</v>
      </c>
      <c r="EY247" t="e">
        <f>AND(#REF!,"AAAAADv/P5o=")</f>
        <v>#REF!</v>
      </c>
      <c r="EZ247" t="e">
        <f>AND(#REF!,"AAAAADv/P5s=")</f>
        <v>#REF!</v>
      </c>
      <c r="FA247" t="e">
        <f>AND(#REF!,"AAAAADv/P5w=")</f>
        <v>#REF!</v>
      </c>
      <c r="FB247" t="e">
        <f>AND(#REF!,"AAAAADv/P50=")</f>
        <v>#REF!</v>
      </c>
      <c r="FC247" t="e">
        <f>AND(#REF!,"AAAAADv/P54=")</f>
        <v>#REF!</v>
      </c>
      <c r="FD247" t="e">
        <f>AND(#REF!,"AAAAADv/P58=")</f>
        <v>#REF!</v>
      </c>
      <c r="FE247" t="e">
        <f>AND(#REF!,"AAAAADv/P6A=")</f>
        <v>#REF!</v>
      </c>
      <c r="FF247" t="e">
        <f>AND(#REF!,"AAAAADv/P6E=")</f>
        <v>#REF!</v>
      </c>
      <c r="FG247" t="e">
        <f>AND(#REF!,"AAAAADv/P6I=")</f>
        <v>#REF!</v>
      </c>
      <c r="FH247" t="e">
        <f>AND(#REF!,"AAAAADv/P6M=")</f>
        <v>#REF!</v>
      </c>
      <c r="FI247" t="e">
        <f>AND(#REF!,"AAAAADv/P6Q=")</f>
        <v>#REF!</v>
      </c>
      <c r="FJ247" t="e">
        <f>AND(#REF!,"AAAAADv/P6U=")</f>
        <v>#REF!</v>
      </c>
      <c r="FK247" t="e">
        <f>AND(#REF!,"AAAAADv/P6Y=")</f>
        <v>#REF!</v>
      </c>
      <c r="FL247" t="e">
        <f>AND(#REF!,"AAAAADv/P6c=")</f>
        <v>#REF!</v>
      </c>
      <c r="FM247" t="e">
        <f>AND(#REF!,"AAAAADv/P6g=")</f>
        <v>#REF!</v>
      </c>
      <c r="FN247" t="e">
        <f>AND(#REF!,"AAAAADv/P6k=")</f>
        <v>#REF!</v>
      </c>
      <c r="FO247" t="e">
        <f>AND(#REF!,"AAAAADv/P6o=")</f>
        <v>#REF!</v>
      </c>
      <c r="FP247" t="e">
        <f>AND(#REF!,"AAAAADv/P6s=")</f>
        <v>#REF!</v>
      </c>
      <c r="FQ247" t="e">
        <f>AND(#REF!,"AAAAADv/P6w=")</f>
        <v>#REF!</v>
      </c>
      <c r="FR247" t="e">
        <f>AND(#REF!,"AAAAADv/P60=")</f>
        <v>#REF!</v>
      </c>
      <c r="FS247" t="e">
        <f>AND(#REF!,"AAAAADv/P64=")</f>
        <v>#REF!</v>
      </c>
      <c r="FT247" t="e">
        <f>AND(#REF!,"AAAAADv/P68=")</f>
        <v>#REF!</v>
      </c>
      <c r="FU247" t="e">
        <f>AND(#REF!,"AAAAADv/P7A=")</f>
        <v>#REF!</v>
      </c>
      <c r="FV247" t="e">
        <f>AND(#REF!,"AAAAADv/P7E=")</f>
        <v>#REF!</v>
      </c>
      <c r="FW247" t="e">
        <f>AND(#REF!,"AAAAADv/P7I=")</f>
        <v>#REF!</v>
      </c>
      <c r="FX247" t="e">
        <f>AND(#REF!,"AAAAADv/P7M=")</f>
        <v>#REF!</v>
      </c>
      <c r="FY247" t="e">
        <f>AND(#REF!,"AAAAADv/P7Q=")</f>
        <v>#REF!</v>
      </c>
      <c r="FZ247" t="e">
        <f>AND(#REF!,"AAAAADv/P7U=")</f>
        <v>#REF!</v>
      </c>
      <c r="GA247" t="e">
        <f>AND(#REF!,"AAAAADv/P7Y=")</f>
        <v>#REF!</v>
      </c>
      <c r="GB247" t="e">
        <f>AND(#REF!,"AAAAADv/P7c=")</f>
        <v>#REF!</v>
      </c>
      <c r="GC247" t="e">
        <f>AND(#REF!,"AAAAADv/P7g=")</f>
        <v>#REF!</v>
      </c>
      <c r="GD247" t="e">
        <f>AND(#REF!,"AAAAADv/P7k=")</f>
        <v>#REF!</v>
      </c>
      <c r="GE247" t="e">
        <f>AND(#REF!,"AAAAADv/P7o=")</f>
        <v>#REF!</v>
      </c>
      <c r="GF247" t="e">
        <f>AND(#REF!,"AAAAADv/P7s=")</f>
        <v>#REF!</v>
      </c>
      <c r="GG247" t="e">
        <f>AND(#REF!,"AAAAADv/P7w=")</f>
        <v>#REF!</v>
      </c>
      <c r="GH247" t="e">
        <f>AND(#REF!,"AAAAADv/P70=")</f>
        <v>#REF!</v>
      </c>
      <c r="GI247" t="e">
        <f>AND(#REF!,"AAAAADv/P74=")</f>
        <v>#REF!</v>
      </c>
      <c r="GJ247" t="e">
        <f>AND(#REF!,"AAAAADv/P78=")</f>
        <v>#REF!</v>
      </c>
      <c r="GK247" t="e">
        <f>AND(#REF!,"AAAAADv/P8A=")</f>
        <v>#REF!</v>
      </c>
      <c r="GL247" t="e">
        <f>AND(#REF!,"AAAAADv/P8E=")</f>
        <v>#REF!</v>
      </c>
      <c r="GM247" t="e">
        <f>AND(#REF!,"AAAAADv/P8I=")</f>
        <v>#REF!</v>
      </c>
      <c r="GN247" t="e">
        <f>AND(#REF!,"AAAAADv/P8M=")</f>
        <v>#REF!</v>
      </c>
      <c r="GO247" t="e">
        <f>AND(#REF!,"AAAAADv/P8Q=")</f>
        <v>#REF!</v>
      </c>
      <c r="GP247" t="e">
        <f>AND(#REF!,"AAAAADv/P8U=")</f>
        <v>#REF!</v>
      </c>
      <c r="GQ247" t="e">
        <f>AND(#REF!,"AAAAADv/P8Y=")</f>
        <v>#REF!</v>
      </c>
      <c r="GR247" t="e">
        <f>AND(#REF!,"AAAAADv/P8c=")</f>
        <v>#REF!</v>
      </c>
      <c r="GS247" t="e">
        <f>AND(#REF!,"AAAAADv/P8g=")</f>
        <v>#REF!</v>
      </c>
      <c r="GT247" t="e">
        <f>AND(#REF!,"AAAAADv/P8k=")</f>
        <v>#REF!</v>
      </c>
      <c r="GU247" t="e">
        <f>AND(#REF!,"AAAAADv/P8o=")</f>
        <v>#REF!</v>
      </c>
      <c r="GV247" t="e">
        <f>AND(#REF!,"AAAAADv/P8s=")</f>
        <v>#REF!</v>
      </c>
      <c r="GW247" t="e">
        <f>AND(#REF!,"AAAAADv/P8w=")</f>
        <v>#REF!</v>
      </c>
      <c r="GX247" t="e">
        <f>AND(#REF!,"AAAAADv/P80=")</f>
        <v>#REF!</v>
      </c>
      <c r="GY247" t="e">
        <f>AND(#REF!,"AAAAADv/P84=")</f>
        <v>#REF!</v>
      </c>
      <c r="GZ247" t="e">
        <f>AND(#REF!,"AAAAADv/P88=")</f>
        <v>#REF!</v>
      </c>
      <c r="HA247" t="e">
        <f>AND(#REF!,"AAAAADv/P9A=")</f>
        <v>#REF!</v>
      </c>
      <c r="HB247" t="e">
        <f>AND(#REF!,"AAAAADv/P9E=")</f>
        <v>#REF!</v>
      </c>
      <c r="HC247" t="e">
        <f>AND(#REF!,"AAAAADv/P9I=")</f>
        <v>#REF!</v>
      </c>
      <c r="HD247" t="e">
        <f>AND(#REF!,"AAAAADv/P9M=")</f>
        <v>#REF!</v>
      </c>
      <c r="HE247" t="e">
        <f>AND(#REF!,"AAAAADv/P9Q=")</f>
        <v>#REF!</v>
      </c>
      <c r="HF247" t="e">
        <f>AND(#REF!,"AAAAADv/P9U=")</f>
        <v>#REF!</v>
      </c>
      <c r="HG247" t="e">
        <f>AND(#REF!,"AAAAADv/P9Y=")</f>
        <v>#REF!</v>
      </c>
      <c r="HH247" t="e">
        <f>AND(#REF!,"AAAAADv/P9c=")</f>
        <v>#REF!</v>
      </c>
      <c r="HI247" t="e">
        <f>AND(#REF!,"AAAAADv/P9g=")</f>
        <v>#REF!</v>
      </c>
      <c r="HJ247" t="e">
        <f>AND(#REF!,"AAAAADv/P9k=")</f>
        <v>#REF!</v>
      </c>
      <c r="HK247" t="e">
        <f>AND(#REF!,"AAAAADv/P9o=")</f>
        <v>#REF!</v>
      </c>
      <c r="HL247" t="e">
        <f>AND(#REF!,"AAAAADv/P9s=")</f>
        <v>#REF!</v>
      </c>
      <c r="HM247" t="e">
        <f>AND(#REF!,"AAAAADv/P9w=")</f>
        <v>#REF!</v>
      </c>
      <c r="HN247" t="e">
        <f>AND(#REF!,"AAAAADv/P90=")</f>
        <v>#REF!</v>
      </c>
      <c r="HO247" t="e">
        <f>AND(#REF!,"AAAAADv/P94=")</f>
        <v>#REF!</v>
      </c>
      <c r="HP247" t="e">
        <f>AND(#REF!,"AAAAADv/P98=")</f>
        <v>#REF!</v>
      </c>
      <c r="HQ247" t="e">
        <f>AND(#REF!,"AAAAADv/P+A=")</f>
        <v>#REF!</v>
      </c>
      <c r="HR247" t="e">
        <f>AND(#REF!,"AAAAADv/P+E=")</f>
        <v>#REF!</v>
      </c>
      <c r="HS247" t="e">
        <f>AND(#REF!,"AAAAADv/P+I=")</f>
        <v>#REF!</v>
      </c>
      <c r="HT247" t="e">
        <f>AND(#REF!,"AAAAADv/P+M=")</f>
        <v>#REF!</v>
      </c>
      <c r="HU247" t="e">
        <f>AND(#REF!,"AAAAADv/P+Q=")</f>
        <v>#REF!</v>
      </c>
      <c r="HV247" t="e">
        <f>AND(#REF!,"AAAAADv/P+U=")</f>
        <v>#REF!</v>
      </c>
      <c r="HW247" t="e">
        <f>AND(#REF!,"AAAAADv/P+Y=")</f>
        <v>#REF!</v>
      </c>
      <c r="HX247" t="e">
        <f>AND(#REF!,"AAAAADv/P+c=")</f>
        <v>#REF!</v>
      </c>
      <c r="HY247" t="e">
        <f>AND(#REF!,"AAAAADv/P+g=")</f>
        <v>#REF!</v>
      </c>
      <c r="HZ247" t="e">
        <f>AND(#REF!,"AAAAADv/P+k=")</f>
        <v>#REF!</v>
      </c>
      <c r="IA247" t="e">
        <f>AND(#REF!,"AAAAADv/P+o=")</f>
        <v>#REF!</v>
      </c>
      <c r="IB247" t="e">
        <f>AND(#REF!,"AAAAADv/P+s=")</f>
        <v>#REF!</v>
      </c>
      <c r="IC247" t="e">
        <f>AND(#REF!,"AAAAADv/P+w=")</f>
        <v>#REF!</v>
      </c>
      <c r="ID247" t="e">
        <f>AND(#REF!,"AAAAADv/P+0=")</f>
        <v>#REF!</v>
      </c>
      <c r="IE247" t="e">
        <f>AND(#REF!,"AAAAADv/P+4=")</f>
        <v>#REF!</v>
      </c>
      <c r="IF247" t="e">
        <f>AND(#REF!,"AAAAADv/P+8=")</f>
        <v>#REF!</v>
      </c>
      <c r="IG247" t="e">
        <f>AND(#REF!,"AAAAADv/P/A=")</f>
        <v>#REF!</v>
      </c>
      <c r="IH247" t="e">
        <f>AND(#REF!,"AAAAADv/P/E=")</f>
        <v>#REF!</v>
      </c>
      <c r="II247" t="e">
        <f>AND(#REF!,"AAAAADv/P/I=")</f>
        <v>#REF!</v>
      </c>
      <c r="IJ247" t="e">
        <f>AND(#REF!,"AAAAADv/P/M=")</f>
        <v>#REF!</v>
      </c>
      <c r="IK247" t="e">
        <f>AND(#REF!,"AAAAADv/P/Q=")</f>
        <v>#REF!</v>
      </c>
      <c r="IL247" t="e">
        <f>AND(#REF!,"AAAAADv/P/U=")</f>
        <v>#REF!</v>
      </c>
      <c r="IM247" t="e">
        <f>AND(#REF!,"AAAAADv/P/Y=")</f>
        <v>#REF!</v>
      </c>
      <c r="IN247" t="e">
        <f>AND(#REF!,"AAAAADv/P/c=")</f>
        <v>#REF!</v>
      </c>
      <c r="IO247" t="e">
        <f>AND(#REF!,"AAAAADv/P/g=")</f>
        <v>#REF!</v>
      </c>
      <c r="IP247" t="e">
        <f>AND(#REF!,"AAAAADv/P/k=")</f>
        <v>#REF!</v>
      </c>
      <c r="IQ247" t="e">
        <f>AND(#REF!,"AAAAADv/P/o=")</f>
        <v>#REF!</v>
      </c>
      <c r="IR247" t="e">
        <f>AND(#REF!,"AAAAADv/P/s=")</f>
        <v>#REF!</v>
      </c>
      <c r="IS247" t="e">
        <f>AND(#REF!,"AAAAADv/P/w=")</f>
        <v>#REF!</v>
      </c>
      <c r="IT247" t="e">
        <f>AND(#REF!,"AAAAADv/P/0=")</f>
        <v>#REF!</v>
      </c>
      <c r="IU247" t="e">
        <f>AND(#REF!,"AAAAADv/P/4=")</f>
        <v>#REF!</v>
      </c>
      <c r="IV247" t="e">
        <f>AND(#REF!,"AAAAADv/P/8=")</f>
        <v>#REF!</v>
      </c>
    </row>
    <row r="248" spans="1:256" x14ac:dyDescent="0.25">
      <c r="A248" t="e">
        <f>AND(#REF!,"AAAAAC+78QA=")</f>
        <v>#REF!</v>
      </c>
      <c r="B248" t="e">
        <f>AND(#REF!,"AAAAAC+78QE=")</f>
        <v>#REF!</v>
      </c>
      <c r="C248" t="e">
        <f>AND(#REF!,"AAAAAC+78QI=")</f>
        <v>#REF!</v>
      </c>
      <c r="D248" t="e">
        <f>AND(#REF!,"AAAAAC+78QM=")</f>
        <v>#REF!</v>
      </c>
      <c r="E248" t="e">
        <f>AND(#REF!,"AAAAAC+78QQ=")</f>
        <v>#REF!</v>
      </c>
      <c r="F248" t="e">
        <f>AND(#REF!,"AAAAAC+78QU=")</f>
        <v>#REF!</v>
      </c>
      <c r="G248" t="e">
        <f>AND(#REF!,"AAAAAC+78QY=")</f>
        <v>#REF!</v>
      </c>
      <c r="H248" t="e">
        <f>AND(#REF!,"AAAAAC+78Qc=")</f>
        <v>#REF!</v>
      </c>
      <c r="I248" t="e">
        <f>AND(#REF!,"AAAAAC+78Qg=")</f>
        <v>#REF!</v>
      </c>
      <c r="J248" t="e">
        <f>AND(#REF!,"AAAAAC+78Qk=")</f>
        <v>#REF!</v>
      </c>
      <c r="K248" t="e">
        <f>AND(#REF!,"AAAAAC+78Qo=")</f>
        <v>#REF!</v>
      </c>
      <c r="L248" t="e">
        <f>AND(#REF!,"AAAAAC+78Qs=")</f>
        <v>#REF!</v>
      </c>
      <c r="M248" t="e">
        <f>AND(#REF!,"AAAAAC+78Qw=")</f>
        <v>#REF!</v>
      </c>
      <c r="N248" t="e">
        <f>AND(#REF!,"AAAAAC+78Q0=")</f>
        <v>#REF!</v>
      </c>
      <c r="O248" t="e">
        <f>AND(#REF!,"AAAAAC+78Q4=")</f>
        <v>#REF!</v>
      </c>
      <c r="P248" t="e">
        <f>AND(#REF!,"AAAAAC+78Q8=")</f>
        <v>#REF!</v>
      </c>
      <c r="Q248" t="e">
        <f>AND(#REF!,"AAAAAC+78RA=")</f>
        <v>#REF!</v>
      </c>
      <c r="R248" t="e">
        <f>AND(#REF!,"AAAAAC+78RE=")</f>
        <v>#REF!</v>
      </c>
      <c r="S248" t="e">
        <f>AND(#REF!,"AAAAAC+78RI=")</f>
        <v>#REF!</v>
      </c>
      <c r="T248" t="e">
        <f>AND(#REF!,"AAAAAC+78RM=")</f>
        <v>#REF!</v>
      </c>
      <c r="U248" t="e">
        <f>AND(#REF!,"AAAAAC+78RQ=")</f>
        <v>#REF!</v>
      </c>
      <c r="V248" t="e">
        <f>AND(#REF!,"AAAAAC+78RU=")</f>
        <v>#REF!</v>
      </c>
      <c r="W248" t="e">
        <f>AND(#REF!,"AAAAAC+78RY=")</f>
        <v>#REF!</v>
      </c>
      <c r="X248" t="e">
        <f>AND(#REF!,"AAAAAC+78Rc=")</f>
        <v>#REF!</v>
      </c>
      <c r="Y248" t="e">
        <f>AND(#REF!,"AAAAAC+78Rg=")</f>
        <v>#REF!</v>
      </c>
      <c r="Z248" t="e">
        <f>AND(#REF!,"AAAAAC+78Rk=")</f>
        <v>#REF!</v>
      </c>
      <c r="AA248" t="e">
        <f>AND(#REF!,"AAAAAC+78Ro=")</f>
        <v>#REF!</v>
      </c>
      <c r="AB248" t="e">
        <f>AND(#REF!,"AAAAAC+78Rs=")</f>
        <v>#REF!</v>
      </c>
      <c r="AC248" t="e">
        <f>AND(#REF!,"AAAAAC+78Rw=")</f>
        <v>#REF!</v>
      </c>
      <c r="AD248" t="e">
        <f>AND(#REF!,"AAAAAC+78R0=")</f>
        <v>#REF!</v>
      </c>
      <c r="AE248" t="e">
        <f>AND(#REF!,"AAAAAC+78R4=")</f>
        <v>#REF!</v>
      </c>
      <c r="AF248" t="e">
        <f>AND(#REF!,"AAAAAC+78R8=")</f>
        <v>#REF!</v>
      </c>
      <c r="AG248" t="e">
        <f>AND(#REF!,"AAAAAC+78SA=")</f>
        <v>#REF!</v>
      </c>
      <c r="AH248" t="e">
        <f>AND(#REF!,"AAAAAC+78SE=")</f>
        <v>#REF!</v>
      </c>
      <c r="AI248" t="e">
        <f>AND(#REF!,"AAAAAC+78SI=")</f>
        <v>#REF!</v>
      </c>
      <c r="AJ248" t="e">
        <f>AND(#REF!,"AAAAAC+78SM=")</f>
        <v>#REF!</v>
      </c>
      <c r="AK248" t="e">
        <f>AND(#REF!,"AAAAAC+78SQ=")</f>
        <v>#REF!</v>
      </c>
      <c r="AL248" t="e">
        <f>AND(#REF!,"AAAAAC+78SU=")</f>
        <v>#REF!</v>
      </c>
      <c r="AM248" t="e">
        <f>AND(#REF!,"AAAAAC+78SY=")</f>
        <v>#REF!</v>
      </c>
      <c r="AN248" t="e">
        <f>AND(#REF!,"AAAAAC+78Sc=")</f>
        <v>#REF!</v>
      </c>
      <c r="AO248" t="e">
        <f>AND(#REF!,"AAAAAC+78Sg=")</f>
        <v>#REF!</v>
      </c>
      <c r="AP248" t="e">
        <f>AND(#REF!,"AAAAAC+78Sk=")</f>
        <v>#REF!</v>
      </c>
      <c r="AQ248" t="e">
        <f>AND(#REF!,"AAAAAC+78So=")</f>
        <v>#REF!</v>
      </c>
      <c r="AR248" t="e">
        <f>AND(#REF!,"AAAAAC+78Ss=")</f>
        <v>#REF!</v>
      </c>
      <c r="AS248" t="e">
        <f>AND(#REF!,"AAAAAC+78Sw=")</f>
        <v>#REF!</v>
      </c>
      <c r="AT248" t="e">
        <f>AND(#REF!,"AAAAAC+78S0=")</f>
        <v>#REF!</v>
      </c>
      <c r="AU248" t="e">
        <f>AND(#REF!,"AAAAAC+78S4=")</f>
        <v>#REF!</v>
      </c>
      <c r="AV248" t="e">
        <f>AND(#REF!,"AAAAAC+78S8=")</f>
        <v>#REF!</v>
      </c>
      <c r="AW248" t="e">
        <f>AND(#REF!,"AAAAAC+78TA=")</f>
        <v>#REF!</v>
      </c>
      <c r="AX248" t="e">
        <f>AND(#REF!,"AAAAAC+78TE=")</f>
        <v>#REF!</v>
      </c>
      <c r="AY248" t="e">
        <f>AND(#REF!,"AAAAAC+78TI=")</f>
        <v>#REF!</v>
      </c>
      <c r="AZ248" t="e">
        <f>AND(#REF!,"AAAAAC+78TM=")</f>
        <v>#REF!</v>
      </c>
      <c r="BA248" t="e">
        <f>AND(#REF!,"AAAAAC+78TQ=")</f>
        <v>#REF!</v>
      </c>
      <c r="BB248" t="e">
        <f>AND(#REF!,"AAAAAC+78TU=")</f>
        <v>#REF!</v>
      </c>
      <c r="BC248" t="e">
        <f>AND(#REF!,"AAAAAC+78TY=")</f>
        <v>#REF!</v>
      </c>
      <c r="BD248" t="e">
        <f>AND(#REF!,"AAAAAC+78Tc=")</f>
        <v>#REF!</v>
      </c>
      <c r="BE248" t="e">
        <f>AND(#REF!,"AAAAAC+78Tg=")</f>
        <v>#REF!</v>
      </c>
      <c r="BF248" t="e">
        <f>AND(#REF!,"AAAAAC+78Tk=")</f>
        <v>#REF!</v>
      </c>
      <c r="BG248" t="e">
        <f>AND(#REF!,"AAAAAC+78To=")</f>
        <v>#REF!</v>
      </c>
      <c r="BH248" t="e">
        <f>AND(#REF!,"AAAAAC+78Ts=")</f>
        <v>#REF!</v>
      </c>
      <c r="BI248" t="e">
        <f>AND(#REF!,"AAAAAC+78Tw=")</f>
        <v>#REF!</v>
      </c>
      <c r="BJ248" t="e">
        <f>AND(#REF!,"AAAAAC+78T0=")</f>
        <v>#REF!</v>
      </c>
      <c r="BK248" t="e">
        <f>AND(#REF!,"AAAAAC+78T4=")</f>
        <v>#REF!</v>
      </c>
      <c r="BL248" t="e">
        <f>AND(#REF!,"AAAAAC+78T8=")</f>
        <v>#REF!</v>
      </c>
      <c r="BM248" t="e">
        <f>AND(#REF!,"AAAAAC+78UA=")</f>
        <v>#REF!</v>
      </c>
      <c r="BN248" t="e">
        <f>AND(#REF!,"AAAAAC+78UE=")</f>
        <v>#REF!</v>
      </c>
      <c r="BO248" t="e">
        <f>AND(#REF!,"AAAAAC+78UI=")</f>
        <v>#REF!</v>
      </c>
      <c r="BP248" t="e">
        <f>AND(#REF!,"AAAAAC+78UM=")</f>
        <v>#REF!</v>
      </c>
      <c r="BQ248" t="e">
        <f>AND(#REF!,"AAAAAC+78UQ=")</f>
        <v>#REF!</v>
      </c>
      <c r="BR248" t="e">
        <f>AND(#REF!,"AAAAAC+78UU=")</f>
        <v>#REF!</v>
      </c>
      <c r="BS248" t="e">
        <f>AND(#REF!,"AAAAAC+78UY=")</f>
        <v>#REF!</v>
      </c>
      <c r="BT248" t="e">
        <f>AND(#REF!,"AAAAAC+78Uc=")</f>
        <v>#REF!</v>
      </c>
      <c r="BU248" t="e">
        <f>AND(#REF!,"AAAAAC+78Ug=")</f>
        <v>#REF!</v>
      </c>
      <c r="BV248" t="e">
        <f>AND(#REF!,"AAAAAC+78Uk=")</f>
        <v>#REF!</v>
      </c>
      <c r="BW248" t="e">
        <f>AND(#REF!,"AAAAAC+78Uo=")</f>
        <v>#REF!</v>
      </c>
      <c r="BX248" t="e">
        <f>IF(#REF!,"AAAAAC+78Us=",0)</f>
        <v>#REF!</v>
      </c>
      <c r="BY248" t="e">
        <f>AND(#REF!,"AAAAAC+78Uw=")</f>
        <v>#REF!</v>
      </c>
      <c r="BZ248" t="e">
        <f>AND(#REF!,"AAAAAC+78U0=")</f>
        <v>#REF!</v>
      </c>
      <c r="CA248" t="e">
        <f>AND(#REF!,"AAAAAC+78U4=")</f>
        <v>#REF!</v>
      </c>
      <c r="CB248" t="e">
        <f>AND(#REF!,"AAAAAC+78U8=")</f>
        <v>#REF!</v>
      </c>
      <c r="CC248" t="e">
        <f>AND(#REF!,"AAAAAC+78VA=")</f>
        <v>#REF!</v>
      </c>
      <c r="CD248" t="e">
        <f>AND(#REF!,"AAAAAC+78VE=")</f>
        <v>#REF!</v>
      </c>
      <c r="CE248" t="e">
        <f>AND(#REF!,"AAAAAC+78VI=")</f>
        <v>#REF!</v>
      </c>
      <c r="CF248" t="e">
        <f>AND(#REF!,"AAAAAC+78VM=")</f>
        <v>#REF!</v>
      </c>
      <c r="CG248" t="e">
        <f>AND(#REF!,"AAAAAC+78VQ=")</f>
        <v>#REF!</v>
      </c>
      <c r="CH248" t="e">
        <f>AND(#REF!,"AAAAAC+78VU=")</f>
        <v>#REF!</v>
      </c>
      <c r="CI248" t="e">
        <f>AND(#REF!,"AAAAAC+78VY=")</f>
        <v>#REF!</v>
      </c>
      <c r="CJ248" t="e">
        <f>AND(#REF!,"AAAAAC+78Vc=")</f>
        <v>#REF!</v>
      </c>
      <c r="CK248" t="e">
        <f>AND(#REF!,"AAAAAC+78Vg=")</f>
        <v>#REF!</v>
      </c>
      <c r="CL248" t="e">
        <f>AND(#REF!,"AAAAAC+78Vk=")</f>
        <v>#REF!</v>
      </c>
      <c r="CM248" t="e">
        <f>AND(#REF!,"AAAAAC+78Vo=")</f>
        <v>#REF!</v>
      </c>
      <c r="CN248" t="e">
        <f>AND(#REF!,"AAAAAC+78Vs=")</f>
        <v>#REF!</v>
      </c>
      <c r="CO248" t="e">
        <f>AND(#REF!,"AAAAAC+78Vw=")</f>
        <v>#REF!</v>
      </c>
      <c r="CP248" t="e">
        <f>AND(#REF!,"AAAAAC+78V0=")</f>
        <v>#REF!</v>
      </c>
      <c r="CQ248" t="e">
        <f>AND(#REF!,"AAAAAC+78V4=")</f>
        <v>#REF!</v>
      </c>
      <c r="CR248" t="e">
        <f>AND(#REF!,"AAAAAC+78V8=")</f>
        <v>#REF!</v>
      </c>
      <c r="CS248" t="e">
        <f>AND(#REF!,"AAAAAC+78WA=")</f>
        <v>#REF!</v>
      </c>
      <c r="CT248" t="e">
        <f>AND(#REF!,"AAAAAC+78WE=")</f>
        <v>#REF!</v>
      </c>
      <c r="CU248" t="e">
        <f>AND(#REF!,"AAAAAC+78WI=")</f>
        <v>#REF!</v>
      </c>
      <c r="CV248" t="e">
        <f>AND(#REF!,"AAAAAC+78WM=")</f>
        <v>#REF!</v>
      </c>
      <c r="CW248" t="e">
        <f>AND(#REF!,"AAAAAC+78WQ=")</f>
        <v>#REF!</v>
      </c>
      <c r="CX248" t="e">
        <f>AND(#REF!,"AAAAAC+78WU=")</f>
        <v>#REF!</v>
      </c>
      <c r="CY248" t="e">
        <f>AND(#REF!,"AAAAAC+78WY=")</f>
        <v>#REF!</v>
      </c>
      <c r="CZ248" t="e">
        <f>AND(#REF!,"AAAAAC+78Wc=")</f>
        <v>#REF!</v>
      </c>
      <c r="DA248" t="e">
        <f>AND(#REF!,"AAAAAC+78Wg=")</f>
        <v>#REF!</v>
      </c>
      <c r="DB248" t="e">
        <f>AND(#REF!,"AAAAAC+78Wk=")</f>
        <v>#REF!</v>
      </c>
      <c r="DC248" t="e">
        <f>AND(#REF!,"AAAAAC+78Wo=")</f>
        <v>#REF!</v>
      </c>
      <c r="DD248" t="e">
        <f>AND(#REF!,"AAAAAC+78Ws=")</f>
        <v>#REF!</v>
      </c>
      <c r="DE248" t="e">
        <f>AND(#REF!,"AAAAAC+78Ww=")</f>
        <v>#REF!</v>
      </c>
      <c r="DF248" t="e">
        <f>AND(#REF!,"AAAAAC+78W0=")</f>
        <v>#REF!</v>
      </c>
      <c r="DG248" t="e">
        <f>AND(#REF!,"AAAAAC+78W4=")</f>
        <v>#REF!</v>
      </c>
      <c r="DH248" t="e">
        <f>AND(#REF!,"AAAAAC+78W8=")</f>
        <v>#REF!</v>
      </c>
      <c r="DI248" t="e">
        <f>AND(#REF!,"AAAAAC+78XA=")</f>
        <v>#REF!</v>
      </c>
      <c r="DJ248" t="e">
        <f>AND(#REF!,"AAAAAC+78XE=")</f>
        <v>#REF!</v>
      </c>
      <c r="DK248" t="e">
        <f>AND(#REF!,"AAAAAC+78XI=")</f>
        <v>#REF!</v>
      </c>
      <c r="DL248" t="e">
        <f>AND(#REF!,"AAAAAC+78XM=")</f>
        <v>#REF!</v>
      </c>
      <c r="DM248" t="e">
        <f>AND(#REF!,"AAAAAC+78XQ=")</f>
        <v>#REF!</v>
      </c>
      <c r="DN248" t="e">
        <f>AND(#REF!,"AAAAAC+78XU=")</f>
        <v>#REF!</v>
      </c>
      <c r="DO248" t="e">
        <f>AND(#REF!,"AAAAAC+78XY=")</f>
        <v>#REF!</v>
      </c>
      <c r="DP248" t="e">
        <f>AND(#REF!,"AAAAAC+78Xc=")</f>
        <v>#REF!</v>
      </c>
      <c r="DQ248" t="e">
        <f>AND(#REF!,"AAAAAC+78Xg=")</f>
        <v>#REF!</v>
      </c>
      <c r="DR248" t="e">
        <f>AND(#REF!,"AAAAAC+78Xk=")</f>
        <v>#REF!</v>
      </c>
      <c r="DS248" t="e">
        <f>AND(#REF!,"AAAAAC+78Xo=")</f>
        <v>#REF!</v>
      </c>
      <c r="DT248" t="e">
        <f>AND(#REF!,"AAAAAC+78Xs=")</f>
        <v>#REF!</v>
      </c>
      <c r="DU248" t="e">
        <f>AND(#REF!,"AAAAAC+78Xw=")</f>
        <v>#REF!</v>
      </c>
      <c r="DV248" t="e">
        <f>AND(#REF!,"AAAAAC+78X0=")</f>
        <v>#REF!</v>
      </c>
      <c r="DW248" t="e">
        <f>AND(#REF!,"AAAAAC+78X4=")</f>
        <v>#REF!</v>
      </c>
      <c r="DX248" t="e">
        <f>AND(#REF!,"AAAAAC+78X8=")</f>
        <v>#REF!</v>
      </c>
      <c r="DY248" t="e">
        <f>AND(#REF!,"AAAAAC+78YA=")</f>
        <v>#REF!</v>
      </c>
      <c r="DZ248" t="e">
        <f>AND(#REF!,"AAAAAC+78YE=")</f>
        <v>#REF!</v>
      </c>
      <c r="EA248" t="e">
        <f>AND(#REF!,"AAAAAC+78YI=")</f>
        <v>#REF!</v>
      </c>
      <c r="EB248" t="e">
        <f>AND(#REF!,"AAAAAC+78YM=")</f>
        <v>#REF!</v>
      </c>
      <c r="EC248" t="e">
        <f>AND(#REF!,"AAAAAC+78YQ=")</f>
        <v>#REF!</v>
      </c>
      <c r="ED248" t="e">
        <f>AND(#REF!,"AAAAAC+78YU=")</f>
        <v>#REF!</v>
      </c>
      <c r="EE248" t="e">
        <f>AND(#REF!,"AAAAAC+78YY=")</f>
        <v>#REF!</v>
      </c>
      <c r="EF248" t="e">
        <f>AND(#REF!,"AAAAAC+78Yc=")</f>
        <v>#REF!</v>
      </c>
      <c r="EG248" t="e">
        <f>AND(#REF!,"AAAAAC+78Yg=")</f>
        <v>#REF!</v>
      </c>
      <c r="EH248" t="e">
        <f>AND(#REF!,"AAAAAC+78Yk=")</f>
        <v>#REF!</v>
      </c>
      <c r="EI248" t="e">
        <f>AND(#REF!,"AAAAAC+78Yo=")</f>
        <v>#REF!</v>
      </c>
      <c r="EJ248" t="e">
        <f>AND(#REF!,"AAAAAC+78Ys=")</f>
        <v>#REF!</v>
      </c>
      <c r="EK248" t="e">
        <f>AND(#REF!,"AAAAAC+78Yw=")</f>
        <v>#REF!</v>
      </c>
      <c r="EL248" t="e">
        <f>AND(#REF!,"AAAAAC+78Y0=")</f>
        <v>#REF!</v>
      </c>
      <c r="EM248" t="e">
        <f>AND(#REF!,"AAAAAC+78Y4=")</f>
        <v>#REF!</v>
      </c>
      <c r="EN248" t="e">
        <f>AND(#REF!,"AAAAAC+78Y8=")</f>
        <v>#REF!</v>
      </c>
      <c r="EO248" t="e">
        <f>AND(#REF!,"AAAAAC+78ZA=")</f>
        <v>#REF!</v>
      </c>
      <c r="EP248" t="e">
        <f>AND(#REF!,"AAAAAC+78ZE=")</f>
        <v>#REF!</v>
      </c>
      <c r="EQ248" t="e">
        <f>AND(#REF!,"AAAAAC+78ZI=")</f>
        <v>#REF!</v>
      </c>
      <c r="ER248" t="e">
        <f>AND(#REF!,"AAAAAC+78ZM=")</f>
        <v>#REF!</v>
      </c>
      <c r="ES248" t="e">
        <f>AND(#REF!,"AAAAAC+78ZQ=")</f>
        <v>#REF!</v>
      </c>
      <c r="ET248" t="e">
        <f>AND(#REF!,"AAAAAC+78ZU=")</f>
        <v>#REF!</v>
      </c>
      <c r="EU248" t="e">
        <f>AND(#REF!,"AAAAAC+78ZY=")</f>
        <v>#REF!</v>
      </c>
      <c r="EV248" t="e">
        <f>AND(#REF!,"AAAAAC+78Zc=")</f>
        <v>#REF!</v>
      </c>
      <c r="EW248" t="e">
        <f>AND(#REF!,"AAAAAC+78Zg=")</f>
        <v>#REF!</v>
      </c>
      <c r="EX248" t="e">
        <f>AND(#REF!,"AAAAAC+78Zk=")</f>
        <v>#REF!</v>
      </c>
      <c r="EY248" t="e">
        <f>AND(#REF!,"AAAAAC+78Zo=")</f>
        <v>#REF!</v>
      </c>
      <c r="EZ248" t="e">
        <f>AND(#REF!,"AAAAAC+78Zs=")</f>
        <v>#REF!</v>
      </c>
      <c r="FA248" t="e">
        <f>AND(#REF!,"AAAAAC+78Zw=")</f>
        <v>#REF!</v>
      </c>
      <c r="FB248" t="e">
        <f>AND(#REF!,"AAAAAC+78Z0=")</f>
        <v>#REF!</v>
      </c>
      <c r="FC248" t="e">
        <f>AND(#REF!,"AAAAAC+78Z4=")</f>
        <v>#REF!</v>
      </c>
      <c r="FD248" t="e">
        <f>AND(#REF!,"AAAAAC+78Z8=")</f>
        <v>#REF!</v>
      </c>
      <c r="FE248" t="e">
        <f>AND(#REF!,"AAAAAC+78aA=")</f>
        <v>#REF!</v>
      </c>
      <c r="FF248" t="e">
        <f>AND(#REF!,"AAAAAC+78aE=")</f>
        <v>#REF!</v>
      </c>
      <c r="FG248" t="e">
        <f>AND(#REF!,"AAAAAC+78aI=")</f>
        <v>#REF!</v>
      </c>
      <c r="FH248" t="e">
        <f>AND(#REF!,"AAAAAC+78aM=")</f>
        <v>#REF!</v>
      </c>
      <c r="FI248" t="e">
        <f>AND(#REF!,"AAAAAC+78aQ=")</f>
        <v>#REF!</v>
      </c>
      <c r="FJ248" t="e">
        <f>AND(#REF!,"AAAAAC+78aU=")</f>
        <v>#REF!</v>
      </c>
      <c r="FK248" t="e">
        <f>AND(#REF!,"AAAAAC+78aY=")</f>
        <v>#REF!</v>
      </c>
      <c r="FL248" t="e">
        <f>AND(#REF!,"AAAAAC+78ac=")</f>
        <v>#REF!</v>
      </c>
      <c r="FM248" t="e">
        <f>AND(#REF!,"AAAAAC+78ag=")</f>
        <v>#REF!</v>
      </c>
      <c r="FN248" t="e">
        <f>AND(#REF!,"AAAAAC+78ak=")</f>
        <v>#REF!</v>
      </c>
      <c r="FO248" t="e">
        <f>AND(#REF!,"AAAAAC+78ao=")</f>
        <v>#REF!</v>
      </c>
      <c r="FP248" t="e">
        <f>AND(#REF!,"AAAAAC+78as=")</f>
        <v>#REF!</v>
      </c>
      <c r="FQ248" t="e">
        <f>AND(#REF!,"AAAAAC+78aw=")</f>
        <v>#REF!</v>
      </c>
      <c r="FR248" t="e">
        <f>AND(#REF!,"AAAAAC+78a0=")</f>
        <v>#REF!</v>
      </c>
      <c r="FS248" t="e">
        <f>AND(#REF!,"AAAAAC+78a4=")</f>
        <v>#REF!</v>
      </c>
      <c r="FT248" t="e">
        <f>AND(#REF!,"AAAAAC+78a8=")</f>
        <v>#REF!</v>
      </c>
      <c r="FU248" t="e">
        <f>AND(#REF!,"AAAAAC+78bA=")</f>
        <v>#REF!</v>
      </c>
      <c r="FV248" t="e">
        <f>AND(#REF!,"AAAAAC+78bE=")</f>
        <v>#REF!</v>
      </c>
      <c r="FW248" t="e">
        <f>AND(#REF!,"AAAAAC+78bI=")</f>
        <v>#REF!</v>
      </c>
      <c r="FX248" t="e">
        <f>AND(#REF!,"AAAAAC+78bM=")</f>
        <v>#REF!</v>
      </c>
      <c r="FY248" t="e">
        <f>AND(#REF!,"AAAAAC+78bQ=")</f>
        <v>#REF!</v>
      </c>
      <c r="FZ248" t="e">
        <f>AND(#REF!,"AAAAAC+78bU=")</f>
        <v>#REF!</v>
      </c>
      <c r="GA248" t="e">
        <f>AND(#REF!,"AAAAAC+78bY=")</f>
        <v>#REF!</v>
      </c>
      <c r="GB248" t="e">
        <f>AND(#REF!,"AAAAAC+78bc=")</f>
        <v>#REF!</v>
      </c>
      <c r="GC248" t="e">
        <f>AND(#REF!,"AAAAAC+78bg=")</f>
        <v>#REF!</v>
      </c>
      <c r="GD248" t="e">
        <f>AND(#REF!,"AAAAAC+78bk=")</f>
        <v>#REF!</v>
      </c>
      <c r="GE248" t="e">
        <f>AND(#REF!,"AAAAAC+78bo=")</f>
        <v>#REF!</v>
      </c>
      <c r="GF248" t="e">
        <f>AND(#REF!,"AAAAAC+78bs=")</f>
        <v>#REF!</v>
      </c>
      <c r="GG248" t="e">
        <f>AND(#REF!,"AAAAAC+78bw=")</f>
        <v>#REF!</v>
      </c>
      <c r="GH248" t="e">
        <f>AND(#REF!,"AAAAAC+78b0=")</f>
        <v>#REF!</v>
      </c>
      <c r="GI248" t="e">
        <f>AND(#REF!,"AAAAAC+78b4=")</f>
        <v>#REF!</v>
      </c>
      <c r="GJ248" t="e">
        <f>AND(#REF!,"AAAAAC+78b8=")</f>
        <v>#REF!</v>
      </c>
      <c r="GK248" t="e">
        <f>AND(#REF!,"AAAAAC+78cA=")</f>
        <v>#REF!</v>
      </c>
      <c r="GL248" t="e">
        <f>AND(#REF!,"AAAAAC+78cE=")</f>
        <v>#REF!</v>
      </c>
      <c r="GM248" t="e">
        <f>AND(#REF!,"AAAAAC+78cI=")</f>
        <v>#REF!</v>
      </c>
      <c r="GN248" t="e">
        <f>AND(#REF!,"AAAAAC+78cM=")</f>
        <v>#REF!</v>
      </c>
      <c r="GO248" t="e">
        <f>AND(#REF!,"AAAAAC+78cQ=")</f>
        <v>#REF!</v>
      </c>
      <c r="GP248" t="e">
        <f>AND(#REF!,"AAAAAC+78cU=")</f>
        <v>#REF!</v>
      </c>
      <c r="GQ248" t="e">
        <f>AND(#REF!,"AAAAAC+78cY=")</f>
        <v>#REF!</v>
      </c>
      <c r="GR248" t="e">
        <f>AND(#REF!,"AAAAAC+78cc=")</f>
        <v>#REF!</v>
      </c>
      <c r="GS248" t="e">
        <f>AND(#REF!,"AAAAAC+78cg=")</f>
        <v>#REF!</v>
      </c>
      <c r="GT248" t="e">
        <f>AND(#REF!,"AAAAAC+78ck=")</f>
        <v>#REF!</v>
      </c>
      <c r="GU248" t="e">
        <f>AND(#REF!,"AAAAAC+78co=")</f>
        <v>#REF!</v>
      </c>
      <c r="GV248" t="e">
        <f>AND(#REF!,"AAAAAC+78cs=")</f>
        <v>#REF!</v>
      </c>
      <c r="GW248" t="e">
        <f>AND(#REF!,"AAAAAC+78cw=")</f>
        <v>#REF!</v>
      </c>
      <c r="GX248" t="e">
        <f>AND(#REF!,"AAAAAC+78c0=")</f>
        <v>#REF!</v>
      </c>
      <c r="GY248" t="e">
        <f>AND(#REF!,"AAAAAC+78c4=")</f>
        <v>#REF!</v>
      </c>
      <c r="GZ248" t="e">
        <f>AND(#REF!,"AAAAAC+78c8=")</f>
        <v>#REF!</v>
      </c>
      <c r="HA248" t="e">
        <f>AND(#REF!,"AAAAAC+78dA=")</f>
        <v>#REF!</v>
      </c>
      <c r="HB248" t="e">
        <f>AND(#REF!,"AAAAAC+78dE=")</f>
        <v>#REF!</v>
      </c>
      <c r="HC248" t="e">
        <f>AND(#REF!,"AAAAAC+78dI=")</f>
        <v>#REF!</v>
      </c>
      <c r="HD248" t="e">
        <f>AND(#REF!,"AAAAAC+78dM=")</f>
        <v>#REF!</v>
      </c>
      <c r="HE248" t="e">
        <f>AND(#REF!,"AAAAAC+78dQ=")</f>
        <v>#REF!</v>
      </c>
      <c r="HF248" t="e">
        <f>AND(#REF!,"AAAAAC+78dU=")</f>
        <v>#REF!</v>
      </c>
      <c r="HG248" t="e">
        <f>AND(#REF!,"AAAAAC+78dY=")</f>
        <v>#REF!</v>
      </c>
      <c r="HH248" t="e">
        <f>AND(#REF!,"AAAAAC+78dc=")</f>
        <v>#REF!</v>
      </c>
      <c r="HI248" t="e">
        <f>AND(#REF!,"AAAAAC+78dg=")</f>
        <v>#REF!</v>
      </c>
      <c r="HJ248" t="e">
        <f>AND(#REF!,"AAAAAC+78dk=")</f>
        <v>#REF!</v>
      </c>
      <c r="HK248" t="e">
        <f>AND(#REF!,"AAAAAC+78do=")</f>
        <v>#REF!</v>
      </c>
      <c r="HL248" t="e">
        <f>AND(#REF!,"AAAAAC+78ds=")</f>
        <v>#REF!</v>
      </c>
      <c r="HM248" t="e">
        <f>AND(#REF!,"AAAAAC+78dw=")</f>
        <v>#REF!</v>
      </c>
      <c r="HN248" t="e">
        <f>AND(#REF!,"AAAAAC+78d0=")</f>
        <v>#REF!</v>
      </c>
      <c r="HO248" t="e">
        <f>AND(#REF!,"AAAAAC+78d4=")</f>
        <v>#REF!</v>
      </c>
      <c r="HP248" t="e">
        <f>AND(#REF!,"AAAAAC+78d8=")</f>
        <v>#REF!</v>
      </c>
      <c r="HQ248" t="e">
        <f>AND(#REF!,"AAAAAC+78eA=")</f>
        <v>#REF!</v>
      </c>
      <c r="HR248" t="e">
        <f>AND(#REF!,"AAAAAC+78eE=")</f>
        <v>#REF!</v>
      </c>
      <c r="HS248" t="e">
        <f>AND(#REF!,"AAAAAC+78eI=")</f>
        <v>#REF!</v>
      </c>
      <c r="HT248" t="e">
        <f>AND(#REF!,"AAAAAC+78eM=")</f>
        <v>#REF!</v>
      </c>
      <c r="HU248" t="e">
        <f>AND(#REF!,"AAAAAC+78eQ=")</f>
        <v>#REF!</v>
      </c>
      <c r="HV248" t="e">
        <f>AND(#REF!,"AAAAAC+78eU=")</f>
        <v>#REF!</v>
      </c>
      <c r="HW248" t="e">
        <f>AND(#REF!,"AAAAAC+78eY=")</f>
        <v>#REF!</v>
      </c>
      <c r="HX248" t="e">
        <f>AND(#REF!,"AAAAAC+78ec=")</f>
        <v>#REF!</v>
      </c>
      <c r="HY248" t="e">
        <f>AND(#REF!,"AAAAAC+78eg=")</f>
        <v>#REF!</v>
      </c>
      <c r="HZ248" t="e">
        <f>AND(#REF!,"AAAAAC+78ek=")</f>
        <v>#REF!</v>
      </c>
      <c r="IA248" t="e">
        <f>AND(#REF!,"AAAAAC+78eo=")</f>
        <v>#REF!</v>
      </c>
      <c r="IB248" t="e">
        <f>AND(#REF!,"AAAAAC+78es=")</f>
        <v>#REF!</v>
      </c>
      <c r="IC248" t="e">
        <f>AND(#REF!,"AAAAAC+78ew=")</f>
        <v>#REF!</v>
      </c>
      <c r="ID248" t="e">
        <f>AND(#REF!,"AAAAAC+78e0=")</f>
        <v>#REF!</v>
      </c>
      <c r="IE248" t="e">
        <f>AND(#REF!,"AAAAAC+78e4=")</f>
        <v>#REF!</v>
      </c>
      <c r="IF248" t="e">
        <f>AND(#REF!,"AAAAAC+78e8=")</f>
        <v>#REF!</v>
      </c>
      <c r="IG248" t="e">
        <f>AND(#REF!,"AAAAAC+78fA=")</f>
        <v>#REF!</v>
      </c>
      <c r="IH248" t="e">
        <f>AND(#REF!,"AAAAAC+78fE=")</f>
        <v>#REF!</v>
      </c>
      <c r="II248" t="e">
        <f>AND(#REF!,"AAAAAC+78fI=")</f>
        <v>#REF!</v>
      </c>
      <c r="IJ248" t="e">
        <f>AND(#REF!,"AAAAAC+78fM=")</f>
        <v>#REF!</v>
      </c>
      <c r="IK248" t="e">
        <f>AND(#REF!,"AAAAAC+78fQ=")</f>
        <v>#REF!</v>
      </c>
      <c r="IL248" t="e">
        <f>AND(#REF!,"AAAAAC+78fU=")</f>
        <v>#REF!</v>
      </c>
      <c r="IM248" t="e">
        <f>AND(#REF!,"AAAAAC+78fY=")</f>
        <v>#REF!</v>
      </c>
      <c r="IN248" t="e">
        <f>AND(#REF!,"AAAAAC+78fc=")</f>
        <v>#REF!</v>
      </c>
      <c r="IO248" t="e">
        <f>AND(#REF!,"AAAAAC+78fg=")</f>
        <v>#REF!</v>
      </c>
      <c r="IP248" t="e">
        <f>AND(#REF!,"AAAAAC+78fk=")</f>
        <v>#REF!</v>
      </c>
      <c r="IQ248" t="e">
        <f>AND(#REF!,"AAAAAC+78fo=")</f>
        <v>#REF!</v>
      </c>
      <c r="IR248" t="e">
        <f>AND(#REF!,"AAAAAC+78fs=")</f>
        <v>#REF!</v>
      </c>
      <c r="IS248" t="e">
        <f>AND(#REF!,"AAAAAC+78fw=")</f>
        <v>#REF!</v>
      </c>
      <c r="IT248" t="e">
        <f>AND(#REF!,"AAAAAC+78f0=")</f>
        <v>#REF!</v>
      </c>
      <c r="IU248" t="e">
        <f>AND(#REF!,"AAAAAC+78f4=")</f>
        <v>#REF!</v>
      </c>
      <c r="IV248" t="e">
        <f>AND(#REF!,"AAAAAC+78f8=")</f>
        <v>#REF!</v>
      </c>
    </row>
    <row r="249" spans="1:256" x14ac:dyDescent="0.25">
      <c r="A249" t="e">
        <f>AND(#REF!,"AAAAAHH97wA=")</f>
        <v>#REF!</v>
      </c>
      <c r="B249" t="e">
        <f>AND(#REF!,"AAAAAHH97wE=")</f>
        <v>#REF!</v>
      </c>
      <c r="C249" t="e">
        <f>AND(#REF!,"AAAAAHH97wI=")</f>
        <v>#REF!</v>
      </c>
      <c r="D249" t="e">
        <f>AND(#REF!,"AAAAAHH97wM=")</f>
        <v>#REF!</v>
      </c>
      <c r="E249" t="e">
        <f>AND(#REF!,"AAAAAHH97wQ=")</f>
        <v>#REF!</v>
      </c>
      <c r="F249" t="e">
        <f>AND(#REF!,"AAAAAHH97wU=")</f>
        <v>#REF!</v>
      </c>
      <c r="G249" t="e">
        <f>AND(#REF!,"AAAAAHH97wY=")</f>
        <v>#REF!</v>
      </c>
      <c r="H249" t="e">
        <f>AND(#REF!,"AAAAAHH97wc=")</f>
        <v>#REF!</v>
      </c>
      <c r="I249" t="e">
        <f>IF(#REF!,"AAAAAHH97wg=",0)</f>
        <v>#REF!</v>
      </c>
      <c r="J249" t="e">
        <f>AND(#REF!,"AAAAAHH97wk=")</f>
        <v>#REF!</v>
      </c>
      <c r="K249" t="e">
        <f>AND(#REF!,"AAAAAHH97wo=")</f>
        <v>#REF!</v>
      </c>
      <c r="L249" t="e">
        <f>AND(#REF!,"AAAAAHH97ws=")</f>
        <v>#REF!</v>
      </c>
      <c r="M249" t="e">
        <f>AND(#REF!,"AAAAAHH97ww=")</f>
        <v>#REF!</v>
      </c>
      <c r="N249" t="e">
        <f>AND(#REF!,"AAAAAHH97w0=")</f>
        <v>#REF!</v>
      </c>
      <c r="O249" t="e">
        <f>AND(#REF!,"AAAAAHH97w4=")</f>
        <v>#REF!</v>
      </c>
      <c r="P249" t="e">
        <f>AND(#REF!,"AAAAAHH97w8=")</f>
        <v>#REF!</v>
      </c>
      <c r="Q249" t="e">
        <f>AND(#REF!,"AAAAAHH97xA=")</f>
        <v>#REF!</v>
      </c>
      <c r="R249" t="e">
        <f>AND(#REF!,"AAAAAHH97xE=")</f>
        <v>#REF!</v>
      </c>
      <c r="S249" t="e">
        <f>AND(#REF!,"AAAAAHH97xI=")</f>
        <v>#REF!</v>
      </c>
      <c r="T249" t="e">
        <f>AND(#REF!,"AAAAAHH97xM=")</f>
        <v>#REF!</v>
      </c>
      <c r="U249" t="e">
        <f>AND(#REF!,"AAAAAHH97xQ=")</f>
        <v>#REF!</v>
      </c>
      <c r="V249" t="e">
        <f>AND(#REF!,"AAAAAHH97xU=")</f>
        <v>#REF!</v>
      </c>
      <c r="W249" t="e">
        <f>AND(#REF!,"AAAAAHH97xY=")</f>
        <v>#REF!</v>
      </c>
      <c r="X249" t="e">
        <f>AND(#REF!,"AAAAAHH97xc=")</f>
        <v>#REF!</v>
      </c>
      <c r="Y249" t="e">
        <f>AND(#REF!,"AAAAAHH97xg=")</f>
        <v>#REF!</v>
      </c>
      <c r="Z249" t="e">
        <f>AND(#REF!,"AAAAAHH97xk=")</f>
        <v>#REF!</v>
      </c>
      <c r="AA249" t="e">
        <f>AND(#REF!,"AAAAAHH97xo=")</f>
        <v>#REF!</v>
      </c>
      <c r="AB249" t="e">
        <f>AND(#REF!,"AAAAAHH97xs=")</f>
        <v>#REF!</v>
      </c>
      <c r="AC249" t="e">
        <f>AND(#REF!,"AAAAAHH97xw=")</f>
        <v>#REF!</v>
      </c>
      <c r="AD249" t="e">
        <f>AND(#REF!,"AAAAAHH97x0=")</f>
        <v>#REF!</v>
      </c>
      <c r="AE249" t="e">
        <f>AND(#REF!,"AAAAAHH97x4=")</f>
        <v>#REF!</v>
      </c>
      <c r="AF249" t="e">
        <f>AND(#REF!,"AAAAAHH97x8=")</f>
        <v>#REF!</v>
      </c>
      <c r="AG249" t="e">
        <f>AND(#REF!,"AAAAAHH97yA=")</f>
        <v>#REF!</v>
      </c>
      <c r="AH249" t="e">
        <f>AND(#REF!,"AAAAAHH97yE=")</f>
        <v>#REF!</v>
      </c>
      <c r="AI249" t="e">
        <f>AND(#REF!,"AAAAAHH97yI=")</f>
        <v>#REF!</v>
      </c>
      <c r="AJ249" t="e">
        <f>AND(#REF!,"AAAAAHH97yM=")</f>
        <v>#REF!</v>
      </c>
      <c r="AK249" t="e">
        <f>AND(#REF!,"AAAAAHH97yQ=")</f>
        <v>#REF!</v>
      </c>
      <c r="AL249" t="e">
        <f>AND(#REF!,"AAAAAHH97yU=")</f>
        <v>#REF!</v>
      </c>
      <c r="AM249" t="e">
        <f>AND(#REF!,"AAAAAHH97yY=")</f>
        <v>#REF!</v>
      </c>
      <c r="AN249" t="e">
        <f>AND(#REF!,"AAAAAHH97yc=")</f>
        <v>#REF!</v>
      </c>
      <c r="AO249" t="e">
        <f>AND(#REF!,"AAAAAHH97yg=")</f>
        <v>#REF!</v>
      </c>
      <c r="AP249" t="e">
        <f>AND(#REF!,"AAAAAHH97yk=")</f>
        <v>#REF!</v>
      </c>
      <c r="AQ249" t="e">
        <f>AND(#REF!,"AAAAAHH97yo=")</f>
        <v>#REF!</v>
      </c>
      <c r="AR249" t="e">
        <f>AND(#REF!,"AAAAAHH97ys=")</f>
        <v>#REF!</v>
      </c>
      <c r="AS249" t="e">
        <f>AND(#REF!,"AAAAAHH97yw=")</f>
        <v>#REF!</v>
      </c>
      <c r="AT249" t="e">
        <f>AND(#REF!,"AAAAAHH97y0=")</f>
        <v>#REF!</v>
      </c>
      <c r="AU249" t="e">
        <f>AND(#REF!,"AAAAAHH97y4=")</f>
        <v>#REF!</v>
      </c>
      <c r="AV249" t="e">
        <f>AND(#REF!,"AAAAAHH97y8=")</f>
        <v>#REF!</v>
      </c>
      <c r="AW249" t="e">
        <f>AND(#REF!,"AAAAAHH97zA=")</f>
        <v>#REF!</v>
      </c>
      <c r="AX249" t="e">
        <f>AND(#REF!,"AAAAAHH97zE=")</f>
        <v>#REF!</v>
      </c>
      <c r="AY249" t="e">
        <f>AND(#REF!,"AAAAAHH97zI=")</f>
        <v>#REF!</v>
      </c>
      <c r="AZ249" t="e">
        <f>AND(#REF!,"AAAAAHH97zM=")</f>
        <v>#REF!</v>
      </c>
      <c r="BA249" t="e">
        <f>AND(#REF!,"AAAAAHH97zQ=")</f>
        <v>#REF!</v>
      </c>
      <c r="BB249" t="e">
        <f>AND(#REF!,"AAAAAHH97zU=")</f>
        <v>#REF!</v>
      </c>
      <c r="BC249" t="e">
        <f>AND(#REF!,"AAAAAHH97zY=")</f>
        <v>#REF!</v>
      </c>
      <c r="BD249" t="e">
        <f>AND(#REF!,"AAAAAHH97zc=")</f>
        <v>#REF!</v>
      </c>
      <c r="BE249" t="e">
        <f>AND(#REF!,"AAAAAHH97zg=")</f>
        <v>#REF!</v>
      </c>
      <c r="BF249" t="e">
        <f>AND(#REF!,"AAAAAHH97zk=")</f>
        <v>#REF!</v>
      </c>
      <c r="BG249" t="e">
        <f>AND(#REF!,"AAAAAHH97zo=")</f>
        <v>#REF!</v>
      </c>
      <c r="BH249" t="e">
        <f>AND(#REF!,"AAAAAHH97zs=")</f>
        <v>#REF!</v>
      </c>
      <c r="BI249" t="e">
        <f>AND(#REF!,"AAAAAHH97zw=")</f>
        <v>#REF!</v>
      </c>
      <c r="BJ249" t="e">
        <f>AND(#REF!,"AAAAAHH97z0=")</f>
        <v>#REF!</v>
      </c>
      <c r="BK249" t="e">
        <f>AND(#REF!,"AAAAAHH97z4=")</f>
        <v>#REF!</v>
      </c>
      <c r="BL249" t="e">
        <f>AND(#REF!,"AAAAAHH97z8=")</f>
        <v>#REF!</v>
      </c>
      <c r="BM249" t="e">
        <f>AND(#REF!,"AAAAAHH970A=")</f>
        <v>#REF!</v>
      </c>
      <c r="BN249" t="e">
        <f>AND(#REF!,"AAAAAHH970E=")</f>
        <v>#REF!</v>
      </c>
      <c r="BO249" t="e">
        <f>AND(#REF!,"AAAAAHH970I=")</f>
        <v>#REF!</v>
      </c>
      <c r="BP249" t="e">
        <f>AND(#REF!,"AAAAAHH970M=")</f>
        <v>#REF!</v>
      </c>
      <c r="BQ249" t="e">
        <f>AND(#REF!,"AAAAAHH970Q=")</f>
        <v>#REF!</v>
      </c>
      <c r="BR249" t="e">
        <f>AND(#REF!,"AAAAAHH970U=")</f>
        <v>#REF!</v>
      </c>
      <c r="BS249" t="e">
        <f>AND(#REF!,"AAAAAHH970Y=")</f>
        <v>#REF!</v>
      </c>
      <c r="BT249" t="e">
        <f>AND(#REF!,"AAAAAHH970c=")</f>
        <v>#REF!</v>
      </c>
      <c r="BU249" t="e">
        <f>AND(#REF!,"AAAAAHH970g=")</f>
        <v>#REF!</v>
      </c>
      <c r="BV249" t="e">
        <f>AND(#REF!,"AAAAAHH970k=")</f>
        <v>#REF!</v>
      </c>
      <c r="BW249" t="e">
        <f>AND(#REF!,"AAAAAHH970o=")</f>
        <v>#REF!</v>
      </c>
      <c r="BX249" t="e">
        <f>AND(#REF!,"AAAAAHH970s=")</f>
        <v>#REF!</v>
      </c>
      <c r="BY249" t="e">
        <f>AND(#REF!,"AAAAAHH970w=")</f>
        <v>#REF!</v>
      </c>
      <c r="BZ249" t="e">
        <f>AND(#REF!,"AAAAAHH9700=")</f>
        <v>#REF!</v>
      </c>
      <c r="CA249" t="e">
        <f>AND(#REF!,"AAAAAHH9704=")</f>
        <v>#REF!</v>
      </c>
      <c r="CB249" t="e">
        <f>AND(#REF!,"AAAAAHH9708=")</f>
        <v>#REF!</v>
      </c>
      <c r="CC249" t="e">
        <f>AND(#REF!,"AAAAAHH971A=")</f>
        <v>#REF!</v>
      </c>
      <c r="CD249" t="e">
        <f>AND(#REF!,"AAAAAHH971E=")</f>
        <v>#REF!</v>
      </c>
      <c r="CE249" t="e">
        <f>AND(#REF!,"AAAAAHH971I=")</f>
        <v>#REF!</v>
      </c>
      <c r="CF249" t="e">
        <f>AND(#REF!,"AAAAAHH971M=")</f>
        <v>#REF!</v>
      </c>
      <c r="CG249" t="e">
        <f>AND(#REF!,"AAAAAHH971Q=")</f>
        <v>#REF!</v>
      </c>
      <c r="CH249" t="e">
        <f>AND(#REF!,"AAAAAHH971U=")</f>
        <v>#REF!</v>
      </c>
      <c r="CI249" t="e">
        <f>AND(#REF!,"AAAAAHH971Y=")</f>
        <v>#REF!</v>
      </c>
      <c r="CJ249" t="e">
        <f>AND(#REF!,"AAAAAHH971c=")</f>
        <v>#REF!</v>
      </c>
      <c r="CK249" t="e">
        <f>AND(#REF!,"AAAAAHH971g=")</f>
        <v>#REF!</v>
      </c>
      <c r="CL249" t="e">
        <f>AND(#REF!,"AAAAAHH971k=")</f>
        <v>#REF!</v>
      </c>
      <c r="CM249" t="e">
        <f>AND(#REF!,"AAAAAHH971o=")</f>
        <v>#REF!</v>
      </c>
      <c r="CN249" t="e">
        <f>AND(#REF!,"AAAAAHH971s=")</f>
        <v>#REF!</v>
      </c>
      <c r="CO249" t="e">
        <f>AND(#REF!,"AAAAAHH971w=")</f>
        <v>#REF!</v>
      </c>
      <c r="CP249" t="e">
        <f>AND(#REF!,"AAAAAHH9710=")</f>
        <v>#REF!</v>
      </c>
      <c r="CQ249" t="e">
        <f>AND(#REF!,"AAAAAHH9714=")</f>
        <v>#REF!</v>
      </c>
      <c r="CR249" t="e">
        <f>AND(#REF!,"AAAAAHH9718=")</f>
        <v>#REF!</v>
      </c>
      <c r="CS249" t="e">
        <f>AND(#REF!,"AAAAAHH972A=")</f>
        <v>#REF!</v>
      </c>
      <c r="CT249" t="e">
        <f>AND(#REF!,"AAAAAHH972E=")</f>
        <v>#REF!</v>
      </c>
      <c r="CU249" t="e">
        <f>AND(#REF!,"AAAAAHH972I=")</f>
        <v>#REF!</v>
      </c>
      <c r="CV249" t="e">
        <f>AND(#REF!,"AAAAAHH972M=")</f>
        <v>#REF!</v>
      </c>
      <c r="CW249" t="e">
        <f>AND(#REF!,"AAAAAHH972Q=")</f>
        <v>#REF!</v>
      </c>
      <c r="CX249" t="e">
        <f>AND(#REF!,"AAAAAHH972U=")</f>
        <v>#REF!</v>
      </c>
      <c r="CY249" t="e">
        <f>AND(#REF!,"AAAAAHH972Y=")</f>
        <v>#REF!</v>
      </c>
      <c r="CZ249" t="e">
        <f>AND(#REF!,"AAAAAHH972c=")</f>
        <v>#REF!</v>
      </c>
      <c r="DA249" t="e">
        <f>AND(#REF!,"AAAAAHH972g=")</f>
        <v>#REF!</v>
      </c>
      <c r="DB249" t="e">
        <f>AND(#REF!,"AAAAAHH972k=")</f>
        <v>#REF!</v>
      </c>
      <c r="DC249" t="e">
        <f>AND(#REF!,"AAAAAHH972o=")</f>
        <v>#REF!</v>
      </c>
      <c r="DD249" t="e">
        <f>AND(#REF!,"AAAAAHH972s=")</f>
        <v>#REF!</v>
      </c>
      <c r="DE249" t="e">
        <f>AND(#REF!,"AAAAAHH972w=")</f>
        <v>#REF!</v>
      </c>
      <c r="DF249" t="e">
        <f>AND(#REF!,"AAAAAHH9720=")</f>
        <v>#REF!</v>
      </c>
      <c r="DG249" t="e">
        <f>AND(#REF!,"AAAAAHH9724=")</f>
        <v>#REF!</v>
      </c>
      <c r="DH249" t="e">
        <f>AND(#REF!,"AAAAAHH9728=")</f>
        <v>#REF!</v>
      </c>
      <c r="DI249" t="e">
        <f>AND(#REF!,"AAAAAHH973A=")</f>
        <v>#REF!</v>
      </c>
      <c r="DJ249" t="e">
        <f>AND(#REF!,"AAAAAHH973E=")</f>
        <v>#REF!</v>
      </c>
      <c r="DK249" t="e">
        <f>AND(#REF!,"AAAAAHH973I=")</f>
        <v>#REF!</v>
      </c>
      <c r="DL249" t="e">
        <f>AND(#REF!,"AAAAAHH973M=")</f>
        <v>#REF!</v>
      </c>
      <c r="DM249" t="e">
        <f>AND(#REF!,"AAAAAHH973Q=")</f>
        <v>#REF!</v>
      </c>
      <c r="DN249" t="e">
        <f>AND(#REF!,"AAAAAHH973U=")</f>
        <v>#REF!</v>
      </c>
      <c r="DO249" t="e">
        <f>AND(#REF!,"AAAAAHH973Y=")</f>
        <v>#REF!</v>
      </c>
      <c r="DP249" t="e">
        <f>AND(#REF!,"AAAAAHH973c=")</f>
        <v>#REF!</v>
      </c>
      <c r="DQ249" t="e">
        <f>AND(#REF!,"AAAAAHH973g=")</f>
        <v>#REF!</v>
      </c>
      <c r="DR249" t="e">
        <f>AND(#REF!,"AAAAAHH973k=")</f>
        <v>#REF!</v>
      </c>
      <c r="DS249" t="e">
        <f>AND(#REF!,"AAAAAHH973o=")</f>
        <v>#REF!</v>
      </c>
      <c r="DT249" t="e">
        <f>AND(#REF!,"AAAAAHH973s=")</f>
        <v>#REF!</v>
      </c>
      <c r="DU249" t="e">
        <f>AND(#REF!,"AAAAAHH973w=")</f>
        <v>#REF!</v>
      </c>
      <c r="DV249" t="e">
        <f>AND(#REF!,"AAAAAHH9730=")</f>
        <v>#REF!</v>
      </c>
      <c r="DW249" t="e">
        <f>AND(#REF!,"AAAAAHH9734=")</f>
        <v>#REF!</v>
      </c>
      <c r="DX249" t="e">
        <f>AND(#REF!,"AAAAAHH9738=")</f>
        <v>#REF!</v>
      </c>
      <c r="DY249" t="e">
        <f>AND(#REF!,"AAAAAHH974A=")</f>
        <v>#REF!</v>
      </c>
      <c r="DZ249" t="e">
        <f>AND(#REF!,"AAAAAHH974E=")</f>
        <v>#REF!</v>
      </c>
      <c r="EA249" t="e">
        <f>AND(#REF!,"AAAAAHH974I=")</f>
        <v>#REF!</v>
      </c>
      <c r="EB249" t="e">
        <f>AND(#REF!,"AAAAAHH974M=")</f>
        <v>#REF!</v>
      </c>
      <c r="EC249" t="e">
        <f>AND(#REF!,"AAAAAHH974Q=")</f>
        <v>#REF!</v>
      </c>
      <c r="ED249" t="e">
        <f>AND(#REF!,"AAAAAHH974U=")</f>
        <v>#REF!</v>
      </c>
      <c r="EE249" t="e">
        <f>AND(#REF!,"AAAAAHH974Y=")</f>
        <v>#REF!</v>
      </c>
      <c r="EF249" t="e">
        <f>AND(#REF!,"AAAAAHH974c=")</f>
        <v>#REF!</v>
      </c>
      <c r="EG249" t="e">
        <f>AND(#REF!,"AAAAAHH974g=")</f>
        <v>#REF!</v>
      </c>
      <c r="EH249" t="e">
        <f>AND(#REF!,"AAAAAHH974k=")</f>
        <v>#REF!</v>
      </c>
      <c r="EI249" t="e">
        <f>AND(#REF!,"AAAAAHH974o=")</f>
        <v>#REF!</v>
      </c>
      <c r="EJ249" t="e">
        <f>AND(#REF!,"AAAAAHH974s=")</f>
        <v>#REF!</v>
      </c>
      <c r="EK249" t="e">
        <f>AND(#REF!,"AAAAAHH974w=")</f>
        <v>#REF!</v>
      </c>
      <c r="EL249" t="e">
        <f>AND(#REF!,"AAAAAHH9740=")</f>
        <v>#REF!</v>
      </c>
      <c r="EM249" t="e">
        <f>AND(#REF!,"AAAAAHH9744=")</f>
        <v>#REF!</v>
      </c>
      <c r="EN249" t="e">
        <f>AND(#REF!,"AAAAAHH9748=")</f>
        <v>#REF!</v>
      </c>
      <c r="EO249" t="e">
        <f>AND(#REF!,"AAAAAHH975A=")</f>
        <v>#REF!</v>
      </c>
      <c r="EP249" t="e">
        <f>AND(#REF!,"AAAAAHH975E=")</f>
        <v>#REF!</v>
      </c>
      <c r="EQ249" t="e">
        <f>AND(#REF!,"AAAAAHH975I=")</f>
        <v>#REF!</v>
      </c>
      <c r="ER249" t="e">
        <f>AND(#REF!,"AAAAAHH975M=")</f>
        <v>#REF!</v>
      </c>
      <c r="ES249" t="e">
        <f>AND(#REF!,"AAAAAHH975Q=")</f>
        <v>#REF!</v>
      </c>
      <c r="ET249" t="e">
        <f>AND(#REF!,"AAAAAHH975U=")</f>
        <v>#REF!</v>
      </c>
      <c r="EU249" t="e">
        <f>AND(#REF!,"AAAAAHH975Y=")</f>
        <v>#REF!</v>
      </c>
      <c r="EV249" t="e">
        <f>AND(#REF!,"AAAAAHH975c=")</f>
        <v>#REF!</v>
      </c>
      <c r="EW249" t="e">
        <f>AND(#REF!,"AAAAAHH975g=")</f>
        <v>#REF!</v>
      </c>
      <c r="EX249" t="e">
        <f>AND(#REF!,"AAAAAHH975k=")</f>
        <v>#REF!</v>
      </c>
      <c r="EY249" t="e">
        <f>AND(#REF!,"AAAAAHH975o=")</f>
        <v>#REF!</v>
      </c>
      <c r="EZ249" t="e">
        <f>AND(#REF!,"AAAAAHH975s=")</f>
        <v>#REF!</v>
      </c>
      <c r="FA249" t="e">
        <f>AND(#REF!,"AAAAAHH975w=")</f>
        <v>#REF!</v>
      </c>
      <c r="FB249" t="e">
        <f>AND(#REF!,"AAAAAHH9750=")</f>
        <v>#REF!</v>
      </c>
      <c r="FC249" t="e">
        <f>AND(#REF!,"AAAAAHH9754=")</f>
        <v>#REF!</v>
      </c>
      <c r="FD249" t="e">
        <f>AND(#REF!,"AAAAAHH9758=")</f>
        <v>#REF!</v>
      </c>
      <c r="FE249" t="e">
        <f>AND(#REF!,"AAAAAHH976A=")</f>
        <v>#REF!</v>
      </c>
      <c r="FF249" t="e">
        <f>AND(#REF!,"AAAAAHH976E=")</f>
        <v>#REF!</v>
      </c>
      <c r="FG249" t="e">
        <f>AND(#REF!,"AAAAAHH976I=")</f>
        <v>#REF!</v>
      </c>
      <c r="FH249" t="e">
        <f>AND(#REF!,"AAAAAHH976M=")</f>
        <v>#REF!</v>
      </c>
      <c r="FI249" t="e">
        <f>AND(#REF!,"AAAAAHH976Q=")</f>
        <v>#REF!</v>
      </c>
      <c r="FJ249" t="e">
        <f>AND(#REF!,"AAAAAHH976U=")</f>
        <v>#REF!</v>
      </c>
      <c r="FK249" t="e">
        <f>AND(#REF!,"AAAAAHH976Y=")</f>
        <v>#REF!</v>
      </c>
      <c r="FL249" t="e">
        <f>AND(#REF!,"AAAAAHH976c=")</f>
        <v>#REF!</v>
      </c>
      <c r="FM249" t="e">
        <f>AND(#REF!,"AAAAAHH976g=")</f>
        <v>#REF!</v>
      </c>
      <c r="FN249" t="e">
        <f>AND(#REF!,"AAAAAHH976k=")</f>
        <v>#REF!</v>
      </c>
      <c r="FO249" t="e">
        <f>AND(#REF!,"AAAAAHH976o=")</f>
        <v>#REF!</v>
      </c>
      <c r="FP249" t="e">
        <f>AND(#REF!,"AAAAAHH976s=")</f>
        <v>#REF!</v>
      </c>
      <c r="FQ249" t="e">
        <f>AND(#REF!,"AAAAAHH976w=")</f>
        <v>#REF!</v>
      </c>
      <c r="FR249" t="e">
        <f>AND(#REF!,"AAAAAHH9760=")</f>
        <v>#REF!</v>
      </c>
      <c r="FS249" t="e">
        <f>AND(#REF!,"AAAAAHH9764=")</f>
        <v>#REF!</v>
      </c>
      <c r="FT249" t="e">
        <f>AND(#REF!,"AAAAAHH9768=")</f>
        <v>#REF!</v>
      </c>
      <c r="FU249" t="e">
        <f>AND(#REF!,"AAAAAHH977A=")</f>
        <v>#REF!</v>
      </c>
      <c r="FV249" t="e">
        <f>AND(#REF!,"AAAAAHH977E=")</f>
        <v>#REF!</v>
      </c>
      <c r="FW249" t="e">
        <f>AND(#REF!,"AAAAAHH977I=")</f>
        <v>#REF!</v>
      </c>
      <c r="FX249" t="e">
        <f>AND(#REF!,"AAAAAHH977M=")</f>
        <v>#REF!</v>
      </c>
      <c r="FY249" t="e">
        <f>AND(#REF!,"AAAAAHH977Q=")</f>
        <v>#REF!</v>
      </c>
      <c r="FZ249" t="e">
        <f>AND(#REF!,"AAAAAHH977U=")</f>
        <v>#REF!</v>
      </c>
      <c r="GA249" t="e">
        <f>AND(#REF!,"AAAAAHH977Y=")</f>
        <v>#REF!</v>
      </c>
      <c r="GB249" t="e">
        <f>AND(#REF!,"AAAAAHH977c=")</f>
        <v>#REF!</v>
      </c>
      <c r="GC249" t="e">
        <f>AND(#REF!,"AAAAAHH977g=")</f>
        <v>#REF!</v>
      </c>
      <c r="GD249" t="e">
        <f>AND(#REF!,"AAAAAHH977k=")</f>
        <v>#REF!</v>
      </c>
      <c r="GE249" t="e">
        <f>AND(#REF!,"AAAAAHH977o=")</f>
        <v>#REF!</v>
      </c>
      <c r="GF249" t="e">
        <f>AND(#REF!,"AAAAAHH977s=")</f>
        <v>#REF!</v>
      </c>
      <c r="GG249" t="e">
        <f>AND(#REF!,"AAAAAHH977w=")</f>
        <v>#REF!</v>
      </c>
      <c r="GH249" t="e">
        <f>AND(#REF!,"AAAAAHH9770=")</f>
        <v>#REF!</v>
      </c>
      <c r="GI249" t="e">
        <f>AND(#REF!,"AAAAAHH9774=")</f>
        <v>#REF!</v>
      </c>
      <c r="GJ249" t="e">
        <f>AND(#REF!,"AAAAAHH9778=")</f>
        <v>#REF!</v>
      </c>
      <c r="GK249" t="e">
        <f>AND(#REF!,"AAAAAHH978A=")</f>
        <v>#REF!</v>
      </c>
      <c r="GL249" t="e">
        <f>AND(#REF!,"AAAAAHH978E=")</f>
        <v>#REF!</v>
      </c>
      <c r="GM249" t="e">
        <f>AND(#REF!,"AAAAAHH978I=")</f>
        <v>#REF!</v>
      </c>
      <c r="GN249" t="e">
        <f>AND(#REF!,"AAAAAHH978M=")</f>
        <v>#REF!</v>
      </c>
      <c r="GO249" t="e">
        <f>AND(#REF!,"AAAAAHH978Q=")</f>
        <v>#REF!</v>
      </c>
      <c r="GP249" t="e">
        <f>IF(#REF!,"AAAAAHH978U=",0)</f>
        <v>#REF!</v>
      </c>
      <c r="GQ249" t="e">
        <f>AND(#REF!,"AAAAAHH978Y=")</f>
        <v>#REF!</v>
      </c>
      <c r="GR249" t="e">
        <f>AND(#REF!,"AAAAAHH978c=")</f>
        <v>#REF!</v>
      </c>
      <c r="GS249" t="e">
        <f>AND(#REF!,"AAAAAHH978g=")</f>
        <v>#REF!</v>
      </c>
      <c r="GT249" t="e">
        <f>AND(#REF!,"AAAAAHH978k=")</f>
        <v>#REF!</v>
      </c>
      <c r="GU249" t="e">
        <f>AND(#REF!,"AAAAAHH978o=")</f>
        <v>#REF!</v>
      </c>
      <c r="GV249" t="e">
        <f>AND(#REF!,"AAAAAHH978s=")</f>
        <v>#REF!</v>
      </c>
      <c r="GW249" t="e">
        <f>AND(#REF!,"AAAAAHH978w=")</f>
        <v>#REF!</v>
      </c>
      <c r="GX249" t="e">
        <f>AND(#REF!,"AAAAAHH9780=")</f>
        <v>#REF!</v>
      </c>
      <c r="GY249" t="e">
        <f>AND(#REF!,"AAAAAHH9784=")</f>
        <v>#REF!</v>
      </c>
      <c r="GZ249" t="e">
        <f>AND(#REF!,"AAAAAHH9788=")</f>
        <v>#REF!</v>
      </c>
      <c r="HA249" t="e">
        <f>AND(#REF!,"AAAAAHH979A=")</f>
        <v>#REF!</v>
      </c>
      <c r="HB249" t="e">
        <f>AND(#REF!,"AAAAAHH979E=")</f>
        <v>#REF!</v>
      </c>
      <c r="HC249" t="e">
        <f>AND(#REF!,"AAAAAHH979I=")</f>
        <v>#REF!</v>
      </c>
      <c r="HD249" t="e">
        <f>AND(#REF!,"AAAAAHH979M=")</f>
        <v>#REF!</v>
      </c>
      <c r="HE249" t="e">
        <f>AND(#REF!,"AAAAAHH979Q=")</f>
        <v>#REF!</v>
      </c>
      <c r="HF249" t="e">
        <f>AND(#REF!,"AAAAAHH979U=")</f>
        <v>#REF!</v>
      </c>
      <c r="HG249" t="e">
        <f>AND(#REF!,"AAAAAHH979Y=")</f>
        <v>#REF!</v>
      </c>
      <c r="HH249" t="e">
        <f>AND(#REF!,"AAAAAHH979c=")</f>
        <v>#REF!</v>
      </c>
      <c r="HI249" t="e">
        <f>AND(#REF!,"AAAAAHH979g=")</f>
        <v>#REF!</v>
      </c>
      <c r="HJ249" t="e">
        <f>AND(#REF!,"AAAAAHH979k=")</f>
        <v>#REF!</v>
      </c>
      <c r="HK249" t="e">
        <f>AND(#REF!,"AAAAAHH979o=")</f>
        <v>#REF!</v>
      </c>
      <c r="HL249" t="e">
        <f>AND(#REF!,"AAAAAHH979s=")</f>
        <v>#REF!</v>
      </c>
      <c r="HM249" t="e">
        <f>AND(#REF!,"AAAAAHH979w=")</f>
        <v>#REF!</v>
      </c>
      <c r="HN249" t="e">
        <f>AND(#REF!,"AAAAAHH9790=")</f>
        <v>#REF!</v>
      </c>
      <c r="HO249" t="e">
        <f>AND(#REF!,"AAAAAHH9794=")</f>
        <v>#REF!</v>
      </c>
      <c r="HP249" t="e">
        <f>AND(#REF!,"AAAAAHH9798=")</f>
        <v>#REF!</v>
      </c>
      <c r="HQ249" t="e">
        <f>AND(#REF!,"AAAAAHH97+A=")</f>
        <v>#REF!</v>
      </c>
      <c r="HR249" t="e">
        <f>AND(#REF!,"AAAAAHH97+E=")</f>
        <v>#REF!</v>
      </c>
      <c r="HS249" t="e">
        <f>AND(#REF!,"AAAAAHH97+I=")</f>
        <v>#REF!</v>
      </c>
      <c r="HT249" t="e">
        <f>AND(#REF!,"AAAAAHH97+M=")</f>
        <v>#REF!</v>
      </c>
      <c r="HU249" t="e">
        <f>AND(#REF!,"AAAAAHH97+Q=")</f>
        <v>#REF!</v>
      </c>
      <c r="HV249" t="e">
        <f>AND(#REF!,"AAAAAHH97+U=")</f>
        <v>#REF!</v>
      </c>
      <c r="HW249" t="e">
        <f>AND(#REF!,"AAAAAHH97+Y=")</f>
        <v>#REF!</v>
      </c>
      <c r="HX249" t="e">
        <f>AND(#REF!,"AAAAAHH97+c=")</f>
        <v>#REF!</v>
      </c>
      <c r="HY249" t="e">
        <f>AND(#REF!,"AAAAAHH97+g=")</f>
        <v>#REF!</v>
      </c>
      <c r="HZ249" t="e">
        <f>AND(#REF!,"AAAAAHH97+k=")</f>
        <v>#REF!</v>
      </c>
      <c r="IA249" t="e">
        <f>AND(#REF!,"AAAAAHH97+o=")</f>
        <v>#REF!</v>
      </c>
      <c r="IB249" t="e">
        <f>AND(#REF!,"AAAAAHH97+s=")</f>
        <v>#REF!</v>
      </c>
      <c r="IC249" t="e">
        <f>AND(#REF!,"AAAAAHH97+w=")</f>
        <v>#REF!</v>
      </c>
      <c r="ID249" t="e">
        <f>AND(#REF!,"AAAAAHH97+0=")</f>
        <v>#REF!</v>
      </c>
      <c r="IE249" t="e">
        <f>AND(#REF!,"AAAAAHH97+4=")</f>
        <v>#REF!</v>
      </c>
      <c r="IF249" t="e">
        <f>AND(#REF!,"AAAAAHH97+8=")</f>
        <v>#REF!</v>
      </c>
      <c r="IG249" t="e">
        <f>AND(#REF!,"AAAAAHH97/A=")</f>
        <v>#REF!</v>
      </c>
      <c r="IH249" t="e">
        <f>AND(#REF!,"AAAAAHH97/E=")</f>
        <v>#REF!</v>
      </c>
      <c r="II249" t="e">
        <f>AND(#REF!,"AAAAAHH97/I=")</f>
        <v>#REF!</v>
      </c>
      <c r="IJ249" t="e">
        <f>AND(#REF!,"AAAAAHH97/M=")</f>
        <v>#REF!</v>
      </c>
      <c r="IK249" t="e">
        <f>AND(#REF!,"AAAAAHH97/Q=")</f>
        <v>#REF!</v>
      </c>
      <c r="IL249" t="e">
        <f>AND(#REF!,"AAAAAHH97/U=")</f>
        <v>#REF!</v>
      </c>
      <c r="IM249" t="e">
        <f>AND(#REF!,"AAAAAHH97/Y=")</f>
        <v>#REF!</v>
      </c>
      <c r="IN249" t="e">
        <f>AND(#REF!,"AAAAAHH97/c=")</f>
        <v>#REF!</v>
      </c>
      <c r="IO249" t="e">
        <f>AND(#REF!,"AAAAAHH97/g=")</f>
        <v>#REF!</v>
      </c>
      <c r="IP249" t="e">
        <f>AND(#REF!,"AAAAAHH97/k=")</f>
        <v>#REF!</v>
      </c>
      <c r="IQ249" t="e">
        <f>AND(#REF!,"AAAAAHH97/o=")</f>
        <v>#REF!</v>
      </c>
      <c r="IR249" t="e">
        <f>AND(#REF!,"AAAAAHH97/s=")</f>
        <v>#REF!</v>
      </c>
      <c r="IS249" t="e">
        <f>AND(#REF!,"AAAAAHH97/w=")</f>
        <v>#REF!</v>
      </c>
      <c r="IT249" t="e">
        <f>AND(#REF!,"AAAAAHH97/0=")</f>
        <v>#REF!</v>
      </c>
      <c r="IU249" t="e">
        <f>AND(#REF!,"AAAAAHH97/4=")</f>
        <v>#REF!</v>
      </c>
      <c r="IV249" t="e">
        <f>AND(#REF!,"AAAAAHH97/8=")</f>
        <v>#REF!</v>
      </c>
    </row>
    <row r="250" spans="1:256" x14ac:dyDescent="0.25">
      <c r="A250" t="e">
        <f>AND(#REF!,"AAAAAH//nQA=")</f>
        <v>#REF!</v>
      </c>
      <c r="B250" t="e">
        <f>AND(#REF!,"AAAAAH//nQE=")</f>
        <v>#REF!</v>
      </c>
      <c r="C250" t="e">
        <f>AND(#REF!,"AAAAAH//nQI=")</f>
        <v>#REF!</v>
      </c>
      <c r="D250" t="e">
        <f>AND(#REF!,"AAAAAH//nQM=")</f>
        <v>#REF!</v>
      </c>
      <c r="E250" t="e">
        <f>AND(#REF!,"AAAAAH//nQQ=")</f>
        <v>#REF!</v>
      </c>
      <c r="F250" t="e">
        <f>AND(#REF!,"AAAAAH//nQU=")</f>
        <v>#REF!</v>
      </c>
      <c r="G250" t="e">
        <f>AND(#REF!,"AAAAAH//nQY=")</f>
        <v>#REF!</v>
      </c>
      <c r="H250" t="e">
        <f>AND(#REF!,"AAAAAH//nQc=")</f>
        <v>#REF!</v>
      </c>
      <c r="I250" t="e">
        <f>AND(#REF!,"AAAAAH//nQg=")</f>
        <v>#REF!</v>
      </c>
      <c r="J250" t="e">
        <f>AND(#REF!,"AAAAAH//nQk=")</f>
        <v>#REF!</v>
      </c>
      <c r="K250" t="e">
        <f>AND(#REF!,"AAAAAH//nQo=")</f>
        <v>#REF!</v>
      </c>
      <c r="L250" t="e">
        <f>AND(#REF!,"AAAAAH//nQs=")</f>
        <v>#REF!</v>
      </c>
      <c r="M250" t="e">
        <f>AND(#REF!,"AAAAAH//nQw=")</f>
        <v>#REF!</v>
      </c>
      <c r="N250" t="e">
        <f>AND(#REF!,"AAAAAH//nQ0=")</f>
        <v>#REF!</v>
      </c>
      <c r="O250" t="e">
        <f>AND(#REF!,"AAAAAH//nQ4=")</f>
        <v>#REF!</v>
      </c>
      <c r="P250" t="e">
        <f>AND(#REF!,"AAAAAH//nQ8=")</f>
        <v>#REF!</v>
      </c>
      <c r="Q250" t="e">
        <f>AND(#REF!,"AAAAAH//nRA=")</f>
        <v>#REF!</v>
      </c>
      <c r="R250" t="e">
        <f>AND(#REF!,"AAAAAH//nRE=")</f>
        <v>#REF!</v>
      </c>
      <c r="S250" t="e">
        <f>AND(#REF!,"AAAAAH//nRI=")</f>
        <v>#REF!</v>
      </c>
      <c r="T250" t="e">
        <f>AND(#REF!,"AAAAAH//nRM=")</f>
        <v>#REF!</v>
      </c>
      <c r="U250" t="e">
        <f>AND(#REF!,"AAAAAH//nRQ=")</f>
        <v>#REF!</v>
      </c>
      <c r="V250" t="e">
        <f>AND(#REF!,"AAAAAH//nRU=")</f>
        <v>#REF!</v>
      </c>
      <c r="W250" t="e">
        <f>AND(#REF!,"AAAAAH//nRY=")</f>
        <v>#REF!</v>
      </c>
      <c r="X250" t="e">
        <f>AND(#REF!,"AAAAAH//nRc=")</f>
        <v>#REF!</v>
      </c>
      <c r="Y250" t="e">
        <f>AND(#REF!,"AAAAAH//nRg=")</f>
        <v>#REF!</v>
      </c>
      <c r="Z250" t="e">
        <f>AND(#REF!,"AAAAAH//nRk=")</f>
        <v>#REF!</v>
      </c>
      <c r="AA250" t="e">
        <f>AND(#REF!,"AAAAAH//nRo=")</f>
        <v>#REF!</v>
      </c>
      <c r="AB250" t="e">
        <f>AND(#REF!,"AAAAAH//nRs=")</f>
        <v>#REF!</v>
      </c>
      <c r="AC250" t="e">
        <f>AND(#REF!,"AAAAAH//nRw=")</f>
        <v>#REF!</v>
      </c>
      <c r="AD250" t="e">
        <f>AND(#REF!,"AAAAAH//nR0=")</f>
        <v>#REF!</v>
      </c>
      <c r="AE250" t="e">
        <f>AND(#REF!,"AAAAAH//nR4=")</f>
        <v>#REF!</v>
      </c>
      <c r="AF250" t="e">
        <f>AND(#REF!,"AAAAAH//nR8=")</f>
        <v>#REF!</v>
      </c>
      <c r="AG250" t="e">
        <f>AND(#REF!,"AAAAAH//nSA=")</f>
        <v>#REF!</v>
      </c>
      <c r="AH250" t="e">
        <f>AND(#REF!,"AAAAAH//nSE=")</f>
        <v>#REF!</v>
      </c>
      <c r="AI250" t="e">
        <f>AND(#REF!,"AAAAAH//nSI=")</f>
        <v>#REF!</v>
      </c>
      <c r="AJ250" t="e">
        <f>AND(#REF!,"AAAAAH//nSM=")</f>
        <v>#REF!</v>
      </c>
      <c r="AK250" t="e">
        <f>AND(#REF!,"AAAAAH//nSQ=")</f>
        <v>#REF!</v>
      </c>
      <c r="AL250" t="e">
        <f>AND(#REF!,"AAAAAH//nSU=")</f>
        <v>#REF!</v>
      </c>
      <c r="AM250" t="e">
        <f>AND(#REF!,"AAAAAH//nSY=")</f>
        <v>#REF!</v>
      </c>
      <c r="AN250" t="e">
        <f>AND(#REF!,"AAAAAH//nSc=")</f>
        <v>#REF!</v>
      </c>
      <c r="AO250" t="e">
        <f>AND(#REF!,"AAAAAH//nSg=")</f>
        <v>#REF!</v>
      </c>
      <c r="AP250" t="e">
        <f>AND(#REF!,"AAAAAH//nSk=")</f>
        <v>#REF!</v>
      </c>
      <c r="AQ250" t="e">
        <f>AND(#REF!,"AAAAAH//nSo=")</f>
        <v>#REF!</v>
      </c>
      <c r="AR250" t="e">
        <f>AND(#REF!,"AAAAAH//nSs=")</f>
        <v>#REF!</v>
      </c>
      <c r="AS250" t="e">
        <f>AND(#REF!,"AAAAAH//nSw=")</f>
        <v>#REF!</v>
      </c>
      <c r="AT250" t="e">
        <f>AND(#REF!,"AAAAAH//nS0=")</f>
        <v>#REF!</v>
      </c>
      <c r="AU250" t="e">
        <f>AND(#REF!,"AAAAAH//nS4=")</f>
        <v>#REF!</v>
      </c>
      <c r="AV250" t="e">
        <f>AND(#REF!,"AAAAAH//nS8=")</f>
        <v>#REF!</v>
      </c>
      <c r="AW250" t="e">
        <f>AND(#REF!,"AAAAAH//nTA=")</f>
        <v>#REF!</v>
      </c>
      <c r="AX250" t="e">
        <f>AND(#REF!,"AAAAAH//nTE=")</f>
        <v>#REF!</v>
      </c>
      <c r="AY250" t="e">
        <f>AND(#REF!,"AAAAAH//nTI=")</f>
        <v>#REF!</v>
      </c>
      <c r="AZ250" t="e">
        <f>AND(#REF!,"AAAAAH//nTM=")</f>
        <v>#REF!</v>
      </c>
      <c r="BA250" t="e">
        <f>AND(#REF!,"AAAAAH//nTQ=")</f>
        <v>#REF!</v>
      </c>
      <c r="BB250" t="e">
        <f>AND(#REF!,"AAAAAH//nTU=")</f>
        <v>#REF!</v>
      </c>
      <c r="BC250" t="e">
        <f>AND(#REF!,"AAAAAH//nTY=")</f>
        <v>#REF!</v>
      </c>
      <c r="BD250" t="e">
        <f>AND(#REF!,"AAAAAH//nTc=")</f>
        <v>#REF!</v>
      </c>
      <c r="BE250" t="e">
        <f>AND(#REF!,"AAAAAH//nTg=")</f>
        <v>#REF!</v>
      </c>
      <c r="BF250" t="e">
        <f>AND(#REF!,"AAAAAH//nTk=")</f>
        <v>#REF!</v>
      </c>
      <c r="BG250" t="e">
        <f>AND(#REF!,"AAAAAH//nTo=")</f>
        <v>#REF!</v>
      </c>
      <c r="BH250" t="e">
        <f>AND(#REF!,"AAAAAH//nTs=")</f>
        <v>#REF!</v>
      </c>
      <c r="BI250" t="e">
        <f>AND(#REF!,"AAAAAH//nTw=")</f>
        <v>#REF!</v>
      </c>
      <c r="BJ250" t="e">
        <f>AND(#REF!,"AAAAAH//nT0=")</f>
        <v>#REF!</v>
      </c>
      <c r="BK250" t="e">
        <f>AND(#REF!,"AAAAAH//nT4=")</f>
        <v>#REF!</v>
      </c>
      <c r="BL250" t="e">
        <f>AND(#REF!,"AAAAAH//nT8=")</f>
        <v>#REF!</v>
      </c>
      <c r="BM250" t="e">
        <f>AND(#REF!,"AAAAAH//nUA=")</f>
        <v>#REF!</v>
      </c>
      <c r="BN250" t="e">
        <f>AND(#REF!,"AAAAAH//nUE=")</f>
        <v>#REF!</v>
      </c>
      <c r="BO250" t="e">
        <f>AND(#REF!,"AAAAAH//nUI=")</f>
        <v>#REF!</v>
      </c>
      <c r="BP250" t="e">
        <f>AND(#REF!,"AAAAAH//nUM=")</f>
        <v>#REF!</v>
      </c>
      <c r="BQ250" t="e">
        <f>AND(#REF!,"AAAAAH//nUQ=")</f>
        <v>#REF!</v>
      </c>
      <c r="BR250" t="e">
        <f>AND(#REF!,"AAAAAH//nUU=")</f>
        <v>#REF!</v>
      </c>
      <c r="BS250" t="e">
        <f>AND(#REF!,"AAAAAH//nUY=")</f>
        <v>#REF!</v>
      </c>
      <c r="BT250" t="e">
        <f>AND(#REF!,"AAAAAH//nUc=")</f>
        <v>#REF!</v>
      </c>
      <c r="BU250" t="e">
        <f>AND(#REF!,"AAAAAH//nUg=")</f>
        <v>#REF!</v>
      </c>
      <c r="BV250" t="e">
        <f>AND(#REF!,"AAAAAH//nUk=")</f>
        <v>#REF!</v>
      </c>
      <c r="BW250" t="e">
        <f>AND(#REF!,"AAAAAH//nUo=")</f>
        <v>#REF!</v>
      </c>
      <c r="BX250" t="e">
        <f>AND(#REF!,"AAAAAH//nUs=")</f>
        <v>#REF!</v>
      </c>
      <c r="BY250" t="e">
        <f>AND(#REF!,"AAAAAH//nUw=")</f>
        <v>#REF!</v>
      </c>
      <c r="BZ250" t="e">
        <f>AND(#REF!,"AAAAAH//nU0=")</f>
        <v>#REF!</v>
      </c>
      <c r="CA250" t="e">
        <f>AND(#REF!,"AAAAAH//nU4=")</f>
        <v>#REF!</v>
      </c>
      <c r="CB250" t="e">
        <f>AND(#REF!,"AAAAAH//nU8=")</f>
        <v>#REF!</v>
      </c>
      <c r="CC250" t="e">
        <f>AND(#REF!,"AAAAAH//nVA=")</f>
        <v>#REF!</v>
      </c>
      <c r="CD250" t="e">
        <f>AND(#REF!,"AAAAAH//nVE=")</f>
        <v>#REF!</v>
      </c>
      <c r="CE250" t="e">
        <f>AND(#REF!,"AAAAAH//nVI=")</f>
        <v>#REF!</v>
      </c>
      <c r="CF250" t="e">
        <f>AND(#REF!,"AAAAAH//nVM=")</f>
        <v>#REF!</v>
      </c>
      <c r="CG250" t="e">
        <f>AND(#REF!,"AAAAAH//nVQ=")</f>
        <v>#REF!</v>
      </c>
      <c r="CH250" t="e">
        <f>AND(#REF!,"AAAAAH//nVU=")</f>
        <v>#REF!</v>
      </c>
      <c r="CI250" t="e">
        <f>AND(#REF!,"AAAAAH//nVY=")</f>
        <v>#REF!</v>
      </c>
      <c r="CJ250" t="e">
        <f>AND(#REF!,"AAAAAH//nVc=")</f>
        <v>#REF!</v>
      </c>
      <c r="CK250" t="e">
        <f>AND(#REF!,"AAAAAH//nVg=")</f>
        <v>#REF!</v>
      </c>
      <c r="CL250" t="e">
        <f>AND(#REF!,"AAAAAH//nVk=")</f>
        <v>#REF!</v>
      </c>
      <c r="CM250" t="e">
        <f>AND(#REF!,"AAAAAH//nVo=")</f>
        <v>#REF!</v>
      </c>
      <c r="CN250" t="e">
        <f>AND(#REF!,"AAAAAH//nVs=")</f>
        <v>#REF!</v>
      </c>
      <c r="CO250" t="e">
        <f>AND(#REF!,"AAAAAH//nVw=")</f>
        <v>#REF!</v>
      </c>
      <c r="CP250" t="e">
        <f>AND(#REF!,"AAAAAH//nV0=")</f>
        <v>#REF!</v>
      </c>
      <c r="CQ250" t="e">
        <f>AND(#REF!,"AAAAAH//nV4=")</f>
        <v>#REF!</v>
      </c>
      <c r="CR250" t="e">
        <f>AND(#REF!,"AAAAAH//nV8=")</f>
        <v>#REF!</v>
      </c>
      <c r="CS250" t="e">
        <f>AND(#REF!,"AAAAAH//nWA=")</f>
        <v>#REF!</v>
      </c>
      <c r="CT250" t="e">
        <f>AND(#REF!,"AAAAAH//nWE=")</f>
        <v>#REF!</v>
      </c>
      <c r="CU250" t="e">
        <f>AND(#REF!,"AAAAAH//nWI=")</f>
        <v>#REF!</v>
      </c>
      <c r="CV250" t="e">
        <f>AND(#REF!,"AAAAAH//nWM=")</f>
        <v>#REF!</v>
      </c>
      <c r="CW250" t="e">
        <f>AND(#REF!,"AAAAAH//nWQ=")</f>
        <v>#REF!</v>
      </c>
      <c r="CX250" t="e">
        <f>AND(#REF!,"AAAAAH//nWU=")</f>
        <v>#REF!</v>
      </c>
      <c r="CY250" t="e">
        <f>AND(#REF!,"AAAAAH//nWY=")</f>
        <v>#REF!</v>
      </c>
      <c r="CZ250" t="e">
        <f>AND(#REF!,"AAAAAH//nWc=")</f>
        <v>#REF!</v>
      </c>
      <c r="DA250" t="e">
        <f>AND(#REF!,"AAAAAH//nWg=")</f>
        <v>#REF!</v>
      </c>
      <c r="DB250" t="e">
        <f>AND(#REF!,"AAAAAH//nWk=")</f>
        <v>#REF!</v>
      </c>
      <c r="DC250" t="e">
        <f>AND(#REF!,"AAAAAH//nWo=")</f>
        <v>#REF!</v>
      </c>
      <c r="DD250" t="e">
        <f>AND(#REF!,"AAAAAH//nWs=")</f>
        <v>#REF!</v>
      </c>
      <c r="DE250" t="e">
        <f>AND(#REF!,"AAAAAH//nWw=")</f>
        <v>#REF!</v>
      </c>
      <c r="DF250" t="e">
        <f>AND(#REF!,"AAAAAH//nW0=")</f>
        <v>#REF!</v>
      </c>
      <c r="DG250" t="e">
        <f>AND(#REF!,"AAAAAH//nW4=")</f>
        <v>#REF!</v>
      </c>
      <c r="DH250" t="e">
        <f>AND(#REF!,"AAAAAH//nW8=")</f>
        <v>#REF!</v>
      </c>
      <c r="DI250" t="e">
        <f>AND(#REF!,"AAAAAH//nXA=")</f>
        <v>#REF!</v>
      </c>
      <c r="DJ250" t="e">
        <f>AND(#REF!,"AAAAAH//nXE=")</f>
        <v>#REF!</v>
      </c>
      <c r="DK250" t="e">
        <f>AND(#REF!,"AAAAAH//nXI=")</f>
        <v>#REF!</v>
      </c>
      <c r="DL250" t="e">
        <f>AND(#REF!,"AAAAAH//nXM=")</f>
        <v>#REF!</v>
      </c>
      <c r="DM250" t="e">
        <f>AND(#REF!,"AAAAAH//nXQ=")</f>
        <v>#REF!</v>
      </c>
      <c r="DN250" t="e">
        <f>AND(#REF!,"AAAAAH//nXU=")</f>
        <v>#REF!</v>
      </c>
      <c r="DO250" t="e">
        <f>AND(#REF!,"AAAAAH//nXY=")</f>
        <v>#REF!</v>
      </c>
      <c r="DP250" t="e">
        <f>AND(#REF!,"AAAAAH//nXc=")</f>
        <v>#REF!</v>
      </c>
      <c r="DQ250" t="e">
        <f>AND(#REF!,"AAAAAH//nXg=")</f>
        <v>#REF!</v>
      </c>
      <c r="DR250" t="e">
        <f>AND(#REF!,"AAAAAH//nXk=")</f>
        <v>#REF!</v>
      </c>
      <c r="DS250" t="e">
        <f>AND(#REF!,"AAAAAH//nXo=")</f>
        <v>#REF!</v>
      </c>
      <c r="DT250" t="e">
        <f>AND(#REF!,"AAAAAH//nXs=")</f>
        <v>#REF!</v>
      </c>
      <c r="DU250" t="e">
        <f>AND(#REF!,"AAAAAH//nXw=")</f>
        <v>#REF!</v>
      </c>
      <c r="DV250" t="e">
        <f>AND(#REF!,"AAAAAH//nX0=")</f>
        <v>#REF!</v>
      </c>
      <c r="DW250" t="e">
        <f>AND(#REF!,"AAAAAH//nX4=")</f>
        <v>#REF!</v>
      </c>
      <c r="DX250" t="e">
        <f>AND(#REF!,"AAAAAH//nX8=")</f>
        <v>#REF!</v>
      </c>
      <c r="DY250" t="e">
        <f>AND(#REF!,"AAAAAH//nYA=")</f>
        <v>#REF!</v>
      </c>
      <c r="DZ250" t="e">
        <f>AND(#REF!,"AAAAAH//nYE=")</f>
        <v>#REF!</v>
      </c>
      <c r="EA250" t="e">
        <f>IF(#REF!,"AAAAAH//nYI=",0)</f>
        <v>#REF!</v>
      </c>
      <c r="EB250" t="e">
        <f>AND(#REF!,"AAAAAH//nYM=")</f>
        <v>#REF!</v>
      </c>
      <c r="EC250" t="e">
        <f>AND(#REF!,"AAAAAH//nYQ=")</f>
        <v>#REF!</v>
      </c>
      <c r="ED250" t="e">
        <f>AND(#REF!,"AAAAAH//nYU=")</f>
        <v>#REF!</v>
      </c>
      <c r="EE250" t="e">
        <f>AND(#REF!,"AAAAAH//nYY=")</f>
        <v>#REF!</v>
      </c>
      <c r="EF250" t="e">
        <f>AND(#REF!,"AAAAAH//nYc=")</f>
        <v>#REF!</v>
      </c>
      <c r="EG250" t="e">
        <f>AND(#REF!,"AAAAAH//nYg=")</f>
        <v>#REF!</v>
      </c>
      <c r="EH250" t="e">
        <f>AND(#REF!,"AAAAAH//nYk=")</f>
        <v>#REF!</v>
      </c>
      <c r="EI250" t="e">
        <f>AND(#REF!,"AAAAAH//nYo=")</f>
        <v>#REF!</v>
      </c>
      <c r="EJ250" t="e">
        <f>AND(#REF!,"AAAAAH//nYs=")</f>
        <v>#REF!</v>
      </c>
      <c r="EK250" t="e">
        <f>AND(#REF!,"AAAAAH//nYw=")</f>
        <v>#REF!</v>
      </c>
      <c r="EL250" t="e">
        <f>AND(#REF!,"AAAAAH//nY0=")</f>
        <v>#REF!</v>
      </c>
      <c r="EM250" t="e">
        <f>AND(#REF!,"AAAAAH//nY4=")</f>
        <v>#REF!</v>
      </c>
      <c r="EN250" t="e">
        <f>AND(#REF!,"AAAAAH//nY8=")</f>
        <v>#REF!</v>
      </c>
      <c r="EO250" t="e">
        <f>AND(#REF!,"AAAAAH//nZA=")</f>
        <v>#REF!</v>
      </c>
      <c r="EP250" t="e">
        <f>AND(#REF!,"AAAAAH//nZE=")</f>
        <v>#REF!</v>
      </c>
      <c r="EQ250" t="e">
        <f>AND(#REF!,"AAAAAH//nZI=")</f>
        <v>#REF!</v>
      </c>
      <c r="ER250" t="e">
        <f>AND(#REF!,"AAAAAH//nZM=")</f>
        <v>#REF!</v>
      </c>
      <c r="ES250" t="e">
        <f>AND(#REF!,"AAAAAH//nZQ=")</f>
        <v>#REF!</v>
      </c>
      <c r="ET250" t="e">
        <f>AND(#REF!,"AAAAAH//nZU=")</f>
        <v>#REF!</v>
      </c>
      <c r="EU250" t="e">
        <f>AND(#REF!,"AAAAAH//nZY=")</f>
        <v>#REF!</v>
      </c>
      <c r="EV250" t="e">
        <f>AND(#REF!,"AAAAAH//nZc=")</f>
        <v>#REF!</v>
      </c>
      <c r="EW250" t="e">
        <f>AND(#REF!,"AAAAAH//nZg=")</f>
        <v>#REF!</v>
      </c>
      <c r="EX250" t="e">
        <f>AND(#REF!,"AAAAAH//nZk=")</f>
        <v>#REF!</v>
      </c>
      <c r="EY250" t="e">
        <f>AND(#REF!,"AAAAAH//nZo=")</f>
        <v>#REF!</v>
      </c>
      <c r="EZ250" t="e">
        <f>AND(#REF!,"AAAAAH//nZs=")</f>
        <v>#REF!</v>
      </c>
      <c r="FA250" t="e">
        <f>AND(#REF!,"AAAAAH//nZw=")</f>
        <v>#REF!</v>
      </c>
      <c r="FB250" t="e">
        <f>AND(#REF!,"AAAAAH//nZ0=")</f>
        <v>#REF!</v>
      </c>
      <c r="FC250" t="e">
        <f>AND(#REF!,"AAAAAH//nZ4=")</f>
        <v>#REF!</v>
      </c>
      <c r="FD250" t="e">
        <f>AND(#REF!,"AAAAAH//nZ8=")</f>
        <v>#REF!</v>
      </c>
      <c r="FE250" t="e">
        <f>AND(#REF!,"AAAAAH//naA=")</f>
        <v>#REF!</v>
      </c>
      <c r="FF250" t="e">
        <f>AND(#REF!,"AAAAAH//naE=")</f>
        <v>#REF!</v>
      </c>
      <c r="FG250" t="e">
        <f>AND(#REF!,"AAAAAH//naI=")</f>
        <v>#REF!</v>
      </c>
      <c r="FH250" t="e">
        <f>AND(#REF!,"AAAAAH//naM=")</f>
        <v>#REF!</v>
      </c>
      <c r="FI250" t="e">
        <f>AND(#REF!,"AAAAAH//naQ=")</f>
        <v>#REF!</v>
      </c>
      <c r="FJ250" t="e">
        <f>AND(#REF!,"AAAAAH//naU=")</f>
        <v>#REF!</v>
      </c>
      <c r="FK250" t="e">
        <f>AND(#REF!,"AAAAAH//naY=")</f>
        <v>#REF!</v>
      </c>
      <c r="FL250" t="e">
        <f>AND(#REF!,"AAAAAH//nac=")</f>
        <v>#REF!</v>
      </c>
      <c r="FM250" t="e">
        <f>AND(#REF!,"AAAAAH//nag=")</f>
        <v>#REF!</v>
      </c>
      <c r="FN250" t="e">
        <f>AND(#REF!,"AAAAAH//nak=")</f>
        <v>#REF!</v>
      </c>
      <c r="FO250" t="e">
        <f>AND(#REF!,"AAAAAH//nao=")</f>
        <v>#REF!</v>
      </c>
      <c r="FP250" t="e">
        <f>AND(#REF!,"AAAAAH//nas=")</f>
        <v>#REF!</v>
      </c>
      <c r="FQ250" t="e">
        <f>AND(#REF!,"AAAAAH//naw=")</f>
        <v>#REF!</v>
      </c>
      <c r="FR250" t="e">
        <f>AND(#REF!,"AAAAAH//na0=")</f>
        <v>#REF!</v>
      </c>
      <c r="FS250" t="e">
        <f>AND(#REF!,"AAAAAH//na4=")</f>
        <v>#REF!</v>
      </c>
      <c r="FT250" t="e">
        <f>AND(#REF!,"AAAAAH//na8=")</f>
        <v>#REF!</v>
      </c>
      <c r="FU250" t="e">
        <f>AND(#REF!,"AAAAAH//nbA=")</f>
        <v>#REF!</v>
      </c>
      <c r="FV250" t="e">
        <f>AND(#REF!,"AAAAAH//nbE=")</f>
        <v>#REF!</v>
      </c>
      <c r="FW250" t="e">
        <f>AND(#REF!,"AAAAAH//nbI=")</f>
        <v>#REF!</v>
      </c>
      <c r="FX250" t="e">
        <f>AND(#REF!,"AAAAAH//nbM=")</f>
        <v>#REF!</v>
      </c>
      <c r="FY250" t="e">
        <f>AND(#REF!,"AAAAAH//nbQ=")</f>
        <v>#REF!</v>
      </c>
      <c r="FZ250" t="e">
        <f>AND(#REF!,"AAAAAH//nbU=")</f>
        <v>#REF!</v>
      </c>
      <c r="GA250" t="e">
        <f>AND(#REF!,"AAAAAH//nbY=")</f>
        <v>#REF!</v>
      </c>
      <c r="GB250" t="e">
        <f>AND(#REF!,"AAAAAH//nbc=")</f>
        <v>#REF!</v>
      </c>
      <c r="GC250" t="e">
        <f>AND(#REF!,"AAAAAH//nbg=")</f>
        <v>#REF!</v>
      </c>
      <c r="GD250" t="e">
        <f>AND(#REF!,"AAAAAH//nbk=")</f>
        <v>#REF!</v>
      </c>
      <c r="GE250" t="e">
        <f>AND(#REF!,"AAAAAH//nbo=")</f>
        <v>#REF!</v>
      </c>
      <c r="GF250" t="e">
        <f>AND(#REF!,"AAAAAH//nbs=")</f>
        <v>#REF!</v>
      </c>
      <c r="GG250" t="e">
        <f>AND(#REF!,"AAAAAH//nbw=")</f>
        <v>#REF!</v>
      </c>
      <c r="GH250" t="e">
        <f>AND(#REF!,"AAAAAH//nb0=")</f>
        <v>#REF!</v>
      </c>
      <c r="GI250" t="e">
        <f>AND(#REF!,"AAAAAH//nb4=")</f>
        <v>#REF!</v>
      </c>
      <c r="GJ250" t="e">
        <f>AND(#REF!,"AAAAAH//nb8=")</f>
        <v>#REF!</v>
      </c>
      <c r="GK250" t="e">
        <f>AND(#REF!,"AAAAAH//ncA=")</f>
        <v>#REF!</v>
      </c>
      <c r="GL250" t="e">
        <f>AND(#REF!,"AAAAAH//ncE=")</f>
        <v>#REF!</v>
      </c>
      <c r="GM250" t="e">
        <f>AND(#REF!,"AAAAAH//ncI=")</f>
        <v>#REF!</v>
      </c>
      <c r="GN250" t="e">
        <f>AND(#REF!,"AAAAAH//ncM=")</f>
        <v>#REF!</v>
      </c>
      <c r="GO250" t="e">
        <f>AND(#REF!,"AAAAAH//ncQ=")</f>
        <v>#REF!</v>
      </c>
      <c r="GP250" t="e">
        <f>AND(#REF!,"AAAAAH//ncU=")</f>
        <v>#REF!</v>
      </c>
      <c r="GQ250" t="e">
        <f>AND(#REF!,"AAAAAH//ncY=")</f>
        <v>#REF!</v>
      </c>
      <c r="GR250" t="e">
        <f>AND(#REF!,"AAAAAH//ncc=")</f>
        <v>#REF!</v>
      </c>
      <c r="GS250" t="e">
        <f>AND(#REF!,"AAAAAH//ncg=")</f>
        <v>#REF!</v>
      </c>
      <c r="GT250" t="e">
        <f>AND(#REF!,"AAAAAH//nck=")</f>
        <v>#REF!</v>
      </c>
      <c r="GU250" t="e">
        <f>AND(#REF!,"AAAAAH//nco=")</f>
        <v>#REF!</v>
      </c>
      <c r="GV250" t="e">
        <f>AND(#REF!,"AAAAAH//ncs=")</f>
        <v>#REF!</v>
      </c>
      <c r="GW250" t="e">
        <f>AND(#REF!,"AAAAAH//ncw=")</f>
        <v>#REF!</v>
      </c>
      <c r="GX250" t="e">
        <f>AND(#REF!,"AAAAAH//nc0=")</f>
        <v>#REF!</v>
      </c>
      <c r="GY250" t="e">
        <f>AND(#REF!,"AAAAAH//nc4=")</f>
        <v>#REF!</v>
      </c>
      <c r="GZ250" t="e">
        <f>AND(#REF!,"AAAAAH//nc8=")</f>
        <v>#REF!</v>
      </c>
      <c r="HA250" t="e">
        <f>AND(#REF!,"AAAAAH//ndA=")</f>
        <v>#REF!</v>
      </c>
      <c r="HB250" t="e">
        <f>AND(#REF!,"AAAAAH//ndE=")</f>
        <v>#REF!</v>
      </c>
      <c r="HC250" t="e">
        <f>AND(#REF!,"AAAAAH//ndI=")</f>
        <v>#REF!</v>
      </c>
      <c r="HD250" t="e">
        <f>AND(#REF!,"AAAAAH//ndM=")</f>
        <v>#REF!</v>
      </c>
      <c r="HE250" t="e">
        <f>AND(#REF!,"AAAAAH//ndQ=")</f>
        <v>#REF!</v>
      </c>
      <c r="HF250" t="e">
        <f>AND(#REF!,"AAAAAH//ndU=")</f>
        <v>#REF!</v>
      </c>
      <c r="HG250" t="e">
        <f>AND(#REF!,"AAAAAH//ndY=")</f>
        <v>#REF!</v>
      </c>
      <c r="HH250" t="e">
        <f>AND(#REF!,"AAAAAH//ndc=")</f>
        <v>#REF!</v>
      </c>
      <c r="HI250" t="e">
        <f>AND(#REF!,"AAAAAH//ndg=")</f>
        <v>#REF!</v>
      </c>
      <c r="HJ250" t="e">
        <f>AND(#REF!,"AAAAAH//ndk=")</f>
        <v>#REF!</v>
      </c>
      <c r="HK250" t="e">
        <f>AND(#REF!,"AAAAAH//ndo=")</f>
        <v>#REF!</v>
      </c>
      <c r="HL250" t="e">
        <f>AND(#REF!,"AAAAAH//nds=")</f>
        <v>#REF!</v>
      </c>
      <c r="HM250" t="e">
        <f>AND(#REF!,"AAAAAH//ndw=")</f>
        <v>#REF!</v>
      </c>
      <c r="HN250" t="e">
        <f>AND(#REF!,"AAAAAH//nd0=")</f>
        <v>#REF!</v>
      </c>
      <c r="HO250" t="e">
        <f>AND(#REF!,"AAAAAH//nd4=")</f>
        <v>#REF!</v>
      </c>
      <c r="HP250" t="e">
        <f>AND(#REF!,"AAAAAH//nd8=")</f>
        <v>#REF!</v>
      </c>
      <c r="HQ250" t="e">
        <f>AND(#REF!,"AAAAAH//neA=")</f>
        <v>#REF!</v>
      </c>
      <c r="HR250" t="e">
        <f>AND(#REF!,"AAAAAH//neE=")</f>
        <v>#REF!</v>
      </c>
      <c r="HS250" t="e">
        <f>AND(#REF!,"AAAAAH//neI=")</f>
        <v>#REF!</v>
      </c>
      <c r="HT250" t="e">
        <f>AND(#REF!,"AAAAAH//neM=")</f>
        <v>#REF!</v>
      </c>
      <c r="HU250" t="e">
        <f>AND(#REF!,"AAAAAH//neQ=")</f>
        <v>#REF!</v>
      </c>
      <c r="HV250" t="e">
        <f>AND(#REF!,"AAAAAH//neU=")</f>
        <v>#REF!</v>
      </c>
      <c r="HW250" t="e">
        <f>AND(#REF!,"AAAAAH//neY=")</f>
        <v>#REF!</v>
      </c>
      <c r="HX250" t="e">
        <f>AND(#REF!,"AAAAAH//nec=")</f>
        <v>#REF!</v>
      </c>
      <c r="HY250" t="e">
        <f>AND(#REF!,"AAAAAH//neg=")</f>
        <v>#REF!</v>
      </c>
      <c r="HZ250" t="e">
        <f>AND(#REF!,"AAAAAH//nek=")</f>
        <v>#REF!</v>
      </c>
      <c r="IA250" t="e">
        <f>AND(#REF!,"AAAAAH//neo=")</f>
        <v>#REF!</v>
      </c>
      <c r="IB250" t="e">
        <f>AND(#REF!,"AAAAAH//nes=")</f>
        <v>#REF!</v>
      </c>
      <c r="IC250" t="e">
        <f>AND(#REF!,"AAAAAH//new=")</f>
        <v>#REF!</v>
      </c>
      <c r="ID250" t="e">
        <f>AND(#REF!,"AAAAAH//ne0=")</f>
        <v>#REF!</v>
      </c>
      <c r="IE250" t="e">
        <f>AND(#REF!,"AAAAAH//ne4=")</f>
        <v>#REF!</v>
      </c>
      <c r="IF250" t="e">
        <f>AND(#REF!,"AAAAAH//ne8=")</f>
        <v>#REF!</v>
      </c>
      <c r="IG250" t="e">
        <f>AND(#REF!,"AAAAAH//nfA=")</f>
        <v>#REF!</v>
      </c>
      <c r="IH250" t="e">
        <f>AND(#REF!,"AAAAAH//nfE=")</f>
        <v>#REF!</v>
      </c>
      <c r="II250" t="e">
        <f>AND(#REF!,"AAAAAH//nfI=")</f>
        <v>#REF!</v>
      </c>
      <c r="IJ250" t="e">
        <f>AND(#REF!,"AAAAAH//nfM=")</f>
        <v>#REF!</v>
      </c>
      <c r="IK250" t="e">
        <f>AND(#REF!,"AAAAAH//nfQ=")</f>
        <v>#REF!</v>
      </c>
      <c r="IL250" t="e">
        <f>AND(#REF!,"AAAAAH//nfU=")</f>
        <v>#REF!</v>
      </c>
      <c r="IM250" t="e">
        <f>AND(#REF!,"AAAAAH//nfY=")</f>
        <v>#REF!</v>
      </c>
      <c r="IN250" t="e">
        <f>AND(#REF!,"AAAAAH//nfc=")</f>
        <v>#REF!</v>
      </c>
      <c r="IO250" t="e">
        <f>AND(#REF!,"AAAAAH//nfg=")</f>
        <v>#REF!</v>
      </c>
      <c r="IP250" t="e">
        <f>AND(#REF!,"AAAAAH//nfk=")</f>
        <v>#REF!</v>
      </c>
      <c r="IQ250" t="e">
        <f>AND(#REF!,"AAAAAH//nfo=")</f>
        <v>#REF!</v>
      </c>
      <c r="IR250" t="e">
        <f>AND(#REF!,"AAAAAH//nfs=")</f>
        <v>#REF!</v>
      </c>
      <c r="IS250" t="e">
        <f>AND(#REF!,"AAAAAH//nfw=")</f>
        <v>#REF!</v>
      </c>
      <c r="IT250" t="e">
        <f>AND(#REF!,"AAAAAH//nf0=")</f>
        <v>#REF!</v>
      </c>
      <c r="IU250" t="e">
        <f>AND(#REF!,"AAAAAH//nf4=")</f>
        <v>#REF!</v>
      </c>
      <c r="IV250" t="e">
        <f>AND(#REF!,"AAAAAH//nf8=")</f>
        <v>#REF!</v>
      </c>
    </row>
    <row r="251" spans="1:256" x14ac:dyDescent="0.25">
      <c r="A251" t="e">
        <f>AND(#REF!,"AAAAAHvL/gA=")</f>
        <v>#REF!</v>
      </c>
      <c r="B251" t="e">
        <f>AND(#REF!,"AAAAAHvL/gE=")</f>
        <v>#REF!</v>
      </c>
      <c r="C251" t="e">
        <f>AND(#REF!,"AAAAAHvL/gI=")</f>
        <v>#REF!</v>
      </c>
      <c r="D251" t="e">
        <f>AND(#REF!,"AAAAAHvL/gM=")</f>
        <v>#REF!</v>
      </c>
      <c r="E251" t="e">
        <f>AND(#REF!,"AAAAAHvL/gQ=")</f>
        <v>#REF!</v>
      </c>
      <c r="F251" t="e">
        <f>AND(#REF!,"AAAAAHvL/gU=")</f>
        <v>#REF!</v>
      </c>
      <c r="G251" t="e">
        <f>AND(#REF!,"AAAAAHvL/gY=")</f>
        <v>#REF!</v>
      </c>
      <c r="H251" t="e">
        <f>AND(#REF!,"AAAAAHvL/gc=")</f>
        <v>#REF!</v>
      </c>
      <c r="I251" t="e">
        <f>AND(#REF!,"AAAAAHvL/gg=")</f>
        <v>#REF!</v>
      </c>
      <c r="J251" t="e">
        <f>AND(#REF!,"AAAAAHvL/gk=")</f>
        <v>#REF!</v>
      </c>
      <c r="K251" t="e">
        <f>AND(#REF!,"AAAAAHvL/go=")</f>
        <v>#REF!</v>
      </c>
      <c r="L251" t="e">
        <f>AND(#REF!,"AAAAAHvL/gs=")</f>
        <v>#REF!</v>
      </c>
      <c r="M251" t="e">
        <f>AND(#REF!,"AAAAAHvL/gw=")</f>
        <v>#REF!</v>
      </c>
      <c r="N251" t="e">
        <f>AND(#REF!,"AAAAAHvL/g0=")</f>
        <v>#REF!</v>
      </c>
      <c r="O251" t="e">
        <f>AND(#REF!,"AAAAAHvL/g4=")</f>
        <v>#REF!</v>
      </c>
      <c r="P251" t="e">
        <f>AND(#REF!,"AAAAAHvL/g8=")</f>
        <v>#REF!</v>
      </c>
      <c r="Q251" t="e">
        <f>AND(#REF!,"AAAAAHvL/hA=")</f>
        <v>#REF!</v>
      </c>
      <c r="R251" t="e">
        <f>AND(#REF!,"AAAAAHvL/hE=")</f>
        <v>#REF!</v>
      </c>
      <c r="S251" t="e">
        <f>AND(#REF!,"AAAAAHvL/hI=")</f>
        <v>#REF!</v>
      </c>
      <c r="T251" t="e">
        <f>AND(#REF!,"AAAAAHvL/hM=")</f>
        <v>#REF!</v>
      </c>
      <c r="U251" t="e">
        <f>AND(#REF!,"AAAAAHvL/hQ=")</f>
        <v>#REF!</v>
      </c>
      <c r="V251" t="e">
        <f>AND(#REF!,"AAAAAHvL/hU=")</f>
        <v>#REF!</v>
      </c>
      <c r="W251" t="e">
        <f>AND(#REF!,"AAAAAHvL/hY=")</f>
        <v>#REF!</v>
      </c>
      <c r="X251" t="e">
        <f>AND(#REF!,"AAAAAHvL/hc=")</f>
        <v>#REF!</v>
      </c>
      <c r="Y251" t="e">
        <f>AND(#REF!,"AAAAAHvL/hg=")</f>
        <v>#REF!</v>
      </c>
      <c r="Z251" t="e">
        <f>AND(#REF!,"AAAAAHvL/hk=")</f>
        <v>#REF!</v>
      </c>
      <c r="AA251" t="e">
        <f>AND(#REF!,"AAAAAHvL/ho=")</f>
        <v>#REF!</v>
      </c>
      <c r="AB251" t="e">
        <f>AND(#REF!,"AAAAAHvL/hs=")</f>
        <v>#REF!</v>
      </c>
      <c r="AC251" t="e">
        <f>AND(#REF!,"AAAAAHvL/hw=")</f>
        <v>#REF!</v>
      </c>
      <c r="AD251" t="e">
        <f>AND(#REF!,"AAAAAHvL/h0=")</f>
        <v>#REF!</v>
      </c>
      <c r="AE251" t="e">
        <f>AND(#REF!,"AAAAAHvL/h4=")</f>
        <v>#REF!</v>
      </c>
      <c r="AF251" t="e">
        <f>AND(#REF!,"AAAAAHvL/h8=")</f>
        <v>#REF!</v>
      </c>
      <c r="AG251" t="e">
        <f>AND(#REF!,"AAAAAHvL/iA=")</f>
        <v>#REF!</v>
      </c>
      <c r="AH251" t="e">
        <f>AND(#REF!,"AAAAAHvL/iE=")</f>
        <v>#REF!</v>
      </c>
      <c r="AI251" t="e">
        <f>AND(#REF!,"AAAAAHvL/iI=")</f>
        <v>#REF!</v>
      </c>
      <c r="AJ251" t="e">
        <f>AND(#REF!,"AAAAAHvL/iM=")</f>
        <v>#REF!</v>
      </c>
      <c r="AK251" t="e">
        <f>AND(#REF!,"AAAAAHvL/iQ=")</f>
        <v>#REF!</v>
      </c>
      <c r="AL251" t="e">
        <f>AND(#REF!,"AAAAAHvL/iU=")</f>
        <v>#REF!</v>
      </c>
      <c r="AM251" t="e">
        <f>AND(#REF!,"AAAAAHvL/iY=")</f>
        <v>#REF!</v>
      </c>
      <c r="AN251" t="e">
        <f>AND(#REF!,"AAAAAHvL/ic=")</f>
        <v>#REF!</v>
      </c>
      <c r="AO251" t="e">
        <f>AND(#REF!,"AAAAAHvL/ig=")</f>
        <v>#REF!</v>
      </c>
      <c r="AP251" t="e">
        <f>AND(#REF!,"AAAAAHvL/ik=")</f>
        <v>#REF!</v>
      </c>
      <c r="AQ251" t="e">
        <f>AND(#REF!,"AAAAAHvL/io=")</f>
        <v>#REF!</v>
      </c>
      <c r="AR251" t="e">
        <f>AND(#REF!,"AAAAAHvL/is=")</f>
        <v>#REF!</v>
      </c>
      <c r="AS251" t="e">
        <f>AND(#REF!,"AAAAAHvL/iw=")</f>
        <v>#REF!</v>
      </c>
      <c r="AT251" t="e">
        <f>AND(#REF!,"AAAAAHvL/i0=")</f>
        <v>#REF!</v>
      </c>
      <c r="AU251" t="e">
        <f>AND(#REF!,"AAAAAHvL/i4=")</f>
        <v>#REF!</v>
      </c>
      <c r="AV251" t="e">
        <f>AND(#REF!,"AAAAAHvL/i8=")</f>
        <v>#REF!</v>
      </c>
      <c r="AW251" t="e">
        <f>AND(#REF!,"AAAAAHvL/jA=")</f>
        <v>#REF!</v>
      </c>
      <c r="AX251" t="e">
        <f>AND(#REF!,"AAAAAHvL/jE=")</f>
        <v>#REF!</v>
      </c>
      <c r="AY251" t="e">
        <f>AND(#REF!,"AAAAAHvL/jI=")</f>
        <v>#REF!</v>
      </c>
      <c r="AZ251" t="e">
        <f>AND(#REF!,"AAAAAHvL/jM=")</f>
        <v>#REF!</v>
      </c>
      <c r="BA251" t="e">
        <f>AND(#REF!,"AAAAAHvL/jQ=")</f>
        <v>#REF!</v>
      </c>
      <c r="BB251" t="e">
        <f>AND(#REF!,"AAAAAHvL/jU=")</f>
        <v>#REF!</v>
      </c>
      <c r="BC251" t="e">
        <f>AND(#REF!,"AAAAAHvL/jY=")</f>
        <v>#REF!</v>
      </c>
      <c r="BD251" t="e">
        <f>AND(#REF!,"AAAAAHvL/jc=")</f>
        <v>#REF!</v>
      </c>
      <c r="BE251" t="e">
        <f>AND(#REF!,"AAAAAHvL/jg=")</f>
        <v>#REF!</v>
      </c>
      <c r="BF251" t="e">
        <f>AND(#REF!,"AAAAAHvL/jk=")</f>
        <v>#REF!</v>
      </c>
      <c r="BG251" t="e">
        <f>AND(#REF!,"AAAAAHvL/jo=")</f>
        <v>#REF!</v>
      </c>
      <c r="BH251" t="e">
        <f>AND(#REF!,"AAAAAHvL/js=")</f>
        <v>#REF!</v>
      </c>
      <c r="BI251" t="e">
        <f>AND(#REF!,"AAAAAHvL/jw=")</f>
        <v>#REF!</v>
      </c>
      <c r="BJ251" t="e">
        <f>AND(#REF!,"AAAAAHvL/j0=")</f>
        <v>#REF!</v>
      </c>
      <c r="BK251" t="e">
        <f>AND(#REF!,"AAAAAHvL/j4=")</f>
        <v>#REF!</v>
      </c>
      <c r="BL251" t="e">
        <f>IF(#REF!,"AAAAAHvL/j8=",0)</f>
        <v>#REF!</v>
      </c>
      <c r="BM251" t="e">
        <f>AND(#REF!,"AAAAAHvL/kA=")</f>
        <v>#REF!</v>
      </c>
      <c r="BN251" t="e">
        <f>AND(#REF!,"AAAAAHvL/kE=")</f>
        <v>#REF!</v>
      </c>
      <c r="BO251" t="e">
        <f>AND(#REF!,"AAAAAHvL/kI=")</f>
        <v>#REF!</v>
      </c>
      <c r="BP251" t="e">
        <f>AND(#REF!,"AAAAAHvL/kM=")</f>
        <v>#REF!</v>
      </c>
      <c r="BQ251" t="e">
        <f>AND(#REF!,"AAAAAHvL/kQ=")</f>
        <v>#REF!</v>
      </c>
      <c r="BR251" t="e">
        <f>AND(#REF!,"AAAAAHvL/kU=")</f>
        <v>#REF!</v>
      </c>
      <c r="BS251" t="e">
        <f>AND(#REF!,"AAAAAHvL/kY=")</f>
        <v>#REF!</v>
      </c>
      <c r="BT251" t="e">
        <f>AND(#REF!,"AAAAAHvL/kc=")</f>
        <v>#REF!</v>
      </c>
      <c r="BU251" t="e">
        <f>AND(#REF!,"AAAAAHvL/kg=")</f>
        <v>#REF!</v>
      </c>
      <c r="BV251" t="e">
        <f>AND(#REF!,"AAAAAHvL/kk=")</f>
        <v>#REF!</v>
      </c>
      <c r="BW251" t="e">
        <f>AND(#REF!,"AAAAAHvL/ko=")</f>
        <v>#REF!</v>
      </c>
      <c r="BX251" t="e">
        <f>AND(#REF!,"AAAAAHvL/ks=")</f>
        <v>#REF!</v>
      </c>
      <c r="BY251" t="e">
        <f>AND(#REF!,"AAAAAHvL/kw=")</f>
        <v>#REF!</v>
      </c>
      <c r="BZ251" t="e">
        <f>AND(#REF!,"AAAAAHvL/k0=")</f>
        <v>#REF!</v>
      </c>
      <c r="CA251" t="e">
        <f>AND(#REF!,"AAAAAHvL/k4=")</f>
        <v>#REF!</v>
      </c>
      <c r="CB251" t="e">
        <f>AND(#REF!,"AAAAAHvL/k8=")</f>
        <v>#REF!</v>
      </c>
      <c r="CC251" t="e">
        <f>AND(#REF!,"AAAAAHvL/lA=")</f>
        <v>#REF!</v>
      </c>
      <c r="CD251" t="e">
        <f>AND(#REF!,"AAAAAHvL/lE=")</f>
        <v>#REF!</v>
      </c>
      <c r="CE251" t="e">
        <f>AND(#REF!,"AAAAAHvL/lI=")</f>
        <v>#REF!</v>
      </c>
      <c r="CF251" t="e">
        <f>AND(#REF!,"AAAAAHvL/lM=")</f>
        <v>#REF!</v>
      </c>
      <c r="CG251" t="e">
        <f>AND(#REF!,"AAAAAHvL/lQ=")</f>
        <v>#REF!</v>
      </c>
      <c r="CH251" t="e">
        <f>AND(#REF!,"AAAAAHvL/lU=")</f>
        <v>#REF!</v>
      </c>
      <c r="CI251" t="e">
        <f>AND(#REF!,"AAAAAHvL/lY=")</f>
        <v>#REF!</v>
      </c>
      <c r="CJ251" t="e">
        <f>AND(#REF!,"AAAAAHvL/lc=")</f>
        <v>#REF!</v>
      </c>
      <c r="CK251" t="e">
        <f>AND(#REF!,"AAAAAHvL/lg=")</f>
        <v>#REF!</v>
      </c>
      <c r="CL251" t="e">
        <f>AND(#REF!,"AAAAAHvL/lk=")</f>
        <v>#REF!</v>
      </c>
      <c r="CM251" t="e">
        <f>AND(#REF!,"AAAAAHvL/lo=")</f>
        <v>#REF!</v>
      </c>
      <c r="CN251" t="e">
        <f>AND(#REF!,"AAAAAHvL/ls=")</f>
        <v>#REF!</v>
      </c>
      <c r="CO251" t="e">
        <f>AND(#REF!,"AAAAAHvL/lw=")</f>
        <v>#REF!</v>
      </c>
      <c r="CP251" t="e">
        <f>AND(#REF!,"AAAAAHvL/l0=")</f>
        <v>#REF!</v>
      </c>
      <c r="CQ251" t="e">
        <f>AND(#REF!,"AAAAAHvL/l4=")</f>
        <v>#REF!</v>
      </c>
      <c r="CR251" t="e">
        <f>AND(#REF!,"AAAAAHvL/l8=")</f>
        <v>#REF!</v>
      </c>
      <c r="CS251" t="e">
        <f>AND(#REF!,"AAAAAHvL/mA=")</f>
        <v>#REF!</v>
      </c>
      <c r="CT251" t="e">
        <f>AND(#REF!,"AAAAAHvL/mE=")</f>
        <v>#REF!</v>
      </c>
      <c r="CU251" t="e">
        <f>AND(#REF!,"AAAAAHvL/mI=")</f>
        <v>#REF!</v>
      </c>
      <c r="CV251" t="e">
        <f>AND(#REF!,"AAAAAHvL/mM=")</f>
        <v>#REF!</v>
      </c>
      <c r="CW251" t="e">
        <f>AND(#REF!,"AAAAAHvL/mQ=")</f>
        <v>#REF!</v>
      </c>
      <c r="CX251" t="e">
        <f>AND(#REF!,"AAAAAHvL/mU=")</f>
        <v>#REF!</v>
      </c>
      <c r="CY251" t="e">
        <f>AND(#REF!,"AAAAAHvL/mY=")</f>
        <v>#REF!</v>
      </c>
      <c r="CZ251" t="e">
        <f>AND(#REF!,"AAAAAHvL/mc=")</f>
        <v>#REF!</v>
      </c>
      <c r="DA251" t="e">
        <f>AND(#REF!,"AAAAAHvL/mg=")</f>
        <v>#REF!</v>
      </c>
      <c r="DB251" t="e">
        <f>AND(#REF!,"AAAAAHvL/mk=")</f>
        <v>#REF!</v>
      </c>
      <c r="DC251" t="e">
        <f>AND(#REF!,"AAAAAHvL/mo=")</f>
        <v>#REF!</v>
      </c>
      <c r="DD251" t="e">
        <f>AND(#REF!,"AAAAAHvL/ms=")</f>
        <v>#REF!</v>
      </c>
      <c r="DE251" t="e">
        <f>AND(#REF!,"AAAAAHvL/mw=")</f>
        <v>#REF!</v>
      </c>
      <c r="DF251" t="e">
        <f>AND(#REF!,"AAAAAHvL/m0=")</f>
        <v>#REF!</v>
      </c>
      <c r="DG251" t="e">
        <f>AND(#REF!,"AAAAAHvL/m4=")</f>
        <v>#REF!</v>
      </c>
      <c r="DH251" t="e">
        <f>AND(#REF!,"AAAAAHvL/m8=")</f>
        <v>#REF!</v>
      </c>
      <c r="DI251" t="e">
        <f>AND(#REF!,"AAAAAHvL/nA=")</f>
        <v>#REF!</v>
      </c>
      <c r="DJ251" t="e">
        <f>AND(#REF!,"AAAAAHvL/nE=")</f>
        <v>#REF!</v>
      </c>
      <c r="DK251" t="e">
        <f>AND(#REF!,"AAAAAHvL/nI=")</f>
        <v>#REF!</v>
      </c>
      <c r="DL251" t="e">
        <f>AND(#REF!,"AAAAAHvL/nM=")</f>
        <v>#REF!</v>
      </c>
      <c r="DM251" t="e">
        <f>AND(#REF!,"AAAAAHvL/nQ=")</f>
        <v>#REF!</v>
      </c>
      <c r="DN251" t="e">
        <f>AND(#REF!,"AAAAAHvL/nU=")</f>
        <v>#REF!</v>
      </c>
      <c r="DO251" t="e">
        <f>AND(#REF!,"AAAAAHvL/nY=")</f>
        <v>#REF!</v>
      </c>
      <c r="DP251" t="e">
        <f>AND(#REF!,"AAAAAHvL/nc=")</f>
        <v>#REF!</v>
      </c>
      <c r="DQ251" t="e">
        <f>AND(#REF!,"AAAAAHvL/ng=")</f>
        <v>#REF!</v>
      </c>
      <c r="DR251" t="e">
        <f>AND(#REF!,"AAAAAHvL/nk=")</f>
        <v>#REF!</v>
      </c>
      <c r="DS251" t="e">
        <f>AND(#REF!,"AAAAAHvL/no=")</f>
        <v>#REF!</v>
      </c>
      <c r="DT251" t="e">
        <f>AND(#REF!,"AAAAAHvL/ns=")</f>
        <v>#REF!</v>
      </c>
      <c r="DU251" t="e">
        <f>AND(#REF!,"AAAAAHvL/nw=")</f>
        <v>#REF!</v>
      </c>
      <c r="DV251" t="e">
        <f>AND(#REF!,"AAAAAHvL/n0=")</f>
        <v>#REF!</v>
      </c>
      <c r="DW251" t="e">
        <f>AND(#REF!,"AAAAAHvL/n4=")</f>
        <v>#REF!</v>
      </c>
      <c r="DX251" t="e">
        <f>AND(#REF!,"AAAAAHvL/n8=")</f>
        <v>#REF!</v>
      </c>
      <c r="DY251" t="e">
        <f>AND(#REF!,"AAAAAHvL/oA=")</f>
        <v>#REF!</v>
      </c>
      <c r="DZ251" t="e">
        <f>AND(#REF!,"AAAAAHvL/oE=")</f>
        <v>#REF!</v>
      </c>
      <c r="EA251" t="e">
        <f>AND(#REF!,"AAAAAHvL/oI=")</f>
        <v>#REF!</v>
      </c>
      <c r="EB251" t="e">
        <f>AND(#REF!,"AAAAAHvL/oM=")</f>
        <v>#REF!</v>
      </c>
      <c r="EC251" t="e">
        <f>AND(#REF!,"AAAAAHvL/oQ=")</f>
        <v>#REF!</v>
      </c>
      <c r="ED251" t="e">
        <f>AND(#REF!,"AAAAAHvL/oU=")</f>
        <v>#REF!</v>
      </c>
      <c r="EE251" t="e">
        <f>AND(#REF!,"AAAAAHvL/oY=")</f>
        <v>#REF!</v>
      </c>
      <c r="EF251" t="e">
        <f>AND(#REF!,"AAAAAHvL/oc=")</f>
        <v>#REF!</v>
      </c>
      <c r="EG251" t="e">
        <f>AND(#REF!,"AAAAAHvL/og=")</f>
        <v>#REF!</v>
      </c>
      <c r="EH251" t="e">
        <f>AND(#REF!,"AAAAAHvL/ok=")</f>
        <v>#REF!</v>
      </c>
      <c r="EI251" t="e">
        <f>AND(#REF!,"AAAAAHvL/oo=")</f>
        <v>#REF!</v>
      </c>
      <c r="EJ251" t="e">
        <f>AND(#REF!,"AAAAAHvL/os=")</f>
        <v>#REF!</v>
      </c>
      <c r="EK251" t="e">
        <f>AND(#REF!,"AAAAAHvL/ow=")</f>
        <v>#REF!</v>
      </c>
      <c r="EL251" t="e">
        <f>AND(#REF!,"AAAAAHvL/o0=")</f>
        <v>#REF!</v>
      </c>
      <c r="EM251" t="e">
        <f>AND(#REF!,"AAAAAHvL/o4=")</f>
        <v>#REF!</v>
      </c>
      <c r="EN251" t="e">
        <f>AND(#REF!,"AAAAAHvL/o8=")</f>
        <v>#REF!</v>
      </c>
      <c r="EO251" t="e">
        <f>AND(#REF!,"AAAAAHvL/pA=")</f>
        <v>#REF!</v>
      </c>
      <c r="EP251" t="e">
        <f>AND(#REF!,"AAAAAHvL/pE=")</f>
        <v>#REF!</v>
      </c>
      <c r="EQ251" t="e">
        <f>AND(#REF!,"AAAAAHvL/pI=")</f>
        <v>#REF!</v>
      </c>
      <c r="ER251" t="e">
        <f>AND(#REF!,"AAAAAHvL/pM=")</f>
        <v>#REF!</v>
      </c>
      <c r="ES251" t="e">
        <f>AND(#REF!,"AAAAAHvL/pQ=")</f>
        <v>#REF!</v>
      </c>
      <c r="ET251" t="e">
        <f>AND(#REF!,"AAAAAHvL/pU=")</f>
        <v>#REF!</v>
      </c>
      <c r="EU251" t="e">
        <f>AND(#REF!,"AAAAAHvL/pY=")</f>
        <v>#REF!</v>
      </c>
      <c r="EV251" t="e">
        <f>AND(#REF!,"AAAAAHvL/pc=")</f>
        <v>#REF!</v>
      </c>
      <c r="EW251" t="e">
        <f>AND(#REF!,"AAAAAHvL/pg=")</f>
        <v>#REF!</v>
      </c>
      <c r="EX251" t="e">
        <f>AND(#REF!,"AAAAAHvL/pk=")</f>
        <v>#REF!</v>
      </c>
      <c r="EY251" t="e">
        <f>AND(#REF!,"AAAAAHvL/po=")</f>
        <v>#REF!</v>
      </c>
      <c r="EZ251" t="e">
        <f>AND(#REF!,"AAAAAHvL/ps=")</f>
        <v>#REF!</v>
      </c>
      <c r="FA251" t="e">
        <f>AND(#REF!,"AAAAAHvL/pw=")</f>
        <v>#REF!</v>
      </c>
      <c r="FB251" t="e">
        <f>AND(#REF!,"AAAAAHvL/p0=")</f>
        <v>#REF!</v>
      </c>
      <c r="FC251" t="e">
        <f>AND(#REF!,"AAAAAHvL/p4=")</f>
        <v>#REF!</v>
      </c>
      <c r="FD251" t="e">
        <f>AND(#REF!,"AAAAAHvL/p8=")</f>
        <v>#REF!</v>
      </c>
      <c r="FE251" t="e">
        <f>AND(#REF!,"AAAAAHvL/qA=")</f>
        <v>#REF!</v>
      </c>
      <c r="FF251" t="e">
        <f>AND(#REF!,"AAAAAHvL/qE=")</f>
        <v>#REF!</v>
      </c>
      <c r="FG251" t="e">
        <f>AND(#REF!,"AAAAAHvL/qI=")</f>
        <v>#REF!</v>
      </c>
      <c r="FH251" t="e">
        <f>AND(#REF!,"AAAAAHvL/qM=")</f>
        <v>#REF!</v>
      </c>
      <c r="FI251" t="e">
        <f>AND(#REF!,"AAAAAHvL/qQ=")</f>
        <v>#REF!</v>
      </c>
      <c r="FJ251" t="e">
        <f>AND(#REF!,"AAAAAHvL/qU=")</f>
        <v>#REF!</v>
      </c>
      <c r="FK251" t="e">
        <f>AND(#REF!,"AAAAAHvL/qY=")</f>
        <v>#REF!</v>
      </c>
      <c r="FL251" t="e">
        <f>AND(#REF!,"AAAAAHvL/qc=")</f>
        <v>#REF!</v>
      </c>
      <c r="FM251" t="e">
        <f>AND(#REF!,"AAAAAHvL/qg=")</f>
        <v>#REF!</v>
      </c>
      <c r="FN251" t="e">
        <f>AND(#REF!,"AAAAAHvL/qk=")</f>
        <v>#REF!</v>
      </c>
      <c r="FO251" t="e">
        <f>AND(#REF!,"AAAAAHvL/qo=")</f>
        <v>#REF!</v>
      </c>
      <c r="FP251" t="e">
        <f>AND(#REF!,"AAAAAHvL/qs=")</f>
        <v>#REF!</v>
      </c>
      <c r="FQ251" t="e">
        <f>AND(#REF!,"AAAAAHvL/qw=")</f>
        <v>#REF!</v>
      </c>
      <c r="FR251" t="e">
        <f>AND(#REF!,"AAAAAHvL/q0=")</f>
        <v>#REF!</v>
      </c>
      <c r="FS251" t="e">
        <f>AND(#REF!,"AAAAAHvL/q4=")</f>
        <v>#REF!</v>
      </c>
      <c r="FT251" t="e">
        <f>AND(#REF!,"AAAAAHvL/q8=")</f>
        <v>#REF!</v>
      </c>
      <c r="FU251" t="e">
        <f>AND(#REF!,"AAAAAHvL/rA=")</f>
        <v>#REF!</v>
      </c>
      <c r="FV251" t="e">
        <f>AND(#REF!,"AAAAAHvL/rE=")</f>
        <v>#REF!</v>
      </c>
      <c r="FW251" t="e">
        <f>AND(#REF!,"AAAAAHvL/rI=")</f>
        <v>#REF!</v>
      </c>
      <c r="FX251" t="e">
        <f>AND(#REF!,"AAAAAHvL/rM=")</f>
        <v>#REF!</v>
      </c>
      <c r="FY251" t="e">
        <f>AND(#REF!,"AAAAAHvL/rQ=")</f>
        <v>#REF!</v>
      </c>
      <c r="FZ251" t="e">
        <f>AND(#REF!,"AAAAAHvL/rU=")</f>
        <v>#REF!</v>
      </c>
      <c r="GA251" t="e">
        <f>AND(#REF!,"AAAAAHvL/rY=")</f>
        <v>#REF!</v>
      </c>
      <c r="GB251" t="e">
        <f>AND(#REF!,"AAAAAHvL/rc=")</f>
        <v>#REF!</v>
      </c>
      <c r="GC251" t="e">
        <f>AND(#REF!,"AAAAAHvL/rg=")</f>
        <v>#REF!</v>
      </c>
      <c r="GD251" t="e">
        <f>AND(#REF!,"AAAAAHvL/rk=")</f>
        <v>#REF!</v>
      </c>
      <c r="GE251" t="e">
        <f>AND(#REF!,"AAAAAHvL/ro=")</f>
        <v>#REF!</v>
      </c>
      <c r="GF251" t="e">
        <f>AND(#REF!,"AAAAAHvL/rs=")</f>
        <v>#REF!</v>
      </c>
      <c r="GG251" t="e">
        <f>AND(#REF!,"AAAAAHvL/rw=")</f>
        <v>#REF!</v>
      </c>
      <c r="GH251" t="e">
        <f>AND(#REF!,"AAAAAHvL/r0=")</f>
        <v>#REF!</v>
      </c>
      <c r="GI251" t="e">
        <f>AND(#REF!,"AAAAAHvL/r4=")</f>
        <v>#REF!</v>
      </c>
      <c r="GJ251" t="e">
        <f>AND(#REF!,"AAAAAHvL/r8=")</f>
        <v>#REF!</v>
      </c>
      <c r="GK251" t="e">
        <f>AND(#REF!,"AAAAAHvL/sA=")</f>
        <v>#REF!</v>
      </c>
      <c r="GL251" t="e">
        <f>AND(#REF!,"AAAAAHvL/sE=")</f>
        <v>#REF!</v>
      </c>
      <c r="GM251" t="e">
        <f>AND(#REF!,"AAAAAHvL/sI=")</f>
        <v>#REF!</v>
      </c>
      <c r="GN251" t="e">
        <f>AND(#REF!,"AAAAAHvL/sM=")</f>
        <v>#REF!</v>
      </c>
      <c r="GO251" t="e">
        <f>AND(#REF!,"AAAAAHvL/sQ=")</f>
        <v>#REF!</v>
      </c>
      <c r="GP251" t="e">
        <f>AND(#REF!,"AAAAAHvL/sU=")</f>
        <v>#REF!</v>
      </c>
      <c r="GQ251" t="e">
        <f>AND(#REF!,"AAAAAHvL/sY=")</f>
        <v>#REF!</v>
      </c>
      <c r="GR251" t="e">
        <f>AND(#REF!,"AAAAAHvL/sc=")</f>
        <v>#REF!</v>
      </c>
      <c r="GS251" t="e">
        <f>AND(#REF!,"AAAAAHvL/sg=")</f>
        <v>#REF!</v>
      </c>
      <c r="GT251" t="e">
        <f>AND(#REF!,"AAAAAHvL/sk=")</f>
        <v>#REF!</v>
      </c>
      <c r="GU251" t="e">
        <f>AND(#REF!,"AAAAAHvL/so=")</f>
        <v>#REF!</v>
      </c>
      <c r="GV251" t="e">
        <f>AND(#REF!,"AAAAAHvL/ss=")</f>
        <v>#REF!</v>
      </c>
      <c r="GW251" t="e">
        <f>AND(#REF!,"AAAAAHvL/sw=")</f>
        <v>#REF!</v>
      </c>
      <c r="GX251" t="e">
        <f>AND(#REF!,"AAAAAHvL/s0=")</f>
        <v>#REF!</v>
      </c>
      <c r="GY251" t="e">
        <f>AND(#REF!,"AAAAAHvL/s4=")</f>
        <v>#REF!</v>
      </c>
      <c r="GZ251" t="e">
        <f>AND(#REF!,"AAAAAHvL/s8=")</f>
        <v>#REF!</v>
      </c>
      <c r="HA251" t="e">
        <f>AND(#REF!,"AAAAAHvL/tA=")</f>
        <v>#REF!</v>
      </c>
      <c r="HB251" t="e">
        <f>AND(#REF!,"AAAAAHvL/tE=")</f>
        <v>#REF!</v>
      </c>
      <c r="HC251" t="e">
        <f>AND(#REF!,"AAAAAHvL/tI=")</f>
        <v>#REF!</v>
      </c>
      <c r="HD251" t="e">
        <f>AND(#REF!,"AAAAAHvL/tM=")</f>
        <v>#REF!</v>
      </c>
      <c r="HE251" t="e">
        <f>AND(#REF!,"AAAAAHvL/tQ=")</f>
        <v>#REF!</v>
      </c>
      <c r="HF251" t="e">
        <f>AND(#REF!,"AAAAAHvL/tU=")</f>
        <v>#REF!</v>
      </c>
      <c r="HG251" t="e">
        <f>AND(#REF!,"AAAAAHvL/tY=")</f>
        <v>#REF!</v>
      </c>
      <c r="HH251" t="e">
        <f>AND(#REF!,"AAAAAHvL/tc=")</f>
        <v>#REF!</v>
      </c>
      <c r="HI251" t="e">
        <f>AND(#REF!,"AAAAAHvL/tg=")</f>
        <v>#REF!</v>
      </c>
      <c r="HJ251" t="e">
        <f>AND(#REF!,"AAAAAHvL/tk=")</f>
        <v>#REF!</v>
      </c>
      <c r="HK251" t="e">
        <f>AND(#REF!,"AAAAAHvL/to=")</f>
        <v>#REF!</v>
      </c>
      <c r="HL251" t="e">
        <f>AND(#REF!,"AAAAAHvL/ts=")</f>
        <v>#REF!</v>
      </c>
      <c r="HM251" t="e">
        <f>AND(#REF!,"AAAAAHvL/tw=")</f>
        <v>#REF!</v>
      </c>
      <c r="HN251" t="e">
        <f>AND(#REF!,"AAAAAHvL/t0=")</f>
        <v>#REF!</v>
      </c>
      <c r="HO251" t="e">
        <f>AND(#REF!,"AAAAAHvL/t4=")</f>
        <v>#REF!</v>
      </c>
      <c r="HP251" t="e">
        <f>AND(#REF!,"AAAAAHvL/t8=")</f>
        <v>#REF!</v>
      </c>
      <c r="HQ251" t="e">
        <f>AND(#REF!,"AAAAAHvL/uA=")</f>
        <v>#REF!</v>
      </c>
      <c r="HR251" t="e">
        <f>AND(#REF!,"AAAAAHvL/uE=")</f>
        <v>#REF!</v>
      </c>
      <c r="HS251" t="e">
        <f>AND(#REF!,"AAAAAHvL/uI=")</f>
        <v>#REF!</v>
      </c>
      <c r="HT251" t="e">
        <f>AND(#REF!,"AAAAAHvL/uM=")</f>
        <v>#REF!</v>
      </c>
      <c r="HU251" t="e">
        <f>AND(#REF!,"AAAAAHvL/uQ=")</f>
        <v>#REF!</v>
      </c>
      <c r="HV251" t="e">
        <f>AND(#REF!,"AAAAAHvL/uU=")</f>
        <v>#REF!</v>
      </c>
      <c r="HW251" t="e">
        <f>AND(#REF!,"AAAAAHvL/uY=")</f>
        <v>#REF!</v>
      </c>
      <c r="HX251" t="e">
        <f>AND(#REF!,"AAAAAHvL/uc=")</f>
        <v>#REF!</v>
      </c>
      <c r="HY251" t="e">
        <f>AND(#REF!,"AAAAAHvL/ug=")</f>
        <v>#REF!</v>
      </c>
      <c r="HZ251" t="e">
        <f>AND(#REF!,"AAAAAHvL/uk=")</f>
        <v>#REF!</v>
      </c>
      <c r="IA251" t="e">
        <f>AND(#REF!,"AAAAAHvL/uo=")</f>
        <v>#REF!</v>
      </c>
      <c r="IB251" t="e">
        <f>AND(#REF!,"AAAAAHvL/us=")</f>
        <v>#REF!</v>
      </c>
      <c r="IC251" t="e">
        <f>AND(#REF!,"AAAAAHvL/uw=")</f>
        <v>#REF!</v>
      </c>
      <c r="ID251" t="e">
        <f>AND(#REF!,"AAAAAHvL/u0=")</f>
        <v>#REF!</v>
      </c>
      <c r="IE251" t="e">
        <f>AND(#REF!,"AAAAAHvL/u4=")</f>
        <v>#REF!</v>
      </c>
      <c r="IF251" t="e">
        <f>AND(#REF!,"AAAAAHvL/u8=")</f>
        <v>#REF!</v>
      </c>
      <c r="IG251" t="e">
        <f>AND(#REF!,"AAAAAHvL/vA=")</f>
        <v>#REF!</v>
      </c>
      <c r="IH251" t="e">
        <f>AND(#REF!,"AAAAAHvL/vE=")</f>
        <v>#REF!</v>
      </c>
      <c r="II251" t="e">
        <f>AND(#REF!,"AAAAAHvL/vI=")</f>
        <v>#REF!</v>
      </c>
      <c r="IJ251" t="e">
        <f>AND(#REF!,"AAAAAHvL/vM=")</f>
        <v>#REF!</v>
      </c>
      <c r="IK251" t="e">
        <f>AND(#REF!,"AAAAAHvL/vQ=")</f>
        <v>#REF!</v>
      </c>
      <c r="IL251" t="e">
        <f>AND(#REF!,"AAAAAHvL/vU=")</f>
        <v>#REF!</v>
      </c>
      <c r="IM251" t="e">
        <f>AND(#REF!,"AAAAAHvL/vY=")</f>
        <v>#REF!</v>
      </c>
      <c r="IN251" t="e">
        <f>AND(#REF!,"AAAAAHvL/vc=")</f>
        <v>#REF!</v>
      </c>
      <c r="IO251" t="e">
        <f>AND(#REF!,"AAAAAHvL/vg=")</f>
        <v>#REF!</v>
      </c>
      <c r="IP251" t="e">
        <f>AND(#REF!,"AAAAAHvL/vk=")</f>
        <v>#REF!</v>
      </c>
      <c r="IQ251" t="e">
        <f>AND(#REF!,"AAAAAHvL/vo=")</f>
        <v>#REF!</v>
      </c>
      <c r="IR251" t="e">
        <f>AND(#REF!,"AAAAAHvL/vs=")</f>
        <v>#REF!</v>
      </c>
      <c r="IS251" t="e">
        <f>IF(#REF!,"AAAAAHvL/vw=",0)</f>
        <v>#REF!</v>
      </c>
      <c r="IT251" t="e">
        <f>AND(#REF!,"AAAAAHvL/v0=")</f>
        <v>#REF!</v>
      </c>
      <c r="IU251" t="e">
        <f>AND(#REF!,"AAAAAHvL/v4=")</f>
        <v>#REF!</v>
      </c>
      <c r="IV251" t="e">
        <f>AND(#REF!,"AAAAAHvL/v8=")</f>
        <v>#REF!</v>
      </c>
    </row>
    <row r="252" spans="1:256" x14ac:dyDescent="0.25">
      <c r="A252" t="e">
        <f>AND(#REF!,"AAAAAH//7wA=")</f>
        <v>#REF!</v>
      </c>
      <c r="B252" t="e">
        <f>AND(#REF!,"AAAAAH//7wE=")</f>
        <v>#REF!</v>
      </c>
      <c r="C252" t="e">
        <f>AND(#REF!,"AAAAAH//7wI=")</f>
        <v>#REF!</v>
      </c>
      <c r="D252" t="e">
        <f>AND(#REF!,"AAAAAH//7wM=")</f>
        <v>#REF!</v>
      </c>
      <c r="E252" t="e">
        <f>AND(#REF!,"AAAAAH//7wQ=")</f>
        <v>#REF!</v>
      </c>
      <c r="F252" t="e">
        <f>AND(#REF!,"AAAAAH//7wU=")</f>
        <v>#REF!</v>
      </c>
      <c r="G252" t="e">
        <f>AND(#REF!,"AAAAAH//7wY=")</f>
        <v>#REF!</v>
      </c>
      <c r="H252" t="e">
        <f>AND(#REF!,"AAAAAH//7wc=")</f>
        <v>#REF!</v>
      </c>
      <c r="I252" t="e">
        <f>AND(#REF!,"AAAAAH//7wg=")</f>
        <v>#REF!</v>
      </c>
      <c r="J252" t="e">
        <f>AND(#REF!,"AAAAAH//7wk=")</f>
        <v>#REF!</v>
      </c>
      <c r="K252" t="e">
        <f>AND(#REF!,"AAAAAH//7wo=")</f>
        <v>#REF!</v>
      </c>
      <c r="L252" t="e">
        <f>AND(#REF!,"AAAAAH//7ws=")</f>
        <v>#REF!</v>
      </c>
      <c r="M252" t="e">
        <f>AND(#REF!,"AAAAAH//7ww=")</f>
        <v>#REF!</v>
      </c>
      <c r="N252" t="e">
        <f>AND(#REF!,"AAAAAH//7w0=")</f>
        <v>#REF!</v>
      </c>
      <c r="O252" t="e">
        <f>AND(#REF!,"AAAAAH//7w4=")</f>
        <v>#REF!</v>
      </c>
      <c r="P252" t="e">
        <f>AND(#REF!,"AAAAAH//7w8=")</f>
        <v>#REF!</v>
      </c>
      <c r="Q252" t="e">
        <f>AND(#REF!,"AAAAAH//7xA=")</f>
        <v>#REF!</v>
      </c>
      <c r="R252" t="e">
        <f>AND(#REF!,"AAAAAH//7xE=")</f>
        <v>#REF!</v>
      </c>
      <c r="S252" t="e">
        <f>AND(#REF!,"AAAAAH//7xI=")</f>
        <v>#REF!</v>
      </c>
      <c r="T252" t="e">
        <f>AND(#REF!,"AAAAAH//7xM=")</f>
        <v>#REF!</v>
      </c>
      <c r="U252" t="e">
        <f>AND(#REF!,"AAAAAH//7xQ=")</f>
        <v>#REF!</v>
      </c>
      <c r="V252" t="e">
        <f>AND(#REF!,"AAAAAH//7xU=")</f>
        <v>#REF!</v>
      </c>
      <c r="W252" t="e">
        <f>AND(#REF!,"AAAAAH//7xY=")</f>
        <v>#REF!</v>
      </c>
      <c r="X252" t="e">
        <f>AND(#REF!,"AAAAAH//7xc=")</f>
        <v>#REF!</v>
      </c>
      <c r="Y252" t="e">
        <f>AND(#REF!,"AAAAAH//7xg=")</f>
        <v>#REF!</v>
      </c>
      <c r="Z252" t="e">
        <f>AND(#REF!,"AAAAAH//7xk=")</f>
        <v>#REF!</v>
      </c>
      <c r="AA252" t="e">
        <f>AND(#REF!,"AAAAAH//7xo=")</f>
        <v>#REF!</v>
      </c>
      <c r="AB252" t="e">
        <f>AND(#REF!,"AAAAAH//7xs=")</f>
        <v>#REF!</v>
      </c>
      <c r="AC252" t="e">
        <f>AND(#REF!,"AAAAAH//7xw=")</f>
        <v>#REF!</v>
      </c>
      <c r="AD252" t="e">
        <f>AND(#REF!,"AAAAAH//7x0=")</f>
        <v>#REF!</v>
      </c>
      <c r="AE252" t="e">
        <f>AND(#REF!,"AAAAAH//7x4=")</f>
        <v>#REF!</v>
      </c>
      <c r="AF252" t="e">
        <f>AND(#REF!,"AAAAAH//7x8=")</f>
        <v>#REF!</v>
      </c>
      <c r="AG252" t="e">
        <f>AND(#REF!,"AAAAAH//7yA=")</f>
        <v>#REF!</v>
      </c>
      <c r="AH252" t="e">
        <f>AND(#REF!,"AAAAAH//7yE=")</f>
        <v>#REF!</v>
      </c>
      <c r="AI252" t="e">
        <f>AND(#REF!,"AAAAAH//7yI=")</f>
        <v>#REF!</v>
      </c>
      <c r="AJ252" t="e">
        <f>AND(#REF!,"AAAAAH//7yM=")</f>
        <v>#REF!</v>
      </c>
      <c r="AK252" t="e">
        <f>AND(#REF!,"AAAAAH//7yQ=")</f>
        <v>#REF!</v>
      </c>
      <c r="AL252" t="e">
        <f>AND(#REF!,"AAAAAH//7yU=")</f>
        <v>#REF!</v>
      </c>
      <c r="AM252" t="e">
        <f>AND(#REF!,"AAAAAH//7yY=")</f>
        <v>#REF!</v>
      </c>
      <c r="AN252" t="e">
        <f>AND(#REF!,"AAAAAH//7yc=")</f>
        <v>#REF!</v>
      </c>
      <c r="AO252" t="e">
        <f>AND(#REF!,"AAAAAH//7yg=")</f>
        <v>#REF!</v>
      </c>
      <c r="AP252" t="e">
        <f>AND(#REF!,"AAAAAH//7yk=")</f>
        <v>#REF!</v>
      </c>
      <c r="AQ252" t="e">
        <f>AND(#REF!,"AAAAAH//7yo=")</f>
        <v>#REF!</v>
      </c>
      <c r="AR252" t="e">
        <f>AND(#REF!,"AAAAAH//7ys=")</f>
        <v>#REF!</v>
      </c>
      <c r="AS252" t="e">
        <f>AND(#REF!,"AAAAAH//7yw=")</f>
        <v>#REF!</v>
      </c>
      <c r="AT252" t="e">
        <f>AND(#REF!,"AAAAAH//7y0=")</f>
        <v>#REF!</v>
      </c>
      <c r="AU252" t="e">
        <f>AND(#REF!,"AAAAAH//7y4=")</f>
        <v>#REF!</v>
      </c>
      <c r="AV252" t="e">
        <f>AND(#REF!,"AAAAAH//7y8=")</f>
        <v>#REF!</v>
      </c>
      <c r="AW252" t="e">
        <f>AND(#REF!,"AAAAAH//7zA=")</f>
        <v>#REF!</v>
      </c>
      <c r="AX252" t="e">
        <f>AND(#REF!,"AAAAAH//7zE=")</f>
        <v>#REF!</v>
      </c>
      <c r="AY252" t="e">
        <f>AND(#REF!,"AAAAAH//7zI=")</f>
        <v>#REF!</v>
      </c>
      <c r="AZ252" t="e">
        <f>AND(#REF!,"AAAAAH//7zM=")</f>
        <v>#REF!</v>
      </c>
      <c r="BA252" t="e">
        <f>AND(#REF!,"AAAAAH//7zQ=")</f>
        <v>#REF!</v>
      </c>
      <c r="BB252" t="e">
        <f>AND(#REF!,"AAAAAH//7zU=")</f>
        <v>#REF!</v>
      </c>
      <c r="BC252" t="e">
        <f>AND(#REF!,"AAAAAH//7zY=")</f>
        <v>#REF!</v>
      </c>
      <c r="BD252" t="e">
        <f>AND(#REF!,"AAAAAH//7zc=")</f>
        <v>#REF!</v>
      </c>
      <c r="BE252" t="e">
        <f>AND(#REF!,"AAAAAH//7zg=")</f>
        <v>#REF!</v>
      </c>
      <c r="BF252" t="e">
        <f>AND(#REF!,"AAAAAH//7zk=")</f>
        <v>#REF!</v>
      </c>
      <c r="BG252" t="e">
        <f>AND(#REF!,"AAAAAH//7zo=")</f>
        <v>#REF!</v>
      </c>
      <c r="BH252" t="e">
        <f>AND(#REF!,"AAAAAH//7zs=")</f>
        <v>#REF!</v>
      </c>
      <c r="BI252" t="e">
        <f>AND(#REF!,"AAAAAH//7zw=")</f>
        <v>#REF!</v>
      </c>
      <c r="BJ252" t="e">
        <f>AND(#REF!,"AAAAAH//7z0=")</f>
        <v>#REF!</v>
      </c>
      <c r="BK252" t="e">
        <f>AND(#REF!,"AAAAAH//7z4=")</f>
        <v>#REF!</v>
      </c>
      <c r="BL252" t="e">
        <f>AND(#REF!,"AAAAAH//7z8=")</f>
        <v>#REF!</v>
      </c>
      <c r="BM252" t="e">
        <f>AND(#REF!,"AAAAAH//70A=")</f>
        <v>#REF!</v>
      </c>
      <c r="BN252" t="e">
        <f>AND(#REF!,"AAAAAH//70E=")</f>
        <v>#REF!</v>
      </c>
      <c r="BO252" t="e">
        <f>AND(#REF!,"AAAAAH//70I=")</f>
        <v>#REF!</v>
      </c>
      <c r="BP252" t="e">
        <f>AND(#REF!,"AAAAAH//70M=")</f>
        <v>#REF!</v>
      </c>
      <c r="BQ252" t="e">
        <f>AND(#REF!,"AAAAAH//70Q=")</f>
        <v>#REF!</v>
      </c>
      <c r="BR252" t="e">
        <f>AND(#REF!,"AAAAAH//70U=")</f>
        <v>#REF!</v>
      </c>
      <c r="BS252" t="e">
        <f>AND(#REF!,"AAAAAH//70Y=")</f>
        <v>#REF!</v>
      </c>
      <c r="BT252" t="e">
        <f>AND(#REF!,"AAAAAH//70c=")</f>
        <v>#REF!</v>
      </c>
      <c r="BU252" t="e">
        <f>AND(#REF!,"AAAAAH//70g=")</f>
        <v>#REF!</v>
      </c>
      <c r="BV252" t="e">
        <f>AND(#REF!,"AAAAAH//70k=")</f>
        <v>#REF!</v>
      </c>
      <c r="BW252" t="e">
        <f>AND(#REF!,"AAAAAH//70o=")</f>
        <v>#REF!</v>
      </c>
      <c r="BX252" t="e">
        <f>AND(#REF!,"AAAAAH//70s=")</f>
        <v>#REF!</v>
      </c>
      <c r="BY252" t="e">
        <f>AND(#REF!,"AAAAAH//70w=")</f>
        <v>#REF!</v>
      </c>
      <c r="BZ252" t="e">
        <f>AND(#REF!,"AAAAAH//700=")</f>
        <v>#REF!</v>
      </c>
      <c r="CA252" t="e">
        <f>AND(#REF!,"AAAAAH//704=")</f>
        <v>#REF!</v>
      </c>
      <c r="CB252" t="e">
        <f>AND(#REF!,"AAAAAH//708=")</f>
        <v>#REF!</v>
      </c>
      <c r="CC252" t="e">
        <f>AND(#REF!,"AAAAAH//71A=")</f>
        <v>#REF!</v>
      </c>
      <c r="CD252" t="e">
        <f>AND(#REF!,"AAAAAH//71E=")</f>
        <v>#REF!</v>
      </c>
      <c r="CE252" t="e">
        <f>AND(#REF!,"AAAAAH//71I=")</f>
        <v>#REF!</v>
      </c>
      <c r="CF252" t="e">
        <f>AND(#REF!,"AAAAAH//71M=")</f>
        <v>#REF!</v>
      </c>
      <c r="CG252" t="e">
        <f>AND(#REF!,"AAAAAH//71Q=")</f>
        <v>#REF!</v>
      </c>
      <c r="CH252" t="e">
        <f>AND(#REF!,"AAAAAH//71U=")</f>
        <v>#REF!</v>
      </c>
      <c r="CI252" t="e">
        <f>AND(#REF!,"AAAAAH//71Y=")</f>
        <v>#REF!</v>
      </c>
      <c r="CJ252" t="e">
        <f>AND(#REF!,"AAAAAH//71c=")</f>
        <v>#REF!</v>
      </c>
      <c r="CK252" t="e">
        <f>AND(#REF!,"AAAAAH//71g=")</f>
        <v>#REF!</v>
      </c>
      <c r="CL252" t="e">
        <f>AND(#REF!,"AAAAAH//71k=")</f>
        <v>#REF!</v>
      </c>
      <c r="CM252" t="e">
        <f>AND(#REF!,"AAAAAH//71o=")</f>
        <v>#REF!</v>
      </c>
      <c r="CN252" t="e">
        <f>AND(#REF!,"AAAAAH//71s=")</f>
        <v>#REF!</v>
      </c>
      <c r="CO252" t="e">
        <f>AND(#REF!,"AAAAAH//71w=")</f>
        <v>#REF!</v>
      </c>
      <c r="CP252" t="e">
        <f>AND(#REF!,"AAAAAH//710=")</f>
        <v>#REF!</v>
      </c>
      <c r="CQ252" t="e">
        <f>AND(#REF!,"AAAAAH//714=")</f>
        <v>#REF!</v>
      </c>
      <c r="CR252" t="e">
        <f>AND(#REF!,"AAAAAH//718=")</f>
        <v>#REF!</v>
      </c>
      <c r="CS252" t="e">
        <f>AND(#REF!,"AAAAAH//72A=")</f>
        <v>#REF!</v>
      </c>
      <c r="CT252" t="e">
        <f>AND(#REF!,"AAAAAH//72E=")</f>
        <v>#REF!</v>
      </c>
      <c r="CU252" t="e">
        <f>AND(#REF!,"AAAAAH//72I=")</f>
        <v>#REF!</v>
      </c>
      <c r="CV252" t="e">
        <f>AND(#REF!,"AAAAAH//72M=")</f>
        <v>#REF!</v>
      </c>
      <c r="CW252" t="e">
        <f>AND(#REF!,"AAAAAH//72Q=")</f>
        <v>#REF!</v>
      </c>
      <c r="CX252" t="e">
        <f>AND(#REF!,"AAAAAH//72U=")</f>
        <v>#REF!</v>
      </c>
      <c r="CY252" t="e">
        <f>AND(#REF!,"AAAAAH//72Y=")</f>
        <v>#REF!</v>
      </c>
      <c r="CZ252" t="e">
        <f>AND(#REF!,"AAAAAH//72c=")</f>
        <v>#REF!</v>
      </c>
      <c r="DA252" t="e">
        <f>AND(#REF!,"AAAAAH//72g=")</f>
        <v>#REF!</v>
      </c>
      <c r="DB252" t="e">
        <f>AND(#REF!,"AAAAAH//72k=")</f>
        <v>#REF!</v>
      </c>
      <c r="DC252" t="e">
        <f>AND(#REF!,"AAAAAH//72o=")</f>
        <v>#REF!</v>
      </c>
      <c r="DD252" t="e">
        <f>AND(#REF!,"AAAAAH//72s=")</f>
        <v>#REF!</v>
      </c>
      <c r="DE252" t="e">
        <f>AND(#REF!,"AAAAAH//72w=")</f>
        <v>#REF!</v>
      </c>
      <c r="DF252" t="e">
        <f>AND(#REF!,"AAAAAH//720=")</f>
        <v>#REF!</v>
      </c>
      <c r="DG252" t="e">
        <f>AND(#REF!,"AAAAAH//724=")</f>
        <v>#REF!</v>
      </c>
      <c r="DH252" t="e">
        <f>AND(#REF!,"AAAAAH//728=")</f>
        <v>#REF!</v>
      </c>
      <c r="DI252" t="e">
        <f>AND(#REF!,"AAAAAH//73A=")</f>
        <v>#REF!</v>
      </c>
      <c r="DJ252" t="e">
        <f>AND(#REF!,"AAAAAH//73E=")</f>
        <v>#REF!</v>
      </c>
      <c r="DK252" t="e">
        <f>AND(#REF!,"AAAAAH//73I=")</f>
        <v>#REF!</v>
      </c>
      <c r="DL252" t="e">
        <f>AND(#REF!,"AAAAAH//73M=")</f>
        <v>#REF!</v>
      </c>
      <c r="DM252" t="e">
        <f>AND(#REF!,"AAAAAH//73Q=")</f>
        <v>#REF!</v>
      </c>
      <c r="DN252" t="e">
        <f>AND(#REF!,"AAAAAH//73U=")</f>
        <v>#REF!</v>
      </c>
      <c r="DO252" t="e">
        <f>AND(#REF!,"AAAAAH//73Y=")</f>
        <v>#REF!</v>
      </c>
      <c r="DP252" t="e">
        <f>AND(#REF!,"AAAAAH//73c=")</f>
        <v>#REF!</v>
      </c>
      <c r="DQ252" t="e">
        <f>AND(#REF!,"AAAAAH//73g=")</f>
        <v>#REF!</v>
      </c>
      <c r="DR252" t="e">
        <f>AND(#REF!,"AAAAAH//73k=")</f>
        <v>#REF!</v>
      </c>
      <c r="DS252" t="e">
        <f>AND(#REF!,"AAAAAH//73o=")</f>
        <v>#REF!</v>
      </c>
      <c r="DT252" t="e">
        <f>AND(#REF!,"AAAAAH//73s=")</f>
        <v>#REF!</v>
      </c>
      <c r="DU252" t="e">
        <f>AND(#REF!,"AAAAAH//73w=")</f>
        <v>#REF!</v>
      </c>
      <c r="DV252" t="e">
        <f>AND(#REF!,"AAAAAH//730=")</f>
        <v>#REF!</v>
      </c>
      <c r="DW252" t="e">
        <f>AND(#REF!,"AAAAAH//734=")</f>
        <v>#REF!</v>
      </c>
      <c r="DX252" t="e">
        <f>AND(#REF!,"AAAAAH//738=")</f>
        <v>#REF!</v>
      </c>
      <c r="DY252" t="e">
        <f>AND(#REF!,"AAAAAH//74A=")</f>
        <v>#REF!</v>
      </c>
      <c r="DZ252" t="e">
        <f>AND(#REF!,"AAAAAH//74E=")</f>
        <v>#REF!</v>
      </c>
      <c r="EA252" t="e">
        <f>AND(#REF!,"AAAAAH//74I=")</f>
        <v>#REF!</v>
      </c>
      <c r="EB252" t="e">
        <f>AND(#REF!,"AAAAAH//74M=")</f>
        <v>#REF!</v>
      </c>
      <c r="EC252" t="e">
        <f>AND(#REF!,"AAAAAH//74Q=")</f>
        <v>#REF!</v>
      </c>
      <c r="ED252" t="e">
        <f>AND(#REF!,"AAAAAH//74U=")</f>
        <v>#REF!</v>
      </c>
      <c r="EE252" t="e">
        <f>AND(#REF!,"AAAAAH//74Y=")</f>
        <v>#REF!</v>
      </c>
      <c r="EF252" t="e">
        <f>AND(#REF!,"AAAAAH//74c=")</f>
        <v>#REF!</v>
      </c>
      <c r="EG252" t="e">
        <f>AND(#REF!,"AAAAAH//74g=")</f>
        <v>#REF!</v>
      </c>
      <c r="EH252" t="e">
        <f>AND(#REF!,"AAAAAH//74k=")</f>
        <v>#REF!</v>
      </c>
      <c r="EI252" t="e">
        <f>AND(#REF!,"AAAAAH//74o=")</f>
        <v>#REF!</v>
      </c>
      <c r="EJ252" t="e">
        <f>AND(#REF!,"AAAAAH//74s=")</f>
        <v>#REF!</v>
      </c>
      <c r="EK252" t="e">
        <f>AND(#REF!,"AAAAAH//74w=")</f>
        <v>#REF!</v>
      </c>
      <c r="EL252" t="e">
        <f>AND(#REF!,"AAAAAH//740=")</f>
        <v>#REF!</v>
      </c>
      <c r="EM252" t="e">
        <f>AND(#REF!,"AAAAAH//744=")</f>
        <v>#REF!</v>
      </c>
      <c r="EN252" t="e">
        <f>AND(#REF!,"AAAAAH//748=")</f>
        <v>#REF!</v>
      </c>
      <c r="EO252" t="e">
        <f>AND(#REF!,"AAAAAH//75A=")</f>
        <v>#REF!</v>
      </c>
      <c r="EP252" t="e">
        <f>AND(#REF!,"AAAAAH//75E=")</f>
        <v>#REF!</v>
      </c>
      <c r="EQ252" t="e">
        <f>AND(#REF!,"AAAAAH//75I=")</f>
        <v>#REF!</v>
      </c>
      <c r="ER252" t="e">
        <f>AND(#REF!,"AAAAAH//75M=")</f>
        <v>#REF!</v>
      </c>
      <c r="ES252" t="e">
        <f>AND(#REF!,"AAAAAH//75Q=")</f>
        <v>#REF!</v>
      </c>
      <c r="ET252" t="e">
        <f>AND(#REF!,"AAAAAH//75U=")</f>
        <v>#REF!</v>
      </c>
      <c r="EU252" t="e">
        <f>AND(#REF!,"AAAAAH//75Y=")</f>
        <v>#REF!</v>
      </c>
      <c r="EV252" t="e">
        <f>AND(#REF!,"AAAAAH//75c=")</f>
        <v>#REF!</v>
      </c>
      <c r="EW252" t="e">
        <f>AND(#REF!,"AAAAAH//75g=")</f>
        <v>#REF!</v>
      </c>
      <c r="EX252" t="e">
        <f>AND(#REF!,"AAAAAH//75k=")</f>
        <v>#REF!</v>
      </c>
      <c r="EY252" t="e">
        <f>AND(#REF!,"AAAAAH//75o=")</f>
        <v>#REF!</v>
      </c>
      <c r="EZ252" t="e">
        <f>AND(#REF!,"AAAAAH//75s=")</f>
        <v>#REF!</v>
      </c>
      <c r="FA252" t="e">
        <f>AND(#REF!,"AAAAAH//75w=")</f>
        <v>#REF!</v>
      </c>
      <c r="FB252" t="e">
        <f>AND(#REF!,"AAAAAH//750=")</f>
        <v>#REF!</v>
      </c>
      <c r="FC252" t="e">
        <f>AND(#REF!,"AAAAAH//754=")</f>
        <v>#REF!</v>
      </c>
      <c r="FD252" t="e">
        <f>AND(#REF!,"AAAAAH//758=")</f>
        <v>#REF!</v>
      </c>
      <c r="FE252" t="e">
        <f>AND(#REF!,"AAAAAH//76A=")</f>
        <v>#REF!</v>
      </c>
      <c r="FF252" t="e">
        <f>AND(#REF!,"AAAAAH//76E=")</f>
        <v>#REF!</v>
      </c>
      <c r="FG252" t="e">
        <f>AND(#REF!,"AAAAAH//76I=")</f>
        <v>#REF!</v>
      </c>
      <c r="FH252" t="e">
        <f>AND(#REF!,"AAAAAH//76M=")</f>
        <v>#REF!</v>
      </c>
      <c r="FI252" t="e">
        <f>AND(#REF!,"AAAAAH//76Q=")</f>
        <v>#REF!</v>
      </c>
      <c r="FJ252" t="e">
        <f>AND(#REF!,"AAAAAH//76U=")</f>
        <v>#REF!</v>
      </c>
      <c r="FK252" t="e">
        <f>AND(#REF!,"AAAAAH//76Y=")</f>
        <v>#REF!</v>
      </c>
      <c r="FL252" t="e">
        <f>AND(#REF!,"AAAAAH//76c=")</f>
        <v>#REF!</v>
      </c>
      <c r="FM252" t="e">
        <f>AND(#REF!,"AAAAAH//76g=")</f>
        <v>#REF!</v>
      </c>
      <c r="FN252" t="e">
        <f>AND(#REF!,"AAAAAH//76k=")</f>
        <v>#REF!</v>
      </c>
      <c r="FO252" t="e">
        <f>AND(#REF!,"AAAAAH//76o=")</f>
        <v>#REF!</v>
      </c>
      <c r="FP252" t="e">
        <f>AND(#REF!,"AAAAAH//76s=")</f>
        <v>#REF!</v>
      </c>
      <c r="FQ252" t="e">
        <f>AND(#REF!,"AAAAAH//76w=")</f>
        <v>#REF!</v>
      </c>
      <c r="FR252" t="e">
        <f>AND(#REF!,"AAAAAH//760=")</f>
        <v>#REF!</v>
      </c>
      <c r="FS252" t="e">
        <f>AND(#REF!,"AAAAAH//764=")</f>
        <v>#REF!</v>
      </c>
      <c r="FT252" t="e">
        <f>AND(#REF!,"AAAAAH//768=")</f>
        <v>#REF!</v>
      </c>
      <c r="FU252" t="e">
        <f>AND(#REF!,"AAAAAH//77A=")</f>
        <v>#REF!</v>
      </c>
      <c r="FV252" t="e">
        <f>AND(#REF!,"AAAAAH//77E=")</f>
        <v>#REF!</v>
      </c>
      <c r="FW252" t="e">
        <f>AND(#REF!,"AAAAAH//77I=")</f>
        <v>#REF!</v>
      </c>
      <c r="FX252" t="e">
        <f>AND(#REF!,"AAAAAH//77M=")</f>
        <v>#REF!</v>
      </c>
      <c r="FY252" t="e">
        <f>AND(#REF!,"AAAAAH//77Q=")</f>
        <v>#REF!</v>
      </c>
      <c r="FZ252" t="e">
        <f>AND(#REF!,"AAAAAH//77U=")</f>
        <v>#REF!</v>
      </c>
      <c r="GA252" t="e">
        <f>AND(#REF!,"AAAAAH//77Y=")</f>
        <v>#REF!</v>
      </c>
      <c r="GB252" t="e">
        <f>AND(#REF!,"AAAAAH//77c=")</f>
        <v>#REF!</v>
      </c>
      <c r="GC252" t="e">
        <f>AND(#REF!,"AAAAAH//77g=")</f>
        <v>#REF!</v>
      </c>
      <c r="GD252" t="e">
        <f>IF(#REF!,"AAAAAH//77k=",0)</f>
        <v>#REF!</v>
      </c>
      <c r="GE252" t="e">
        <f>AND(#REF!,"AAAAAH//77o=")</f>
        <v>#REF!</v>
      </c>
      <c r="GF252" t="e">
        <f>AND(#REF!,"AAAAAH//77s=")</f>
        <v>#REF!</v>
      </c>
      <c r="GG252" t="e">
        <f>AND(#REF!,"AAAAAH//77w=")</f>
        <v>#REF!</v>
      </c>
      <c r="GH252" t="e">
        <f>AND(#REF!,"AAAAAH//770=")</f>
        <v>#REF!</v>
      </c>
      <c r="GI252" t="e">
        <f>AND(#REF!,"AAAAAH//774=")</f>
        <v>#REF!</v>
      </c>
      <c r="GJ252" t="e">
        <f>AND(#REF!,"AAAAAH//778=")</f>
        <v>#REF!</v>
      </c>
      <c r="GK252" t="e">
        <f>AND(#REF!,"AAAAAH//78A=")</f>
        <v>#REF!</v>
      </c>
      <c r="GL252" t="e">
        <f>AND(#REF!,"AAAAAH//78E=")</f>
        <v>#REF!</v>
      </c>
      <c r="GM252" t="e">
        <f>AND(#REF!,"AAAAAH//78I=")</f>
        <v>#REF!</v>
      </c>
      <c r="GN252" t="e">
        <f>AND(#REF!,"AAAAAH//78M=")</f>
        <v>#REF!</v>
      </c>
      <c r="GO252" t="e">
        <f>AND(#REF!,"AAAAAH//78Q=")</f>
        <v>#REF!</v>
      </c>
      <c r="GP252" t="e">
        <f>AND(#REF!,"AAAAAH//78U=")</f>
        <v>#REF!</v>
      </c>
      <c r="GQ252" t="e">
        <f>AND(#REF!,"AAAAAH//78Y=")</f>
        <v>#REF!</v>
      </c>
      <c r="GR252" t="e">
        <f>AND(#REF!,"AAAAAH//78c=")</f>
        <v>#REF!</v>
      </c>
      <c r="GS252" t="e">
        <f>AND(#REF!,"AAAAAH//78g=")</f>
        <v>#REF!</v>
      </c>
      <c r="GT252" t="e">
        <f>AND(#REF!,"AAAAAH//78k=")</f>
        <v>#REF!</v>
      </c>
      <c r="GU252" t="e">
        <f>AND(#REF!,"AAAAAH//78o=")</f>
        <v>#REF!</v>
      </c>
      <c r="GV252" t="e">
        <f>AND(#REF!,"AAAAAH//78s=")</f>
        <v>#REF!</v>
      </c>
      <c r="GW252" t="e">
        <f>AND(#REF!,"AAAAAH//78w=")</f>
        <v>#REF!</v>
      </c>
      <c r="GX252" t="e">
        <f>AND(#REF!,"AAAAAH//780=")</f>
        <v>#REF!</v>
      </c>
      <c r="GY252" t="e">
        <f>AND(#REF!,"AAAAAH//784=")</f>
        <v>#REF!</v>
      </c>
      <c r="GZ252" t="e">
        <f>AND(#REF!,"AAAAAH//788=")</f>
        <v>#REF!</v>
      </c>
      <c r="HA252" t="e">
        <f>AND(#REF!,"AAAAAH//79A=")</f>
        <v>#REF!</v>
      </c>
      <c r="HB252" t="e">
        <f>AND(#REF!,"AAAAAH//79E=")</f>
        <v>#REF!</v>
      </c>
      <c r="HC252" t="e">
        <f>AND(#REF!,"AAAAAH//79I=")</f>
        <v>#REF!</v>
      </c>
      <c r="HD252" t="e">
        <f>AND(#REF!,"AAAAAH//79M=")</f>
        <v>#REF!</v>
      </c>
      <c r="HE252" t="e">
        <f>AND(#REF!,"AAAAAH//79Q=")</f>
        <v>#REF!</v>
      </c>
      <c r="HF252" t="e">
        <f>AND(#REF!,"AAAAAH//79U=")</f>
        <v>#REF!</v>
      </c>
      <c r="HG252" t="e">
        <f>AND(#REF!,"AAAAAH//79Y=")</f>
        <v>#REF!</v>
      </c>
      <c r="HH252" t="e">
        <f>AND(#REF!,"AAAAAH//79c=")</f>
        <v>#REF!</v>
      </c>
      <c r="HI252" t="e">
        <f>AND(#REF!,"AAAAAH//79g=")</f>
        <v>#REF!</v>
      </c>
      <c r="HJ252" t="e">
        <f>AND(#REF!,"AAAAAH//79k=")</f>
        <v>#REF!</v>
      </c>
      <c r="HK252" t="e">
        <f>AND(#REF!,"AAAAAH//79o=")</f>
        <v>#REF!</v>
      </c>
      <c r="HL252" t="e">
        <f>AND(#REF!,"AAAAAH//79s=")</f>
        <v>#REF!</v>
      </c>
      <c r="HM252" t="e">
        <f>AND(#REF!,"AAAAAH//79w=")</f>
        <v>#REF!</v>
      </c>
      <c r="HN252" t="e">
        <f>AND(#REF!,"AAAAAH//790=")</f>
        <v>#REF!</v>
      </c>
      <c r="HO252" t="e">
        <f>AND(#REF!,"AAAAAH//794=")</f>
        <v>#REF!</v>
      </c>
      <c r="HP252" t="e">
        <f>AND(#REF!,"AAAAAH//798=")</f>
        <v>#REF!</v>
      </c>
      <c r="HQ252" t="e">
        <f>AND(#REF!,"AAAAAH//7+A=")</f>
        <v>#REF!</v>
      </c>
      <c r="HR252" t="e">
        <f>AND(#REF!,"AAAAAH//7+E=")</f>
        <v>#REF!</v>
      </c>
      <c r="HS252" t="e">
        <f>AND(#REF!,"AAAAAH//7+I=")</f>
        <v>#REF!</v>
      </c>
      <c r="HT252" t="e">
        <f>AND(#REF!,"AAAAAH//7+M=")</f>
        <v>#REF!</v>
      </c>
      <c r="HU252" t="e">
        <f>AND(#REF!,"AAAAAH//7+Q=")</f>
        <v>#REF!</v>
      </c>
      <c r="HV252" t="e">
        <f>AND(#REF!,"AAAAAH//7+U=")</f>
        <v>#REF!</v>
      </c>
      <c r="HW252" t="e">
        <f>AND(#REF!,"AAAAAH//7+Y=")</f>
        <v>#REF!</v>
      </c>
      <c r="HX252" t="e">
        <f>AND(#REF!,"AAAAAH//7+c=")</f>
        <v>#REF!</v>
      </c>
      <c r="HY252" t="e">
        <f>AND(#REF!,"AAAAAH//7+g=")</f>
        <v>#REF!</v>
      </c>
      <c r="HZ252" t="e">
        <f>AND(#REF!,"AAAAAH//7+k=")</f>
        <v>#REF!</v>
      </c>
      <c r="IA252" t="e">
        <f>AND(#REF!,"AAAAAH//7+o=")</f>
        <v>#REF!</v>
      </c>
      <c r="IB252" t="e">
        <f>AND(#REF!,"AAAAAH//7+s=")</f>
        <v>#REF!</v>
      </c>
      <c r="IC252" t="e">
        <f>AND(#REF!,"AAAAAH//7+w=")</f>
        <v>#REF!</v>
      </c>
      <c r="ID252" t="e">
        <f>AND(#REF!,"AAAAAH//7+0=")</f>
        <v>#REF!</v>
      </c>
      <c r="IE252" t="e">
        <f>AND(#REF!,"AAAAAH//7+4=")</f>
        <v>#REF!</v>
      </c>
      <c r="IF252" t="e">
        <f>AND(#REF!,"AAAAAH//7+8=")</f>
        <v>#REF!</v>
      </c>
      <c r="IG252" t="e">
        <f>AND(#REF!,"AAAAAH//7/A=")</f>
        <v>#REF!</v>
      </c>
      <c r="IH252" t="e">
        <f>AND(#REF!,"AAAAAH//7/E=")</f>
        <v>#REF!</v>
      </c>
      <c r="II252" t="e">
        <f>AND(#REF!,"AAAAAH//7/I=")</f>
        <v>#REF!</v>
      </c>
      <c r="IJ252" t="e">
        <f>AND(#REF!,"AAAAAH//7/M=")</f>
        <v>#REF!</v>
      </c>
      <c r="IK252" t="e">
        <f>AND(#REF!,"AAAAAH//7/Q=")</f>
        <v>#REF!</v>
      </c>
      <c r="IL252" t="e">
        <f>AND(#REF!,"AAAAAH//7/U=")</f>
        <v>#REF!</v>
      </c>
      <c r="IM252" t="e">
        <f>AND(#REF!,"AAAAAH//7/Y=")</f>
        <v>#REF!</v>
      </c>
      <c r="IN252" t="e">
        <f>AND(#REF!,"AAAAAH//7/c=")</f>
        <v>#REF!</v>
      </c>
      <c r="IO252" t="e">
        <f>AND(#REF!,"AAAAAH//7/g=")</f>
        <v>#REF!</v>
      </c>
      <c r="IP252" t="e">
        <f>AND(#REF!,"AAAAAH//7/k=")</f>
        <v>#REF!</v>
      </c>
      <c r="IQ252" t="e">
        <f>AND(#REF!,"AAAAAH//7/o=")</f>
        <v>#REF!</v>
      </c>
      <c r="IR252" t="e">
        <f>AND(#REF!,"AAAAAH//7/s=")</f>
        <v>#REF!</v>
      </c>
      <c r="IS252" t="e">
        <f>AND(#REF!,"AAAAAH//7/w=")</f>
        <v>#REF!</v>
      </c>
      <c r="IT252" t="e">
        <f>AND(#REF!,"AAAAAH//7/0=")</f>
        <v>#REF!</v>
      </c>
      <c r="IU252" t="e">
        <f>AND(#REF!,"AAAAAH//7/4=")</f>
        <v>#REF!</v>
      </c>
      <c r="IV252" t="e">
        <f>AND(#REF!,"AAAAAH//7/8=")</f>
        <v>#REF!</v>
      </c>
    </row>
    <row r="253" spans="1:256" x14ac:dyDescent="0.25">
      <c r="A253" t="e">
        <f>AND(#REF!,"AAAAAG7/vwA=")</f>
        <v>#REF!</v>
      </c>
      <c r="B253" t="e">
        <f>AND(#REF!,"AAAAAG7/vwE=")</f>
        <v>#REF!</v>
      </c>
      <c r="C253" t="e">
        <f>AND(#REF!,"AAAAAG7/vwI=")</f>
        <v>#REF!</v>
      </c>
      <c r="D253" t="e">
        <f>AND(#REF!,"AAAAAG7/vwM=")</f>
        <v>#REF!</v>
      </c>
      <c r="E253" t="e">
        <f>AND(#REF!,"AAAAAG7/vwQ=")</f>
        <v>#REF!</v>
      </c>
      <c r="F253" t="e">
        <f>AND(#REF!,"AAAAAG7/vwU=")</f>
        <v>#REF!</v>
      </c>
      <c r="G253" t="e">
        <f>AND(#REF!,"AAAAAG7/vwY=")</f>
        <v>#REF!</v>
      </c>
      <c r="H253" t="e">
        <f>AND(#REF!,"AAAAAG7/vwc=")</f>
        <v>#REF!</v>
      </c>
      <c r="I253" t="e">
        <f>AND(#REF!,"AAAAAG7/vwg=")</f>
        <v>#REF!</v>
      </c>
      <c r="J253" t="e">
        <f>AND(#REF!,"AAAAAG7/vwk=")</f>
        <v>#REF!</v>
      </c>
      <c r="K253" t="e">
        <f>AND(#REF!,"AAAAAG7/vwo=")</f>
        <v>#REF!</v>
      </c>
      <c r="L253" t="e">
        <f>AND(#REF!,"AAAAAG7/vws=")</f>
        <v>#REF!</v>
      </c>
      <c r="M253" t="e">
        <f>AND(#REF!,"AAAAAG7/vww=")</f>
        <v>#REF!</v>
      </c>
      <c r="N253" t="e">
        <f>AND(#REF!,"AAAAAG7/vw0=")</f>
        <v>#REF!</v>
      </c>
      <c r="O253" t="e">
        <f>AND(#REF!,"AAAAAG7/vw4=")</f>
        <v>#REF!</v>
      </c>
      <c r="P253" t="e">
        <f>AND(#REF!,"AAAAAG7/vw8=")</f>
        <v>#REF!</v>
      </c>
      <c r="Q253" t="e">
        <f>AND(#REF!,"AAAAAG7/vxA=")</f>
        <v>#REF!</v>
      </c>
      <c r="R253" t="e">
        <f>AND(#REF!,"AAAAAG7/vxE=")</f>
        <v>#REF!</v>
      </c>
      <c r="S253" t="e">
        <f>AND(#REF!,"AAAAAG7/vxI=")</f>
        <v>#REF!</v>
      </c>
      <c r="T253" t="e">
        <f>AND(#REF!,"AAAAAG7/vxM=")</f>
        <v>#REF!</v>
      </c>
      <c r="U253" t="e">
        <f>AND(#REF!,"AAAAAG7/vxQ=")</f>
        <v>#REF!</v>
      </c>
      <c r="V253" t="e">
        <f>AND(#REF!,"AAAAAG7/vxU=")</f>
        <v>#REF!</v>
      </c>
      <c r="W253" t="e">
        <f>AND(#REF!,"AAAAAG7/vxY=")</f>
        <v>#REF!</v>
      </c>
      <c r="X253" t="e">
        <f>AND(#REF!,"AAAAAG7/vxc=")</f>
        <v>#REF!</v>
      </c>
      <c r="Y253" t="e">
        <f>AND(#REF!,"AAAAAG7/vxg=")</f>
        <v>#REF!</v>
      </c>
      <c r="Z253" t="e">
        <f>AND(#REF!,"AAAAAG7/vxk=")</f>
        <v>#REF!</v>
      </c>
      <c r="AA253" t="e">
        <f>AND(#REF!,"AAAAAG7/vxo=")</f>
        <v>#REF!</v>
      </c>
      <c r="AB253" t="e">
        <f>AND(#REF!,"AAAAAG7/vxs=")</f>
        <v>#REF!</v>
      </c>
      <c r="AC253" t="e">
        <f>AND(#REF!,"AAAAAG7/vxw=")</f>
        <v>#REF!</v>
      </c>
      <c r="AD253" t="e">
        <f>AND(#REF!,"AAAAAG7/vx0=")</f>
        <v>#REF!</v>
      </c>
      <c r="AE253" t="e">
        <f>AND(#REF!,"AAAAAG7/vx4=")</f>
        <v>#REF!</v>
      </c>
      <c r="AF253" t="e">
        <f>AND(#REF!,"AAAAAG7/vx8=")</f>
        <v>#REF!</v>
      </c>
      <c r="AG253" t="e">
        <f>AND(#REF!,"AAAAAG7/vyA=")</f>
        <v>#REF!</v>
      </c>
      <c r="AH253" t="e">
        <f>AND(#REF!,"AAAAAG7/vyE=")</f>
        <v>#REF!</v>
      </c>
      <c r="AI253" t="e">
        <f>AND(#REF!,"AAAAAG7/vyI=")</f>
        <v>#REF!</v>
      </c>
      <c r="AJ253" t="e">
        <f>AND(#REF!,"AAAAAG7/vyM=")</f>
        <v>#REF!</v>
      </c>
      <c r="AK253" t="e">
        <f>AND(#REF!,"AAAAAG7/vyQ=")</f>
        <v>#REF!</v>
      </c>
      <c r="AL253" t="e">
        <f>AND(#REF!,"AAAAAG7/vyU=")</f>
        <v>#REF!</v>
      </c>
      <c r="AM253" t="e">
        <f>AND(#REF!,"AAAAAG7/vyY=")</f>
        <v>#REF!</v>
      </c>
      <c r="AN253" t="e">
        <f>AND(#REF!,"AAAAAG7/vyc=")</f>
        <v>#REF!</v>
      </c>
      <c r="AO253" t="e">
        <f>AND(#REF!,"AAAAAG7/vyg=")</f>
        <v>#REF!</v>
      </c>
      <c r="AP253" t="e">
        <f>AND(#REF!,"AAAAAG7/vyk=")</f>
        <v>#REF!</v>
      </c>
      <c r="AQ253" t="e">
        <f>AND(#REF!,"AAAAAG7/vyo=")</f>
        <v>#REF!</v>
      </c>
      <c r="AR253" t="e">
        <f>AND(#REF!,"AAAAAG7/vys=")</f>
        <v>#REF!</v>
      </c>
      <c r="AS253" t="e">
        <f>AND(#REF!,"AAAAAG7/vyw=")</f>
        <v>#REF!</v>
      </c>
      <c r="AT253" t="e">
        <f>AND(#REF!,"AAAAAG7/vy0=")</f>
        <v>#REF!</v>
      </c>
      <c r="AU253" t="e">
        <f>AND(#REF!,"AAAAAG7/vy4=")</f>
        <v>#REF!</v>
      </c>
      <c r="AV253" t="e">
        <f>AND(#REF!,"AAAAAG7/vy8=")</f>
        <v>#REF!</v>
      </c>
      <c r="AW253" t="e">
        <f>AND(#REF!,"AAAAAG7/vzA=")</f>
        <v>#REF!</v>
      </c>
      <c r="AX253" t="e">
        <f>AND(#REF!,"AAAAAG7/vzE=")</f>
        <v>#REF!</v>
      </c>
      <c r="AY253" t="e">
        <f>AND(#REF!,"AAAAAG7/vzI=")</f>
        <v>#REF!</v>
      </c>
      <c r="AZ253" t="e">
        <f>AND(#REF!,"AAAAAG7/vzM=")</f>
        <v>#REF!</v>
      </c>
      <c r="BA253" t="e">
        <f>AND(#REF!,"AAAAAG7/vzQ=")</f>
        <v>#REF!</v>
      </c>
      <c r="BB253" t="e">
        <f>AND(#REF!,"AAAAAG7/vzU=")</f>
        <v>#REF!</v>
      </c>
      <c r="BC253" t="e">
        <f>AND(#REF!,"AAAAAG7/vzY=")</f>
        <v>#REF!</v>
      </c>
      <c r="BD253" t="e">
        <f>AND(#REF!,"AAAAAG7/vzc=")</f>
        <v>#REF!</v>
      </c>
      <c r="BE253" t="e">
        <f>AND(#REF!,"AAAAAG7/vzg=")</f>
        <v>#REF!</v>
      </c>
      <c r="BF253" t="e">
        <f>AND(#REF!,"AAAAAG7/vzk=")</f>
        <v>#REF!</v>
      </c>
      <c r="BG253" t="e">
        <f>AND(#REF!,"AAAAAG7/vzo=")</f>
        <v>#REF!</v>
      </c>
      <c r="BH253" t="e">
        <f>AND(#REF!,"AAAAAG7/vzs=")</f>
        <v>#REF!</v>
      </c>
      <c r="BI253" t="e">
        <f>AND(#REF!,"AAAAAG7/vzw=")</f>
        <v>#REF!</v>
      </c>
      <c r="BJ253" t="e">
        <f>AND(#REF!,"AAAAAG7/vz0=")</f>
        <v>#REF!</v>
      </c>
      <c r="BK253" t="e">
        <f>AND(#REF!,"AAAAAG7/vz4=")</f>
        <v>#REF!</v>
      </c>
      <c r="BL253" t="e">
        <f>AND(#REF!,"AAAAAG7/vz8=")</f>
        <v>#REF!</v>
      </c>
      <c r="BM253" t="e">
        <f>AND(#REF!,"AAAAAG7/v0A=")</f>
        <v>#REF!</v>
      </c>
      <c r="BN253" t="e">
        <f>AND(#REF!,"AAAAAG7/v0E=")</f>
        <v>#REF!</v>
      </c>
      <c r="BO253" t="e">
        <f>AND(#REF!,"AAAAAG7/v0I=")</f>
        <v>#REF!</v>
      </c>
      <c r="BP253" t="e">
        <f>AND(#REF!,"AAAAAG7/v0M=")</f>
        <v>#REF!</v>
      </c>
      <c r="BQ253" t="e">
        <f>AND(#REF!,"AAAAAG7/v0Q=")</f>
        <v>#REF!</v>
      </c>
      <c r="BR253" t="e">
        <f>AND(#REF!,"AAAAAG7/v0U=")</f>
        <v>#REF!</v>
      </c>
      <c r="BS253" t="e">
        <f>AND(#REF!,"AAAAAG7/v0Y=")</f>
        <v>#REF!</v>
      </c>
      <c r="BT253" t="e">
        <f>AND(#REF!,"AAAAAG7/v0c=")</f>
        <v>#REF!</v>
      </c>
      <c r="BU253" t="e">
        <f>AND(#REF!,"AAAAAG7/v0g=")</f>
        <v>#REF!</v>
      </c>
      <c r="BV253" t="e">
        <f>AND(#REF!,"AAAAAG7/v0k=")</f>
        <v>#REF!</v>
      </c>
      <c r="BW253" t="e">
        <f>AND(#REF!,"AAAAAG7/v0o=")</f>
        <v>#REF!</v>
      </c>
      <c r="BX253" t="e">
        <f>AND(#REF!,"AAAAAG7/v0s=")</f>
        <v>#REF!</v>
      </c>
      <c r="BY253" t="e">
        <f>AND(#REF!,"AAAAAG7/v0w=")</f>
        <v>#REF!</v>
      </c>
      <c r="BZ253" t="e">
        <f>AND(#REF!,"AAAAAG7/v00=")</f>
        <v>#REF!</v>
      </c>
      <c r="CA253" t="e">
        <f>AND(#REF!,"AAAAAG7/v04=")</f>
        <v>#REF!</v>
      </c>
      <c r="CB253" t="e">
        <f>AND(#REF!,"AAAAAG7/v08=")</f>
        <v>#REF!</v>
      </c>
      <c r="CC253" t="e">
        <f>AND(#REF!,"AAAAAG7/v1A=")</f>
        <v>#REF!</v>
      </c>
      <c r="CD253" t="e">
        <f>AND(#REF!,"AAAAAG7/v1E=")</f>
        <v>#REF!</v>
      </c>
      <c r="CE253" t="e">
        <f>AND(#REF!,"AAAAAG7/v1I=")</f>
        <v>#REF!</v>
      </c>
      <c r="CF253" t="e">
        <f>AND(#REF!,"AAAAAG7/v1M=")</f>
        <v>#REF!</v>
      </c>
      <c r="CG253" t="e">
        <f>AND(#REF!,"AAAAAG7/v1Q=")</f>
        <v>#REF!</v>
      </c>
      <c r="CH253" t="e">
        <f>AND(#REF!,"AAAAAG7/v1U=")</f>
        <v>#REF!</v>
      </c>
      <c r="CI253" t="e">
        <f>AND(#REF!,"AAAAAG7/v1Y=")</f>
        <v>#REF!</v>
      </c>
      <c r="CJ253" t="e">
        <f>AND(#REF!,"AAAAAG7/v1c=")</f>
        <v>#REF!</v>
      </c>
      <c r="CK253" t="e">
        <f>AND(#REF!,"AAAAAG7/v1g=")</f>
        <v>#REF!</v>
      </c>
      <c r="CL253" t="e">
        <f>AND(#REF!,"AAAAAG7/v1k=")</f>
        <v>#REF!</v>
      </c>
      <c r="CM253" t="e">
        <f>AND(#REF!,"AAAAAG7/v1o=")</f>
        <v>#REF!</v>
      </c>
      <c r="CN253" t="e">
        <f>AND(#REF!,"AAAAAG7/v1s=")</f>
        <v>#REF!</v>
      </c>
      <c r="CO253" t="e">
        <f>AND(#REF!,"AAAAAG7/v1w=")</f>
        <v>#REF!</v>
      </c>
      <c r="CP253" t="e">
        <f>AND(#REF!,"AAAAAG7/v10=")</f>
        <v>#REF!</v>
      </c>
      <c r="CQ253" t="e">
        <f>AND(#REF!,"AAAAAG7/v14=")</f>
        <v>#REF!</v>
      </c>
      <c r="CR253" t="e">
        <f>AND(#REF!,"AAAAAG7/v18=")</f>
        <v>#REF!</v>
      </c>
      <c r="CS253" t="e">
        <f>AND(#REF!,"AAAAAG7/v2A=")</f>
        <v>#REF!</v>
      </c>
      <c r="CT253" t="e">
        <f>AND(#REF!,"AAAAAG7/v2E=")</f>
        <v>#REF!</v>
      </c>
      <c r="CU253" t="e">
        <f>AND(#REF!,"AAAAAG7/v2I=")</f>
        <v>#REF!</v>
      </c>
      <c r="CV253" t="e">
        <f>AND(#REF!,"AAAAAG7/v2M=")</f>
        <v>#REF!</v>
      </c>
      <c r="CW253" t="e">
        <f>AND(#REF!,"AAAAAG7/v2Q=")</f>
        <v>#REF!</v>
      </c>
      <c r="CX253" t="e">
        <f>AND(#REF!,"AAAAAG7/v2U=")</f>
        <v>#REF!</v>
      </c>
      <c r="CY253" t="e">
        <f>AND(#REF!,"AAAAAG7/v2Y=")</f>
        <v>#REF!</v>
      </c>
      <c r="CZ253" t="e">
        <f>AND(#REF!,"AAAAAG7/v2c=")</f>
        <v>#REF!</v>
      </c>
      <c r="DA253" t="e">
        <f>AND(#REF!,"AAAAAG7/v2g=")</f>
        <v>#REF!</v>
      </c>
      <c r="DB253" t="e">
        <f>AND(#REF!,"AAAAAG7/v2k=")</f>
        <v>#REF!</v>
      </c>
      <c r="DC253" t="e">
        <f>AND(#REF!,"AAAAAG7/v2o=")</f>
        <v>#REF!</v>
      </c>
      <c r="DD253" t="e">
        <f>AND(#REF!,"AAAAAG7/v2s=")</f>
        <v>#REF!</v>
      </c>
      <c r="DE253" t="e">
        <f>AND(#REF!,"AAAAAG7/v2w=")</f>
        <v>#REF!</v>
      </c>
      <c r="DF253" t="e">
        <f>AND(#REF!,"AAAAAG7/v20=")</f>
        <v>#REF!</v>
      </c>
      <c r="DG253" t="e">
        <f>AND(#REF!,"AAAAAG7/v24=")</f>
        <v>#REF!</v>
      </c>
      <c r="DH253" t="e">
        <f>AND(#REF!,"AAAAAG7/v28=")</f>
        <v>#REF!</v>
      </c>
      <c r="DI253" t="e">
        <f>AND(#REF!,"AAAAAG7/v3A=")</f>
        <v>#REF!</v>
      </c>
      <c r="DJ253" t="e">
        <f>AND(#REF!,"AAAAAG7/v3E=")</f>
        <v>#REF!</v>
      </c>
      <c r="DK253" t="e">
        <f>AND(#REF!,"AAAAAG7/v3I=")</f>
        <v>#REF!</v>
      </c>
      <c r="DL253" t="e">
        <f>AND(#REF!,"AAAAAG7/v3M=")</f>
        <v>#REF!</v>
      </c>
      <c r="DM253" t="e">
        <f>AND(#REF!,"AAAAAG7/v3Q=")</f>
        <v>#REF!</v>
      </c>
      <c r="DN253" t="e">
        <f>AND(#REF!,"AAAAAG7/v3U=")</f>
        <v>#REF!</v>
      </c>
      <c r="DO253" t="e">
        <f>IF(#REF!,"AAAAAG7/v3Y=",0)</f>
        <v>#REF!</v>
      </c>
      <c r="DP253" t="e">
        <f>AND(#REF!,"AAAAAG7/v3c=")</f>
        <v>#REF!</v>
      </c>
      <c r="DQ253" t="e">
        <f>AND(#REF!,"AAAAAG7/v3g=")</f>
        <v>#REF!</v>
      </c>
      <c r="DR253" t="e">
        <f>AND(#REF!,"AAAAAG7/v3k=")</f>
        <v>#REF!</v>
      </c>
      <c r="DS253" t="e">
        <f>AND(#REF!,"AAAAAG7/v3o=")</f>
        <v>#REF!</v>
      </c>
      <c r="DT253" t="e">
        <f>AND(#REF!,"AAAAAG7/v3s=")</f>
        <v>#REF!</v>
      </c>
      <c r="DU253" t="e">
        <f>AND(#REF!,"AAAAAG7/v3w=")</f>
        <v>#REF!</v>
      </c>
      <c r="DV253" t="e">
        <f>AND(#REF!,"AAAAAG7/v30=")</f>
        <v>#REF!</v>
      </c>
      <c r="DW253" t="e">
        <f>AND(#REF!,"AAAAAG7/v34=")</f>
        <v>#REF!</v>
      </c>
      <c r="DX253" t="e">
        <f>AND(#REF!,"AAAAAG7/v38=")</f>
        <v>#REF!</v>
      </c>
      <c r="DY253" t="e">
        <f>AND(#REF!,"AAAAAG7/v4A=")</f>
        <v>#REF!</v>
      </c>
      <c r="DZ253" t="e">
        <f>AND(#REF!,"AAAAAG7/v4E=")</f>
        <v>#REF!</v>
      </c>
      <c r="EA253" t="e">
        <f>AND(#REF!,"AAAAAG7/v4I=")</f>
        <v>#REF!</v>
      </c>
      <c r="EB253" t="e">
        <f>AND(#REF!,"AAAAAG7/v4M=")</f>
        <v>#REF!</v>
      </c>
      <c r="EC253" t="e">
        <f>AND(#REF!,"AAAAAG7/v4Q=")</f>
        <v>#REF!</v>
      </c>
      <c r="ED253" t="e">
        <f>AND(#REF!,"AAAAAG7/v4U=")</f>
        <v>#REF!</v>
      </c>
      <c r="EE253" t="e">
        <f>AND(#REF!,"AAAAAG7/v4Y=")</f>
        <v>#REF!</v>
      </c>
      <c r="EF253" t="e">
        <f>AND(#REF!,"AAAAAG7/v4c=")</f>
        <v>#REF!</v>
      </c>
      <c r="EG253" t="e">
        <f>AND(#REF!,"AAAAAG7/v4g=")</f>
        <v>#REF!</v>
      </c>
      <c r="EH253" t="e">
        <f>AND(#REF!,"AAAAAG7/v4k=")</f>
        <v>#REF!</v>
      </c>
      <c r="EI253" t="e">
        <f>AND(#REF!,"AAAAAG7/v4o=")</f>
        <v>#REF!</v>
      </c>
      <c r="EJ253" t="e">
        <f>AND(#REF!,"AAAAAG7/v4s=")</f>
        <v>#REF!</v>
      </c>
      <c r="EK253" t="e">
        <f>AND(#REF!,"AAAAAG7/v4w=")</f>
        <v>#REF!</v>
      </c>
      <c r="EL253" t="e">
        <f>AND(#REF!,"AAAAAG7/v40=")</f>
        <v>#REF!</v>
      </c>
      <c r="EM253" t="e">
        <f>AND(#REF!,"AAAAAG7/v44=")</f>
        <v>#REF!</v>
      </c>
      <c r="EN253" t="e">
        <f>AND(#REF!,"AAAAAG7/v48=")</f>
        <v>#REF!</v>
      </c>
      <c r="EO253" t="e">
        <f>AND(#REF!,"AAAAAG7/v5A=")</f>
        <v>#REF!</v>
      </c>
      <c r="EP253" t="e">
        <f>AND(#REF!,"AAAAAG7/v5E=")</f>
        <v>#REF!</v>
      </c>
      <c r="EQ253" t="e">
        <f>AND(#REF!,"AAAAAG7/v5I=")</f>
        <v>#REF!</v>
      </c>
      <c r="ER253" t="e">
        <f>AND(#REF!,"AAAAAG7/v5M=")</f>
        <v>#REF!</v>
      </c>
      <c r="ES253" t="e">
        <f>AND(#REF!,"AAAAAG7/v5Q=")</f>
        <v>#REF!</v>
      </c>
      <c r="ET253" t="e">
        <f>AND(#REF!,"AAAAAG7/v5U=")</f>
        <v>#REF!</v>
      </c>
      <c r="EU253" t="e">
        <f>AND(#REF!,"AAAAAG7/v5Y=")</f>
        <v>#REF!</v>
      </c>
      <c r="EV253" t="e">
        <f>AND(#REF!,"AAAAAG7/v5c=")</f>
        <v>#REF!</v>
      </c>
      <c r="EW253" t="e">
        <f>AND(#REF!,"AAAAAG7/v5g=")</f>
        <v>#REF!</v>
      </c>
      <c r="EX253" t="e">
        <f>AND(#REF!,"AAAAAG7/v5k=")</f>
        <v>#REF!</v>
      </c>
      <c r="EY253" t="e">
        <f>AND(#REF!,"AAAAAG7/v5o=")</f>
        <v>#REF!</v>
      </c>
      <c r="EZ253" t="e">
        <f>AND(#REF!,"AAAAAG7/v5s=")</f>
        <v>#REF!</v>
      </c>
      <c r="FA253" t="e">
        <f>AND(#REF!,"AAAAAG7/v5w=")</f>
        <v>#REF!</v>
      </c>
      <c r="FB253" t="e">
        <f>AND(#REF!,"AAAAAG7/v50=")</f>
        <v>#REF!</v>
      </c>
      <c r="FC253" t="e">
        <f>AND(#REF!,"AAAAAG7/v54=")</f>
        <v>#REF!</v>
      </c>
      <c r="FD253" t="e">
        <f>AND(#REF!,"AAAAAG7/v58=")</f>
        <v>#REF!</v>
      </c>
      <c r="FE253" t="e">
        <f>AND(#REF!,"AAAAAG7/v6A=")</f>
        <v>#REF!</v>
      </c>
      <c r="FF253" t="e">
        <f>AND(#REF!,"AAAAAG7/v6E=")</f>
        <v>#REF!</v>
      </c>
      <c r="FG253" t="e">
        <f>AND(#REF!,"AAAAAG7/v6I=")</f>
        <v>#REF!</v>
      </c>
      <c r="FH253" t="e">
        <f>AND(#REF!,"AAAAAG7/v6M=")</f>
        <v>#REF!</v>
      </c>
      <c r="FI253" t="e">
        <f>AND(#REF!,"AAAAAG7/v6Q=")</f>
        <v>#REF!</v>
      </c>
      <c r="FJ253" t="e">
        <f>AND(#REF!,"AAAAAG7/v6U=")</f>
        <v>#REF!</v>
      </c>
      <c r="FK253" t="e">
        <f>AND(#REF!,"AAAAAG7/v6Y=")</f>
        <v>#REF!</v>
      </c>
      <c r="FL253" t="e">
        <f>AND(#REF!,"AAAAAG7/v6c=")</f>
        <v>#REF!</v>
      </c>
      <c r="FM253" t="e">
        <f>AND(#REF!,"AAAAAG7/v6g=")</f>
        <v>#REF!</v>
      </c>
      <c r="FN253" t="e">
        <f>AND(#REF!,"AAAAAG7/v6k=")</f>
        <v>#REF!</v>
      </c>
      <c r="FO253" t="e">
        <f>AND(#REF!,"AAAAAG7/v6o=")</f>
        <v>#REF!</v>
      </c>
      <c r="FP253" t="e">
        <f>AND(#REF!,"AAAAAG7/v6s=")</f>
        <v>#REF!</v>
      </c>
      <c r="FQ253" t="e">
        <f>AND(#REF!,"AAAAAG7/v6w=")</f>
        <v>#REF!</v>
      </c>
      <c r="FR253" t="e">
        <f>AND(#REF!,"AAAAAG7/v60=")</f>
        <v>#REF!</v>
      </c>
      <c r="FS253" t="e">
        <f>AND(#REF!,"AAAAAG7/v64=")</f>
        <v>#REF!</v>
      </c>
      <c r="FT253" t="e">
        <f>AND(#REF!,"AAAAAG7/v68=")</f>
        <v>#REF!</v>
      </c>
      <c r="FU253" t="e">
        <f>AND(#REF!,"AAAAAG7/v7A=")</f>
        <v>#REF!</v>
      </c>
      <c r="FV253" t="e">
        <f>AND(#REF!,"AAAAAG7/v7E=")</f>
        <v>#REF!</v>
      </c>
      <c r="FW253" t="e">
        <f>AND(#REF!,"AAAAAG7/v7I=")</f>
        <v>#REF!</v>
      </c>
      <c r="FX253" t="e">
        <f>AND(#REF!,"AAAAAG7/v7M=")</f>
        <v>#REF!</v>
      </c>
      <c r="FY253" t="e">
        <f>AND(#REF!,"AAAAAG7/v7Q=")</f>
        <v>#REF!</v>
      </c>
      <c r="FZ253" t="e">
        <f>AND(#REF!,"AAAAAG7/v7U=")</f>
        <v>#REF!</v>
      </c>
      <c r="GA253" t="e">
        <f>AND(#REF!,"AAAAAG7/v7Y=")</f>
        <v>#REF!</v>
      </c>
      <c r="GB253" t="e">
        <f>AND(#REF!,"AAAAAG7/v7c=")</f>
        <v>#REF!</v>
      </c>
      <c r="GC253" t="e">
        <f>AND(#REF!,"AAAAAG7/v7g=")</f>
        <v>#REF!</v>
      </c>
      <c r="GD253" t="e">
        <f>AND(#REF!,"AAAAAG7/v7k=")</f>
        <v>#REF!</v>
      </c>
      <c r="GE253" t="e">
        <f>AND(#REF!,"AAAAAG7/v7o=")</f>
        <v>#REF!</v>
      </c>
      <c r="GF253" t="e">
        <f>AND(#REF!,"AAAAAG7/v7s=")</f>
        <v>#REF!</v>
      </c>
      <c r="GG253" t="e">
        <f>AND(#REF!,"AAAAAG7/v7w=")</f>
        <v>#REF!</v>
      </c>
      <c r="GH253" t="e">
        <f>AND(#REF!,"AAAAAG7/v70=")</f>
        <v>#REF!</v>
      </c>
      <c r="GI253" t="e">
        <f>AND(#REF!,"AAAAAG7/v74=")</f>
        <v>#REF!</v>
      </c>
      <c r="GJ253" t="e">
        <f>AND(#REF!,"AAAAAG7/v78=")</f>
        <v>#REF!</v>
      </c>
      <c r="GK253" t="e">
        <f>AND(#REF!,"AAAAAG7/v8A=")</f>
        <v>#REF!</v>
      </c>
      <c r="GL253" t="e">
        <f>AND(#REF!,"AAAAAG7/v8E=")</f>
        <v>#REF!</v>
      </c>
      <c r="GM253" t="e">
        <f>AND(#REF!,"AAAAAG7/v8I=")</f>
        <v>#REF!</v>
      </c>
      <c r="GN253" t="e">
        <f>AND(#REF!,"AAAAAG7/v8M=")</f>
        <v>#REF!</v>
      </c>
      <c r="GO253" t="e">
        <f>AND(#REF!,"AAAAAG7/v8Q=")</f>
        <v>#REF!</v>
      </c>
      <c r="GP253" t="e">
        <f>AND(#REF!,"AAAAAG7/v8U=")</f>
        <v>#REF!</v>
      </c>
      <c r="GQ253" t="e">
        <f>AND(#REF!,"AAAAAG7/v8Y=")</f>
        <v>#REF!</v>
      </c>
      <c r="GR253" t="e">
        <f>AND(#REF!,"AAAAAG7/v8c=")</f>
        <v>#REF!</v>
      </c>
      <c r="GS253" t="e">
        <f>AND(#REF!,"AAAAAG7/v8g=")</f>
        <v>#REF!</v>
      </c>
      <c r="GT253" t="e">
        <f>AND(#REF!,"AAAAAG7/v8k=")</f>
        <v>#REF!</v>
      </c>
      <c r="GU253" t="e">
        <f>AND(#REF!,"AAAAAG7/v8o=")</f>
        <v>#REF!</v>
      </c>
      <c r="GV253" t="e">
        <f>AND(#REF!,"AAAAAG7/v8s=")</f>
        <v>#REF!</v>
      </c>
      <c r="GW253" t="e">
        <f>AND(#REF!,"AAAAAG7/v8w=")</f>
        <v>#REF!</v>
      </c>
      <c r="GX253" t="e">
        <f>AND(#REF!,"AAAAAG7/v80=")</f>
        <v>#REF!</v>
      </c>
      <c r="GY253" t="e">
        <f>AND(#REF!,"AAAAAG7/v84=")</f>
        <v>#REF!</v>
      </c>
      <c r="GZ253" t="e">
        <f>AND(#REF!,"AAAAAG7/v88=")</f>
        <v>#REF!</v>
      </c>
      <c r="HA253" t="e">
        <f>AND(#REF!,"AAAAAG7/v9A=")</f>
        <v>#REF!</v>
      </c>
      <c r="HB253" t="e">
        <f>AND(#REF!,"AAAAAG7/v9E=")</f>
        <v>#REF!</v>
      </c>
      <c r="HC253" t="e">
        <f>AND(#REF!,"AAAAAG7/v9I=")</f>
        <v>#REF!</v>
      </c>
      <c r="HD253" t="e">
        <f>AND(#REF!,"AAAAAG7/v9M=")</f>
        <v>#REF!</v>
      </c>
      <c r="HE253" t="e">
        <f>AND(#REF!,"AAAAAG7/v9Q=")</f>
        <v>#REF!</v>
      </c>
      <c r="HF253" t="e">
        <f>AND(#REF!,"AAAAAG7/v9U=")</f>
        <v>#REF!</v>
      </c>
      <c r="HG253" t="e">
        <f>AND(#REF!,"AAAAAG7/v9Y=")</f>
        <v>#REF!</v>
      </c>
      <c r="HH253" t="e">
        <f>AND(#REF!,"AAAAAG7/v9c=")</f>
        <v>#REF!</v>
      </c>
      <c r="HI253" t="e">
        <f>AND(#REF!,"AAAAAG7/v9g=")</f>
        <v>#REF!</v>
      </c>
      <c r="HJ253" t="e">
        <f>AND(#REF!,"AAAAAG7/v9k=")</f>
        <v>#REF!</v>
      </c>
      <c r="HK253" t="e">
        <f>AND(#REF!,"AAAAAG7/v9o=")</f>
        <v>#REF!</v>
      </c>
      <c r="HL253" t="e">
        <f>AND(#REF!,"AAAAAG7/v9s=")</f>
        <v>#REF!</v>
      </c>
      <c r="HM253" t="e">
        <f>AND(#REF!,"AAAAAG7/v9w=")</f>
        <v>#REF!</v>
      </c>
      <c r="HN253" t="e">
        <f>AND(#REF!,"AAAAAG7/v90=")</f>
        <v>#REF!</v>
      </c>
      <c r="HO253" t="e">
        <f>AND(#REF!,"AAAAAG7/v94=")</f>
        <v>#REF!</v>
      </c>
      <c r="HP253" t="e">
        <f>AND(#REF!,"AAAAAG7/v98=")</f>
        <v>#REF!</v>
      </c>
      <c r="HQ253" t="e">
        <f>AND(#REF!,"AAAAAG7/v+A=")</f>
        <v>#REF!</v>
      </c>
      <c r="HR253" t="e">
        <f>AND(#REF!,"AAAAAG7/v+E=")</f>
        <v>#REF!</v>
      </c>
      <c r="HS253" t="e">
        <f>AND(#REF!,"AAAAAG7/v+I=")</f>
        <v>#REF!</v>
      </c>
      <c r="HT253" t="e">
        <f>AND(#REF!,"AAAAAG7/v+M=")</f>
        <v>#REF!</v>
      </c>
      <c r="HU253" t="e">
        <f>AND(#REF!,"AAAAAG7/v+Q=")</f>
        <v>#REF!</v>
      </c>
      <c r="HV253" t="e">
        <f>AND(#REF!,"AAAAAG7/v+U=")</f>
        <v>#REF!</v>
      </c>
      <c r="HW253" t="e">
        <f>AND(#REF!,"AAAAAG7/v+Y=")</f>
        <v>#REF!</v>
      </c>
      <c r="HX253" t="e">
        <f>AND(#REF!,"AAAAAG7/v+c=")</f>
        <v>#REF!</v>
      </c>
      <c r="HY253" t="e">
        <f>AND(#REF!,"AAAAAG7/v+g=")</f>
        <v>#REF!</v>
      </c>
      <c r="HZ253" t="e">
        <f>AND(#REF!,"AAAAAG7/v+k=")</f>
        <v>#REF!</v>
      </c>
      <c r="IA253" t="e">
        <f>AND(#REF!,"AAAAAG7/v+o=")</f>
        <v>#REF!</v>
      </c>
      <c r="IB253" t="e">
        <f>AND(#REF!,"AAAAAG7/v+s=")</f>
        <v>#REF!</v>
      </c>
      <c r="IC253" t="e">
        <f>AND(#REF!,"AAAAAG7/v+w=")</f>
        <v>#REF!</v>
      </c>
      <c r="ID253" t="e">
        <f>AND(#REF!,"AAAAAG7/v+0=")</f>
        <v>#REF!</v>
      </c>
      <c r="IE253" t="e">
        <f>AND(#REF!,"AAAAAG7/v+4=")</f>
        <v>#REF!</v>
      </c>
      <c r="IF253" t="e">
        <f>AND(#REF!,"AAAAAG7/v+8=")</f>
        <v>#REF!</v>
      </c>
      <c r="IG253" t="e">
        <f>AND(#REF!,"AAAAAG7/v/A=")</f>
        <v>#REF!</v>
      </c>
      <c r="IH253" t="e">
        <f>AND(#REF!,"AAAAAG7/v/E=")</f>
        <v>#REF!</v>
      </c>
      <c r="II253" t="e">
        <f>AND(#REF!,"AAAAAG7/v/I=")</f>
        <v>#REF!</v>
      </c>
      <c r="IJ253" t="e">
        <f>AND(#REF!,"AAAAAG7/v/M=")</f>
        <v>#REF!</v>
      </c>
      <c r="IK253" t="e">
        <f>AND(#REF!,"AAAAAG7/v/Q=")</f>
        <v>#REF!</v>
      </c>
      <c r="IL253" t="e">
        <f>AND(#REF!,"AAAAAG7/v/U=")</f>
        <v>#REF!</v>
      </c>
      <c r="IM253" t="e">
        <f>AND(#REF!,"AAAAAG7/v/Y=")</f>
        <v>#REF!</v>
      </c>
      <c r="IN253" t="e">
        <f>AND(#REF!,"AAAAAG7/v/c=")</f>
        <v>#REF!</v>
      </c>
      <c r="IO253" t="e">
        <f>AND(#REF!,"AAAAAG7/v/g=")</f>
        <v>#REF!</v>
      </c>
      <c r="IP253" t="e">
        <f>AND(#REF!,"AAAAAG7/v/k=")</f>
        <v>#REF!</v>
      </c>
      <c r="IQ253" t="e">
        <f>AND(#REF!,"AAAAAG7/v/o=")</f>
        <v>#REF!</v>
      </c>
      <c r="IR253" t="e">
        <f>AND(#REF!,"AAAAAG7/v/s=")</f>
        <v>#REF!</v>
      </c>
      <c r="IS253" t="e">
        <f>AND(#REF!,"AAAAAG7/v/w=")</f>
        <v>#REF!</v>
      </c>
      <c r="IT253" t="e">
        <f>AND(#REF!,"AAAAAG7/v/0=")</f>
        <v>#REF!</v>
      </c>
      <c r="IU253" t="e">
        <f>AND(#REF!,"AAAAAG7/v/4=")</f>
        <v>#REF!</v>
      </c>
      <c r="IV253" t="e">
        <f>AND(#REF!,"AAAAAG7/v/8=")</f>
        <v>#REF!</v>
      </c>
    </row>
    <row r="254" spans="1:256" x14ac:dyDescent="0.25">
      <c r="A254" t="e">
        <f>AND(#REF!,"AAAAADz/pQA=")</f>
        <v>#REF!</v>
      </c>
      <c r="B254" t="e">
        <f>AND(#REF!,"AAAAADz/pQE=")</f>
        <v>#REF!</v>
      </c>
      <c r="C254" t="e">
        <f>AND(#REF!,"AAAAADz/pQI=")</f>
        <v>#REF!</v>
      </c>
      <c r="D254" t="e">
        <f>AND(#REF!,"AAAAADz/pQM=")</f>
        <v>#REF!</v>
      </c>
      <c r="E254" t="e">
        <f>AND(#REF!,"AAAAADz/pQQ=")</f>
        <v>#REF!</v>
      </c>
      <c r="F254" t="e">
        <f>AND(#REF!,"AAAAADz/pQU=")</f>
        <v>#REF!</v>
      </c>
      <c r="G254" t="e">
        <f>AND(#REF!,"AAAAADz/pQY=")</f>
        <v>#REF!</v>
      </c>
      <c r="H254" t="e">
        <f>AND(#REF!,"AAAAADz/pQc=")</f>
        <v>#REF!</v>
      </c>
      <c r="I254" t="e">
        <f>AND(#REF!,"AAAAADz/pQg=")</f>
        <v>#REF!</v>
      </c>
      <c r="J254" t="e">
        <f>AND(#REF!,"AAAAADz/pQk=")</f>
        <v>#REF!</v>
      </c>
      <c r="K254" t="e">
        <f>AND(#REF!,"AAAAADz/pQo=")</f>
        <v>#REF!</v>
      </c>
      <c r="L254" t="e">
        <f>AND(#REF!,"AAAAADz/pQs=")</f>
        <v>#REF!</v>
      </c>
      <c r="M254" t="e">
        <f>AND(#REF!,"AAAAADz/pQw=")</f>
        <v>#REF!</v>
      </c>
      <c r="N254" t="e">
        <f>AND(#REF!,"AAAAADz/pQ0=")</f>
        <v>#REF!</v>
      </c>
      <c r="O254" t="e">
        <f>AND(#REF!,"AAAAADz/pQ4=")</f>
        <v>#REF!</v>
      </c>
      <c r="P254" t="e">
        <f>AND(#REF!,"AAAAADz/pQ8=")</f>
        <v>#REF!</v>
      </c>
      <c r="Q254" t="e">
        <f>AND(#REF!,"AAAAADz/pRA=")</f>
        <v>#REF!</v>
      </c>
      <c r="R254" t="e">
        <f>AND(#REF!,"AAAAADz/pRE=")</f>
        <v>#REF!</v>
      </c>
      <c r="S254" t="e">
        <f>AND(#REF!,"AAAAADz/pRI=")</f>
        <v>#REF!</v>
      </c>
      <c r="T254" t="e">
        <f>AND(#REF!,"AAAAADz/pRM=")</f>
        <v>#REF!</v>
      </c>
      <c r="U254" t="e">
        <f>AND(#REF!,"AAAAADz/pRQ=")</f>
        <v>#REF!</v>
      </c>
      <c r="V254" t="e">
        <f>AND(#REF!,"AAAAADz/pRU=")</f>
        <v>#REF!</v>
      </c>
      <c r="W254" t="e">
        <f>AND(#REF!,"AAAAADz/pRY=")</f>
        <v>#REF!</v>
      </c>
      <c r="X254" t="e">
        <f>AND(#REF!,"AAAAADz/pRc=")</f>
        <v>#REF!</v>
      </c>
      <c r="Y254" t="e">
        <f>AND(#REF!,"AAAAADz/pRg=")</f>
        <v>#REF!</v>
      </c>
      <c r="Z254" t="e">
        <f>AND(#REF!,"AAAAADz/pRk=")</f>
        <v>#REF!</v>
      </c>
      <c r="AA254" t="e">
        <f>AND(#REF!,"AAAAADz/pRo=")</f>
        <v>#REF!</v>
      </c>
      <c r="AB254" t="e">
        <f>AND(#REF!,"AAAAADz/pRs=")</f>
        <v>#REF!</v>
      </c>
      <c r="AC254" t="e">
        <f>AND(#REF!,"AAAAADz/pRw=")</f>
        <v>#REF!</v>
      </c>
      <c r="AD254" t="e">
        <f>AND(#REF!,"AAAAADz/pR0=")</f>
        <v>#REF!</v>
      </c>
      <c r="AE254" t="e">
        <f>AND(#REF!,"AAAAADz/pR4=")</f>
        <v>#REF!</v>
      </c>
      <c r="AF254" t="e">
        <f>AND(#REF!,"AAAAADz/pR8=")</f>
        <v>#REF!</v>
      </c>
      <c r="AG254" t="e">
        <f>AND(#REF!,"AAAAADz/pSA=")</f>
        <v>#REF!</v>
      </c>
      <c r="AH254" t="e">
        <f>AND(#REF!,"AAAAADz/pSE=")</f>
        <v>#REF!</v>
      </c>
      <c r="AI254" t="e">
        <f>AND(#REF!,"AAAAADz/pSI=")</f>
        <v>#REF!</v>
      </c>
      <c r="AJ254" t="e">
        <f>AND(#REF!,"AAAAADz/pSM=")</f>
        <v>#REF!</v>
      </c>
      <c r="AK254" t="e">
        <f>AND(#REF!,"AAAAADz/pSQ=")</f>
        <v>#REF!</v>
      </c>
      <c r="AL254" t="e">
        <f>AND(#REF!,"AAAAADz/pSU=")</f>
        <v>#REF!</v>
      </c>
      <c r="AM254" t="e">
        <f>AND(#REF!,"AAAAADz/pSY=")</f>
        <v>#REF!</v>
      </c>
      <c r="AN254" t="e">
        <f>AND(#REF!,"AAAAADz/pSc=")</f>
        <v>#REF!</v>
      </c>
      <c r="AO254" t="e">
        <f>AND(#REF!,"AAAAADz/pSg=")</f>
        <v>#REF!</v>
      </c>
      <c r="AP254" t="e">
        <f>AND(#REF!,"AAAAADz/pSk=")</f>
        <v>#REF!</v>
      </c>
      <c r="AQ254" t="e">
        <f>AND(#REF!,"AAAAADz/pSo=")</f>
        <v>#REF!</v>
      </c>
      <c r="AR254" t="e">
        <f>AND(#REF!,"AAAAADz/pSs=")</f>
        <v>#REF!</v>
      </c>
      <c r="AS254" t="e">
        <f>AND(#REF!,"AAAAADz/pSw=")</f>
        <v>#REF!</v>
      </c>
      <c r="AT254" t="e">
        <f>AND(#REF!,"AAAAADz/pS0=")</f>
        <v>#REF!</v>
      </c>
      <c r="AU254" t="e">
        <f>AND(#REF!,"AAAAADz/pS4=")</f>
        <v>#REF!</v>
      </c>
      <c r="AV254" t="e">
        <f>AND(#REF!,"AAAAADz/pS8=")</f>
        <v>#REF!</v>
      </c>
      <c r="AW254" t="e">
        <f>AND(#REF!,"AAAAADz/pTA=")</f>
        <v>#REF!</v>
      </c>
      <c r="AX254" t="e">
        <f>AND(#REF!,"AAAAADz/pTE=")</f>
        <v>#REF!</v>
      </c>
      <c r="AY254" t="e">
        <f>AND(#REF!,"AAAAADz/pTI=")</f>
        <v>#REF!</v>
      </c>
      <c r="AZ254" t="e">
        <f>IF(#REF!,"AAAAADz/pTM=",0)</f>
        <v>#REF!</v>
      </c>
      <c r="BA254" t="e">
        <f>AND(#REF!,"AAAAADz/pTQ=")</f>
        <v>#REF!</v>
      </c>
      <c r="BB254" t="e">
        <f>AND(#REF!,"AAAAADz/pTU=")</f>
        <v>#REF!</v>
      </c>
      <c r="BC254" t="e">
        <f>AND(#REF!,"AAAAADz/pTY=")</f>
        <v>#REF!</v>
      </c>
      <c r="BD254" t="e">
        <f>AND(#REF!,"AAAAADz/pTc=")</f>
        <v>#REF!</v>
      </c>
      <c r="BE254" t="e">
        <f>AND(#REF!,"AAAAADz/pTg=")</f>
        <v>#REF!</v>
      </c>
      <c r="BF254" t="e">
        <f>AND(#REF!,"AAAAADz/pTk=")</f>
        <v>#REF!</v>
      </c>
      <c r="BG254" t="e">
        <f>AND(#REF!,"AAAAADz/pTo=")</f>
        <v>#REF!</v>
      </c>
      <c r="BH254" t="e">
        <f>AND(#REF!,"AAAAADz/pTs=")</f>
        <v>#REF!</v>
      </c>
      <c r="BI254" t="e">
        <f>AND(#REF!,"AAAAADz/pTw=")</f>
        <v>#REF!</v>
      </c>
      <c r="BJ254" t="e">
        <f>AND(#REF!,"AAAAADz/pT0=")</f>
        <v>#REF!</v>
      </c>
      <c r="BK254" t="e">
        <f>AND(#REF!,"AAAAADz/pT4=")</f>
        <v>#REF!</v>
      </c>
      <c r="BL254" t="e">
        <f>AND(#REF!,"AAAAADz/pT8=")</f>
        <v>#REF!</v>
      </c>
      <c r="BM254" t="e">
        <f>AND(#REF!,"AAAAADz/pUA=")</f>
        <v>#REF!</v>
      </c>
      <c r="BN254" t="e">
        <f>AND(#REF!,"AAAAADz/pUE=")</f>
        <v>#REF!</v>
      </c>
      <c r="BO254" t="e">
        <f>AND(#REF!,"AAAAADz/pUI=")</f>
        <v>#REF!</v>
      </c>
      <c r="BP254" t="e">
        <f>AND(#REF!,"AAAAADz/pUM=")</f>
        <v>#REF!</v>
      </c>
      <c r="BQ254" t="e">
        <f>AND(#REF!,"AAAAADz/pUQ=")</f>
        <v>#REF!</v>
      </c>
      <c r="BR254" t="e">
        <f>AND(#REF!,"AAAAADz/pUU=")</f>
        <v>#REF!</v>
      </c>
      <c r="BS254" t="e">
        <f>AND(#REF!,"AAAAADz/pUY=")</f>
        <v>#REF!</v>
      </c>
      <c r="BT254" t="e">
        <f>AND(#REF!,"AAAAADz/pUc=")</f>
        <v>#REF!</v>
      </c>
      <c r="BU254" t="e">
        <f>AND(#REF!,"AAAAADz/pUg=")</f>
        <v>#REF!</v>
      </c>
      <c r="BV254" t="e">
        <f>AND(#REF!,"AAAAADz/pUk=")</f>
        <v>#REF!</v>
      </c>
      <c r="BW254" t="e">
        <f>AND(#REF!,"AAAAADz/pUo=")</f>
        <v>#REF!</v>
      </c>
      <c r="BX254" t="e">
        <f>AND(#REF!,"AAAAADz/pUs=")</f>
        <v>#REF!</v>
      </c>
      <c r="BY254" t="e">
        <f>AND(#REF!,"AAAAADz/pUw=")</f>
        <v>#REF!</v>
      </c>
      <c r="BZ254" t="e">
        <f>AND(#REF!,"AAAAADz/pU0=")</f>
        <v>#REF!</v>
      </c>
      <c r="CA254" t="e">
        <f>AND(#REF!,"AAAAADz/pU4=")</f>
        <v>#REF!</v>
      </c>
      <c r="CB254" t="e">
        <f>AND(#REF!,"AAAAADz/pU8=")</f>
        <v>#REF!</v>
      </c>
      <c r="CC254" t="e">
        <f>AND(#REF!,"AAAAADz/pVA=")</f>
        <v>#REF!</v>
      </c>
      <c r="CD254" t="e">
        <f>AND(#REF!,"AAAAADz/pVE=")</f>
        <v>#REF!</v>
      </c>
      <c r="CE254" t="e">
        <f>AND(#REF!,"AAAAADz/pVI=")</f>
        <v>#REF!</v>
      </c>
      <c r="CF254" t="e">
        <f>AND(#REF!,"AAAAADz/pVM=")</f>
        <v>#REF!</v>
      </c>
      <c r="CG254" t="e">
        <f>AND(#REF!,"AAAAADz/pVQ=")</f>
        <v>#REF!</v>
      </c>
      <c r="CH254" t="e">
        <f>AND(#REF!,"AAAAADz/pVU=")</f>
        <v>#REF!</v>
      </c>
      <c r="CI254" t="e">
        <f>AND(#REF!,"AAAAADz/pVY=")</f>
        <v>#REF!</v>
      </c>
      <c r="CJ254" t="e">
        <f>AND(#REF!,"AAAAADz/pVc=")</f>
        <v>#REF!</v>
      </c>
      <c r="CK254" t="e">
        <f>AND(#REF!,"AAAAADz/pVg=")</f>
        <v>#REF!</v>
      </c>
      <c r="CL254" t="e">
        <f>AND(#REF!,"AAAAADz/pVk=")</f>
        <v>#REF!</v>
      </c>
      <c r="CM254" t="e">
        <f>AND(#REF!,"AAAAADz/pVo=")</f>
        <v>#REF!</v>
      </c>
      <c r="CN254" t="e">
        <f>AND(#REF!,"AAAAADz/pVs=")</f>
        <v>#REF!</v>
      </c>
      <c r="CO254" t="e">
        <f>AND(#REF!,"AAAAADz/pVw=")</f>
        <v>#REF!</v>
      </c>
      <c r="CP254" t="e">
        <f>AND(#REF!,"AAAAADz/pV0=")</f>
        <v>#REF!</v>
      </c>
      <c r="CQ254" t="e">
        <f>AND(#REF!,"AAAAADz/pV4=")</f>
        <v>#REF!</v>
      </c>
      <c r="CR254" t="e">
        <f>AND(#REF!,"AAAAADz/pV8=")</f>
        <v>#REF!</v>
      </c>
      <c r="CS254" t="e">
        <f>AND(#REF!,"AAAAADz/pWA=")</f>
        <v>#REF!</v>
      </c>
      <c r="CT254" t="e">
        <f>AND(#REF!,"AAAAADz/pWE=")</f>
        <v>#REF!</v>
      </c>
      <c r="CU254" t="e">
        <f>AND(#REF!,"AAAAADz/pWI=")</f>
        <v>#REF!</v>
      </c>
      <c r="CV254" t="e">
        <f>AND(#REF!,"AAAAADz/pWM=")</f>
        <v>#REF!</v>
      </c>
      <c r="CW254" t="e">
        <f>AND(#REF!,"AAAAADz/pWQ=")</f>
        <v>#REF!</v>
      </c>
      <c r="CX254" t="e">
        <f>AND(#REF!,"AAAAADz/pWU=")</f>
        <v>#REF!</v>
      </c>
      <c r="CY254" t="e">
        <f>AND(#REF!,"AAAAADz/pWY=")</f>
        <v>#REF!</v>
      </c>
      <c r="CZ254" t="e">
        <f>AND(#REF!,"AAAAADz/pWc=")</f>
        <v>#REF!</v>
      </c>
      <c r="DA254" t="e">
        <f>AND(#REF!,"AAAAADz/pWg=")</f>
        <v>#REF!</v>
      </c>
      <c r="DB254" t="e">
        <f>AND(#REF!,"AAAAADz/pWk=")</f>
        <v>#REF!</v>
      </c>
      <c r="DC254" t="e">
        <f>AND(#REF!,"AAAAADz/pWo=")</f>
        <v>#REF!</v>
      </c>
      <c r="DD254" t="e">
        <f>AND(#REF!,"AAAAADz/pWs=")</f>
        <v>#REF!</v>
      </c>
      <c r="DE254" t="e">
        <f>AND(#REF!,"AAAAADz/pWw=")</f>
        <v>#REF!</v>
      </c>
      <c r="DF254" t="e">
        <f>AND(#REF!,"AAAAADz/pW0=")</f>
        <v>#REF!</v>
      </c>
      <c r="DG254" t="e">
        <f>AND(#REF!,"AAAAADz/pW4=")</f>
        <v>#REF!</v>
      </c>
      <c r="DH254" t="e">
        <f>AND(#REF!,"AAAAADz/pW8=")</f>
        <v>#REF!</v>
      </c>
      <c r="DI254" t="e">
        <f>AND(#REF!,"AAAAADz/pXA=")</f>
        <v>#REF!</v>
      </c>
      <c r="DJ254" t="e">
        <f>AND(#REF!,"AAAAADz/pXE=")</f>
        <v>#REF!</v>
      </c>
      <c r="DK254" t="e">
        <f>AND(#REF!,"AAAAADz/pXI=")</f>
        <v>#REF!</v>
      </c>
      <c r="DL254" t="e">
        <f>AND(#REF!,"AAAAADz/pXM=")</f>
        <v>#REF!</v>
      </c>
      <c r="DM254" t="e">
        <f>AND(#REF!,"AAAAADz/pXQ=")</f>
        <v>#REF!</v>
      </c>
      <c r="DN254" t="e">
        <f>AND(#REF!,"AAAAADz/pXU=")</f>
        <v>#REF!</v>
      </c>
      <c r="DO254" t="e">
        <f>AND(#REF!,"AAAAADz/pXY=")</f>
        <v>#REF!</v>
      </c>
      <c r="DP254" t="e">
        <f>AND(#REF!,"AAAAADz/pXc=")</f>
        <v>#REF!</v>
      </c>
      <c r="DQ254" t="e">
        <f>AND(#REF!,"AAAAADz/pXg=")</f>
        <v>#REF!</v>
      </c>
      <c r="DR254" t="e">
        <f>AND(#REF!,"AAAAADz/pXk=")</f>
        <v>#REF!</v>
      </c>
      <c r="DS254" t="e">
        <f>AND(#REF!,"AAAAADz/pXo=")</f>
        <v>#REF!</v>
      </c>
      <c r="DT254" t="e">
        <f>AND(#REF!,"AAAAADz/pXs=")</f>
        <v>#REF!</v>
      </c>
      <c r="DU254" t="e">
        <f>AND(#REF!,"AAAAADz/pXw=")</f>
        <v>#REF!</v>
      </c>
      <c r="DV254" t="e">
        <f>AND(#REF!,"AAAAADz/pX0=")</f>
        <v>#REF!</v>
      </c>
      <c r="DW254" t="e">
        <f>AND(#REF!,"AAAAADz/pX4=")</f>
        <v>#REF!</v>
      </c>
      <c r="DX254" t="e">
        <f>AND(#REF!,"AAAAADz/pX8=")</f>
        <v>#REF!</v>
      </c>
      <c r="DY254" t="e">
        <f>AND(#REF!,"AAAAADz/pYA=")</f>
        <v>#REF!</v>
      </c>
      <c r="DZ254" t="e">
        <f>AND(#REF!,"AAAAADz/pYE=")</f>
        <v>#REF!</v>
      </c>
      <c r="EA254" t="e">
        <f>AND(#REF!,"AAAAADz/pYI=")</f>
        <v>#REF!</v>
      </c>
      <c r="EB254" t="e">
        <f>AND(#REF!,"AAAAADz/pYM=")</f>
        <v>#REF!</v>
      </c>
      <c r="EC254" t="e">
        <f>AND(#REF!,"AAAAADz/pYQ=")</f>
        <v>#REF!</v>
      </c>
      <c r="ED254" t="e">
        <f>AND(#REF!,"AAAAADz/pYU=")</f>
        <v>#REF!</v>
      </c>
      <c r="EE254" t="e">
        <f>AND(#REF!,"AAAAADz/pYY=")</f>
        <v>#REF!</v>
      </c>
      <c r="EF254" t="e">
        <f>AND(#REF!,"AAAAADz/pYc=")</f>
        <v>#REF!</v>
      </c>
      <c r="EG254" t="e">
        <f>AND(#REF!,"AAAAADz/pYg=")</f>
        <v>#REF!</v>
      </c>
      <c r="EH254" t="e">
        <f>AND(#REF!,"AAAAADz/pYk=")</f>
        <v>#REF!</v>
      </c>
      <c r="EI254" t="e">
        <f>AND(#REF!,"AAAAADz/pYo=")</f>
        <v>#REF!</v>
      </c>
      <c r="EJ254" t="e">
        <f>AND(#REF!,"AAAAADz/pYs=")</f>
        <v>#REF!</v>
      </c>
      <c r="EK254" t="e">
        <f>AND(#REF!,"AAAAADz/pYw=")</f>
        <v>#REF!</v>
      </c>
      <c r="EL254" t="e">
        <f>AND(#REF!,"AAAAADz/pY0=")</f>
        <v>#REF!</v>
      </c>
      <c r="EM254" t="e">
        <f>AND(#REF!,"AAAAADz/pY4=")</f>
        <v>#REF!</v>
      </c>
      <c r="EN254" t="e">
        <f>AND(#REF!,"AAAAADz/pY8=")</f>
        <v>#REF!</v>
      </c>
      <c r="EO254" t="e">
        <f>AND(#REF!,"AAAAADz/pZA=")</f>
        <v>#REF!</v>
      </c>
      <c r="EP254" t="e">
        <f>AND(#REF!,"AAAAADz/pZE=")</f>
        <v>#REF!</v>
      </c>
      <c r="EQ254" t="e">
        <f>AND(#REF!,"AAAAADz/pZI=")</f>
        <v>#REF!</v>
      </c>
      <c r="ER254" t="e">
        <f>AND(#REF!,"AAAAADz/pZM=")</f>
        <v>#REF!</v>
      </c>
      <c r="ES254" t="e">
        <f>AND(#REF!,"AAAAADz/pZQ=")</f>
        <v>#REF!</v>
      </c>
      <c r="ET254" t="e">
        <f>AND(#REF!,"AAAAADz/pZU=")</f>
        <v>#REF!</v>
      </c>
      <c r="EU254" t="e">
        <f>AND(#REF!,"AAAAADz/pZY=")</f>
        <v>#REF!</v>
      </c>
      <c r="EV254" t="e">
        <f>AND(#REF!,"AAAAADz/pZc=")</f>
        <v>#REF!</v>
      </c>
      <c r="EW254" t="e">
        <f>AND(#REF!,"AAAAADz/pZg=")</f>
        <v>#REF!</v>
      </c>
      <c r="EX254" t="e">
        <f>AND(#REF!,"AAAAADz/pZk=")</f>
        <v>#REF!</v>
      </c>
      <c r="EY254" t="e">
        <f>AND(#REF!,"AAAAADz/pZo=")</f>
        <v>#REF!</v>
      </c>
      <c r="EZ254" t="e">
        <f>AND(#REF!,"AAAAADz/pZs=")</f>
        <v>#REF!</v>
      </c>
      <c r="FA254" t="e">
        <f>AND(#REF!,"AAAAADz/pZw=")</f>
        <v>#REF!</v>
      </c>
      <c r="FB254" t="e">
        <f>AND(#REF!,"AAAAADz/pZ0=")</f>
        <v>#REF!</v>
      </c>
      <c r="FC254" t="e">
        <f>AND(#REF!,"AAAAADz/pZ4=")</f>
        <v>#REF!</v>
      </c>
      <c r="FD254" t="e">
        <f>AND(#REF!,"AAAAADz/pZ8=")</f>
        <v>#REF!</v>
      </c>
      <c r="FE254" t="e">
        <f>AND(#REF!,"AAAAADz/paA=")</f>
        <v>#REF!</v>
      </c>
      <c r="FF254" t="e">
        <f>AND(#REF!,"AAAAADz/paE=")</f>
        <v>#REF!</v>
      </c>
      <c r="FG254" t="e">
        <f>AND(#REF!,"AAAAADz/paI=")</f>
        <v>#REF!</v>
      </c>
      <c r="FH254" t="e">
        <f>AND(#REF!,"AAAAADz/paM=")</f>
        <v>#REF!</v>
      </c>
      <c r="FI254" t="e">
        <f>AND(#REF!,"AAAAADz/paQ=")</f>
        <v>#REF!</v>
      </c>
      <c r="FJ254" t="e">
        <f>AND(#REF!,"AAAAADz/paU=")</f>
        <v>#REF!</v>
      </c>
      <c r="FK254" t="e">
        <f>AND(#REF!,"AAAAADz/paY=")</f>
        <v>#REF!</v>
      </c>
      <c r="FL254" t="e">
        <f>AND(#REF!,"AAAAADz/pac=")</f>
        <v>#REF!</v>
      </c>
      <c r="FM254" t="e">
        <f>AND(#REF!,"AAAAADz/pag=")</f>
        <v>#REF!</v>
      </c>
      <c r="FN254" t="e">
        <f>AND(#REF!,"AAAAADz/pak=")</f>
        <v>#REF!</v>
      </c>
      <c r="FO254" t="e">
        <f>AND(#REF!,"AAAAADz/pao=")</f>
        <v>#REF!</v>
      </c>
      <c r="FP254" t="e">
        <f>AND(#REF!,"AAAAADz/pas=")</f>
        <v>#REF!</v>
      </c>
      <c r="FQ254" t="e">
        <f>AND(#REF!,"AAAAADz/paw=")</f>
        <v>#REF!</v>
      </c>
      <c r="FR254" t="e">
        <f>AND(#REF!,"AAAAADz/pa0=")</f>
        <v>#REF!</v>
      </c>
      <c r="FS254" t="e">
        <f>AND(#REF!,"AAAAADz/pa4=")</f>
        <v>#REF!</v>
      </c>
      <c r="FT254" t="e">
        <f>AND(#REF!,"AAAAADz/pa8=")</f>
        <v>#REF!</v>
      </c>
      <c r="FU254" t="e">
        <f>AND(#REF!,"AAAAADz/pbA=")</f>
        <v>#REF!</v>
      </c>
      <c r="FV254" t="e">
        <f>AND(#REF!,"AAAAADz/pbE=")</f>
        <v>#REF!</v>
      </c>
      <c r="FW254" t="e">
        <f>AND(#REF!,"AAAAADz/pbI=")</f>
        <v>#REF!</v>
      </c>
      <c r="FX254" t="e">
        <f>AND(#REF!,"AAAAADz/pbM=")</f>
        <v>#REF!</v>
      </c>
      <c r="FY254" t="e">
        <f>AND(#REF!,"AAAAADz/pbQ=")</f>
        <v>#REF!</v>
      </c>
      <c r="FZ254" t="e">
        <f>AND(#REF!,"AAAAADz/pbU=")</f>
        <v>#REF!</v>
      </c>
      <c r="GA254" t="e">
        <f>AND(#REF!,"AAAAADz/pbY=")</f>
        <v>#REF!</v>
      </c>
      <c r="GB254" t="e">
        <f>AND(#REF!,"AAAAADz/pbc=")</f>
        <v>#REF!</v>
      </c>
      <c r="GC254" t="e">
        <f>AND(#REF!,"AAAAADz/pbg=")</f>
        <v>#REF!</v>
      </c>
      <c r="GD254" t="e">
        <f>AND(#REF!,"AAAAADz/pbk=")</f>
        <v>#REF!</v>
      </c>
      <c r="GE254" t="e">
        <f>AND(#REF!,"AAAAADz/pbo=")</f>
        <v>#REF!</v>
      </c>
      <c r="GF254" t="e">
        <f>AND(#REF!,"AAAAADz/pbs=")</f>
        <v>#REF!</v>
      </c>
      <c r="GG254" t="e">
        <f>AND(#REF!,"AAAAADz/pbw=")</f>
        <v>#REF!</v>
      </c>
      <c r="GH254" t="e">
        <f>AND(#REF!,"AAAAADz/pb0=")</f>
        <v>#REF!</v>
      </c>
      <c r="GI254" t="e">
        <f>AND(#REF!,"AAAAADz/pb4=")</f>
        <v>#REF!</v>
      </c>
      <c r="GJ254" t="e">
        <f>AND(#REF!,"AAAAADz/pb8=")</f>
        <v>#REF!</v>
      </c>
      <c r="GK254" t="e">
        <f>AND(#REF!,"AAAAADz/pcA=")</f>
        <v>#REF!</v>
      </c>
      <c r="GL254" t="e">
        <f>AND(#REF!,"AAAAADz/pcE=")</f>
        <v>#REF!</v>
      </c>
      <c r="GM254" t="e">
        <f>AND(#REF!,"AAAAADz/pcI=")</f>
        <v>#REF!</v>
      </c>
      <c r="GN254" t="e">
        <f>AND(#REF!,"AAAAADz/pcM=")</f>
        <v>#REF!</v>
      </c>
      <c r="GO254" t="e">
        <f>AND(#REF!,"AAAAADz/pcQ=")</f>
        <v>#REF!</v>
      </c>
      <c r="GP254" t="e">
        <f>AND(#REF!,"AAAAADz/pcU=")</f>
        <v>#REF!</v>
      </c>
      <c r="GQ254" t="e">
        <f>AND(#REF!,"AAAAADz/pcY=")</f>
        <v>#REF!</v>
      </c>
      <c r="GR254" t="e">
        <f>AND(#REF!,"AAAAADz/pcc=")</f>
        <v>#REF!</v>
      </c>
      <c r="GS254" t="e">
        <f>AND(#REF!,"AAAAADz/pcg=")</f>
        <v>#REF!</v>
      </c>
      <c r="GT254" t="e">
        <f>AND(#REF!,"AAAAADz/pck=")</f>
        <v>#REF!</v>
      </c>
      <c r="GU254" t="e">
        <f>AND(#REF!,"AAAAADz/pco=")</f>
        <v>#REF!</v>
      </c>
      <c r="GV254" t="e">
        <f>AND(#REF!,"AAAAADz/pcs=")</f>
        <v>#REF!</v>
      </c>
      <c r="GW254" t="e">
        <f>AND(#REF!,"AAAAADz/pcw=")</f>
        <v>#REF!</v>
      </c>
      <c r="GX254" t="e">
        <f>AND(#REF!,"AAAAADz/pc0=")</f>
        <v>#REF!</v>
      </c>
      <c r="GY254" t="e">
        <f>AND(#REF!,"AAAAADz/pc4=")</f>
        <v>#REF!</v>
      </c>
      <c r="GZ254" t="e">
        <f>AND(#REF!,"AAAAADz/pc8=")</f>
        <v>#REF!</v>
      </c>
      <c r="HA254" t="e">
        <f>AND(#REF!,"AAAAADz/pdA=")</f>
        <v>#REF!</v>
      </c>
      <c r="HB254" t="e">
        <f>AND(#REF!,"AAAAADz/pdE=")</f>
        <v>#REF!</v>
      </c>
      <c r="HC254" t="e">
        <f>AND(#REF!,"AAAAADz/pdI=")</f>
        <v>#REF!</v>
      </c>
      <c r="HD254" t="e">
        <f>AND(#REF!,"AAAAADz/pdM=")</f>
        <v>#REF!</v>
      </c>
      <c r="HE254" t="e">
        <f>AND(#REF!,"AAAAADz/pdQ=")</f>
        <v>#REF!</v>
      </c>
      <c r="HF254" t="e">
        <f>AND(#REF!,"AAAAADz/pdU=")</f>
        <v>#REF!</v>
      </c>
      <c r="HG254" t="e">
        <f>AND(#REF!,"AAAAADz/pdY=")</f>
        <v>#REF!</v>
      </c>
      <c r="HH254" t="e">
        <f>AND(#REF!,"AAAAADz/pdc=")</f>
        <v>#REF!</v>
      </c>
      <c r="HI254" t="e">
        <f>AND(#REF!,"AAAAADz/pdg=")</f>
        <v>#REF!</v>
      </c>
      <c r="HJ254" t="e">
        <f>AND(#REF!,"AAAAADz/pdk=")</f>
        <v>#REF!</v>
      </c>
      <c r="HK254" t="e">
        <f>AND(#REF!,"AAAAADz/pdo=")</f>
        <v>#REF!</v>
      </c>
      <c r="HL254" t="e">
        <f>AND(#REF!,"AAAAADz/pds=")</f>
        <v>#REF!</v>
      </c>
      <c r="HM254" t="e">
        <f>AND(#REF!,"AAAAADz/pdw=")</f>
        <v>#REF!</v>
      </c>
      <c r="HN254" t="e">
        <f>AND(#REF!,"AAAAADz/pd0=")</f>
        <v>#REF!</v>
      </c>
      <c r="HO254" t="e">
        <f>AND(#REF!,"AAAAADz/pd4=")</f>
        <v>#REF!</v>
      </c>
      <c r="HP254" t="e">
        <f>AND(#REF!,"AAAAADz/pd8=")</f>
        <v>#REF!</v>
      </c>
      <c r="HQ254" t="e">
        <f>AND(#REF!,"AAAAADz/peA=")</f>
        <v>#REF!</v>
      </c>
      <c r="HR254" t="e">
        <f>AND(#REF!,"AAAAADz/peE=")</f>
        <v>#REF!</v>
      </c>
      <c r="HS254" t="e">
        <f>AND(#REF!,"AAAAADz/peI=")</f>
        <v>#REF!</v>
      </c>
      <c r="HT254" t="e">
        <f>AND(#REF!,"AAAAADz/peM=")</f>
        <v>#REF!</v>
      </c>
      <c r="HU254" t="e">
        <f>AND(#REF!,"AAAAADz/peQ=")</f>
        <v>#REF!</v>
      </c>
      <c r="HV254" t="e">
        <f>AND(#REF!,"AAAAADz/peU=")</f>
        <v>#REF!</v>
      </c>
      <c r="HW254" t="e">
        <f>AND(#REF!,"AAAAADz/peY=")</f>
        <v>#REF!</v>
      </c>
      <c r="HX254" t="e">
        <f>AND(#REF!,"AAAAADz/pec=")</f>
        <v>#REF!</v>
      </c>
      <c r="HY254" t="e">
        <f>AND(#REF!,"AAAAADz/peg=")</f>
        <v>#REF!</v>
      </c>
      <c r="HZ254" t="e">
        <f>AND(#REF!,"AAAAADz/pek=")</f>
        <v>#REF!</v>
      </c>
      <c r="IA254" t="e">
        <f>AND(#REF!,"AAAAADz/peo=")</f>
        <v>#REF!</v>
      </c>
      <c r="IB254" t="e">
        <f>AND(#REF!,"AAAAADz/pes=")</f>
        <v>#REF!</v>
      </c>
      <c r="IC254" t="e">
        <f>AND(#REF!,"AAAAADz/pew=")</f>
        <v>#REF!</v>
      </c>
      <c r="ID254" t="e">
        <f>AND(#REF!,"AAAAADz/pe0=")</f>
        <v>#REF!</v>
      </c>
      <c r="IE254" t="e">
        <f>AND(#REF!,"AAAAADz/pe4=")</f>
        <v>#REF!</v>
      </c>
      <c r="IF254" t="e">
        <f>AND(#REF!,"AAAAADz/pe8=")</f>
        <v>#REF!</v>
      </c>
      <c r="IG254" t="e">
        <f>IF(#REF!,"AAAAADz/pfA=",0)</f>
        <v>#REF!</v>
      </c>
      <c r="IH254" t="e">
        <f>AND(#REF!,"AAAAADz/pfE=")</f>
        <v>#REF!</v>
      </c>
      <c r="II254" t="e">
        <f>AND(#REF!,"AAAAADz/pfI=")</f>
        <v>#REF!</v>
      </c>
      <c r="IJ254" t="e">
        <f>AND(#REF!,"AAAAADz/pfM=")</f>
        <v>#REF!</v>
      </c>
      <c r="IK254" t="e">
        <f>AND(#REF!,"AAAAADz/pfQ=")</f>
        <v>#REF!</v>
      </c>
      <c r="IL254" t="e">
        <f>AND(#REF!,"AAAAADz/pfU=")</f>
        <v>#REF!</v>
      </c>
      <c r="IM254" t="e">
        <f>AND(#REF!,"AAAAADz/pfY=")</f>
        <v>#REF!</v>
      </c>
      <c r="IN254" t="e">
        <f>AND(#REF!,"AAAAADz/pfc=")</f>
        <v>#REF!</v>
      </c>
      <c r="IO254" t="e">
        <f>AND(#REF!,"AAAAADz/pfg=")</f>
        <v>#REF!</v>
      </c>
      <c r="IP254" t="e">
        <f>AND(#REF!,"AAAAADz/pfk=")</f>
        <v>#REF!</v>
      </c>
      <c r="IQ254" t="e">
        <f>AND(#REF!,"AAAAADz/pfo=")</f>
        <v>#REF!</v>
      </c>
      <c r="IR254" t="e">
        <f>AND(#REF!,"AAAAADz/pfs=")</f>
        <v>#REF!</v>
      </c>
      <c r="IS254" t="e">
        <f>AND(#REF!,"AAAAADz/pfw=")</f>
        <v>#REF!</v>
      </c>
      <c r="IT254" t="e">
        <f>AND(#REF!,"AAAAADz/pf0=")</f>
        <v>#REF!</v>
      </c>
      <c r="IU254" t="e">
        <f>AND(#REF!,"AAAAADz/pf4=")</f>
        <v>#REF!</v>
      </c>
      <c r="IV254" t="e">
        <f>AND(#REF!,"AAAAADz/pf8=")</f>
        <v>#REF!</v>
      </c>
    </row>
    <row r="255" spans="1:256" x14ac:dyDescent="0.25">
      <c r="A255" t="e">
        <f>AND(#REF!,"AAAAAF/3+gA=")</f>
        <v>#REF!</v>
      </c>
      <c r="B255" t="e">
        <f>AND(#REF!,"AAAAAF/3+gE=")</f>
        <v>#REF!</v>
      </c>
      <c r="C255" t="e">
        <f>AND(#REF!,"AAAAAF/3+gI=")</f>
        <v>#REF!</v>
      </c>
      <c r="D255" t="e">
        <f>AND(#REF!,"AAAAAF/3+gM=")</f>
        <v>#REF!</v>
      </c>
      <c r="E255" t="e">
        <f>AND(#REF!,"AAAAAF/3+gQ=")</f>
        <v>#REF!</v>
      </c>
      <c r="F255" t="e">
        <f>AND(#REF!,"AAAAAF/3+gU=")</f>
        <v>#REF!</v>
      </c>
      <c r="G255" t="e">
        <f>AND(#REF!,"AAAAAF/3+gY=")</f>
        <v>#REF!</v>
      </c>
      <c r="H255" t="e">
        <f>AND(#REF!,"AAAAAF/3+gc=")</f>
        <v>#REF!</v>
      </c>
      <c r="I255" t="e">
        <f>AND(#REF!,"AAAAAF/3+gg=")</f>
        <v>#REF!</v>
      </c>
      <c r="J255" t="e">
        <f>AND(#REF!,"AAAAAF/3+gk=")</f>
        <v>#REF!</v>
      </c>
      <c r="K255" t="e">
        <f>AND(#REF!,"AAAAAF/3+go=")</f>
        <v>#REF!</v>
      </c>
      <c r="L255" t="e">
        <f>AND(#REF!,"AAAAAF/3+gs=")</f>
        <v>#REF!</v>
      </c>
      <c r="M255" t="e">
        <f>AND(#REF!,"AAAAAF/3+gw=")</f>
        <v>#REF!</v>
      </c>
      <c r="N255" t="e">
        <f>AND(#REF!,"AAAAAF/3+g0=")</f>
        <v>#REF!</v>
      </c>
      <c r="O255" t="e">
        <f>AND(#REF!,"AAAAAF/3+g4=")</f>
        <v>#REF!</v>
      </c>
      <c r="P255" t="e">
        <f>AND(#REF!,"AAAAAF/3+g8=")</f>
        <v>#REF!</v>
      </c>
      <c r="Q255" t="e">
        <f>AND(#REF!,"AAAAAF/3+hA=")</f>
        <v>#REF!</v>
      </c>
      <c r="R255" t="e">
        <f>AND(#REF!,"AAAAAF/3+hE=")</f>
        <v>#REF!</v>
      </c>
      <c r="S255" t="e">
        <f>AND(#REF!,"AAAAAF/3+hI=")</f>
        <v>#REF!</v>
      </c>
      <c r="T255" t="e">
        <f>AND(#REF!,"AAAAAF/3+hM=")</f>
        <v>#REF!</v>
      </c>
      <c r="U255" t="e">
        <f>AND(#REF!,"AAAAAF/3+hQ=")</f>
        <v>#REF!</v>
      </c>
      <c r="V255" t="e">
        <f>AND(#REF!,"AAAAAF/3+hU=")</f>
        <v>#REF!</v>
      </c>
      <c r="W255" t="e">
        <f>AND(#REF!,"AAAAAF/3+hY=")</f>
        <v>#REF!</v>
      </c>
      <c r="X255" t="e">
        <f>AND(#REF!,"AAAAAF/3+hc=")</f>
        <v>#REF!</v>
      </c>
      <c r="Y255" t="e">
        <f>AND(#REF!,"AAAAAF/3+hg=")</f>
        <v>#REF!</v>
      </c>
      <c r="Z255" t="e">
        <f>AND(#REF!,"AAAAAF/3+hk=")</f>
        <v>#REF!</v>
      </c>
      <c r="AA255" t="e">
        <f>AND(#REF!,"AAAAAF/3+ho=")</f>
        <v>#REF!</v>
      </c>
      <c r="AB255" t="e">
        <f>AND(#REF!,"AAAAAF/3+hs=")</f>
        <v>#REF!</v>
      </c>
      <c r="AC255" t="e">
        <f>AND(#REF!,"AAAAAF/3+hw=")</f>
        <v>#REF!</v>
      </c>
      <c r="AD255" t="e">
        <f>AND(#REF!,"AAAAAF/3+h0=")</f>
        <v>#REF!</v>
      </c>
      <c r="AE255" t="e">
        <f>AND(#REF!,"AAAAAF/3+h4=")</f>
        <v>#REF!</v>
      </c>
      <c r="AF255" t="e">
        <f>AND(#REF!,"AAAAAF/3+h8=")</f>
        <v>#REF!</v>
      </c>
      <c r="AG255" t="e">
        <f>AND(#REF!,"AAAAAF/3+iA=")</f>
        <v>#REF!</v>
      </c>
      <c r="AH255" t="e">
        <f>AND(#REF!,"AAAAAF/3+iE=")</f>
        <v>#REF!</v>
      </c>
      <c r="AI255" t="e">
        <f>AND(#REF!,"AAAAAF/3+iI=")</f>
        <v>#REF!</v>
      </c>
      <c r="AJ255" t="e">
        <f>AND(#REF!,"AAAAAF/3+iM=")</f>
        <v>#REF!</v>
      </c>
      <c r="AK255" t="e">
        <f>AND(#REF!,"AAAAAF/3+iQ=")</f>
        <v>#REF!</v>
      </c>
      <c r="AL255" t="e">
        <f>AND(#REF!,"AAAAAF/3+iU=")</f>
        <v>#REF!</v>
      </c>
      <c r="AM255" t="e">
        <f>AND(#REF!,"AAAAAF/3+iY=")</f>
        <v>#REF!</v>
      </c>
      <c r="AN255" t="e">
        <f>AND(#REF!,"AAAAAF/3+ic=")</f>
        <v>#REF!</v>
      </c>
      <c r="AO255" t="e">
        <f>AND(#REF!,"AAAAAF/3+ig=")</f>
        <v>#REF!</v>
      </c>
      <c r="AP255" t="e">
        <f>AND(#REF!,"AAAAAF/3+ik=")</f>
        <v>#REF!</v>
      </c>
      <c r="AQ255" t="e">
        <f>AND(#REF!,"AAAAAF/3+io=")</f>
        <v>#REF!</v>
      </c>
      <c r="AR255" t="e">
        <f>AND(#REF!,"AAAAAF/3+is=")</f>
        <v>#REF!</v>
      </c>
      <c r="AS255" t="e">
        <f>AND(#REF!,"AAAAAF/3+iw=")</f>
        <v>#REF!</v>
      </c>
      <c r="AT255" t="e">
        <f>AND(#REF!,"AAAAAF/3+i0=")</f>
        <v>#REF!</v>
      </c>
      <c r="AU255" t="e">
        <f>AND(#REF!,"AAAAAF/3+i4=")</f>
        <v>#REF!</v>
      </c>
      <c r="AV255" t="e">
        <f>AND(#REF!,"AAAAAF/3+i8=")</f>
        <v>#REF!</v>
      </c>
      <c r="AW255" t="e">
        <f>AND(#REF!,"AAAAAF/3+jA=")</f>
        <v>#REF!</v>
      </c>
      <c r="AX255" t="e">
        <f>AND(#REF!,"AAAAAF/3+jE=")</f>
        <v>#REF!</v>
      </c>
      <c r="AY255" t="e">
        <f>AND(#REF!,"AAAAAF/3+jI=")</f>
        <v>#REF!</v>
      </c>
      <c r="AZ255" t="e">
        <f>AND(#REF!,"AAAAAF/3+jM=")</f>
        <v>#REF!</v>
      </c>
      <c r="BA255" t="e">
        <f>AND(#REF!,"AAAAAF/3+jQ=")</f>
        <v>#REF!</v>
      </c>
      <c r="BB255" t="e">
        <f>AND(#REF!,"AAAAAF/3+jU=")</f>
        <v>#REF!</v>
      </c>
      <c r="BC255" t="e">
        <f>AND(#REF!,"AAAAAF/3+jY=")</f>
        <v>#REF!</v>
      </c>
      <c r="BD255" t="e">
        <f>AND(#REF!,"AAAAAF/3+jc=")</f>
        <v>#REF!</v>
      </c>
      <c r="BE255" t="e">
        <f>AND(#REF!,"AAAAAF/3+jg=")</f>
        <v>#REF!</v>
      </c>
      <c r="BF255" t="e">
        <f>AND(#REF!,"AAAAAF/3+jk=")</f>
        <v>#REF!</v>
      </c>
      <c r="BG255" t="e">
        <f>AND(#REF!,"AAAAAF/3+jo=")</f>
        <v>#REF!</v>
      </c>
      <c r="BH255" t="e">
        <f>AND(#REF!,"AAAAAF/3+js=")</f>
        <v>#REF!</v>
      </c>
      <c r="BI255" t="e">
        <f>AND(#REF!,"AAAAAF/3+jw=")</f>
        <v>#REF!</v>
      </c>
      <c r="BJ255" t="e">
        <f>AND(#REF!,"AAAAAF/3+j0=")</f>
        <v>#REF!</v>
      </c>
      <c r="BK255" t="e">
        <f>AND(#REF!,"AAAAAF/3+j4=")</f>
        <v>#REF!</v>
      </c>
      <c r="BL255" t="e">
        <f>AND(#REF!,"AAAAAF/3+j8=")</f>
        <v>#REF!</v>
      </c>
      <c r="BM255" t="e">
        <f>AND(#REF!,"AAAAAF/3+kA=")</f>
        <v>#REF!</v>
      </c>
      <c r="BN255" t="e">
        <f>AND(#REF!,"AAAAAF/3+kE=")</f>
        <v>#REF!</v>
      </c>
      <c r="BO255" t="e">
        <f>AND(#REF!,"AAAAAF/3+kI=")</f>
        <v>#REF!</v>
      </c>
      <c r="BP255" t="e">
        <f>AND(#REF!,"AAAAAF/3+kM=")</f>
        <v>#REF!</v>
      </c>
      <c r="BQ255" t="e">
        <f>AND(#REF!,"AAAAAF/3+kQ=")</f>
        <v>#REF!</v>
      </c>
      <c r="BR255" t="e">
        <f>AND(#REF!,"AAAAAF/3+kU=")</f>
        <v>#REF!</v>
      </c>
      <c r="BS255" t="e">
        <f>AND(#REF!,"AAAAAF/3+kY=")</f>
        <v>#REF!</v>
      </c>
      <c r="BT255" t="e">
        <f>AND(#REF!,"AAAAAF/3+kc=")</f>
        <v>#REF!</v>
      </c>
      <c r="BU255" t="e">
        <f>AND(#REF!,"AAAAAF/3+kg=")</f>
        <v>#REF!</v>
      </c>
      <c r="BV255" t="e">
        <f>AND(#REF!,"AAAAAF/3+kk=")</f>
        <v>#REF!</v>
      </c>
      <c r="BW255" t="e">
        <f>AND(#REF!,"AAAAAF/3+ko=")</f>
        <v>#REF!</v>
      </c>
      <c r="BX255" t="e">
        <f>AND(#REF!,"AAAAAF/3+ks=")</f>
        <v>#REF!</v>
      </c>
      <c r="BY255" t="e">
        <f>AND(#REF!,"AAAAAF/3+kw=")</f>
        <v>#REF!</v>
      </c>
      <c r="BZ255" t="e">
        <f>AND(#REF!,"AAAAAF/3+k0=")</f>
        <v>#REF!</v>
      </c>
      <c r="CA255" t="e">
        <f>AND(#REF!,"AAAAAF/3+k4=")</f>
        <v>#REF!</v>
      </c>
      <c r="CB255" t="e">
        <f>AND(#REF!,"AAAAAF/3+k8=")</f>
        <v>#REF!</v>
      </c>
      <c r="CC255" t="e">
        <f>AND(#REF!,"AAAAAF/3+lA=")</f>
        <v>#REF!</v>
      </c>
      <c r="CD255" t="e">
        <f>AND(#REF!,"AAAAAF/3+lE=")</f>
        <v>#REF!</v>
      </c>
      <c r="CE255" t="e">
        <f>AND(#REF!,"AAAAAF/3+lI=")</f>
        <v>#REF!</v>
      </c>
      <c r="CF255" t="e">
        <f>AND(#REF!,"AAAAAF/3+lM=")</f>
        <v>#REF!</v>
      </c>
      <c r="CG255" t="e">
        <f>AND(#REF!,"AAAAAF/3+lQ=")</f>
        <v>#REF!</v>
      </c>
      <c r="CH255" t="e">
        <f>AND(#REF!,"AAAAAF/3+lU=")</f>
        <v>#REF!</v>
      </c>
      <c r="CI255" t="e">
        <f>AND(#REF!,"AAAAAF/3+lY=")</f>
        <v>#REF!</v>
      </c>
      <c r="CJ255" t="e">
        <f>AND(#REF!,"AAAAAF/3+lc=")</f>
        <v>#REF!</v>
      </c>
      <c r="CK255" t="e">
        <f>AND(#REF!,"AAAAAF/3+lg=")</f>
        <v>#REF!</v>
      </c>
      <c r="CL255" t="e">
        <f>AND(#REF!,"AAAAAF/3+lk=")</f>
        <v>#REF!</v>
      </c>
      <c r="CM255" t="e">
        <f>AND(#REF!,"AAAAAF/3+lo=")</f>
        <v>#REF!</v>
      </c>
      <c r="CN255" t="e">
        <f>AND(#REF!,"AAAAAF/3+ls=")</f>
        <v>#REF!</v>
      </c>
      <c r="CO255" t="e">
        <f>AND(#REF!,"AAAAAF/3+lw=")</f>
        <v>#REF!</v>
      </c>
      <c r="CP255" t="e">
        <f>AND(#REF!,"AAAAAF/3+l0=")</f>
        <v>#REF!</v>
      </c>
      <c r="CQ255" t="e">
        <f>AND(#REF!,"AAAAAF/3+l4=")</f>
        <v>#REF!</v>
      </c>
      <c r="CR255" t="e">
        <f>AND(#REF!,"AAAAAF/3+l8=")</f>
        <v>#REF!</v>
      </c>
      <c r="CS255" t="e">
        <f>AND(#REF!,"AAAAAF/3+mA=")</f>
        <v>#REF!</v>
      </c>
      <c r="CT255" t="e">
        <f>AND(#REF!,"AAAAAF/3+mE=")</f>
        <v>#REF!</v>
      </c>
      <c r="CU255" t="e">
        <f>AND(#REF!,"AAAAAF/3+mI=")</f>
        <v>#REF!</v>
      </c>
      <c r="CV255" t="e">
        <f>AND(#REF!,"AAAAAF/3+mM=")</f>
        <v>#REF!</v>
      </c>
      <c r="CW255" t="e">
        <f>AND(#REF!,"AAAAAF/3+mQ=")</f>
        <v>#REF!</v>
      </c>
      <c r="CX255" t="e">
        <f>AND(#REF!,"AAAAAF/3+mU=")</f>
        <v>#REF!</v>
      </c>
      <c r="CY255" t="e">
        <f>AND(#REF!,"AAAAAF/3+mY=")</f>
        <v>#REF!</v>
      </c>
      <c r="CZ255" t="e">
        <f>AND(#REF!,"AAAAAF/3+mc=")</f>
        <v>#REF!</v>
      </c>
      <c r="DA255" t="e">
        <f>AND(#REF!,"AAAAAF/3+mg=")</f>
        <v>#REF!</v>
      </c>
      <c r="DB255" t="e">
        <f>AND(#REF!,"AAAAAF/3+mk=")</f>
        <v>#REF!</v>
      </c>
      <c r="DC255" t="e">
        <f>AND(#REF!,"AAAAAF/3+mo=")</f>
        <v>#REF!</v>
      </c>
      <c r="DD255" t="e">
        <f>AND(#REF!,"AAAAAF/3+ms=")</f>
        <v>#REF!</v>
      </c>
      <c r="DE255" t="e">
        <f>AND(#REF!,"AAAAAF/3+mw=")</f>
        <v>#REF!</v>
      </c>
      <c r="DF255" t="e">
        <f>AND(#REF!,"AAAAAF/3+m0=")</f>
        <v>#REF!</v>
      </c>
      <c r="DG255" t="e">
        <f>AND(#REF!,"AAAAAF/3+m4=")</f>
        <v>#REF!</v>
      </c>
      <c r="DH255" t="e">
        <f>AND(#REF!,"AAAAAF/3+m8=")</f>
        <v>#REF!</v>
      </c>
      <c r="DI255" t="e">
        <f>AND(#REF!,"AAAAAF/3+nA=")</f>
        <v>#REF!</v>
      </c>
      <c r="DJ255" t="e">
        <f>AND(#REF!,"AAAAAF/3+nE=")</f>
        <v>#REF!</v>
      </c>
      <c r="DK255" t="e">
        <f>AND(#REF!,"AAAAAF/3+nI=")</f>
        <v>#REF!</v>
      </c>
      <c r="DL255" t="e">
        <f>AND(#REF!,"AAAAAF/3+nM=")</f>
        <v>#REF!</v>
      </c>
      <c r="DM255" t="e">
        <f>AND(#REF!,"AAAAAF/3+nQ=")</f>
        <v>#REF!</v>
      </c>
      <c r="DN255" t="e">
        <f>AND(#REF!,"AAAAAF/3+nU=")</f>
        <v>#REF!</v>
      </c>
      <c r="DO255" t="e">
        <f>AND(#REF!,"AAAAAF/3+nY=")</f>
        <v>#REF!</v>
      </c>
      <c r="DP255" t="e">
        <f>AND(#REF!,"AAAAAF/3+nc=")</f>
        <v>#REF!</v>
      </c>
      <c r="DQ255" t="e">
        <f>AND(#REF!,"AAAAAF/3+ng=")</f>
        <v>#REF!</v>
      </c>
      <c r="DR255" t="e">
        <f>AND(#REF!,"AAAAAF/3+nk=")</f>
        <v>#REF!</v>
      </c>
      <c r="DS255" t="e">
        <f>AND(#REF!,"AAAAAF/3+no=")</f>
        <v>#REF!</v>
      </c>
      <c r="DT255" t="e">
        <f>AND(#REF!,"AAAAAF/3+ns=")</f>
        <v>#REF!</v>
      </c>
      <c r="DU255" t="e">
        <f>AND(#REF!,"AAAAAF/3+nw=")</f>
        <v>#REF!</v>
      </c>
      <c r="DV255" t="e">
        <f>AND(#REF!,"AAAAAF/3+n0=")</f>
        <v>#REF!</v>
      </c>
      <c r="DW255" t="e">
        <f>AND(#REF!,"AAAAAF/3+n4=")</f>
        <v>#REF!</v>
      </c>
      <c r="DX255" t="e">
        <f>AND(#REF!,"AAAAAF/3+n8=")</f>
        <v>#REF!</v>
      </c>
      <c r="DY255" t="e">
        <f>AND(#REF!,"AAAAAF/3+oA=")</f>
        <v>#REF!</v>
      </c>
      <c r="DZ255" t="e">
        <f>AND(#REF!,"AAAAAF/3+oE=")</f>
        <v>#REF!</v>
      </c>
      <c r="EA255" t="e">
        <f>AND(#REF!,"AAAAAF/3+oI=")</f>
        <v>#REF!</v>
      </c>
      <c r="EB255" t="e">
        <f>AND(#REF!,"AAAAAF/3+oM=")</f>
        <v>#REF!</v>
      </c>
      <c r="EC255" t="e">
        <f>AND(#REF!,"AAAAAF/3+oQ=")</f>
        <v>#REF!</v>
      </c>
      <c r="ED255" t="e">
        <f>AND(#REF!,"AAAAAF/3+oU=")</f>
        <v>#REF!</v>
      </c>
      <c r="EE255" t="e">
        <f>AND(#REF!,"AAAAAF/3+oY=")</f>
        <v>#REF!</v>
      </c>
      <c r="EF255" t="e">
        <f>AND(#REF!,"AAAAAF/3+oc=")</f>
        <v>#REF!</v>
      </c>
      <c r="EG255" t="e">
        <f>AND(#REF!,"AAAAAF/3+og=")</f>
        <v>#REF!</v>
      </c>
      <c r="EH255" t="e">
        <f>AND(#REF!,"AAAAAF/3+ok=")</f>
        <v>#REF!</v>
      </c>
      <c r="EI255" t="e">
        <f>AND(#REF!,"AAAAAF/3+oo=")</f>
        <v>#REF!</v>
      </c>
      <c r="EJ255" t="e">
        <f>AND(#REF!,"AAAAAF/3+os=")</f>
        <v>#REF!</v>
      </c>
      <c r="EK255" t="e">
        <f>AND(#REF!,"AAAAAF/3+ow=")</f>
        <v>#REF!</v>
      </c>
      <c r="EL255" t="e">
        <f>AND(#REF!,"AAAAAF/3+o0=")</f>
        <v>#REF!</v>
      </c>
      <c r="EM255" t="e">
        <f>AND(#REF!,"AAAAAF/3+o4=")</f>
        <v>#REF!</v>
      </c>
      <c r="EN255" t="e">
        <f>AND(#REF!,"AAAAAF/3+o8=")</f>
        <v>#REF!</v>
      </c>
      <c r="EO255" t="e">
        <f>AND(#REF!,"AAAAAF/3+pA=")</f>
        <v>#REF!</v>
      </c>
      <c r="EP255" t="e">
        <f>AND(#REF!,"AAAAAF/3+pE=")</f>
        <v>#REF!</v>
      </c>
      <c r="EQ255" t="e">
        <f>AND(#REF!,"AAAAAF/3+pI=")</f>
        <v>#REF!</v>
      </c>
      <c r="ER255" t="e">
        <f>AND(#REF!,"AAAAAF/3+pM=")</f>
        <v>#REF!</v>
      </c>
      <c r="ES255" t="e">
        <f>AND(#REF!,"AAAAAF/3+pQ=")</f>
        <v>#REF!</v>
      </c>
      <c r="ET255" t="e">
        <f>AND(#REF!,"AAAAAF/3+pU=")</f>
        <v>#REF!</v>
      </c>
      <c r="EU255" t="e">
        <f>AND(#REF!,"AAAAAF/3+pY=")</f>
        <v>#REF!</v>
      </c>
      <c r="EV255" t="e">
        <f>AND(#REF!,"AAAAAF/3+pc=")</f>
        <v>#REF!</v>
      </c>
      <c r="EW255" t="e">
        <f>AND(#REF!,"AAAAAF/3+pg=")</f>
        <v>#REF!</v>
      </c>
      <c r="EX255" t="e">
        <f>AND(#REF!,"AAAAAF/3+pk=")</f>
        <v>#REF!</v>
      </c>
      <c r="EY255" t="e">
        <f>AND(#REF!,"AAAAAF/3+po=")</f>
        <v>#REF!</v>
      </c>
      <c r="EZ255" t="e">
        <f>AND(#REF!,"AAAAAF/3+ps=")</f>
        <v>#REF!</v>
      </c>
      <c r="FA255" t="e">
        <f>AND(#REF!,"AAAAAF/3+pw=")</f>
        <v>#REF!</v>
      </c>
      <c r="FB255" t="e">
        <f>AND(#REF!,"AAAAAF/3+p0=")</f>
        <v>#REF!</v>
      </c>
      <c r="FC255" t="e">
        <f>AND(#REF!,"AAAAAF/3+p4=")</f>
        <v>#REF!</v>
      </c>
      <c r="FD255" t="e">
        <f>AND(#REF!,"AAAAAF/3+p8=")</f>
        <v>#REF!</v>
      </c>
      <c r="FE255" t="e">
        <f>AND(#REF!,"AAAAAF/3+qA=")</f>
        <v>#REF!</v>
      </c>
      <c r="FF255" t="e">
        <f>AND(#REF!,"AAAAAF/3+qE=")</f>
        <v>#REF!</v>
      </c>
      <c r="FG255" t="e">
        <f>AND(#REF!,"AAAAAF/3+qI=")</f>
        <v>#REF!</v>
      </c>
      <c r="FH255" t="e">
        <f>AND(#REF!,"AAAAAF/3+qM=")</f>
        <v>#REF!</v>
      </c>
      <c r="FI255" t="e">
        <f>AND(#REF!,"AAAAAF/3+qQ=")</f>
        <v>#REF!</v>
      </c>
      <c r="FJ255" t="e">
        <f>AND(#REF!,"AAAAAF/3+qU=")</f>
        <v>#REF!</v>
      </c>
      <c r="FK255" t="e">
        <f>AND(#REF!,"AAAAAF/3+qY=")</f>
        <v>#REF!</v>
      </c>
      <c r="FL255" t="e">
        <f>AND(#REF!,"AAAAAF/3+qc=")</f>
        <v>#REF!</v>
      </c>
      <c r="FM255" t="e">
        <f>AND(#REF!,"AAAAAF/3+qg=")</f>
        <v>#REF!</v>
      </c>
      <c r="FN255" t="e">
        <f>AND(#REF!,"AAAAAF/3+qk=")</f>
        <v>#REF!</v>
      </c>
      <c r="FO255" t="e">
        <f>AND(#REF!,"AAAAAF/3+qo=")</f>
        <v>#REF!</v>
      </c>
      <c r="FP255" t="e">
        <f>AND(#REF!,"AAAAAF/3+qs=")</f>
        <v>#REF!</v>
      </c>
      <c r="FQ255" t="e">
        <f>AND(#REF!,"AAAAAF/3+qw=")</f>
        <v>#REF!</v>
      </c>
      <c r="FR255" t="e">
        <f>IF(#REF!,"AAAAAF/3+q0=",0)</f>
        <v>#REF!</v>
      </c>
      <c r="FS255" t="e">
        <f>AND(#REF!,"AAAAAF/3+q4=")</f>
        <v>#REF!</v>
      </c>
      <c r="FT255" t="e">
        <f>AND(#REF!,"AAAAAF/3+q8=")</f>
        <v>#REF!</v>
      </c>
      <c r="FU255" t="e">
        <f>AND(#REF!,"AAAAAF/3+rA=")</f>
        <v>#REF!</v>
      </c>
      <c r="FV255" t="e">
        <f>AND(#REF!,"AAAAAF/3+rE=")</f>
        <v>#REF!</v>
      </c>
      <c r="FW255" t="e">
        <f>AND(#REF!,"AAAAAF/3+rI=")</f>
        <v>#REF!</v>
      </c>
      <c r="FX255" t="e">
        <f>AND(#REF!,"AAAAAF/3+rM=")</f>
        <v>#REF!</v>
      </c>
      <c r="FY255" t="e">
        <f>AND(#REF!,"AAAAAF/3+rQ=")</f>
        <v>#REF!</v>
      </c>
      <c r="FZ255" t="e">
        <f>AND(#REF!,"AAAAAF/3+rU=")</f>
        <v>#REF!</v>
      </c>
      <c r="GA255" t="e">
        <f>AND(#REF!,"AAAAAF/3+rY=")</f>
        <v>#REF!</v>
      </c>
      <c r="GB255" t="e">
        <f>AND(#REF!,"AAAAAF/3+rc=")</f>
        <v>#REF!</v>
      </c>
      <c r="GC255" t="e">
        <f>AND(#REF!,"AAAAAF/3+rg=")</f>
        <v>#REF!</v>
      </c>
      <c r="GD255" t="e">
        <f>AND(#REF!,"AAAAAF/3+rk=")</f>
        <v>#REF!</v>
      </c>
      <c r="GE255" t="e">
        <f>AND(#REF!,"AAAAAF/3+ro=")</f>
        <v>#REF!</v>
      </c>
      <c r="GF255" t="e">
        <f>AND(#REF!,"AAAAAF/3+rs=")</f>
        <v>#REF!</v>
      </c>
      <c r="GG255" t="e">
        <f>AND(#REF!,"AAAAAF/3+rw=")</f>
        <v>#REF!</v>
      </c>
      <c r="GH255" t="e">
        <f>AND(#REF!,"AAAAAF/3+r0=")</f>
        <v>#REF!</v>
      </c>
      <c r="GI255" t="e">
        <f>AND(#REF!,"AAAAAF/3+r4=")</f>
        <v>#REF!</v>
      </c>
      <c r="GJ255" t="e">
        <f>AND(#REF!,"AAAAAF/3+r8=")</f>
        <v>#REF!</v>
      </c>
      <c r="GK255" t="e">
        <f>AND(#REF!,"AAAAAF/3+sA=")</f>
        <v>#REF!</v>
      </c>
      <c r="GL255" t="e">
        <f>AND(#REF!,"AAAAAF/3+sE=")</f>
        <v>#REF!</v>
      </c>
      <c r="GM255" t="e">
        <f>AND(#REF!,"AAAAAF/3+sI=")</f>
        <v>#REF!</v>
      </c>
      <c r="GN255" t="e">
        <f>AND(#REF!,"AAAAAF/3+sM=")</f>
        <v>#REF!</v>
      </c>
      <c r="GO255" t="e">
        <f>AND(#REF!,"AAAAAF/3+sQ=")</f>
        <v>#REF!</v>
      </c>
      <c r="GP255" t="e">
        <f>AND(#REF!,"AAAAAF/3+sU=")</f>
        <v>#REF!</v>
      </c>
      <c r="GQ255" t="e">
        <f>AND(#REF!,"AAAAAF/3+sY=")</f>
        <v>#REF!</v>
      </c>
      <c r="GR255" t="e">
        <f>AND(#REF!,"AAAAAF/3+sc=")</f>
        <v>#REF!</v>
      </c>
      <c r="GS255" t="e">
        <f>AND(#REF!,"AAAAAF/3+sg=")</f>
        <v>#REF!</v>
      </c>
      <c r="GT255" t="e">
        <f>AND(#REF!,"AAAAAF/3+sk=")</f>
        <v>#REF!</v>
      </c>
      <c r="GU255" t="e">
        <f>AND(#REF!,"AAAAAF/3+so=")</f>
        <v>#REF!</v>
      </c>
      <c r="GV255" t="e">
        <f>AND(#REF!,"AAAAAF/3+ss=")</f>
        <v>#REF!</v>
      </c>
      <c r="GW255" t="e">
        <f>AND(#REF!,"AAAAAF/3+sw=")</f>
        <v>#REF!</v>
      </c>
      <c r="GX255" t="e">
        <f>AND(#REF!,"AAAAAF/3+s0=")</f>
        <v>#REF!</v>
      </c>
      <c r="GY255" t="e">
        <f>AND(#REF!,"AAAAAF/3+s4=")</f>
        <v>#REF!</v>
      </c>
      <c r="GZ255" t="e">
        <f>AND(#REF!,"AAAAAF/3+s8=")</f>
        <v>#REF!</v>
      </c>
      <c r="HA255" t="e">
        <f>AND(#REF!,"AAAAAF/3+tA=")</f>
        <v>#REF!</v>
      </c>
      <c r="HB255" t="e">
        <f>AND(#REF!,"AAAAAF/3+tE=")</f>
        <v>#REF!</v>
      </c>
      <c r="HC255" t="e">
        <f>AND(#REF!,"AAAAAF/3+tI=")</f>
        <v>#REF!</v>
      </c>
      <c r="HD255" t="e">
        <f>AND(#REF!,"AAAAAF/3+tM=")</f>
        <v>#REF!</v>
      </c>
      <c r="HE255" t="e">
        <f>AND(#REF!,"AAAAAF/3+tQ=")</f>
        <v>#REF!</v>
      </c>
      <c r="HF255" t="e">
        <f>AND(#REF!,"AAAAAF/3+tU=")</f>
        <v>#REF!</v>
      </c>
      <c r="HG255" t="e">
        <f>AND(#REF!,"AAAAAF/3+tY=")</f>
        <v>#REF!</v>
      </c>
      <c r="HH255" t="e">
        <f>AND(#REF!,"AAAAAF/3+tc=")</f>
        <v>#REF!</v>
      </c>
      <c r="HI255" t="e">
        <f>AND(#REF!,"AAAAAF/3+tg=")</f>
        <v>#REF!</v>
      </c>
      <c r="HJ255" t="e">
        <f>AND(#REF!,"AAAAAF/3+tk=")</f>
        <v>#REF!</v>
      </c>
      <c r="HK255" t="e">
        <f>AND(#REF!,"AAAAAF/3+to=")</f>
        <v>#REF!</v>
      </c>
      <c r="HL255" t="e">
        <f>AND(#REF!,"AAAAAF/3+ts=")</f>
        <v>#REF!</v>
      </c>
      <c r="HM255" t="e">
        <f>AND(#REF!,"AAAAAF/3+tw=")</f>
        <v>#REF!</v>
      </c>
      <c r="HN255" t="e">
        <f>AND(#REF!,"AAAAAF/3+t0=")</f>
        <v>#REF!</v>
      </c>
      <c r="HO255" t="e">
        <f>AND(#REF!,"AAAAAF/3+t4=")</f>
        <v>#REF!</v>
      </c>
      <c r="HP255" t="e">
        <f>AND(#REF!,"AAAAAF/3+t8=")</f>
        <v>#REF!</v>
      </c>
      <c r="HQ255" t="e">
        <f>AND(#REF!,"AAAAAF/3+uA=")</f>
        <v>#REF!</v>
      </c>
      <c r="HR255" t="e">
        <f>AND(#REF!,"AAAAAF/3+uE=")</f>
        <v>#REF!</v>
      </c>
      <c r="HS255" t="e">
        <f>AND(#REF!,"AAAAAF/3+uI=")</f>
        <v>#REF!</v>
      </c>
      <c r="HT255" t="e">
        <f>AND(#REF!,"AAAAAF/3+uM=")</f>
        <v>#REF!</v>
      </c>
      <c r="HU255" t="e">
        <f>AND(#REF!,"AAAAAF/3+uQ=")</f>
        <v>#REF!</v>
      </c>
      <c r="HV255" t="e">
        <f>AND(#REF!,"AAAAAF/3+uU=")</f>
        <v>#REF!</v>
      </c>
      <c r="HW255" t="e">
        <f>AND(#REF!,"AAAAAF/3+uY=")</f>
        <v>#REF!</v>
      </c>
      <c r="HX255" t="e">
        <f>AND(#REF!,"AAAAAF/3+uc=")</f>
        <v>#REF!</v>
      </c>
      <c r="HY255" t="e">
        <f>AND(#REF!,"AAAAAF/3+ug=")</f>
        <v>#REF!</v>
      </c>
      <c r="HZ255" t="e">
        <f>AND(#REF!,"AAAAAF/3+uk=")</f>
        <v>#REF!</v>
      </c>
      <c r="IA255" t="e">
        <f>AND(#REF!,"AAAAAF/3+uo=")</f>
        <v>#REF!</v>
      </c>
      <c r="IB255" t="e">
        <f>AND(#REF!,"AAAAAF/3+us=")</f>
        <v>#REF!</v>
      </c>
      <c r="IC255" t="e">
        <f>AND(#REF!,"AAAAAF/3+uw=")</f>
        <v>#REF!</v>
      </c>
      <c r="ID255" t="e">
        <f>AND(#REF!,"AAAAAF/3+u0=")</f>
        <v>#REF!</v>
      </c>
      <c r="IE255" t="e">
        <f>AND(#REF!,"AAAAAF/3+u4=")</f>
        <v>#REF!</v>
      </c>
      <c r="IF255" t="e">
        <f>AND(#REF!,"AAAAAF/3+u8=")</f>
        <v>#REF!</v>
      </c>
      <c r="IG255" t="e">
        <f>AND(#REF!,"AAAAAF/3+vA=")</f>
        <v>#REF!</v>
      </c>
      <c r="IH255" t="e">
        <f>AND(#REF!,"AAAAAF/3+vE=")</f>
        <v>#REF!</v>
      </c>
      <c r="II255" t="e">
        <f>AND(#REF!,"AAAAAF/3+vI=")</f>
        <v>#REF!</v>
      </c>
      <c r="IJ255" t="e">
        <f>AND(#REF!,"AAAAAF/3+vM=")</f>
        <v>#REF!</v>
      </c>
      <c r="IK255" t="e">
        <f>AND(#REF!,"AAAAAF/3+vQ=")</f>
        <v>#REF!</v>
      </c>
      <c r="IL255" t="e">
        <f>AND(#REF!,"AAAAAF/3+vU=")</f>
        <v>#REF!</v>
      </c>
      <c r="IM255" t="e">
        <f>AND(#REF!,"AAAAAF/3+vY=")</f>
        <v>#REF!</v>
      </c>
      <c r="IN255" t="e">
        <f>AND(#REF!,"AAAAAF/3+vc=")</f>
        <v>#REF!</v>
      </c>
      <c r="IO255" t="e">
        <f>AND(#REF!,"AAAAAF/3+vg=")</f>
        <v>#REF!</v>
      </c>
      <c r="IP255" t="e">
        <f>AND(#REF!,"AAAAAF/3+vk=")</f>
        <v>#REF!</v>
      </c>
      <c r="IQ255" t="e">
        <f>AND(#REF!,"AAAAAF/3+vo=")</f>
        <v>#REF!</v>
      </c>
      <c r="IR255" t="e">
        <f>AND(#REF!,"AAAAAF/3+vs=")</f>
        <v>#REF!</v>
      </c>
      <c r="IS255" t="e">
        <f>AND(#REF!,"AAAAAF/3+vw=")</f>
        <v>#REF!</v>
      </c>
      <c r="IT255" t="e">
        <f>AND(#REF!,"AAAAAF/3+v0=")</f>
        <v>#REF!</v>
      </c>
      <c r="IU255" t="e">
        <f>AND(#REF!,"AAAAAF/3+v4=")</f>
        <v>#REF!</v>
      </c>
      <c r="IV255" t="e">
        <f>AND(#REF!,"AAAAAF/3+v8=")</f>
        <v>#REF!</v>
      </c>
    </row>
    <row r="256" spans="1:256" x14ac:dyDescent="0.25">
      <c r="A256" t="e">
        <f>AND(#REF!,"AAAAAHnf2wA=")</f>
        <v>#REF!</v>
      </c>
      <c r="B256" t="e">
        <f>AND(#REF!,"AAAAAHnf2wE=")</f>
        <v>#REF!</v>
      </c>
      <c r="C256" t="e">
        <f>AND(#REF!,"AAAAAHnf2wI=")</f>
        <v>#REF!</v>
      </c>
      <c r="D256" t="e">
        <f>AND(#REF!,"AAAAAHnf2wM=")</f>
        <v>#REF!</v>
      </c>
      <c r="E256" t="e">
        <f>AND(#REF!,"AAAAAHnf2wQ=")</f>
        <v>#REF!</v>
      </c>
      <c r="F256" t="e">
        <f>AND(#REF!,"AAAAAHnf2wU=")</f>
        <v>#REF!</v>
      </c>
      <c r="G256" t="e">
        <f>AND(#REF!,"AAAAAHnf2wY=")</f>
        <v>#REF!</v>
      </c>
      <c r="H256" t="e">
        <f>AND(#REF!,"AAAAAHnf2wc=")</f>
        <v>#REF!</v>
      </c>
      <c r="I256" t="e">
        <f>AND(#REF!,"AAAAAHnf2wg=")</f>
        <v>#REF!</v>
      </c>
      <c r="J256" t="e">
        <f>AND(#REF!,"AAAAAHnf2wk=")</f>
        <v>#REF!</v>
      </c>
      <c r="K256" t="e">
        <f>AND(#REF!,"AAAAAHnf2wo=")</f>
        <v>#REF!</v>
      </c>
      <c r="L256" t="e">
        <f>AND(#REF!,"AAAAAHnf2ws=")</f>
        <v>#REF!</v>
      </c>
      <c r="M256" t="e">
        <f>AND(#REF!,"AAAAAHnf2ww=")</f>
        <v>#REF!</v>
      </c>
      <c r="N256" t="e">
        <f>AND(#REF!,"AAAAAHnf2w0=")</f>
        <v>#REF!</v>
      </c>
      <c r="O256" t="e">
        <f>AND(#REF!,"AAAAAHnf2w4=")</f>
        <v>#REF!</v>
      </c>
      <c r="P256" t="e">
        <f>AND(#REF!,"AAAAAHnf2w8=")</f>
        <v>#REF!</v>
      </c>
      <c r="Q256" t="e">
        <f>AND(#REF!,"AAAAAHnf2xA=")</f>
        <v>#REF!</v>
      </c>
      <c r="R256" t="e">
        <f>AND(#REF!,"AAAAAHnf2xE=")</f>
        <v>#REF!</v>
      </c>
      <c r="S256" t="e">
        <f>AND(#REF!,"AAAAAHnf2xI=")</f>
        <v>#REF!</v>
      </c>
      <c r="T256" t="e">
        <f>AND(#REF!,"AAAAAHnf2xM=")</f>
        <v>#REF!</v>
      </c>
      <c r="U256" t="e">
        <f>AND(#REF!,"AAAAAHnf2xQ=")</f>
        <v>#REF!</v>
      </c>
      <c r="V256" t="e">
        <f>AND(#REF!,"AAAAAHnf2xU=")</f>
        <v>#REF!</v>
      </c>
      <c r="W256" t="e">
        <f>AND(#REF!,"AAAAAHnf2xY=")</f>
        <v>#REF!</v>
      </c>
      <c r="X256" t="e">
        <f>AND(#REF!,"AAAAAHnf2xc=")</f>
        <v>#REF!</v>
      </c>
      <c r="Y256" t="e">
        <f>AND(#REF!,"AAAAAHnf2xg=")</f>
        <v>#REF!</v>
      </c>
      <c r="Z256" t="e">
        <f>AND(#REF!,"AAAAAHnf2xk=")</f>
        <v>#REF!</v>
      </c>
      <c r="AA256" t="e">
        <f>AND(#REF!,"AAAAAHnf2xo=")</f>
        <v>#REF!</v>
      </c>
      <c r="AB256" t="e">
        <f>AND(#REF!,"AAAAAHnf2xs=")</f>
        <v>#REF!</v>
      </c>
      <c r="AC256" t="e">
        <f>AND(#REF!,"AAAAAHnf2xw=")</f>
        <v>#REF!</v>
      </c>
      <c r="AD256" t="e">
        <f>AND(#REF!,"AAAAAHnf2x0=")</f>
        <v>#REF!</v>
      </c>
      <c r="AE256" t="e">
        <f>AND(#REF!,"AAAAAHnf2x4=")</f>
        <v>#REF!</v>
      </c>
      <c r="AF256" t="e">
        <f>AND(#REF!,"AAAAAHnf2x8=")</f>
        <v>#REF!</v>
      </c>
      <c r="AG256" t="e">
        <f>AND(#REF!,"AAAAAHnf2yA=")</f>
        <v>#REF!</v>
      </c>
      <c r="AH256" t="e">
        <f>AND(#REF!,"AAAAAHnf2yE=")</f>
        <v>#REF!</v>
      </c>
      <c r="AI256" t="e">
        <f>AND(#REF!,"AAAAAHnf2yI=")</f>
        <v>#REF!</v>
      </c>
      <c r="AJ256" t="e">
        <f>AND(#REF!,"AAAAAHnf2yM=")</f>
        <v>#REF!</v>
      </c>
      <c r="AK256" t="e">
        <f>AND(#REF!,"AAAAAHnf2yQ=")</f>
        <v>#REF!</v>
      </c>
      <c r="AL256" t="e">
        <f>AND(#REF!,"AAAAAHnf2yU=")</f>
        <v>#REF!</v>
      </c>
      <c r="AM256" t="e">
        <f>AND(#REF!,"AAAAAHnf2yY=")</f>
        <v>#REF!</v>
      </c>
      <c r="AN256" t="e">
        <f>AND(#REF!,"AAAAAHnf2yc=")</f>
        <v>#REF!</v>
      </c>
      <c r="AO256" t="e">
        <f>AND(#REF!,"AAAAAHnf2yg=")</f>
        <v>#REF!</v>
      </c>
      <c r="AP256" t="e">
        <f>AND(#REF!,"AAAAAHnf2yk=")</f>
        <v>#REF!</v>
      </c>
      <c r="AQ256" t="e">
        <f>AND(#REF!,"AAAAAHnf2yo=")</f>
        <v>#REF!</v>
      </c>
      <c r="AR256" t="e">
        <f>AND(#REF!,"AAAAAHnf2ys=")</f>
        <v>#REF!</v>
      </c>
      <c r="AS256" t="e">
        <f>AND(#REF!,"AAAAAHnf2yw=")</f>
        <v>#REF!</v>
      </c>
      <c r="AT256" t="e">
        <f>AND(#REF!,"AAAAAHnf2y0=")</f>
        <v>#REF!</v>
      </c>
      <c r="AU256" t="e">
        <f>AND(#REF!,"AAAAAHnf2y4=")</f>
        <v>#REF!</v>
      </c>
      <c r="AV256" t="e">
        <f>AND(#REF!,"AAAAAHnf2y8=")</f>
        <v>#REF!</v>
      </c>
      <c r="AW256" t="e">
        <f>AND(#REF!,"AAAAAHnf2zA=")</f>
        <v>#REF!</v>
      </c>
      <c r="AX256" t="e">
        <f>AND(#REF!,"AAAAAHnf2zE=")</f>
        <v>#REF!</v>
      </c>
      <c r="AY256" t="e">
        <f>AND(#REF!,"AAAAAHnf2zI=")</f>
        <v>#REF!</v>
      </c>
      <c r="AZ256" t="e">
        <f>AND(#REF!,"AAAAAHnf2zM=")</f>
        <v>#REF!</v>
      </c>
      <c r="BA256" t="e">
        <f>AND(#REF!,"AAAAAHnf2zQ=")</f>
        <v>#REF!</v>
      </c>
      <c r="BB256" t="e">
        <f>AND(#REF!,"AAAAAHnf2zU=")</f>
        <v>#REF!</v>
      </c>
      <c r="BC256" t="e">
        <f>AND(#REF!,"AAAAAHnf2zY=")</f>
        <v>#REF!</v>
      </c>
      <c r="BD256" t="e">
        <f>AND(#REF!,"AAAAAHnf2zc=")</f>
        <v>#REF!</v>
      </c>
      <c r="BE256" t="e">
        <f>AND(#REF!,"AAAAAHnf2zg=")</f>
        <v>#REF!</v>
      </c>
      <c r="BF256" t="e">
        <f>AND(#REF!,"AAAAAHnf2zk=")</f>
        <v>#REF!</v>
      </c>
      <c r="BG256" t="e">
        <f>AND(#REF!,"AAAAAHnf2zo=")</f>
        <v>#REF!</v>
      </c>
      <c r="BH256" t="e">
        <f>AND(#REF!,"AAAAAHnf2zs=")</f>
        <v>#REF!</v>
      </c>
      <c r="BI256" t="e">
        <f>AND(#REF!,"AAAAAHnf2zw=")</f>
        <v>#REF!</v>
      </c>
      <c r="BJ256" t="e">
        <f>AND(#REF!,"AAAAAHnf2z0=")</f>
        <v>#REF!</v>
      </c>
      <c r="BK256" t="e">
        <f>AND(#REF!,"AAAAAHnf2z4=")</f>
        <v>#REF!</v>
      </c>
      <c r="BL256" t="e">
        <f>AND(#REF!,"AAAAAHnf2z8=")</f>
        <v>#REF!</v>
      </c>
      <c r="BM256" t="e">
        <f>AND(#REF!,"AAAAAHnf20A=")</f>
        <v>#REF!</v>
      </c>
      <c r="BN256" t="e">
        <f>AND(#REF!,"AAAAAHnf20E=")</f>
        <v>#REF!</v>
      </c>
      <c r="BO256" t="e">
        <f>AND(#REF!,"AAAAAHnf20I=")</f>
        <v>#REF!</v>
      </c>
      <c r="BP256" t="e">
        <f>AND(#REF!,"AAAAAHnf20M=")</f>
        <v>#REF!</v>
      </c>
      <c r="BQ256" t="e">
        <f>AND(#REF!,"AAAAAHnf20Q=")</f>
        <v>#REF!</v>
      </c>
      <c r="BR256" t="e">
        <f>AND(#REF!,"AAAAAHnf20U=")</f>
        <v>#REF!</v>
      </c>
      <c r="BS256" t="e">
        <f>AND(#REF!,"AAAAAHnf20Y=")</f>
        <v>#REF!</v>
      </c>
      <c r="BT256" t="e">
        <f>AND(#REF!,"AAAAAHnf20c=")</f>
        <v>#REF!</v>
      </c>
      <c r="BU256" t="e">
        <f>AND(#REF!,"AAAAAHnf20g=")</f>
        <v>#REF!</v>
      </c>
      <c r="BV256" t="e">
        <f>AND(#REF!,"AAAAAHnf20k=")</f>
        <v>#REF!</v>
      </c>
      <c r="BW256" t="e">
        <f>AND(#REF!,"AAAAAHnf20o=")</f>
        <v>#REF!</v>
      </c>
      <c r="BX256" t="e">
        <f>AND(#REF!,"AAAAAHnf20s=")</f>
        <v>#REF!</v>
      </c>
      <c r="BY256" t="e">
        <f>AND(#REF!,"AAAAAHnf20w=")</f>
        <v>#REF!</v>
      </c>
      <c r="BZ256" t="e">
        <f>AND(#REF!,"AAAAAHnf200=")</f>
        <v>#REF!</v>
      </c>
      <c r="CA256" t="e">
        <f>AND(#REF!,"AAAAAHnf204=")</f>
        <v>#REF!</v>
      </c>
      <c r="CB256" t="e">
        <f>AND(#REF!,"AAAAAHnf208=")</f>
        <v>#REF!</v>
      </c>
      <c r="CC256" t="e">
        <f>AND(#REF!,"AAAAAHnf21A=")</f>
        <v>#REF!</v>
      </c>
      <c r="CD256" t="e">
        <f>AND(#REF!,"AAAAAHnf21E=")</f>
        <v>#REF!</v>
      </c>
      <c r="CE256" t="e">
        <f>AND(#REF!,"AAAAAHnf21I=")</f>
        <v>#REF!</v>
      </c>
      <c r="CF256" t="e">
        <f>AND(#REF!,"AAAAAHnf21M=")</f>
        <v>#REF!</v>
      </c>
      <c r="CG256" t="e">
        <f>AND(#REF!,"AAAAAHnf21Q=")</f>
        <v>#REF!</v>
      </c>
      <c r="CH256" t="e">
        <f>AND(#REF!,"AAAAAHnf21U=")</f>
        <v>#REF!</v>
      </c>
      <c r="CI256" t="e">
        <f>AND(#REF!,"AAAAAHnf21Y=")</f>
        <v>#REF!</v>
      </c>
      <c r="CJ256" t="e">
        <f>AND(#REF!,"AAAAAHnf21c=")</f>
        <v>#REF!</v>
      </c>
      <c r="CK256" t="e">
        <f>AND(#REF!,"AAAAAHnf21g=")</f>
        <v>#REF!</v>
      </c>
      <c r="CL256" t="e">
        <f>AND(#REF!,"AAAAAHnf21k=")</f>
        <v>#REF!</v>
      </c>
      <c r="CM256" t="e">
        <f>AND(#REF!,"AAAAAHnf21o=")</f>
        <v>#REF!</v>
      </c>
      <c r="CN256" t="e">
        <f>AND(#REF!,"AAAAAHnf21s=")</f>
        <v>#REF!</v>
      </c>
      <c r="CO256" t="e">
        <f>AND(#REF!,"AAAAAHnf21w=")</f>
        <v>#REF!</v>
      </c>
      <c r="CP256" t="e">
        <f>AND(#REF!,"AAAAAHnf210=")</f>
        <v>#REF!</v>
      </c>
      <c r="CQ256" t="e">
        <f>AND(#REF!,"AAAAAHnf214=")</f>
        <v>#REF!</v>
      </c>
      <c r="CR256" t="e">
        <f>AND(#REF!,"AAAAAHnf218=")</f>
        <v>#REF!</v>
      </c>
      <c r="CS256" t="e">
        <f>AND(#REF!,"AAAAAHnf22A=")</f>
        <v>#REF!</v>
      </c>
      <c r="CT256" t="e">
        <f>AND(#REF!,"AAAAAHnf22E=")</f>
        <v>#REF!</v>
      </c>
      <c r="CU256" t="e">
        <f>AND(#REF!,"AAAAAHnf22I=")</f>
        <v>#REF!</v>
      </c>
      <c r="CV256" t="e">
        <f>AND(#REF!,"AAAAAHnf22M=")</f>
        <v>#REF!</v>
      </c>
      <c r="CW256" t="e">
        <f>AND(#REF!,"AAAAAHnf22Q=")</f>
        <v>#REF!</v>
      </c>
      <c r="CX256" t="e">
        <f>AND(#REF!,"AAAAAHnf22U=")</f>
        <v>#REF!</v>
      </c>
      <c r="CY256" t="e">
        <f>AND(#REF!,"AAAAAHnf22Y=")</f>
        <v>#REF!</v>
      </c>
      <c r="CZ256" t="e">
        <f>AND(#REF!,"AAAAAHnf22c=")</f>
        <v>#REF!</v>
      </c>
      <c r="DA256" t="e">
        <f>AND(#REF!,"AAAAAHnf22g=")</f>
        <v>#REF!</v>
      </c>
      <c r="DB256" t="e">
        <f>AND(#REF!,"AAAAAHnf22k=")</f>
        <v>#REF!</v>
      </c>
      <c r="DC256" t="e">
        <f>IF(#REF!,"AAAAAHnf22o=",0)</f>
        <v>#REF!</v>
      </c>
      <c r="DD256" t="e">
        <f>AND(#REF!,"AAAAAHnf22s=")</f>
        <v>#REF!</v>
      </c>
      <c r="DE256" t="e">
        <f>AND(#REF!,"AAAAAHnf22w=")</f>
        <v>#REF!</v>
      </c>
      <c r="DF256" t="e">
        <f>AND(#REF!,"AAAAAHnf220=")</f>
        <v>#REF!</v>
      </c>
      <c r="DG256" t="e">
        <f>AND(#REF!,"AAAAAHnf224=")</f>
        <v>#REF!</v>
      </c>
      <c r="DH256" t="e">
        <f>AND(#REF!,"AAAAAHnf228=")</f>
        <v>#REF!</v>
      </c>
      <c r="DI256" t="e">
        <f>AND(#REF!,"AAAAAHnf23A=")</f>
        <v>#REF!</v>
      </c>
      <c r="DJ256" t="e">
        <f>AND(#REF!,"AAAAAHnf23E=")</f>
        <v>#REF!</v>
      </c>
      <c r="DK256" t="e">
        <f>AND(#REF!,"AAAAAHnf23I=")</f>
        <v>#REF!</v>
      </c>
      <c r="DL256" t="e">
        <f>AND(#REF!,"AAAAAHnf23M=")</f>
        <v>#REF!</v>
      </c>
      <c r="DM256" t="e">
        <f>AND(#REF!,"AAAAAHnf23Q=")</f>
        <v>#REF!</v>
      </c>
      <c r="DN256" t="e">
        <f>AND(#REF!,"AAAAAHnf23U=")</f>
        <v>#REF!</v>
      </c>
      <c r="DO256" t="e">
        <f>AND(#REF!,"AAAAAHnf23Y=")</f>
        <v>#REF!</v>
      </c>
      <c r="DP256" t="e">
        <f>AND(#REF!,"AAAAAHnf23c=")</f>
        <v>#REF!</v>
      </c>
      <c r="DQ256" t="e">
        <f>AND(#REF!,"AAAAAHnf23g=")</f>
        <v>#REF!</v>
      </c>
      <c r="DR256" t="e">
        <f>AND(#REF!,"AAAAAHnf23k=")</f>
        <v>#REF!</v>
      </c>
      <c r="DS256" t="e">
        <f>AND(#REF!,"AAAAAHnf23o=")</f>
        <v>#REF!</v>
      </c>
      <c r="DT256" t="e">
        <f>AND(#REF!,"AAAAAHnf23s=")</f>
        <v>#REF!</v>
      </c>
      <c r="DU256" t="e">
        <f>AND(#REF!,"AAAAAHnf23w=")</f>
        <v>#REF!</v>
      </c>
      <c r="DV256" t="e">
        <f>AND(#REF!,"AAAAAHnf230=")</f>
        <v>#REF!</v>
      </c>
      <c r="DW256" t="e">
        <f>AND(#REF!,"AAAAAHnf234=")</f>
        <v>#REF!</v>
      </c>
      <c r="DX256" t="e">
        <f>AND(#REF!,"AAAAAHnf238=")</f>
        <v>#REF!</v>
      </c>
      <c r="DY256" t="e">
        <f>AND(#REF!,"AAAAAHnf24A=")</f>
        <v>#REF!</v>
      </c>
      <c r="DZ256" t="e">
        <f>AND(#REF!,"AAAAAHnf24E=")</f>
        <v>#REF!</v>
      </c>
      <c r="EA256" t="e">
        <f>AND(#REF!,"AAAAAHnf24I=")</f>
        <v>#REF!</v>
      </c>
      <c r="EB256" t="e">
        <f>AND(#REF!,"AAAAAHnf24M=")</f>
        <v>#REF!</v>
      </c>
      <c r="EC256" t="e">
        <f>AND(#REF!,"AAAAAHnf24Q=")</f>
        <v>#REF!</v>
      </c>
      <c r="ED256" t="e">
        <f>AND(#REF!,"AAAAAHnf24U=")</f>
        <v>#REF!</v>
      </c>
      <c r="EE256" t="e">
        <f>AND(#REF!,"AAAAAHnf24Y=")</f>
        <v>#REF!</v>
      </c>
      <c r="EF256" t="e">
        <f>AND(#REF!,"AAAAAHnf24c=")</f>
        <v>#REF!</v>
      </c>
      <c r="EG256" t="e">
        <f>AND(#REF!,"AAAAAHnf24g=")</f>
        <v>#REF!</v>
      </c>
      <c r="EH256" t="e">
        <f>AND(#REF!,"AAAAAHnf24k=")</f>
        <v>#REF!</v>
      </c>
      <c r="EI256" t="e">
        <f>AND(#REF!,"AAAAAHnf24o=")</f>
        <v>#REF!</v>
      </c>
      <c r="EJ256" t="e">
        <f>AND(#REF!,"AAAAAHnf24s=")</f>
        <v>#REF!</v>
      </c>
      <c r="EK256" t="e">
        <f>AND(#REF!,"AAAAAHnf24w=")</f>
        <v>#REF!</v>
      </c>
      <c r="EL256" t="e">
        <f>AND(#REF!,"AAAAAHnf240=")</f>
        <v>#REF!</v>
      </c>
      <c r="EM256" t="e">
        <f>AND(#REF!,"AAAAAHnf244=")</f>
        <v>#REF!</v>
      </c>
      <c r="EN256" t="e">
        <f>AND(#REF!,"AAAAAHnf248=")</f>
        <v>#REF!</v>
      </c>
      <c r="EO256" t="e">
        <f>AND(#REF!,"AAAAAHnf25A=")</f>
        <v>#REF!</v>
      </c>
      <c r="EP256" t="e">
        <f>AND(#REF!,"AAAAAHnf25E=")</f>
        <v>#REF!</v>
      </c>
      <c r="EQ256" t="e">
        <f>AND(#REF!,"AAAAAHnf25I=")</f>
        <v>#REF!</v>
      </c>
      <c r="ER256" t="e">
        <f>AND(#REF!,"AAAAAHnf25M=")</f>
        <v>#REF!</v>
      </c>
      <c r="ES256" t="e">
        <f>AND(#REF!,"AAAAAHnf25Q=")</f>
        <v>#REF!</v>
      </c>
      <c r="ET256" t="e">
        <f>AND(#REF!,"AAAAAHnf25U=")</f>
        <v>#REF!</v>
      </c>
      <c r="EU256" t="e">
        <f>AND(#REF!,"AAAAAHnf25Y=")</f>
        <v>#REF!</v>
      </c>
      <c r="EV256" t="e">
        <f>AND(#REF!,"AAAAAHnf25c=")</f>
        <v>#REF!</v>
      </c>
      <c r="EW256" t="e">
        <f>AND(#REF!,"AAAAAHnf25g=")</f>
        <v>#REF!</v>
      </c>
      <c r="EX256" t="e">
        <f>AND(#REF!,"AAAAAHnf25k=")</f>
        <v>#REF!</v>
      </c>
      <c r="EY256" t="e">
        <f>AND(#REF!,"AAAAAHnf25o=")</f>
        <v>#REF!</v>
      </c>
      <c r="EZ256" t="e">
        <f>AND(#REF!,"AAAAAHnf25s=")</f>
        <v>#REF!</v>
      </c>
      <c r="FA256" t="e">
        <f>AND(#REF!,"AAAAAHnf25w=")</f>
        <v>#REF!</v>
      </c>
      <c r="FB256" t="e">
        <f>AND(#REF!,"AAAAAHnf250=")</f>
        <v>#REF!</v>
      </c>
      <c r="FC256" t="e">
        <f>AND(#REF!,"AAAAAHnf254=")</f>
        <v>#REF!</v>
      </c>
      <c r="FD256" t="e">
        <f>AND(#REF!,"AAAAAHnf258=")</f>
        <v>#REF!</v>
      </c>
      <c r="FE256" t="e">
        <f>AND(#REF!,"AAAAAHnf26A=")</f>
        <v>#REF!</v>
      </c>
      <c r="FF256" t="e">
        <f>AND(#REF!,"AAAAAHnf26E=")</f>
        <v>#REF!</v>
      </c>
      <c r="FG256" t="e">
        <f>AND(#REF!,"AAAAAHnf26I=")</f>
        <v>#REF!</v>
      </c>
      <c r="FH256" t="e">
        <f>AND(#REF!,"AAAAAHnf26M=")</f>
        <v>#REF!</v>
      </c>
      <c r="FI256" t="e">
        <f>AND(#REF!,"AAAAAHnf26Q=")</f>
        <v>#REF!</v>
      </c>
      <c r="FJ256" t="e">
        <f>AND(#REF!,"AAAAAHnf26U=")</f>
        <v>#REF!</v>
      </c>
      <c r="FK256" t="e">
        <f>AND(#REF!,"AAAAAHnf26Y=")</f>
        <v>#REF!</v>
      </c>
      <c r="FL256" t="e">
        <f>AND(#REF!,"AAAAAHnf26c=")</f>
        <v>#REF!</v>
      </c>
      <c r="FM256" t="e">
        <f>AND(#REF!,"AAAAAHnf26g=")</f>
        <v>#REF!</v>
      </c>
      <c r="FN256" t="e">
        <f>AND(#REF!,"AAAAAHnf26k=")</f>
        <v>#REF!</v>
      </c>
      <c r="FO256" t="e">
        <f>AND(#REF!,"AAAAAHnf26o=")</f>
        <v>#REF!</v>
      </c>
      <c r="FP256" t="e">
        <f>AND(#REF!,"AAAAAHnf26s=")</f>
        <v>#REF!</v>
      </c>
      <c r="FQ256" t="e">
        <f>AND(#REF!,"AAAAAHnf26w=")</f>
        <v>#REF!</v>
      </c>
      <c r="FR256" t="e">
        <f>AND(#REF!,"AAAAAHnf260=")</f>
        <v>#REF!</v>
      </c>
      <c r="FS256" t="e">
        <f>AND(#REF!,"AAAAAHnf264=")</f>
        <v>#REF!</v>
      </c>
      <c r="FT256" t="e">
        <f>AND(#REF!,"AAAAAHnf268=")</f>
        <v>#REF!</v>
      </c>
      <c r="FU256" t="e">
        <f>AND(#REF!,"AAAAAHnf27A=")</f>
        <v>#REF!</v>
      </c>
      <c r="FV256" t="e">
        <f>AND(#REF!,"AAAAAHnf27E=")</f>
        <v>#REF!</v>
      </c>
      <c r="FW256" t="e">
        <f>AND(#REF!,"AAAAAHnf27I=")</f>
        <v>#REF!</v>
      </c>
      <c r="FX256" t="e">
        <f>AND(#REF!,"AAAAAHnf27M=")</f>
        <v>#REF!</v>
      </c>
      <c r="FY256" t="e">
        <f>AND(#REF!,"AAAAAHnf27Q=")</f>
        <v>#REF!</v>
      </c>
      <c r="FZ256" t="e">
        <f>AND(#REF!,"AAAAAHnf27U=")</f>
        <v>#REF!</v>
      </c>
      <c r="GA256" t="e">
        <f>AND(#REF!,"AAAAAHnf27Y=")</f>
        <v>#REF!</v>
      </c>
      <c r="GB256" t="e">
        <f>AND(#REF!,"AAAAAHnf27c=")</f>
        <v>#REF!</v>
      </c>
      <c r="GC256" t="e">
        <f>AND(#REF!,"AAAAAHnf27g=")</f>
        <v>#REF!</v>
      </c>
      <c r="GD256" t="e">
        <f>AND(#REF!,"AAAAAHnf27k=")</f>
        <v>#REF!</v>
      </c>
      <c r="GE256" t="e">
        <f>AND(#REF!,"AAAAAHnf27o=")</f>
        <v>#REF!</v>
      </c>
      <c r="GF256" t="e">
        <f>AND(#REF!,"AAAAAHnf27s=")</f>
        <v>#REF!</v>
      </c>
      <c r="GG256" t="e">
        <f>AND(#REF!,"AAAAAHnf27w=")</f>
        <v>#REF!</v>
      </c>
      <c r="GH256" t="e">
        <f>AND(#REF!,"AAAAAHnf270=")</f>
        <v>#REF!</v>
      </c>
      <c r="GI256" t="e">
        <f>AND(#REF!,"AAAAAHnf274=")</f>
        <v>#REF!</v>
      </c>
      <c r="GJ256" t="e">
        <f>AND(#REF!,"AAAAAHnf278=")</f>
        <v>#REF!</v>
      </c>
      <c r="GK256" t="e">
        <f>AND(#REF!,"AAAAAHnf28A=")</f>
        <v>#REF!</v>
      </c>
      <c r="GL256" t="e">
        <f>AND(#REF!,"AAAAAHnf28E=")</f>
        <v>#REF!</v>
      </c>
      <c r="GM256" t="e">
        <f>AND(#REF!,"AAAAAHnf28I=")</f>
        <v>#REF!</v>
      </c>
      <c r="GN256" t="e">
        <f>AND(#REF!,"AAAAAHnf28M=")</f>
        <v>#REF!</v>
      </c>
      <c r="GO256" t="e">
        <f>AND(#REF!,"AAAAAHnf28Q=")</f>
        <v>#REF!</v>
      </c>
      <c r="GP256" t="e">
        <f>AND(#REF!,"AAAAAHnf28U=")</f>
        <v>#REF!</v>
      </c>
      <c r="GQ256" t="e">
        <f>AND(#REF!,"AAAAAHnf28Y=")</f>
        <v>#REF!</v>
      </c>
      <c r="GR256" t="e">
        <f>AND(#REF!,"AAAAAHnf28c=")</f>
        <v>#REF!</v>
      </c>
      <c r="GS256" t="e">
        <f>AND(#REF!,"AAAAAHnf28g=")</f>
        <v>#REF!</v>
      </c>
      <c r="GT256" t="e">
        <f>AND(#REF!,"AAAAAHnf28k=")</f>
        <v>#REF!</v>
      </c>
      <c r="GU256" t="e">
        <f>AND(#REF!,"AAAAAHnf28o=")</f>
        <v>#REF!</v>
      </c>
      <c r="GV256" t="e">
        <f>AND(#REF!,"AAAAAHnf28s=")</f>
        <v>#REF!</v>
      </c>
      <c r="GW256" t="e">
        <f>AND(#REF!,"AAAAAHnf28w=")</f>
        <v>#REF!</v>
      </c>
      <c r="GX256" t="e">
        <f>AND(#REF!,"AAAAAHnf280=")</f>
        <v>#REF!</v>
      </c>
      <c r="GY256" t="e">
        <f>AND(#REF!,"AAAAAHnf284=")</f>
        <v>#REF!</v>
      </c>
      <c r="GZ256" t="e">
        <f>AND(#REF!,"AAAAAHnf288=")</f>
        <v>#REF!</v>
      </c>
      <c r="HA256" t="e">
        <f>AND(#REF!,"AAAAAHnf29A=")</f>
        <v>#REF!</v>
      </c>
      <c r="HB256" t="e">
        <f>AND(#REF!,"AAAAAHnf29E=")</f>
        <v>#REF!</v>
      </c>
      <c r="HC256" t="e">
        <f>AND(#REF!,"AAAAAHnf29I=")</f>
        <v>#REF!</v>
      </c>
      <c r="HD256" t="e">
        <f>AND(#REF!,"AAAAAHnf29M=")</f>
        <v>#REF!</v>
      </c>
      <c r="HE256" t="e">
        <f>AND(#REF!,"AAAAAHnf29Q=")</f>
        <v>#REF!</v>
      </c>
      <c r="HF256" t="e">
        <f>AND(#REF!,"AAAAAHnf29U=")</f>
        <v>#REF!</v>
      </c>
      <c r="HG256" t="e">
        <f>AND(#REF!,"AAAAAHnf29Y=")</f>
        <v>#REF!</v>
      </c>
      <c r="HH256" t="e">
        <f>AND(#REF!,"AAAAAHnf29c=")</f>
        <v>#REF!</v>
      </c>
      <c r="HI256" t="e">
        <f>AND(#REF!,"AAAAAHnf29g=")</f>
        <v>#REF!</v>
      </c>
      <c r="HJ256" t="e">
        <f>AND(#REF!,"AAAAAHnf29k=")</f>
        <v>#REF!</v>
      </c>
      <c r="HK256" t="e">
        <f>AND(#REF!,"AAAAAHnf29o=")</f>
        <v>#REF!</v>
      </c>
      <c r="HL256" t="e">
        <f>AND(#REF!,"AAAAAHnf29s=")</f>
        <v>#REF!</v>
      </c>
      <c r="HM256" t="e">
        <f>AND(#REF!,"AAAAAHnf29w=")</f>
        <v>#REF!</v>
      </c>
      <c r="HN256" t="e">
        <f>AND(#REF!,"AAAAAHnf290=")</f>
        <v>#REF!</v>
      </c>
      <c r="HO256" t="e">
        <f>AND(#REF!,"AAAAAHnf294=")</f>
        <v>#REF!</v>
      </c>
      <c r="HP256" t="e">
        <f>AND(#REF!,"AAAAAHnf298=")</f>
        <v>#REF!</v>
      </c>
      <c r="HQ256" t="e">
        <f>AND(#REF!,"AAAAAHnf2+A=")</f>
        <v>#REF!</v>
      </c>
      <c r="HR256" t="e">
        <f>AND(#REF!,"AAAAAHnf2+E=")</f>
        <v>#REF!</v>
      </c>
      <c r="HS256" t="e">
        <f>AND(#REF!,"AAAAAHnf2+I=")</f>
        <v>#REF!</v>
      </c>
      <c r="HT256" t="e">
        <f>AND(#REF!,"AAAAAHnf2+M=")</f>
        <v>#REF!</v>
      </c>
      <c r="HU256" t="e">
        <f>AND(#REF!,"AAAAAHnf2+Q=")</f>
        <v>#REF!</v>
      </c>
      <c r="HV256" t="e">
        <f>AND(#REF!,"AAAAAHnf2+U=")</f>
        <v>#REF!</v>
      </c>
      <c r="HW256" t="e">
        <f>AND(#REF!,"AAAAAHnf2+Y=")</f>
        <v>#REF!</v>
      </c>
      <c r="HX256" t="e">
        <f>AND(#REF!,"AAAAAHnf2+c=")</f>
        <v>#REF!</v>
      </c>
      <c r="HY256" t="e">
        <f>AND(#REF!,"AAAAAHnf2+g=")</f>
        <v>#REF!</v>
      </c>
      <c r="HZ256" t="e">
        <f>AND(#REF!,"AAAAAHnf2+k=")</f>
        <v>#REF!</v>
      </c>
      <c r="IA256" t="e">
        <f>AND(#REF!,"AAAAAHnf2+o=")</f>
        <v>#REF!</v>
      </c>
      <c r="IB256" t="e">
        <f>AND(#REF!,"AAAAAHnf2+s=")</f>
        <v>#REF!</v>
      </c>
      <c r="IC256" t="e">
        <f>AND(#REF!,"AAAAAHnf2+w=")</f>
        <v>#REF!</v>
      </c>
      <c r="ID256" t="e">
        <f>AND(#REF!,"AAAAAHnf2+0=")</f>
        <v>#REF!</v>
      </c>
      <c r="IE256" t="e">
        <f>AND(#REF!,"AAAAAHnf2+4=")</f>
        <v>#REF!</v>
      </c>
      <c r="IF256" t="e">
        <f>AND(#REF!,"AAAAAHnf2+8=")</f>
        <v>#REF!</v>
      </c>
      <c r="IG256" t="e">
        <f>AND(#REF!,"AAAAAHnf2/A=")</f>
        <v>#REF!</v>
      </c>
      <c r="IH256" t="e">
        <f>AND(#REF!,"AAAAAHnf2/E=")</f>
        <v>#REF!</v>
      </c>
      <c r="II256" t="e">
        <f>AND(#REF!,"AAAAAHnf2/I=")</f>
        <v>#REF!</v>
      </c>
      <c r="IJ256" t="e">
        <f>AND(#REF!,"AAAAAHnf2/M=")</f>
        <v>#REF!</v>
      </c>
      <c r="IK256" t="e">
        <f>AND(#REF!,"AAAAAHnf2/Q=")</f>
        <v>#REF!</v>
      </c>
      <c r="IL256" t="e">
        <f>AND(#REF!,"AAAAAHnf2/U=")</f>
        <v>#REF!</v>
      </c>
      <c r="IM256" t="e">
        <f>AND(#REF!,"AAAAAHnf2/Y=")</f>
        <v>#REF!</v>
      </c>
      <c r="IN256" t="e">
        <f>AND(#REF!,"AAAAAHnf2/c=")</f>
        <v>#REF!</v>
      </c>
      <c r="IO256" t="e">
        <f>AND(#REF!,"AAAAAHnf2/g=")</f>
        <v>#REF!</v>
      </c>
      <c r="IP256" t="e">
        <f>AND(#REF!,"AAAAAHnf2/k=")</f>
        <v>#REF!</v>
      </c>
      <c r="IQ256" t="e">
        <f>AND(#REF!,"AAAAAHnf2/o=")</f>
        <v>#REF!</v>
      </c>
      <c r="IR256" t="e">
        <f>AND(#REF!,"AAAAAHnf2/s=")</f>
        <v>#REF!</v>
      </c>
      <c r="IS256" t="e">
        <f>AND(#REF!,"AAAAAHnf2/w=")</f>
        <v>#REF!</v>
      </c>
      <c r="IT256" t="e">
        <f>AND(#REF!,"AAAAAHnf2/0=")</f>
        <v>#REF!</v>
      </c>
      <c r="IU256" t="e">
        <f>AND(#REF!,"AAAAAHnf2/4=")</f>
        <v>#REF!</v>
      </c>
      <c r="IV256" t="e">
        <f>AND(#REF!,"AAAAAHnf2/8=")</f>
        <v>#REF!</v>
      </c>
    </row>
    <row r="257" spans="1:256" x14ac:dyDescent="0.25">
      <c r="A257" t="e">
        <f>AND(#REF!,"AAAAAGsX7wA=")</f>
        <v>#REF!</v>
      </c>
      <c r="B257" t="e">
        <f>AND(#REF!,"AAAAAGsX7wE=")</f>
        <v>#REF!</v>
      </c>
      <c r="C257" t="e">
        <f>AND(#REF!,"AAAAAGsX7wI=")</f>
        <v>#REF!</v>
      </c>
      <c r="D257" t="e">
        <f>AND(#REF!,"AAAAAGsX7wM=")</f>
        <v>#REF!</v>
      </c>
      <c r="E257" t="e">
        <f>AND(#REF!,"AAAAAGsX7wQ=")</f>
        <v>#REF!</v>
      </c>
      <c r="F257" t="e">
        <f>AND(#REF!,"AAAAAGsX7wU=")</f>
        <v>#REF!</v>
      </c>
      <c r="G257" t="e">
        <f>AND(#REF!,"AAAAAGsX7wY=")</f>
        <v>#REF!</v>
      </c>
      <c r="H257" t="e">
        <f>AND(#REF!,"AAAAAGsX7wc=")</f>
        <v>#REF!</v>
      </c>
      <c r="I257" t="e">
        <f>AND(#REF!,"AAAAAGsX7wg=")</f>
        <v>#REF!</v>
      </c>
      <c r="J257" t="e">
        <f>AND(#REF!,"AAAAAGsX7wk=")</f>
        <v>#REF!</v>
      </c>
      <c r="K257" t="e">
        <f>AND(#REF!,"AAAAAGsX7wo=")</f>
        <v>#REF!</v>
      </c>
      <c r="L257" t="e">
        <f>AND(#REF!,"AAAAAGsX7ws=")</f>
        <v>#REF!</v>
      </c>
      <c r="M257" t="e">
        <f>AND(#REF!,"AAAAAGsX7ww=")</f>
        <v>#REF!</v>
      </c>
      <c r="N257" t="e">
        <f>AND(#REF!,"AAAAAGsX7w0=")</f>
        <v>#REF!</v>
      </c>
      <c r="O257" t="e">
        <f>AND(#REF!,"AAAAAGsX7w4=")</f>
        <v>#REF!</v>
      </c>
      <c r="P257" t="e">
        <f>AND(#REF!,"AAAAAGsX7w8=")</f>
        <v>#REF!</v>
      </c>
      <c r="Q257" t="e">
        <f>AND(#REF!,"AAAAAGsX7xA=")</f>
        <v>#REF!</v>
      </c>
      <c r="R257" t="e">
        <f>AND(#REF!,"AAAAAGsX7xE=")</f>
        <v>#REF!</v>
      </c>
      <c r="S257" t="e">
        <f>AND(#REF!,"AAAAAGsX7xI=")</f>
        <v>#REF!</v>
      </c>
      <c r="T257" t="e">
        <f>AND(#REF!,"AAAAAGsX7xM=")</f>
        <v>#REF!</v>
      </c>
      <c r="U257" t="e">
        <f>AND(#REF!,"AAAAAGsX7xQ=")</f>
        <v>#REF!</v>
      </c>
      <c r="V257" t="e">
        <f>AND(#REF!,"AAAAAGsX7xU=")</f>
        <v>#REF!</v>
      </c>
      <c r="W257" t="e">
        <f>AND(#REF!,"AAAAAGsX7xY=")</f>
        <v>#REF!</v>
      </c>
      <c r="X257" t="e">
        <f>AND(#REF!,"AAAAAGsX7xc=")</f>
        <v>#REF!</v>
      </c>
      <c r="Y257" t="e">
        <f>AND(#REF!,"AAAAAGsX7xg=")</f>
        <v>#REF!</v>
      </c>
      <c r="Z257" t="e">
        <f>AND(#REF!,"AAAAAGsX7xk=")</f>
        <v>#REF!</v>
      </c>
      <c r="AA257" t="e">
        <f>AND(#REF!,"AAAAAGsX7xo=")</f>
        <v>#REF!</v>
      </c>
      <c r="AB257" t="e">
        <f>AND(#REF!,"AAAAAGsX7xs=")</f>
        <v>#REF!</v>
      </c>
      <c r="AC257" t="e">
        <f>AND(#REF!,"AAAAAGsX7xw=")</f>
        <v>#REF!</v>
      </c>
      <c r="AD257" t="e">
        <f>AND(#REF!,"AAAAAGsX7x0=")</f>
        <v>#REF!</v>
      </c>
      <c r="AE257" t="e">
        <f>AND(#REF!,"AAAAAGsX7x4=")</f>
        <v>#REF!</v>
      </c>
      <c r="AF257" t="e">
        <f>AND(#REF!,"AAAAAGsX7x8=")</f>
        <v>#REF!</v>
      </c>
      <c r="AG257" t="e">
        <f>AND(#REF!,"AAAAAGsX7yA=")</f>
        <v>#REF!</v>
      </c>
      <c r="AH257" t="e">
        <f>AND(#REF!,"AAAAAGsX7yE=")</f>
        <v>#REF!</v>
      </c>
      <c r="AI257" t="e">
        <f>AND(#REF!,"AAAAAGsX7yI=")</f>
        <v>#REF!</v>
      </c>
      <c r="AJ257" t="e">
        <f>AND(#REF!,"AAAAAGsX7yM=")</f>
        <v>#REF!</v>
      </c>
      <c r="AK257" t="e">
        <f>AND(#REF!,"AAAAAGsX7yQ=")</f>
        <v>#REF!</v>
      </c>
      <c r="AL257" t="e">
        <f>AND(#REF!,"AAAAAGsX7yU=")</f>
        <v>#REF!</v>
      </c>
      <c r="AM257" t="e">
        <f>AND(#REF!,"AAAAAGsX7yY=")</f>
        <v>#REF!</v>
      </c>
      <c r="AN257" t="e">
        <f>IF(#REF!,"AAAAAGsX7yc=",0)</f>
        <v>#REF!</v>
      </c>
      <c r="AO257" t="e">
        <f>AND(#REF!,"AAAAAGsX7yg=")</f>
        <v>#REF!</v>
      </c>
      <c r="AP257" t="e">
        <f>AND(#REF!,"AAAAAGsX7yk=")</f>
        <v>#REF!</v>
      </c>
      <c r="AQ257" t="e">
        <f>AND(#REF!,"AAAAAGsX7yo=")</f>
        <v>#REF!</v>
      </c>
      <c r="AR257" t="e">
        <f>AND(#REF!,"AAAAAGsX7ys=")</f>
        <v>#REF!</v>
      </c>
      <c r="AS257" t="e">
        <f>AND(#REF!,"AAAAAGsX7yw=")</f>
        <v>#REF!</v>
      </c>
      <c r="AT257" t="e">
        <f>AND(#REF!,"AAAAAGsX7y0=")</f>
        <v>#REF!</v>
      </c>
      <c r="AU257" t="e">
        <f>AND(#REF!,"AAAAAGsX7y4=")</f>
        <v>#REF!</v>
      </c>
      <c r="AV257" t="e">
        <f>AND(#REF!,"AAAAAGsX7y8=")</f>
        <v>#REF!</v>
      </c>
      <c r="AW257" t="e">
        <f>AND(#REF!,"AAAAAGsX7zA=")</f>
        <v>#REF!</v>
      </c>
      <c r="AX257" t="e">
        <f>AND(#REF!,"AAAAAGsX7zE=")</f>
        <v>#REF!</v>
      </c>
      <c r="AY257" t="e">
        <f>AND(#REF!,"AAAAAGsX7zI=")</f>
        <v>#REF!</v>
      </c>
      <c r="AZ257" t="e">
        <f>AND(#REF!,"AAAAAGsX7zM=")</f>
        <v>#REF!</v>
      </c>
      <c r="BA257" t="e">
        <f>AND(#REF!,"AAAAAGsX7zQ=")</f>
        <v>#REF!</v>
      </c>
      <c r="BB257" t="e">
        <f>AND(#REF!,"AAAAAGsX7zU=")</f>
        <v>#REF!</v>
      </c>
      <c r="BC257" t="e">
        <f>AND(#REF!,"AAAAAGsX7zY=")</f>
        <v>#REF!</v>
      </c>
      <c r="BD257" t="e">
        <f>AND(#REF!,"AAAAAGsX7zc=")</f>
        <v>#REF!</v>
      </c>
      <c r="BE257" t="e">
        <f>AND(#REF!,"AAAAAGsX7zg=")</f>
        <v>#REF!</v>
      </c>
      <c r="BF257" t="e">
        <f>AND(#REF!,"AAAAAGsX7zk=")</f>
        <v>#REF!</v>
      </c>
      <c r="BG257" t="e">
        <f>AND(#REF!,"AAAAAGsX7zo=")</f>
        <v>#REF!</v>
      </c>
      <c r="BH257" t="e">
        <f>AND(#REF!,"AAAAAGsX7zs=")</f>
        <v>#REF!</v>
      </c>
      <c r="BI257" t="e">
        <f>AND(#REF!,"AAAAAGsX7zw=")</f>
        <v>#REF!</v>
      </c>
      <c r="BJ257" t="e">
        <f>AND(#REF!,"AAAAAGsX7z0=")</f>
        <v>#REF!</v>
      </c>
      <c r="BK257" t="e">
        <f>AND(#REF!,"AAAAAGsX7z4=")</f>
        <v>#REF!</v>
      </c>
      <c r="BL257" t="e">
        <f>AND(#REF!,"AAAAAGsX7z8=")</f>
        <v>#REF!</v>
      </c>
      <c r="BM257" t="e">
        <f>AND(#REF!,"AAAAAGsX70A=")</f>
        <v>#REF!</v>
      </c>
      <c r="BN257" t="e">
        <f>AND(#REF!,"AAAAAGsX70E=")</f>
        <v>#REF!</v>
      </c>
      <c r="BO257" t="e">
        <f>AND(#REF!,"AAAAAGsX70I=")</f>
        <v>#REF!</v>
      </c>
      <c r="BP257" t="e">
        <f>AND(#REF!,"AAAAAGsX70M=")</f>
        <v>#REF!</v>
      </c>
      <c r="BQ257" t="e">
        <f>AND(#REF!,"AAAAAGsX70Q=")</f>
        <v>#REF!</v>
      </c>
      <c r="BR257" t="e">
        <f>AND(#REF!,"AAAAAGsX70U=")</f>
        <v>#REF!</v>
      </c>
      <c r="BS257" t="e">
        <f>AND(#REF!,"AAAAAGsX70Y=")</f>
        <v>#REF!</v>
      </c>
      <c r="BT257" t="e">
        <f>AND(#REF!,"AAAAAGsX70c=")</f>
        <v>#REF!</v>
      </c>
      <c r="BU257" t="e">
        <f>AND(#REF!,"AAAAAGsX70g=")</f>
        <v>#REF!</v>
      </c>
      <c r="BV257" t="e">
        <f>AND(#REF!,"AAAAAGsX70k=")</f>
        <v>#REF!</v>
      </c>
      <c r="BW257" t="e">
        <f>AND(#REF!,"AAAAAGsX70o=")</f>
        <v>#REF!</v>
      </c>
      <c r="BX257" t="e">
        <f>AND(#REF!,"AAAAAGsX70s=")</f>
        <v>#REF!</v>
      </c>
      <c r="BY257" t="e">
        <f>AND(#REF!,"AAAAAGsX70w=")</f>
        <v>#REF!</v>
      </c>
      <c r="BZ257" t="e">
        <f>AND(#REF!,"AAAAAGsX700=")</f>
        <v>#REF!</v>
      </c>
      <c r="CA257" t="e">
        <f>AND(#REF!,"AAAAAGsX704=")</f>
        <v>#REF!</v>
      </c>
      <c r="CB257" t="e">
        <f>AND(#REF!,"AAAAAGsX708=")</f>
        <v>#REF!</v>
      </c>
      <c r="CC257" t="e">
        <f>AND(#REF!,"AAAAAGsX71A=")</f>
        <v>#REF!</v>
      </c>
      <c r="CD257" t="e">
        <f>AND(#REF!,"AAAAAGsX71E=")</f>
        <v>#REF!</v>
      </c>
      <c r="CE257" t="e">
        <f>AND(#REF!,"AAAAAGsX71I=")</f>
        <v>#REF!</v>
      </c>
      <c r="CF257" t="e">
        <f>AND(#REF!,"AAAAAGsX71M=")</f>
        <v>#REF!</v>
      </c>
      <c r="CG257" t="e">
        <f>AND(#REF!,"AAAAAGsX71Q=")</f>
        <v>#REF!</v>
      </c>
      <c r="CH257" t="e">
        <f>AND(#REF!,"AAAAAGsX71U=")</f>
        <v>#REF!</v>
      </c>
      <c r="CI257" t="e">
        <f>AND(#REF!,"AAAAAGsX71Y=")</f>
        <v>#REF!</v>
      </c>
      <c r="CJ257" t="e">
        <f>AND(#REF!,"AAAAAGsX71c=")</f>
        <v>#REF!</v>
      </c>
      <c r="CK257" t="e">
        <f>AND(#REF!,"AAAAAGsX71g=")</f>
        <v>#REF!</v>
      </c>
      <c r="CL257" t="e">
        <f>AND(#REF!,"AAAAAGsX71k=")</f>
        <v>#REF!</v>
      </c>
      <c r="CM257" t="e">
        <f>AND(#REF!,"AAAAAGsX71o=")</f>
        <v>#REF!</v>
      </c>
      <c r="CN257" t="e">
        <f>AND(#REF!,"AAAAAGsX71s=")</f>
        <v>#REF!</v>
      </c>
      <c r="CO257" t="e">
        <f>AND(#REF!,"AAAAAGsX71w=")</f>
        <v>#REF!</v>
      </c>
      <c r="CP257" t="e">
        <f>AND(#REF!,"AAAAAGsX710=")</f>
        <v>#REF!</v>
      </c>
      <c r="CQ257" t="e">
        <f>AND(#REF!,"AAAAAGsX714=")</f>
        <v>#REF!</v>
      </c>
      <c r="CR257" t="e">
        <f>AND(#REF!,"AAAAAGsX718=")</f>
        <v>#REF!</v>
      </c>
      <c r="CS257" t="e">
        <f>AND(#REF!,"AAAAAGsX72A=")</f>
        <v>#REF!</v>
      </c>
      <c r="CT257" t="e">
        <f>AND(#REF!,"AAAAAGsX72E=")</f>
        <v>#REF!</v>
      </c>
      <c r="CU257" t="e">
        <f>AND(#REF!,"AAAAAGsX72I=")</f>
        <v>#REF!</v>
      </c>
      <c r="CV257" t="e">
        <f>AND(#REF!,"AAAAAGsX72M=")</f>
        <v>#REF!</v>
      </c>
      <c r="CW257" t="e">
        <f>AND(#REF!,"AAAAAGsX72Q=")</f>
        <v>#REF!</v>
      </c>
      <c r="CX257" t="e">
        <f>AND(#REF!,"AAAAAGsX72U=")</f>
        <v>#REF!</v>
      </c>
      <c r="CY257" t="e">
        <f>AND(#REF!,"AAAAAGsX72Y=")</f>
        <v>#REF!</v>
      </c>
      <c r="CZ257" t="e">
        <f>AND(#REF!,"AAAAAGsX72c=")</f>
        <v>#REF!</v>
      </c>
      <c r="DA257" t="e">
        <f>AND(#REF!,"AAAAAGsX72g=")</f>
        <v>#REF!</v>
      </c>
      <c r="DB257" t="e">
        <f>AND(#REF!,"AAAAAGsX72k=")</f>
        <v>#REF!</v>
      </c>
      <c r="DC257" t="e">
        <f>AND(#REF!,"AAAAAGsX72o=")</f>
        <v>#REF!</v>
      </c>
      <c r="DD257" t="e">
        <f>AND(#REF!,"AAAAAGsX72s=")</f>
        <v>#REF!</v>
      </c>
      <c r="DE257" t="e">
        <f>AND(#REF!,"AAAAAGsX72w=")</f>
        <v>#REF!</v>
      </c>
      <c r="DF257" t="e">
        <f>AND(#REF!,"AAAAAGsX720=")</f>
        <v>#REF!</v>
      </c>
      <c r="DG257" t="e">
        <f>AND(#REF!,"AAAAAGsX724=")</f>
        <v>#REF!</v>
      </c>
      <c r="DH257" t="e">
        <f>AND(#REF!,"AAAAAGsX728=")</f>
        <v>#REF!</v>
      </c>
      <c r="DI257" t="e">
        <f>AND(#REF!,"AAAAAGsX73A=")</f>
        <v>#REF!</v>
      </c>
      <c r="DJ257" t="e">
        <f>AND(#REF!,"AAAAAGsX73E=")</f>
        <v>#REF!</v>
      </c>
      <c r="DK257" t="e">
        <f>AND(#REF!,"AAAAAGsX73I=")</f>
        <v>#REF!</v>
      </c>
      <c r="DL257" t="e">
        <f>AND(#REF!,"AAAAAGsX73M=")</f>
        <v>#REF!</v>
      </c>
      <c r="DM257" t="e">
        <f>AND(#REF!,"AAAAAGsX73Q=")</f>
        <v>#REF!</v>
      </c>
      <c r="DN257" t="e">
        <f>AND(#REF!,"AAAAAGsX73U=")</f>
        <v>#REF!</v>
      </c>
      <c r="DO257" t="e">
        <f>AND(#REF!,"AAAAAGsX73Y=")</f>
        <v>#REF!</v>
      </c>
      <c r="DP257" t="e">
        <f>AND(#REF!,"AAAAAGsX73c=")</f>
        <v>#REF!</v>
      </c>
      <c r="DQ257" t="e">
        <f>AND(#REF!,"AAAAAGsX73g=")</f>
        <v>#REF!</v>
      </c>
      <c r="DR257" t="e">
        <f>AND(#REF!,"AAAAAGsX73k=")</f>
        <v>#REF!</v>
      </c>
      <c r="DS257" t="e">
        <f>AND(#REF!,"AAAAAGsX73o=")</f>
        <v>#REF!</v>
      </c>
      <c r="DT257" t="e">
        <f>AND(#REF!,"AAAAAGsX73s=")</f>
        <v>#REF!</v>
      </c>
      <c r="DU257" t="e">
        <f>AND(#REF!,"AAAAAGsX73w=")</f>
        <v>#REF!</v>
      </c>
      <c r="DV257" t="e">
        <f>AND(#REF!,"AAAAAGsX730=")</f>
        <v>#REF!</v>
      </c>
      <c r="DW257" t="e">
        <f>AND(#REF!,"AAAAAGsX734=")</f>
        <v>#REF!</v>
      </c>
      <c r="DX257" t="e">
        <f>AND(#REF!,"AAAAAGsX738=")</f>
        <v>#REF!</v>
      </c>
      <c r="DY257" t="e">
        <f>AND(#REF!,"AAAAAGsX74A=")</f>
        <v>#REF!</v>
      </c>
      <c r="DZ257" t="e">
        <f>AND(#REF!,"AAAAAGsX74E=")</f>
        <v>#REF!</v>
      </c>
      <c r="EA257" t="e">
        <f>AND(#REF!,"AAAAAGsX74I=")</f>
        <v>#REF!</v>
      </c>
      <c r="EB257" t="e">
        <f>AND(#REF!,"AAAAAGsX74M=")</f>
        <v>#REF!</v>
      </c>
      <c r="EC257" t="e">
        <f>AND(#REF!,"AAAAAGsX74Q=")</f>
        <v>#REF!</v>
      </c>
      <c r="ED257" t="e">
        <f>AND(#REF!,"AAAAAGsX74U=")</f>
        <v>#REF!</v>
      </c>
      <c r="EE257" t="e">
        <f>AND(#REF!,"AAAAAGsX74Y=")</f>
        <v>#REF!</v>
      </c>
      <c r="EF257" t="e">
        <f>AND(#REF!,"AAAAAGsX74c=")</f>
        <v>#REF!</v>
      </c>
      <c r="EG257" t="e">
        <f>AND(#REF!,"AAAAAGsX74g=")</f>
        <v>#REF!</v>
      </c>
      <c r="EH257" t="e">
        <f>AND(#REF!,"AAAAAGsX74k=")</f>
        <v>#REF!</v>
      </c>
      <c r="EI257" t="e">
        <f>AND(#REF!,"AAAAAGsX74o=")</f>
        <v>#REF!</v>
      </c>
      <c r="EJ257" t="e">
        <f>AND(#REF!,"AAAAAGsX74s=")</f>
        <v>#REF!</v>
      </c>
      <c r="EK257" t="e">
        <f>AND(#REF!,"AAAAAGsX74w=")</f>
        <v>#REF!</v>
      </c>
      <c r="EL257" t="e">
        <f>AND(#REF!,"AAAAAGsX740=")</f>
        <v>#REF!</v>
      </c>
      <c r="EM257" t="e">
        <f>AND(#REF!,"AAAAAGsX744=")</f>
        <v>#REF!</v>
      </c>
      <c r="EN257" t="e">
        <f>AND(#REF!,"AAAAAGsX748=")</f>
        <v>#REF!</v>
      </c>
      <c r="EO257" t="e">
        <f>AND(#REF!,"AAAAAGsX75A=")</f>
        <v>#REF!</v>
      </c>
      <c r="EP257" t="e">
        <f>AND(#REF!,"AAAAAGsX75E=")</f>
        <v>#REF!</v>
      </c>
      <c r="EQ257" t="e">
        <f>AND(#REF!,"AAAAAGsX75I=")</f>
        <v>#REF!</v>
      </c>
      <c r="ER257" t="e">
        <f>AND(#REF!,"AAAAAGsX75M=")</f>
        <v>#REF!</v>
      </c>
      <c r="ES257" t="e">
        <f>AND(#REF!,"AAAAAGsX75Q=")</f>
        <v>#REF!</v>
      </c>
      <c r="ET257" t="e">
        <f>AND(#REF!,"AAAAAGsX75U=")</f>
        <v>#REF!</v>
      </c>
      <c r="EU257" t="e">
        <f>AND(#REF!,"AAAAAGsX75Y=")</f>
        <v>#REF!</v>
      </c>
      <c r="EV257" t="e">
        <f>AND(#REF!,"AAAAAGsX75c=")</f>
        <v>#REF!</v>
      </c>
      <c r="EW257" t="e">
        <f>AND(#REF!,"AAAAAGsX75g=")</f>
        <v>#REF!</v>
      </c>
      <c r="EX257" t="e">
        <f>AND(#REF!,"AAAAAGsX75k=")</f>
        <v>#REF!</v>
      </c>
      <c r="EY257" t="e">
        <f>AND(#REF!,"AAAAAGsX75o=")</f>
        <v>#REF!</v>
      </c>
      <c r="EZ257" t="e">
        <f>AND(#REF!,"AAAAAGsX75s=")</f>
        <v>#REF!</v>
      </c>
      <c r="FA257" t="e">
        <f>AND(#REF!,"AAAAAGsX75w=")</f>
        <v>#REF!</v>
      </c>
      <c r="FB257" t="e">
        <f>AND(#REF!,"AAAAAGsX750=")</f>
        <v>#REF!</v>
      </c>
      <c r="FC257" t="e">
        <f>AND(#REF!,"AAAAAGsX754=")</f>
        <v>#REF!</v>
      </c>
      <c r="FD257" t="e">
        <f>AND(#REF!,"AAAAAGsX758=")</f>
        <v>#REF!</v>
      </c>
      <c r="FE257" t="e">
        <f>AND(#REF!,"AAAAAGsX76A=")</f>
        <v>#REF!</v>
      </c>
      <c r="FF257" t="e">
        <f>AND(#REF!,"AAAAAGsX76E=")</f>
        <v>#REF!</v>
      </c>
      <c r="FG257" t="e">
        <f>AND(#REF!,"AAAAAGsX76I=")</f>
        <v>#REF!</v>
      </c>
      <c r="FH257" t="e">
        <f>AND(#REF!,"AAAAAGsX76M=")</f>
        <v>#REF!</v>
      </c>
      <c r="FI257" t="e">
        <f>AND(#REF!,"AAAAAGsX76Q=")</f>
        <v>#REF!</v>
      </c>
      <c r="FJ257" t="e">
        <f>AND(#REF!,"AAAAAGsX76U=")</f>
        <v>#REF!</v>
      </c>
      <c r="FK257" t="e">
        <f>AND(#REF!,"AAAAAGsX76Y=")</f>
        <v>#REF!</v>
      </c>
      <c r="FL257" t="e">
        <f>AND(#REF!,"AAAAAGsX76c=")</f>
        <v>#REF!</v>
      </c>
      <c r="FM257" t="e">
        <f>AND(#REF!,"AAAAAGsX76g=")</f>
        <v>#REF!</v>
      </c>
      <c r="FN257" t="e">
        <f>AND(#REF!,"AAAAAGsX76k=")</f>
        <v>#REF!</v>
      </c>
      <c r="FO257" t="e">
        <f>AND(#REF!,"AAAAAGsX76o=")</f>
        <v>#REF!</v>
      </c>
      <c r="FP257" t="e">
        <f>AND(#REF!,"AAAAAGsX76s=")</f>
        <v>#REF!</v>
      </c>
      <c r="FQ257" t="e">
        <f>AND(#REF!,"AAAAAGsX76w=")</f>
        <v>#REF!</v>
      </c>
      <c r="FR257" t="e">
        <f>AND(#REF!,"AAAAAGsX760=")</f>
        <v>#REF!</v>
      </c>
      <c r="FS257" t="e">
        <f>AND(#REF!,"AAAAAGsX764=")</f>
        <v>#REF!</v>
      </c>
      <c r="FT257" t="e">
        <f>AND(#REF!,"AAAAAGsX768=")</f>
        <v>#REF!</v>
      </c>
      <c r="FU257" t="e">
        <f>AND(#REF!,"AAAAAGsX77A=")</f>
        <v>#REF!</v>
      </c>
      <c r="FV257" t="e">
        <f>AND(#REF!,"AAAAAGsX77E=")</f>
        <v>#REF!</v>
      </c>
      <c r="FW257" t="e">
        <f>AND(#REF!,"AAAAAGsX77I=")</f>
        <v>#REF!</v>
      </c>
      <c r="FX257" t="e">
        <f>AND(#REF!,"AAAAAGsX77M=")</f>
        <v>#REF!</v>
      </c>
      <c r="FY257" t="e">
        <f>AND(#REF!,"AAAAAGsX77Q=")</f>
        <v>#REF!</v>
      </c>
      <c r="FZ257" t="e">
        <f>AND(#REF!,"AAAAAGsX77U=")</f>
        <v>#REF!</v>
      </c>
      <c r="GA257" t="e">
        <f>AND(#REF!,"AAAAAGsX77Y=")</f>
        <v>#REF!</v>
      </c>
      <c r="GB257" t="e">
        <f>AND(#REF!,"AAAAAGsX77c=")</f>
        <v>#REF!</v>
      </c>
      <c r="GC257" t="e">
        <f>AND(#REF!,"AAAAAGsX77g=")</f>
        <v>#REF!</v>
      </c>
      <c r="GD257" t="e">
        <f>AND(#REF!,"AAAAAGsX77k=")</f>
        <v>#REF!</v>
      </c>
      <c r="GE257" t="e">
        <f>AND(#REF!,"AAAAAGsX77o=")</f>
        <v>#REF!</v>
      </c>
      <c r="GF257" t="e">
        <f>AND(#REF!,"AAAAAGsX77s=")</f>
        <v>#REF!</v>
      </c>
      <c r="GG257" t="e">
        <f>AND(#REF!,"AAAAAGsX77w=")</f>
        <v>#REF!</v>
      </c>
      <c r="GH257" t="e">
        <f>AND(#REF!,"AAAAAGsX770=")</f>
        <v>#REF!</v>
      </c>
      <c r="GI257" t="e">
        <f>AND(#REF!,"AAAAAGsX774=")</f>
        <v>#REF!</v>
      </c>
      <c r="GJ257" t="e">
        <f>AND(#REF!,"AAAAAGsX778=")</f>
        <v>#REF!</v>
      </c>
      <c r="GK257" t="e">
        <f>AND(#REF!,"AAAAAGsX78A=")</f>
        <v>#REF!</v>
      </c>
      <c r="GL257" t="e">
        <f>AND(#REF!,"AAAAAGsX78E=")</f>
        <v>#REF!</v>
      </c>
      <c r="GM257" t="e">
        <f>AND(#REF!,"AAAAAGsX78I=")</f>
        <v>#REF!</v>
      </c>
      <c r="GN257" t="e">
        <f>AND(#REF!,"AAAAAGsX78M=")</f>
        <v>#REF!</v>
      </c>
      <c r="GO257" t="e">
        <f>AND(#REF!,"AAAAAGsX78Q=")</f>
        <v>#REF!</v>
      </c>
      <c r="GP257" t="e">
        <f>AND(#REF!,"AAAAAGsX78U=")</f>
        <v>#REF!</v>
      </c>
      <c r="GQ257" t="e">
        <f>AND(#REF!,"AAAAAGsX78Y=")</f>
        <v>#REF!</v>
      </c>
      <c r="GR257" t="e">
        <f>AND(#REF!,"AAAAAGsX78c=")</f>
        <v>#REF!</v>
      </c>
      <c r="GS257" t="e">
        <f>AND(#REF!,"AAAAAGsX78g=")</f>
        <v>#REF!</v>
      </c>
      <c r="GT257" t="e">
        <f>AND(#REF!,"AAAAAGsX78k=")</f>
        <v>#REF!</v>
      </c>
      <c r="GU257" t="e">
        <f>AND(#REF!,"AAAAAGsX78o=")</f>
        <v>#REF!</v>
      </c>
      <c r="GV257" t="e">
        <f>AND(#REF!,"AAAAAGsX78s=")</f>
        <v>#REF!</v>
      </c>
      <c r="GW257" t="e">
        <f>AND(#REF!,"AAAAAGsX78w=")</f>
        <v>#REF!</v>
      </c>
      <c r="GX257" t="e">
        <f>AND(#REF!,"AAAAAGsX780=")</f>
        <v>#REF!</v>
      </c>
      <c r="GY257" t="e">
        <f>AND(#REF!,"AAAAAGsX784=")</f>
        <v>#REF!</v>
      </c>
      <c r="GZ257" t="e">
        <f>AND(#REF!,"AAAAAGsX788=")</f>
        <v>#REF!</v>
      </c>
      <c r="HA257" t="e">
        <f>AND(#REF!,"AAAAAGsX79A=")</f>
        <v>#REF!</v>
      </c>
      <c r="HB257" t="e">
        <f>AND(#REF!,"AAAAAGsX79E=")</f>
        <v>#REF!</v>
      </c>
      <c r="HC257" t="e">
        <f>AND(#REF!,"AAAAAGsX79I=")</f>
        <v>#REF!</v>
      </c>
      <c r="HD257" t="e">
        <f>AND(#REF!,"AAAAAGsX79M=")</f>
        <v>#REF!</v>
      </c>
      <c r="HE257" t="e">
        <f>AND(#REF!,"AAAAAGsX79Q=")</f>
        <v>#REF!</v>
      </c>
      <c r="HF257" t="e">
        <f>AND(#REF!,"AAAAAGsX79U=")</f>
        <v>#REF!</v>
      </c>
      <c r="HG257" t="e">
        <f>AND(#REF!,"AAAAAGsX79Y=")</f>
        <v>#REF!</v>
      </c>
      <c r="HH257" t="e">
        <f>AND(#REF!,"AAAAAGsX79c=")</f>
        <v>#REF!</v>
      </c>
      <c r="HI257" t="e">
        <f>AND(#REF!,"AAAAAGsX79g=")</f>
        <v>#REF!</v>
      </c>
      <c r="HJ257" t="e">
        <f>AND(#REF!,"AAAAAGsX79k=")</f>
        <v>#REF!</v>
      </c>
      <c r="HK257" t="e">
        <f>AND(#REF!,"AAAAAGsX79o=")</f>
        <v>#REF!</v>
      </c>
      <c r="HL257" t="e">
        <f>AND(#REF!,"AAAAAGsX79s=")</f>
        <v>#REF!</v>
      </c>
      <c r="HM257" t="e">
        <f>AND(#REF!,"AAAAAGsX79w=")</f>
        <v>#REF!</v>
      </c>
      <c r="HN257" t="e">
        <f>AND(#REF!,"AAAAAGsX790=")</f>
        <v>#REF!</v>
      </c>
      <c r="HO257" t="e">
        <f>AND(#REF!,"AAAAAGsX794=")</f>
        <v>#REF!</v>
      </c>
      <c r="HP257" t="e">
        <f>AND(#REF!,"AAAAAGsX798=")</f>
        <v>#REF!</v>
      </c>
      <c r="HQ257" t="e">
        <f>AND(#REF!,"AAAAAGsX7+A=")</f>
        <v>#REF!</v>
      </c>
      <c r="HR257" t="e">
        <f>AND(#REF!,"AAAAAGsX7+E=")</f>
        <v>#REF!</v>
      </c>
      <c r="HS257" t="e">
        <f>AND(#REF!,"AAAAAGsX7+I=")</f>
        <v>#REF!</v>
      </c>
      <c r="HT257" t="e">
        <f>AND(#REF!,"AAAAAGsX7+M=")</f>
        <v>#REF!</v>
      </c>
      <c r="HU257" t="e">
        <f>IF(#REF!,"AAAAAGsX7+Q=",0)</f>
        <v>#REF!</v>
      </c>
      <c r="HV257" t="e">
        <f>AND(#REF!,"AAAAAGsX7+U=")</f>
        <v>#REF!</v>
      </c>
      <c r="HW257" t="e">
        <f>AND(#REF!,"AAAAAGsX7+Y=")</f>
        <v>#REF!</v>
      </c>
      <c r="HX257" t="e">
        <f>AND(#REF!,"AAAAAGsX7+c=")</f>
        <v>#REF!</v>
      </c>
      <c r="HY257" t="e">
        <f>AND(#REF!,"AAAAAGsX7+g=")</f>
        <v>#REF!</v>
      </c>
      <c r="HZ257" t="e">
        <f>AND(#REF!,"AAAAAGsX7+k=")</f>
        <v>#REF!</v>
      </c>
      <c r="IA257" t="e">
        <f>AND(#REF!,"AAAAAGsX7+o=")</f>
        <v>#REF!</v>
      </c>
      <c r="IB257" t="e">
        <f>AND(#REF!,"AAAAAGsX7+s=")</f>
        <v>#REF!</v>
      </c>
      <c r="IC257" t="e">
        <f>AND(#REF!,"AAAAAGsX7+w=")</f>
        <v>#REF!</v>
      </c>
      <c r="ID257" t="e">
        <f>AND(#REF!,"AAAAAGsX7+0=")</f>
        <v>#REF!</v>
      </c>
      <c r="IE257" t="e">
        <f>AND(#REF!,"AAAAAGsX7+4=")</f>
        <v>#REF!</v>
      </c>
      <c r="IF257" t="e">
        <f>AND(#REF!,"AAAAAGsX7+8=")</f>
        <v>#REF!</v>
      </c>
      <c r="IG257" t="e">
        <f>AND(#REF!,"AAAAAGsX7/A=")</f>
        <v>#REF!</v>
      </c>
      <c r="IH257" t="e">
        <f>AND(#REF!,"AAAAAGsX7/E=")</f>
        <v>#REF!</v>
      </c>
      <c r="II257" t="e">
        <f>AND(#REF!,"AAAAAGsX7/I=")</f>
        <v>#REF!</v>
      </c>
      <c r="IJ257" t="e">
        <f>AND(#REF!,"AAAAAGsX7/M=")</f>
        <v>#REF!</v>
      </c>
      <c r="IK257" t="e">
        <f>AND(#REF!,"AAAAAGsX7/Q=")</f>
        <v>#REF!</v>
      </c>
      <c r="IL257" t="e">
        <f>AND(#REF!,"AAAAAGsX7/U=")</f>
        <v>#REF!</v>
      </c>
      <c r="IM257" t="e">
        <f>AND(#REF!,"AAAAAGsX7/Y=")</f>
        <v>#REF!</v>
      </c>
      <c r="IN257" t="e">
        <f>AND(#REF!,"AAAAAGsX7/c=")</f>
        <v>#REF!</v>
      </c>
      <c r="IO257" t="e">
        <f>AND(#REF!,"AAAAAGsX7/g=")</f>
        <v>#REF!</v>
      </c>
      <c r="IP257" t="e">
        <f>AND(#REF!,"AAAAAGsX7/k=")</f>
        <v>#REF!</v>
      </c>
      <c r="IQ257" t="e">
        <f>AND(#REF!,"AAAAAGsX7/o=")</f>
        <v>#REF!</v>
      </c>
      <c r="IR257" t="e">
        <f>AND(#REF!,"AAAAAGsX7/s=")</f>
        <v>#REF!</v>
      </c>
      <c r="IS257" t="e">
        <f>AND(#REF!,"AAAAAGsX7/w=")</f>
        <v>#REF!</v>
      </c>
      <c r="IT257" t="e">
        <f>AND(#REF!,"AAAAAGsX7/0=")</f>
        <v>#REF!</v>
      </c>
      <c r="IU257" t="e">
        <f>AND(#REF!,"AAAAAGsX7/4=")</f>
        <v>#REF!</v>
      </c>
      <c r="IV257" t="e">
        <f>AND(#REF!,"AAAAAGsX7/8=")</f>
        <v>#REF!</v>
      </c>
    </row>
    <row r="258" spans="1:256" x14ac:dyDescent="0.25">
      <c r="A258" t="e">
        <f>AND(#REF!,"AAAAAG0/lQA=")</f>
        <v>#REF!</v>
      </c>
      <c r="B258" t="e">
        <f>AND(#REF!,"AAAAAG0/lQE=")</f>
        <v>#REF!</v>
      </c>
      <c r="C258" t="e">
        <f>AND(#REF!,"AAAAAG0/lQI=")</f>
        <v>#REF!</v>
      </c>
      <c r="D258" t="e">
        <f>AND(#REF!,"AAAAAG0/lQM=")</f>
        <v>#REF!</v>
      </c>
      <c r="E258" t="e">
        <f>AND(#REF!,"AAAAAG0/lQQ=")</f>
        <v>#REF!</v>
      </c>
      <c r="F258" t="e">
        <f>AND(#REF!,"AAAAAG0/lQU=")</f>
        <v>#REF!</v>
      </c>
      <c r="G258" t="e">
        <f>AND(#REF!,"AAAAAG0/lQY=")</f>
        <v>#REF!</v>
      </c>
      <c r="H258" t="e">
        <f>AND(#REF!,"AAAAAG0/lQc=")</f>
        <v>#REF!</v>
      </c>
      <c r="I258" t="e">
        <f>AND(#REF!,"AAAAAG0/lQg=")</f>
        <v>#REF!</v>
      </c>
      <c r="J258" t="e">
        <f>AND(#REF!,"AAAAAG0/lQk=")</f>
        <v>#REF!</v>
      </c>
      <c r="K258" t="e">
        <f>AND(#REF!,"AAAAAG0/lQo=")</f>
        <v>#REF!</v>
      </c>
      <c r="L258" t="e">
        <f>AND(#REF!,"AAAAAG0/lQs=")</f>
        <v>#REF!</v>
      </c>
      <c r="M258" t="e">
        <f>AND(#REF!,"AAAAAG0/lQw=")</f>
        <v>#REF!</v>
      </c>
      <c r="N258" t="e">
        <f>AND(#REF!,"AAAAAG0/lQ0=")</f>
        <v>#REF!</v>
      </c>
      <c r="O258" t="e">
        <f>AND(#REF!,"AAAAAG0/lQ4=")</f>
        <v>#REF!</v>
      </c>
      <c r="P258" t="e">
        <f>AND(#REF!,"AAAAAG0/lQ8=")</f>
        <v>#REF!</v>
      </c>
      <c r="Q258" t="e">
        <f>AND(#REF!,"AAAAAG0/lRA=")</f>
        <v>#REF!</v>
      </c>
      <c r="R258" t="e">
        <f>AND(#REF!,"AAAAAG0/lRE=")</f>
        <v>#REF!</v>
      </c>
      <c r="S258" t="e">
        <f>AND(#REF!,"AAAAAG0/lRI=")</f>
        <v>#REF!</v>
      </c>
      <c r="T258" t="e">
        <f>AND(#REF!,"AAAAAG0/lRM=")</f>
        <v>#REF!</v>
      </c>
      <c r="U258" t="e">
        <f>AND(#REF!,"AAAAAG0/lRQ=")</f>
        <v>#REF!</v>
      </c>
      <c r="V258" t="e">
        <f>AND(#REF!,"AAAAAG0/lRU=")</f>
        <v>#REF!</v>
      </c>
      <c r="W258" t="e">
        <f>AND(#REF!,"AAAAAG0/lRY=")</f>
        <v>#REF!</v>
      </c>
      <c r="X258" t="e">
        <f>AND(#REF!,"AAAAAG0/lRc=")</f>
        <v>#REF!</v>
      </c>
      <c r="Y258" t="e">
        <f>AND(#REF!,"AAAAAG0/lRg=")</f>
        <v>#REF!</v>
      </c>
      <c r="Z258" t="e">
        <f>AND(#REF!,"AAAAAG0/lRk=")</f>
        <v>#REF!</v>
      </c>
      <c r="AA258" t="e">
        <f>AND(#REF!,"AAAAAG0/lRo=")</f>
        <v>#REF!</v>
      </c>
      <c r="AB258" t="e">
        <f>AND(#REF!,"AAAAAG0/lRs=")</f>
        <v>#REF!</v>
      </c>
      <c r="AC258" t="e">
        <f>AND(#REF!,"AAAAAG0/lRw=")</f>
        <v>#REF!</v>
      </c>
      <c r="AD258" t="e">
        <f>AND(#REF!,"AAAAAG0/lR0=")</f>
        <v>#REF!</v>
      </c>
      <c r="AE258" t="e">
        <f>AND(#REF!,"AAAAAG0/lR4=")</f>
        <v>#REF!</v>
      </c>
      <c r="AF258" t="e">
        <f>AND(#REF!,"AAAAAG0/lR8=")</f>
        <v>#REF!</v>
      </c>
      <c r="AG258" t="e">
        <f>AND(#REF!,"AAAAAG0/lSA=")</f>
        <v>#REF!</v>
      </c>
      <c r="AH258" t="e">
        <f>AND(#REF!,"AAAAAG0/lSE=")</f>
        <v>#REF!</v>
      </c>
      <c r="AI258" t="e">
        <f>AND(#REF!,"AAAAAG0/lSI=")</f>
        <v>#REF!</v>
      </c>
      <c r="AJ258" t="e">
        <f>AND(#REF!,"AAAAAG0/lSM=")</f>
        <v>#REF!</v>
      </c>
      <c r="AK258" t="e">
        <f>AND(#REF!,"AAAAAG0/lSQ=")</f>
        <v>#REF!</v>
      </c>
      <c r="AL258" t="e">
        <f>AND(#REF!,"AAAAAG0/lSU=")</f>
        <v>#REF!</v>
      </c>
      <c r="AM258" t="e">
        <f>AND(#REF!,"AAAAAG0/lSY=")</f>
        <v>#REF!</v>
      </c>
      <c r="AN258" t="e">
        <f>AND(#REF!,"AAAAAG0/lSc=")</f>
        <v>#REF!</v>
      </c>
      <c r="AO258" t="e">
        <f>AND(#REF!,"AAAAAG0/lSg=")</f>
        <v>#REF!</v>
      </c>
      <c r="AP258" t="e">
        <f>AND(#REF!,"AAAAAG0/lSk=")</f>
        <v>#REF!</v>
      </c>
      <c r="AQ258" t="e">
        <f>AND(#REF!,"AAAAAG0/lSo=")</f>
        <v>#REF!</v>
      </c>
      <c r="AR258" t="e">
        <f>AND(#REF!,"AAAAAG0/lSs=")</f>
        <v>#REF!</v>
      </c>
      <c r="AS258" t="e">
        <f>AND(#REF!,"AAAAAG0/lSw=")</f>
        <v>#REF!</v>
      </c>
      <c r="AT258" t="e">
        <f>AND(#REF!,"AAAAAG0/lS0=")</f>
        <v>#REF!</v>
      </c>
      <c r="AU258" t="e">
        <f>AND(#REF!,"AAAAAG0/lS4=")</f>
        <v>#REF!</v>
      </c>
      <c r="AV258" t="e">
        <f>AND(#REF!,"AAAAAG0/lS8=")</f>
        <v>#REF!</v>
      </c>
      <c r="AW258" t="e">
        <f>AND(#REF!,"AAAAAG0/lTA=")</f>
        <v>#REF!</v>
      </c>
      <c r="AX258" t="e">
        <f>AND(#REF!,"AAAAAG0/lTE=")</f>
        <v>#REF!</v>
      </c>
      <c r="AY258" t="e">
        <f>AND(#REF!,"AAAAAG0/lTI=")</f>
        <v>#REF!</v>
      </c>
      <c r="AZ258" t="e">
        <f>AND(#REF!,"AAAAAG0/lTM=")</f>
        <v>#REF!</v>
      </c>
      <c r="BA258" t="e">
        <f>AND(#REF!,"AAAAAG0/lTQ=")</f>
        <v>#REF!</v>
      </c>
      <c r="BB258" t="e">
        <f>AND(#REF!,"AAAAAG0/lTU=")</f>
        <v>#REF!</v>
      </c>
      <c r="BC258" t="e">
        <f>AND(#REF!,"AAAAAG0/lTY=")</f>
        <v>#REF!</v>
      </c>
      <c r="BD258" t="e">
        <f>AND(#REF!,"AAAAAG0/lTc=")</f>
        <v>#REF!</v>
      </c>
      <c r="BE258" t="e">
        <f>AND(#REF!,"AAAAAG0/lTg=")</f>
        <v>#REF!</v>
      </c>
      <c r="BF258" t="e">
        <f>AND(#REF!,"AAAAAG0/lTk=")</f>
        <v>#REF!</v>
      </c>
      <c r="BG258" t="e">
        <f>AND(#REF!,"AAAAAG0/lTo=")</f>
        <v>#REF!</v>
      </c>
      <c r="BH258" t="e">
        <f>AND(#REF!,"AAAAAG0/lTs=")</f>
        <v>#REF!</v>
      </c>
      <c r="BI258" t="e">
        <f>AND(#REF!,"AAAAAG0/lTw=")</f>
        <v>#REF!</v>
      </c>
      <c r="BJ258" t="e">
        <f>AND(#REF!,"AAAAAG0/lT0=")</f>
        <v>#REF!</v>
      </c>
      <c r="BK258" t="e">
        <f>AND(#REF!,"AAAAAG0/lT4=")</f>
        <v>#REF!</v>
      </c>
      <c r="BL258" t="e">
        <f>AND(#REF!,"AAAAAG0/lT8=")</f>
        <v>#REF!</v>
      </c>
      <c r="BM258" t="e">
        <f>AND(#REF!,"AAAAAG0/lUA=")</f>
        <v>#REF!</v>
      </c>
      <c r="BN258" t="e">
        <f>AND(#REF!,"AAAAAG0/lUE=")</f>
        <v>#REF!</v>
      </c>
      <c r="BO258" t="e">
        <f>AND(#REF!,"AAAAAG0/lUI=")</f>
        <v>#REF!</v>
      </c>
      <c r="BP258" t="e">
        <f>AND(#REF!,"AAAAAG0/lUM=")</f>
        <v>#REF!</v>
      </c>
      <c r="BQ258" t="e">
        <f>AND(#REF!,"AAAAAG0/lUQ=")</f>
        <v>#REF!</v>
      </c>
      <c r="BR258" t="e">
        <f>AND(#REF!,"AAAAAG0/lUU=")</f>
        <v>#REF!</v>
      </c>
      <c r="BS258" t="e">
        <f>AND(#REF!,"AAAAAG0/lUY=")</f>
        <v>#REF!</v>
      </c>
      <c r="BT258" t="e">
        <f>AND(#REF!,"AAAAAG0/lUc=")</f>
        <v>#REF!</v>
      </c>
      <c r="BU258" t="e">
        <f>AND(#REF!,"AAAAAG0/lUg=")</f>
        <v>#REF!</v>
      </c>
      <c r="BV258" t="e">
        <f>AND(#REF!,"AAAAAG0/lUk=")</f>
        <v>#REF!</v>
      </c>
      <c r="BW258" t="e">
        <f>AND(#REF!,"AAAAAG0/lUo=")</f>
        <v>#REF!</v>
      </c>
      <c r="BX258" t="e">
        <f>AND(#REF!,"AAAAAG0/lUs=")</f>
        <v>#REF!</v>
      </c>
      <c r="BY258" t="e">
        <f>AND(#REF!,"AAAAAG0/lUw=")</f>
        <v>#REF!</v>
      </c>
      <c r="BZ258" t="e">
        <f>AND(#REF!,"AAAAAG0/lU0=")</f>
        <v>#REF!</v>
      </c>
      <c r="CA258" t="e">
        <f>AND(#REF!,"AAAAAG0/lU4=")</f>
        <v>#REF!</v>
      </c>
      <c r="CB258" t="e">
        <f>AND(#REF!,"AAAAAG0/lU8=")</f>
        <v>#REF!</v>
      </c>
      <c r="CC258" t="e">
        <f>AND(#REF!,"AAAAAG0/lVA=")</f>
        <v>#REF!</v>
      </c>
      <c r="CD258" t="e">
        <f>AND(#REF!,"AAAAAG0/lVE=")</f>
        <v>#REF!</v>
      </c>
      <c r="CE258" t="e">
        <f>AND(#REF!,"AAAAAG0/lVI=")</f>
        <v>#REF!</v>
      </c>
      <c r="CF258" t="e">
        <f>AND(#REF!,"AAAAAG0/lVM=")</f>
        <v>#REF!</v>
      </c>
      <c r="CG258" t="e">
        <f>AND(#REF!,"AAAAAG0/lVQ=")</f>
        <v>#REF!</v>
      </c>
      <c r="CH258" t="e">
        <f>AND(#REF!,"AAAAAG0/lVU=")</f>
        <v>#REF!</v>
      </c>
      <c r="CI258" t="e">
        <f>AND(#REF!,"AAAAAG0/lVY=")</f>
        <v>#REF!</v>
      </c>
      <c r="CJ258" t="e">
        <f>AND(#REF!,"AAAAAG0/lVc=")</f>
        <v>#REF!</v>
      </c>
      <c r="CK258" t="e">
        <f>AND(#REF!,"AAAAAG0/lVg=")</f>
        <v>#REF!</v>
      </c>
      <c r="CL258" t="e">
        <f>AND(#REF!,"AAAAAG0/lVk=")</f>
        <v>#REF!</v>
      </c>
      <c r="CM258" t="e">
        <f>AND(#REF!,"AAAAAG0/lVo=")</f>
        <v>#REF!</v>
      </c>
      <c r="CN258" t="e">
        <f>AND(#REF!,"AAAAAG0/lVs=")</f>
        <v>#REF!</v>
      </c>
      <c r="CO258" t="e">
        <f>AND(#REF!,"AAAAAG0/lVw=")</f>
        <v>#REF!</v>
      </c>
      <c r="CP258" t="e">
        <f>AND(#REF!,"AAAAAG0/lV0=")</f>
        <v>#REF!</v>
      </c>
      <c r="CQ258" t="e">
        <f>AND(#REF!,"AAAAAG0/lV4=")</f>
        <v>#REF!</v>
      </c>
      <c r="CR258" t="e">
        <f>AND(#REF!,"AAAAAG0/lV8=")</f>
        <v>#REF!</v>
      </c>
      <c r="CS258" t="e">
        <f>AND(#REF!,"AAAAAG0/lWA=")</f>
        <v>#REF!</v>
      </c>
      <c r="CT258" t="e">
        <f>AND(#REF!,"AAAAAG0/lWE=")</f>
        <v>#REF!</v>
      </c>
      <c r="CU258" t="e">
        <f>AND(#REF!,"AAAAAG0/lWI=")</f>
        <v>#REF!</v>
      </c>
      <c r="CV258" t="e">
        <f>AND(#REF!,"AAAAAG0/lWM=")</f>
        <v>#REF!</v>
      </c>
      <c r="CW258" t="e">
        <f>AND(#REF!,"AAAAAG0/lWQ=")</f>
        <v>#REF!</v>
      </c>
      <c r="CX258" t="e">
        <f>AND(#REF!,"AAAAAG0/lWU=")</f>
        <v>#REF!</v>
      </c>
      <c r="CY258" t="e">
        <f>AND(#REF!,"AAAAAG0/lWY=")</f>
        <v>#REF!</v>
      </c>
      <c r="CZ258" t="e">
        <f>AND(#REF!,"AAAAAG0/lWc=")</f>
        <v>#REF!</v>
      </c>
      <c r="DA258" t="e">
        <f>AND(#REF!,"AAAAAG0/lWg=")</f>
        <v>#REF!</v>
      </c>
      <c r="DB258" t="e">
        <f>AND(#REF!,"AAAAAG0/lWk=")</f>
        <v>#REF!</v>
      </c>
      <c r="DC258" t="e">
        <f>AND(#REF!,"AAAAAG0/lWo=")</f>
        <v>#REF!</v>
      </c>
      <c r="DD258" t="e">
        <f>AND(#REF!,"AAAAAG0/lWs=")</f>
        <v>#REF!</v>
      </c>
      <c r="DE258" t="e">
        <f>AND(#REF!,"AAAAAG0/lWw=")</f>
        <v>#REF!</v>
      </c>
      <c r="DF258" t="e">
        <f>AND(#REF!,"AAAAAG0/lW0=")</f>
        <v>#REF!</v>
      </c>
      <c r="DG258" t="e">
        <f>AND(#REF!,"AAAAAG0/lW4=")</f>
        <v>#REF!</v>
      </c>
      <c r="DH258" t="e">
        <f>AND(#REF!,"AAAAAG0/lW8=")</f>
        <v>#REF!</v>
      </c>
      <c r="DI258" t="e">
        <f>AND(#REF!,"AAAAAG0/lXA=")</f>
        <v>#REF!</v>
      </c>
      <c r="DJ258" t="e">
        <f>AND(#REF!,"AAAAAG0/lXE=")</f>
        <v>#REF!</v>
      </c>
      <c r="DK258" t="e">
        <f>AND(#REF!,"AAAAAG0/lXI=")</f>
        <v>#REF!</v>
      </c>
      <c r="DL258" t="e">
        <f>AND(#REF!,"AAAAAG0/lXM=")</f>
        <v>#REF!</v>
      </c>
      <c r="DM258" t="e">
        <f>AND(#REF!,"AAAAAG0/lXQ=")</f>
        <v>#REF!</v>
      </c>
      <c r="DN258" t="e">
        <f>AND(#REF!,"AAAAAG0/lXU=")</f>
        <v>#REF!</v>
      </c>
      <c r="DO258" t="e">
        <f>AND(#REF!,"AAAAAG0/lXY=")</f>
        <v>#REF!</v>
      </c>
      <c r="DP258" t="e">
        <f>AND(#REF!,"AAAAAG0/lXc=")</f>
        <v>#REF!</v>
      </c>
      <c r="DQ258" t="e">
        <f>AND(#REF!,"AAAAAG0/lXg=")</f>
        <v>#REF!</v>
      </c>
      <c r="DR258" t="e">
        <f>AND(#REF!,"AAAAAG0/lXk=")</f>
        <v>#REF!</v>
      </c>
      <c r="DS258" t="e">
        <f>AND(#REF!,"AAAAAG0/lXo=")</f>
        <v>#REF!</v>
      </c>
      <c r="DT258" t="e">
        <f>AND(#REF!,"AAAAAG0/lXs=")</f>
        <v>#REF!</v>
      </c>
      <c r="DU258" t="e">
        <f>AND(#REF!,"AAAAAG0/lXw=")</f>
        <v>#REF!</v>
      </c>
      <c r="DV258" t="e">
        <f>AND(#REF!,"AAAAAG0/lX0=")</f>
        <v>#REF!</v>
      </c>
      <c r="DW258" t="e">
        <f>AND(#REF!,"AAAAAG0/lX4=")</f>
        <v>#REF!</v>
      </c>
      <c r="DX258" t="e">
        <f>AND(#REF!,"AAAAAG0/lX8=")</f>
        <v>#REF!</v>
      </c>
      <c r="DY258" t="e">
        <f>AND(#REF!,"AAAAAG0/lYA=")</f>
        <v>#REF!</v>
      </c>
      <c r="DZ258" t="e">
        <f>AND(#REF!,"AAAAAG0/lYE=")</f>
        <v>#REF!</v>
      </c>
      <c r="EA258" t="e">
        <f>AND(#REF!,"AAAAAG0/lYI=")</f>
        <v>#REF!</v>
      </c>
      <c r="EB258" t="e">
        <f>AND(#REF!,"AAAAAG0/lYM=")</f>
        <v>#REF!</v>
      </c>
      <c r="EC258" t="e">
        <f>AND(#REF!,"AAAAAG0/lYQ=")</f>
        <v>#REF!</v>
      </c>
      <c r="ED258" t="e">
        <f>AND(#REF!,"AAAAAG0/lYU=")</f>
        <v>#REF!</v>
      </c>
      <c r="EE258" t="e">
        <f>AND(#REF!,"AAAAAG0/lYY=")</f>
        <v>#REF!</v>
      </c>
      <c r="EF258" t="e">
        <f>AND(#REF!,"AAAAAG0/lYc=")</f>
        <v>#REF!</v>
      </c>
      <c r="EG258" t="e">
        <f>AND(#REF!,"AAAAAG0/lYg=")</f>
        <v>#REF!</v>
      </c>
      <c r="EH258" t="e">
        <f>AND(#REF!,"AAAAAG0/lYk=")</f>
        <v>#REF!</v>
      </c>
      <c r="EI258" t="e">
        <f>AND(#REF!,"AAAAAG0/lYo=")</f>
        <v>#REF!</v>
      </c>
      <c r="EJ258" t="e">
        <f>AND(#REF!,"AAAAAG0/lYs=")</f>
        <v>#REF!</v>
      </c>
      <c r="EK258" t="e">
        <f>AND(#REF!,"AAAAAG0/lYw=")</f>
        <v>#REF!</v>
      </c>
      <c r="EL258" t="e">
        <f>AND(#REF!,"AAAAAG0/lY0=")</f>
        <v>#REF!</v>
      </c>
      <c r="EM258" t="e">
        <f>AND(#REF!,"AAAAAG0/lY4=")</f>
        <v>#REF!</v>
      </c>
      <c r="EN258" t="e">
        <f>AND(#REF!,"AAAAAG0/lY8=")</f>
        <v>#REF!</v>
      </c>
      <c r="EO258" t="e">
        <f>AND(#REF!,"AAAAAG0/lZA=")</f>
        <v>#REF!</v>
      </c>
      <c r="EP258" t="e">
        <f>AND(#REF!,"AAAAAG0/lZE=")</f>
        <v>#REF!</v>
      </c>
      <c r="EQ258" t="e">
        <f>AND(#REF!,"AAAAAG0/lZI=")</f>
        <v>#REF!</v>
      </c>
      <c r="ER258" t="e">
        <f>AND(#REF!,"AAAAAG0/lZM=")</f>
        <v>#REF!</v>
      </c>
      <c r="ES258" t="e">
        <f>AND(#REF!,"AAAAAG0/lZQ=")</f>
        <v>#REF!</v>
      </c>
      <c r="ET258" t="e">
        <f>AND(#REF!,"AAAAAG0/lZU=")</f>
        <v>#REF!</v>
      </c>
      <c r="EU258" t="e">
        <f>AND(#REF!,"AAAAAG0/lZY=")</f>
        <v>#REF!</v>
      </c>
      <c r="EV258" t="e">
        <f>AND(#REF!,"AAAAAG0/lZc=")</f>
        <v>#REF!</v>
      </c>
      <c r="EW258" t="e">
        <f>AND(#REF!,"AAAAAG0/lZg=")</f>
        <v>#REF!</v>
      </c>
      <c r="EX258" t="e">
        <f>AND(#REF!,"AAAAAG0/lZk=")</f>
        <v>#REF!</v>
      </c>
      <c r="EY258" t="e">
        <f>AND(#REF!,"AAAAAG0/lZo=")</f>
        <v>#REF!</v>
      </c>
      <c r="EZ258" t="e">
        <f>AND(#REF!,"AAAAAG0/lZs=")</f>
        <v>#REF!</v>
      </c>
      <c r="FA258" t="e">
        <f>AND(#REF!,"AAAAAG0/lZw=")</f>
        <v>#REF!</v>
      </c>
      <c r="FB258" t="e">
        <f>AND(#REF!,"AAAAAG0/lZ0=")</f>
        <v>#REF!</v>
      </c>
      <c r="FC258" t="e">
        <f>AND(#REF!,"AAAAAG0/lZ4=")</f>
        <v>#REF!</v>
      </c>
      <c r="FD258" t="e">
        <f>AND(#REF!,"AAAAAG0/lZ8=")</f>
        <v>#REF!</v>
      </c>
      <c r="FE258" t="e">
        <f>AND(#REF!,"AAAAAG0/laA=")</f>
        <v>#REF!</v>
      </c>
      <c r="FF258" t="e">
        <f>IF(#REF!,"AAAAAG0/laE=",0)</f>
        <v>#REF!</v>
      </c>
      <c r="FG258" t="e">
        <f>AND(#REF!,"AAAAAG0/laI=")</f>
        <v>#REF!</v>
      </c>
      <c r="FH258" t="e">
        <f>AND(#REF!,"AAAAAG0/laM=")</f>
        <v>#REF!</v>
      </c>
      <c r="FI258" t="e">
        <f>AND(#REF!,"AAAAAG0/laQ=")</f>
        <v>#REF!</v>
      </c>
      <c r="FJ258" t="e">
        <f>AND(#REF!,"AAAAAG0/laU=")</f>
        <v>#REF!</v>
      </c>
      <c r="FK258" t="e">
        <f>AND(#REF!,"AAAAAG0/laY=")</f>
        <v>#REF!</v>
      </c>
      <c r="FL258" t="e">
        <f>AND(#REF!,"AAAAAG0/lac=")</f>
        <v>#REF!</v>
      </c>
      <c r="FM258" t="e">
        <f>AND(#REF!,"AAAAAG0/lag=")</f>
        <v>#REF!</v>
      </c>
      <c r="FN258" t="e">
        <f>AND(#REF!,"AAAAAG0/lak=")</f>
        <v>#REF!</v>
      </c>
      <c r="FO258" t="e">
        <f>AND(#REF!,"AAAAAG0/lao=")</f>
        <v>#REF!</v>
      </c>
      <c r="FP258" t="e">
        <f>AND(#REF!,"AAAAAG0/las=")</f>
        <v>#REF!</v>
      </c>
      <c r="FQ258" t="e">
        <f>AND(#REF!,"AAAAAG0/law=")</f>
        <v>#REF!</v>
      </c>
      <c r="FR258" t="e">
        <f>AND(#REF!,"AAAAAG0/la0=")</f>
        <v>#REF!</v>
      </c>
      <c r="FS258" t="e">
        <f>AND(#REF!,"AAAAAG0/la4=")</f>
        <v>#REF!</v>
      </c>
      <c r="FT258" t="e">
        <f>AND(#REF!,"AAAAAG0/la8=")</f>
        <v>#REF!</v>
      </c>
      <c r="FU258" t="e">
        <f>AND(#REF!,"AAAAAG0/lbA=")</f>
        <v>#REF!</v>
      </c>
      <c r="FV258" t="e">
        <f>AND(#REF!,"AAAAAG0/lbE=")</f>
        <v>#REF!</v>
      </c>
      <c r="FW258" t="e">
        <f>AND(#REF!,"AAAAAG0/lbI=")</f>
        <v>#REF!</v>
      </c>
      <c r="FX258" t="e">
        <f>AND(#REF!,"AAAAAG0/lbM=")</f>
        <v>#REF!</v>
      </c>
      <c r="FY258" t="e">
        <f>AND(#REF!,"AAAAAG0/lbQ=")</f>
        <v>#REF!</v>
      </c>
      <c r="FZ258" t="e">
        <f>AND(#REF!,"AAAAAG0/lbU=")</f>
        <v>#REF!</v>
      </c>
      <c r="GA258" t="e">
        <f>AND(#REF!,"AAAAAG0/lbY=")</f>
        <v>#REF!</v>
      </c>
      <c r="GB258" t="e">
        <f>AND(#REF!,"AAAAAG0/lbc=")</f>
        <v>#REF!</v>
      </c>
      <c r="GC258" t="e">
        <f>AND(#REF!,"AAAAAG0/lbg=")</f>
        <v>#REF!</v>
      </c>
      <c r="GD258" t="e">
        <f>AND(#REF!,"AAAAAG0/lbk=")</f>
        <v>#REF!</v>
      </c>
      <c r="GE258" t="e">
        <f>AND(#REF!,"AAAAAG0/lbo=")</f>
        <v>#REF!</v>
      </c>
      <c r="GF258" t="e">
        <f>AND(#REF!,"AAAAAG0/lbs=")</f>
        <v>#REF!</v>
      </c>
      <c r="GG258" t="e">
        <f>AND(#REF!,"AAAAAG0/lbw=")</f>
        <v>#REF!</v>
      </c>
      <c r="GH258" t="e">
        <f>AND(#REF!,"AAAAAG0/lb0=")</f>
        <v>#REF!</v>
      </c>
      <c r="GI258" t="e">
        <f>AND(#REF!,"AAAAAG0/lb4=")</f>
        <v>#REF!</v>
      </c>
      <c r="GJ258" t="e">
        <f>AND(#REF!,"AAAAAG0/lb8=")</f>
        <v>#REF!</v>
      </c>
      <c r="GK258" t="e">
        <f>AND(#REF!,"AAAAAG0/lcA=")</f>
        <v>#REF!</v>
      </c>
      <c r="GL258" t="e">
        <f>AND(#REF!,"AAAAAG0/lcE=")</f>
        <v>#REF!</v>
      </c>
      <c r="GM258" t="e">
        <f>AND(#REF!,"AAAAAG0/lcI=")</f>
        <v>#REF!</v>
      </c>
      <c r="GN258" t="e">
        <f>AND(#REF!,"AAAAAG0/lcM=")</f>
        <v>#REF!</v>
      </c>
      <c r="GO258" t="e">
        <f>AND(#REF!,"AAAAAG0/lcQ=")</f>
        <v>#REF!</v>
      </c>
      <c r="GP258" t="e">
        <f>AND(#REF!,"AAAAAG0/lcU=")</f>
        <v>#REF!</v>
      </c>
      <c r="GQ258" t="e">
        <f>AND(#REF!,"AAAAAG0/lcY=")</f>
        <v>#REF!</v>
      </c>
      <c r="GR258" t="e">
        <f>AND(#REF!,"AAAAAG0/lcc=")</f>
        <v>#REF!</v>
      </c>
      <c r="GS258" t="e">
        <f>AND(#REF!,"AAAAAG0/lcg=")</f>
        <v>#REF!</v>
      </c>
      <c r="GT258" t="e">
        <f>AND(#REF!,"AAAAAG0/lck=")</f>
        <v>#REF!</v>
      </c>
      <c r="GU258" t="e">
        <f>AND(#REF!,"AAAAAG0/lco=")</f>
        <v>#REF!</v>
      </c>
      <c r="GV258" t="e">
        <f>AND(#REF!,"AAAAAG0/lcs=")</f>
        <v>#REF!</v>
      </c>
      <c r="GW258" t="e">
        <f>AND(#REF!,"AAAAAG0/lcw=")</f>
        <v>#REF!</v>
      </c>
      <c r="GX258" t="e">
        <f>AND(#REF!,"AAAAAG0/lc0=")</f>
        <v>#REF!</v>
      </c>
      <c r="GY258" t="e">
        <f>AND(#REF!,"AAAAAG0/lc4=")</f>
        <v>#REF!</v>
      </c>
      <c r="GZ258" t="e">
        <f>AND(#REF!,"AAAAAG0/lc8=")</f>
        <v>#REF!</v>
      </c>
      <c r="HA258" t="e">
        <f>AND(#REF!,"AAAAAG0/ldA=")</f>
        <v>#REF!</v>
      </c>
      <c r="HB258" t="e">
        <f>AND(#REF!,"AAAAAG0/ldE=")</f>
        <v>#REF!</v>
      </c>
      <c r="HC258" t="e">
        <f>AND(#REF!,"AAAAAG0/ldI=")</f>
        <v>#REF!</v>
      </c>
      <c r="HD258" t="e">
        <f>AND(#REF!,"AAAAAG0/ldM=")</f>
        <v>#REF!</v>
      </c>
      <c r="HE258" t="e">
        <f>AND(#REF!,"AAAAAG0/ldQ=")</f>
        <v>#REF!</v>
      </c>
      <c r="HF258" t="e">
        <f>AND(#REF!,"AAAAAG0/ldU=")</f>
        <v>#REF!</v>
      </c>
      <c r="HG258" t="e">
        <f>AND(#REF!,"AAAAAG0/ldY=")</f>
        <v>#REF!</v>
      </c>
      <c r="HH258" t="e">
        <f>AND(#REF!,"AAAAAG0/ldc=")</f>
        <v>#REF!</v>
      </c>
      <c r="HI258" t="e">
        <f>AND(#REF!,"AAAAAG0/ldg=")</f>
        <v>#REF!</v>
      </c>
      <c r="HJ258" t="e">
        <f>AND(#REF!,"AAAAAG0/ldk=")</f>
        <v>#REF!</v>
      </c>
      <c r="HK258" t="e">
        <f>AND(#REF!,"AAAAAG0/ldo=")</f>
        <v>#REF!</v>
      </c>
      <c r="HL258" t="e">
        <f>AND(#REF!,"AAAAAG0/lds=")</f>
        <v>#REF!</v>
      </c>
      <c r="HM258" t="e">
        <f>AND(#REF!,"AAAAAG0/ldw=")</f>
        <v>#REF!</v>
      </c>
      <c r="HN258" t="e">
        <f>AND(#REF!,"AAAAAG0/ld0=")</f>
        <v>#REF!</v>
      </c>
      <c r="HO258" t="e">
        <f>AND(#REF!,"AAAAAG0/ld4=")</f>
        <v>#REF!</v>
      </c>
      <c r="HP258" t="e">
        <f>AND(#REF!,"AAAAAG0/ld8=")</f>
        <v>#REF!</v>
      </c>
      <c r="HQ258" t="e">
        <f>AND(#REF!,"AAAAAG0/leA=")</f>
        <v>#REF!</v>
      </c>
      <c r="HR258" t="e">
        <f>AND(#REF!,"AAAAAG0/leE=")</f>
        <v>#REF!</v>
      </c>
      <c r="HS258" t="e">
        <f>AND(#REF!,"AAAAAG0/leI=")</f>
        <v>#REF!</v>
      </c>
      <c r="HT258" t="e">
        <f>AND(#REF!,"AAAAAG0/leM=")</f>
        <v>#REF!</v>
      </c>
      <c r="HU258" t="e">
        <f>AND(#REF!,"AAAAAG0/leQ=")</f>
        <v>#REF!</v>
      </c>
      <c r="HV258" t="e">
        <f>AND(#REF!,"AAAAAG0/leU=")</f>
        <v>#REF!</v>
      </c>
      <c r="HW258" t="e">
        <f>AND(#REF!,"AAAAAG0/leY=")</f>
        <v>#REF!</v>
      </c>
      <c r="HX258" t="e">
        <f>AND(#REF!,"AAAAAG0/lec=")</f>
        <v>#REF!</v>
      </c>
      <c r="HY258" t="e">
        <f>AND(#REF!,"AAAAAG0/leg=")</f>
        <v>#REF!</v>
      </c>
      <c r="HZ258" t="e">
        <f>AND(#REF!,"AAAAAG0/lek=")</f>
        <v>#REF!</v>
      </c>
      <c r="IA258" t="e">
        <f>AND(#REF!,"AAAAAG0/leo=")</f>
        <v>#REF!</v>
      </c>
      <c r="IB258" t="e">
        <f>AND(#REF!,"AAAAAG0/les=")</f>
        <v>#REF!</v>
      </c>
      <c r="IC258" t="e">
        <f>AND(#REF!,"AAAAAG0/lew=")</f>
        <v>#REF!</v>
      </c>
      <c r="ID258" t="e">
        <f>AND(#REF!,"AAAAAG0/le0=")</f>
        <v>#REF!</v>
      </c>
      <c r="IE258" t="e">
        <f>AND(#REF!,"AAAAAG0/le4=")</f>
        <v>#REF!</v>
      </c>
      <c r="IF258" t="e">
        <f>AND(#REF!,"AAAAAG0/le8=")</f>
        <v>#REF!</v>
      </c>
      <c r="IG258" t="e">
        <f>AND(#REF!,"AAAAAG0/lfA=")</f>
        <v>#REF!</v>
      </c>
      <c r="IH258" t="e">
        <f>AND(#REF!,"AAAAAG0/lfE=")</f>
        <v>#REF!</v>
      </c>
      <c r="II258" t="e">
        <f>AND(#REF!,"AAAAAG0/lfI=")</f>
        <v>#REF!</v>
      </c>
      <c r="IJ258" t="e">
        <f>AND(#REF!,"AAAAAG0/lfM=")</f>
        <v>#REF!</v>
      </c>
      <c r="IK258" t="e">
        <f>AND(#REF!,"AAAAAG0/lfQ=")</f>
        <v>#REF!</v>
      </c>
      <c r="IL258" t="e">
        <f>AND(#REF!,"AAAAAG0/lfU=")</f>
        <v>#REF!</v>
      </c>
      <c r="IM258" t="e">
        <f>AND(#REF!,"AAAAAG0/lfY=")</f>
        <v>#REF!</v>
      </c>
      <c r="IN258" t="e">
        <f>AND(#REF!,"AAAAAG0/lfc=")</f>
        <v>#REF!</v>
      </c>
      <c r="IO258" t="e">
        <f>AND(#REF!,"AAAAAG0/lfg=")</f>
        <v>#REF!</v>
      </c>
      <c r="IP258" t="e">
        <f>AND(#REF!,"AAAAAG0/lfk=")</f>
        <v>#REF!</v>
      </c>
      <c r="IQ258" t="e">
        <f>AND(#REF!,"AAAAAG0/lfo=")</f>
        <v>#REF!</v>
      </c>
      <c r="IR258" t="e">
        <f>AND(#REF!,"AAAAAG0/lfs=")</f>
        <v>#REF!</v>
      </c>
      <c r="IS258" t="e">
        <f>AND(#REF!,"AAAAAG0/lfw=")</f>
        <v>#REF!</v>
      </c>
      <c r="IT258" t="e">
        <f>AND(#REF!,"AAAAAG0/lf0=")</f>
        <v>#REF!</v>
      </c>
      <c r="IU258" t="e">
        <f>AND(#REF!,"AAAAAG0/lf4=")</f>
        <v>#REF!</v>
      </c>
      <c r="IV258" t="e">
        <f>AND(#REF!,"AAAAAG0/lf8=")</f>
        <v>#REF!</v>
      </c>
    </row>
    <row r="259" spans="1:256" x14ac:dyDescent="0.25">
      <c r="A259" t="e">
        <f>AND(#REF!,"AAAAAG/PawA=")</f>
        <v>#REF!</v>
      </c>
      <c r="B259" t="e">
        <f>AND(#REF!,"AAAAAG/PawE=")</f>
        <v>#REF!</v>
      </c>
      <c r="C259" t="e">
        <f>AND(#REF!,"AAAAAG/PawI=")</f>
        <v>#REF!</v>
      </c>
      <c r="D259" t="e">
        <f>AND(#REF!,"AAAAAG/PawM=")</f>
        <v>#REF!</v>
      </c>
      <c r="E259" t="e">
        <f>AND(#REF!,"AAAAAG/PawQ=")</f>
        <v>#REF!</v>
      </c>
      <c r="F259" t="e">
        <f>AND(#REF!,"AAAAAG/PawU=")</f>
        <v>#REF!</v>
      </c>
      <c r="G259" t="e">
        <f>AND(#REF!,"AAAAAG/PawY=")</f>
        <v>#REF!</v>
      </c>
      <c r="H259" t="e">
        <f>AND(#REF!,"AAAAAG/Pawc=")</f>
        <v>#REF!</v>
      </c>
      <c r="I259" t="e">
        <f>AND(#REF!,"AAAAAG/Pawg=")</f>
        <v>#REF!</v>
      </c>
      <c r="J259" t="e">
        <f>AND(#REF!,"AAAAAG/Pawk=")</f>
        <v>#REF!</v>
      </c>
      <c r="K259" t="e">
        <f>AND(#REF!,"AAAAAG/Pawo=")</f>
        <v>#REF!</v>
      </c>
      <c r="L259" t="e">
        <f>AND(#REF!,"AAAAAG/Paws=")</f>
        <v>#REF!</v>
      </c>
      <c r="M259" t="e">
        <f>AND(#REF!,"AAAAAG/Paww=")</f>
        <v>#REF!</v>
      </c>
      <c r="N259" t="e">
        <f>AND(#REF!,"AAAAAG/Paw0=")</f>
        <v>#REF!</v>
      </c>
      <c r="O259" t="e">
        <f>AND(#REF!,"AAAAAG/Paw4=")</f>
        <v>#REF!</v>
      </c>
      <c r="P259" t="e">
        <f>AND(#REF!,"AAAAAG/Paw8=")</f>
        <v>#REF!</v>
      </c>
      <c r="Q259" t="e">
        <f>AND(#REF!,"AAAAAG/PaxA=")</f>
        <v>#REF!</v>
      </c>
      <c r="R259" t="e">
        <f>AND(#REF!,"AAAAAG/PaxE=")</f>
        <v>#REF!</v>
      </c>
      <c r="S259" t="e">
        <f>AND(#REF!,"AAAAAG/PaxI=")</f>
        <v>#REF!</v>
      </c>
      <c r="T259" t="e">
        <f>AND(#REF!,"AAAAAG/PaxM=")</f>
        <v>#REF!</v>
      </c>
      <c r="U259" t="e">
        <f>AND(#REF!,"AAAAAG/PaxQ=")</f>
        <v>#REF!</v>
      </c>
      <c r="V259" t="e">
        <f>AND(#REF!,"AAAAAG/PaxU=")</f>
        <v>#REF!</v>
      </c>
      <c r="W259" t="e">
        <f>AND(#REF!,"AAAAAG/PaxY=")</f>
        <v>#REF!</v>
      </c>
      <c r="X259" t="e">
        <f>AND(#REF!,"AAAAAG/Paxc=")</f>
        <v>#REF!</v>
      </c>
      <c r="Y259" t="e">
        <f>AND(#REF!,"AAAAAG/Paxg=")</f>
        <v>#REF!</v>
      </c>
      <c r="Z259" t="e">
        <f>AND(#REF!,"AAAAAG/Paxk=")</f>
        <v>#REF!</v>
      </c>
      <c r="AA259" t="e">
        <f>AND(#REF!,"AAAAAG/Paxo=")</f>
        <v>#REF!</v>
      </c>
      <c r="AB259" t="e">
        <f>AND(#REF!,"AAAAAG/Paxs=")</f>
        <v>#REF!</v>
      </c>
      <c r="AC259" t="e">
        <f>AND(#REF!,"AAAAAG/Paxw=")</f>
        <v>#REF!</v>
      </c>
      <c r="AD259" t="e">
        <f>AND(#REF!,"AAAAAG/Pax0=")</f>
        <v>#REF!</v>
      </c>
      <c r="AE259" t="e">
        <f>AND(#REF!,"AAAAAG/Pax4=")</f>
        <v>#REF!</v>
      </c>
      <c r="AF259" t="e">
        <f>AND(#REF!,"AAAAAG/Pax8=")</f>
        <v>#REF!</v>
      </c>
      <c r="AG259" t="e">
        <f>AND(#REF!,"AAAAAG/PayA=")</f>
        <v>#REF!</v>
      </c>
      <c r="AH259" t="e">
        <f>AND(#REF!,"AAAAAG/PayE=")</f>
        <v>#REF!</v>
      </c>
      <c r="AI259" t="e">
        <f>AND(#REF!,"AAAAAG/PayI=")</f>
        <v>#REF!</v>
      </c>
      <c r="AJ259" t="e">
        <f>AND(#REF!,"AAAAAG/PayM=")</f>
        <v>#REF!</v>
      </c>
      <c r="AK259" t="e">
        <f>AND(#REF!,"AAAAAG/PayQ=")</f>
        <v>#REF!</v>
      </c>
      <c r="AL259" t="e">
        <f>AND(#REF!,"AAAAAG/PayU=")</f>
        <v>#REF!</v>
      </c>
      <c r="AM259" t="e">
        <f>AND(#REF!,"AAAAAG/PayY=")</f>
        <v>#REF!</v>
      </c>
      <c r="AN259" t="e">
        <f>AND(#REF!,"AAAAAG/Payc=")</f>
        <v>#REF!</v>
      </c>
      <c r="AO259" t="e">
        <f>AND(#REF!,"AAAAAG/Payg=")</f>
        <v>#REF!</v>
      </c>
      <c r="AP259" t="e">
        <f>AND(#REF!,"AAAAAG/Payk=")</f>
        <v>#REF!</v>
      </c>
      <c r="AQ259" t="e">
        <f>AND(#REF!,"AAAAAG/Payo=")</f>
        <v>#REF!</v>
      </c>
      <c r="AR259" t="e">
        <f>AND(#REF!,"AAAAAG/Pays=")</f>
        <v>#REF!</v>
      </c>
      <c r="AS259" t="e">
        <f>AND(#REF!,"AAAAAG/Payw=")</f>
        <v>#REF!</v>
      </c>
      <c r="AT259" t="e">
        <f>AND(#REF!,"AAAAAG/Pay0=")</f>
        <v>#REF!</v>
      </c>
      <c r="AU259" t="e">
        <f>AND(#REF!,"AAAAAG/Pay4=")</f>
        <v>#REF!</v>
      </c>
      <c r="AV259" t="e">
        <f>AND(#REF!,"AAAAAG/Pay8=")</f>
        <v>#REF!</v>
      </c>
      <c r="AW259" t="e">
        <f>AND(#REF!,"AAAAAG/PazA=")</f>
        <v>#REF!</v>
      </c>
      <c r="AX259" t="e">
        <f>AND(#REF!,"AAAAAG/PazE=")</f>
        <v>#REF!</v>
      </c>
      <c r="AY259" t="e">
        <f>AND(#REF!,"AAAAAG/PazI=")</f>
        <v>#REF!</v>
      </c>
      <c r="AZ259" t="e">
        <f>AND(#REF!,"AAAAAG/PazM=")</f>
        <v>#REF!</v>
      </c>
      <c r="BA259" t="e">
        <f>AND(#REF!,"AAAAAG/PazQ=")</f>
        <v>#REF!</v>
      </c>
      <c r="BB259" t="e">
        <f>AND(#REF!,"AAAAAG/PazU=")</f>
        <v>#REF!</v>
      </c>
      <c r="BC259" t="e">
        <f>AND(#REF!,"AAAAAG/PazY=")</f>
        <v>#REF!</v>
      </c>
      <c r="BD259" t="e">
        <f>AND(#REF!,"AAAAAG/Pazc=")</f>
        <v>#REF!</v>
      </c>
      <c r="BE259" t="e">
        <f>AND(#REF!,"AAAAAG/Pazg=")</f>
        <v>#REF!</v>
      </c>
      <c r="BF259" t="e">
        <f>AND(#REF!,"AAAAAG/Pazk=")</f>
        <v>#REF!</v>
      </c>
      <c r="BG259" t="e">
        <f>AND(#REF!,"AAAAAG/Pazo=")</f>
        <v>#REF!</v>
      </c>
      <c r="BH259" t="e">
        <f>AND(#REF!,"AAAAAG/Pazs=")</f>
        <v>#REF!</v>
      </c>
      <c r="BI259" t="e">
        <f>AND(#REF!,"AAAAAG/Pazw=")</f>
        <v>#REF!</v>
      </c>
      <c r="BJ259" t="e">
        <f>AND(#REF!,"AAAAAG/Paz0=")</f>
        <v>#REF!</v>
      </c>
      <c r="BK259" t="e">
        <f>AND(#REF!,"AAAAAG/Paz4=")</f>
        <v>#REF!</v>
      </c>
      <c r="BL259" t="e">
        <f>AND(#REF!,"AAAAAG/Paz8=")</f>
        <v>#REF!</v>
      </c>
      <c r="BM259" t="e">
        <f>AND(#REF!,"AAAAAG/Pa0A=")</f>
        <v>#REF!</v>
      </c>
      <c r="BN259" t="e">
        <f>AND(#REF!,"AAAAAG/Pa0E=")</f>
        <v>#REF!</v>
      </c>
      <c r="BO259" t="e">
        <f>AND(#REF!,"AAAAAG/Pa0I=")</f>
        <v>#REF!</v>
      </c>
      <c r="BP259" t="e">
        <f>AND(#REF!,"AAAAAG/Pa0M=")</f>
        <v>#REF!</v>
      </c>
      <c r="BQ259" t="e">
        <f>AND(#REF!,"AAAAAG/Pa0Q=")</f>
        <v>#REF!</v>
      </c>
      <c r="BR259" t="e">
        <f>AND(#REF!,"AAAAAG/Pa0U=")</f>
        <v>#REF!</v>
      </c>
      <c r="BS259" t="e">
        <f>AND(#REF!,"AAAAAG/Pa0Y=")</f>
        <v>#REF!</v>
      </c>
      <c r="BT259" t="e">
        <f>AND(#REF!,"AAAAAG/Pa0c=")</f>
        <v>#REF!</v>
      </c>
      <c r="BU259" t="e">
        <f>AND(#REF!,"AAAAAG/Pa0g=")</f>
        <v>#REF!</v>
      </c>
      <c r="BV259" t="e">
        <f>AND(#REF!,"AAAAAG/Pa0k=")</f>
        <v>#REF!</v>
      </c>
      <c r="BW259" t="e">
        <f>AND(#REF!,"AAAAAG/Pa0o=")</f>
        <v>#REF!</v>
      </c>
      <c r="BX259" t="e">
        <f>AND(#REF!,"AAAAAG/Pa0s=")</f>
        <v>#REF!</v>
      </c>
      <c r="BY259" t="e">
        <f>AND(#REF!,"AAAAAG/Pa0w=")</f>
        <v>#REF!</v>
      </c>
      <c r="BZ259" t="e">
        <f>AND(#REF!,"AAAAAG/Pa00=")</f>
        <v>#REF!</v>
      </c>
      <c r="CA259" t="e">
        <f>AND(#REF!,"AAAAAG/Pa04=")</f>
        <v>#REF!</v>
      </c>
      <c r="CB259" t="e">
        <f>AND(#REF!,"AAAAAG/Pa08=")</f>
        <v>#REF!</v>
      </c>
      <c r="CC259" t="e">
        <f>AND(#REF!,"AAAAAG/Pa1A=")</f>
        <v>#REF!</v>
      </c>
      <c r="CD259" t="e">
        <f>AND(#REF!,"AAAAAG/Pa1E=")</f>
        <v>#REF!</v>
      </c>
      <c r="CE259" t="e">
        <f>AND(#REF!,"AAAAAG/Pa1I=")</f>
        <v>#REF!</v>
      </c>
      <c r="CF259" t="e">
        <f>AND(#REF!,"AAAAAG/Pa1M=")</f>
        <v>#REF!</v>
      </c>
      <c r="CG259" t="e">
        <f>AND(#REF!,"AAAAAG/Pa1Q=")</f>
        <v>#REF!</v>
      </c>
      <c r="CH259" t="e">
        <f>AND(#REF!,"AAAAAG/Pa1U=")</f>
        <v>#REF!</v>
      </c>
      <c r="CI259" t="e">
        <f>AND(#REF!,"AAAAAG/Pa1Y=")</f>
        <v>#REF!</v>
      </c>
      <c r="CJ259" t="e">
        <f>AND(#REF!,"AAAAAG/Pa1c=")</f>
        <v>#REF!</v>
      </c>
      <c r="CK259" t="e">
        <f>AND(#REF!,"AAAAAG/Pa1g=")</f>
        <v>#REF!</v>
      </c>
      <c r="CL259" t="e">
        <f>AND(#REF!,"AAAAAG/Pa1k=")</f>
        <v>#REF!</v>
      </c>
      <c r="CM259" t="e">
        <f>AND(#REF!,"AAAAAG/Pa1o=")</f>
        <v>#REF!</v>
      </c>
      <c r="CN259" t="e">
        <f>AND(#REF!,"AAAAAG/Pa1s=")</f>
        <v>#REF!</v>
      </c>
      <c r="CO259" t="e">
        <f>AND(#REF!,"AAAAAG/Pa1w=")</f>
        <v>#REF!</v>
      </c>
      <c r="CP259" t="e">
        <f>AND(#REF!,"AAAAAG/Pa10=")</f>
        <v>#REF!</v>
      </c>
      <c r="CQ259" t="e">
        <f>IF(#REF!,"AAAAAG/Pa14=",0)</f>
        <v>#REF!</v>
      </c>
      <c r="CR259" t="e">
        <f>AND(#REF!,"AAAAAG/Pa18=")</f>
        <v>#REF!</v>
      </c>
      <c r="CS259" t="e">
        <f>AND(#REF!,"AAAAAG/Pa2A=")</f>
        <v>#REF!</v>
      </c>
      <c r="CT259" t="e">
        <f>AND(#REF!,"AAAAAG/Pa2E=")</f>
        <v>#REF!</v>
      </c>
      <c r="CU259" t="e">
        <f>AND(#REF!,"AAAAAG/Pa2I=")</f>
        <v>#REF!</v>
      </c>
      <c r="CV259" t="e">
        <f>AND(#REF!,"AAAAAG/Pa2M=")</f>
        <v>#REF!</v>
      </c>
      <c r="CW259" t="e">
        <f>AND(#REF!,"AAAAAG/Pa2Q=")</f>
        <v>#REF!</v>
      </c>
      <c r="CX259" t="e">
        <f>AND(#REF!,"AAAAAG/Pa2U=")</f>
        <v>#REF!</v>
      </c>
      <c r="CY259" t="e">
        <f>AND(#REF!,"AAAAAG/Pa2Y=")</f>
        <v>#REF!</v>
      </c>
      <c r="CZ259" t="e">
        <f>AND(#REF!,"AAAAAG/Pa2c=")</f>
        <v>#REF!</v>
      </c>
      <c r="DA259" t="e">
        <f>AND(#REF!,"AAAAAG/Pa2g=")</f>
        <v>#REF!</v>
      </c>
      <c r="DB259" t="e">
        <f>AND(#REF!,"AAAAAG/Pa2k=")</f>
        <v>#REF!</v>
      </c>
      <c r="DC259" t="e">
        <f>AND(#REF!,"AAAAAG/Pa2o=")</f>
        <v>#REF!</v>
      </c>
      <c r="DD259" t="e">
        <f>AND(#REF!,"AAAAAG/Pa2s=")</f>
        <v>#REF!</v>
      </c>
      <c r="DE259" t="e">
        <f>AND(#REF!,"AAAAAG/Pa2w=")</f>
        <v>#REF!</v>
      </c>
      <c r="DF259" t="e">
        <f>AND(#REF!,"AAAAAG/Pa20=")</f>
        <v>#REF!</v>
      </c>
      <c r="DG259" t="e">
        <f>AND(#REF!,"AAAAAG/Pa24=")</f>
        <v>#REF!</v>
      </c>
      <c r="DH259" t="e">
        <f>AND(#REF!,"AAAAAG/Pa28=")</f>
        <v>#REF!</v>
      </c>
      <c r="DI259" t="e">
        <f>AND(#REF!,"AAAAAG/Pa3A=")</f>
        <v>#REF!</v>
      </c>
      <c r="DJ259" t="e">
        <f>AND(#REF!,"AAAAAG/Pa3E=")</f>
        <v>#REF!</v>
      </c>
      <c r="DK259" t="e">
        <f>AND(#REF!,"AAAAAG/Pa3I=")</f>
        <v>#REF!</v>
      </c>
      <c r="DL259" t="e">
        <f>AND(#REF!,"AAAAAG/Pa3M=")</f>
        <v>#REF!</v>
      </c>
      <c r="DM259" t="e">
        <f>AND(#REF!,"AAAAAG/Pa3Q=")</f>
        <v>#REF!</v>
      </c>
      <c r="DN259" t="e">
        <f>AND(#REF!,"AAAAAG/Pa3U=")</f>
        <v>#REF!</v>
      </c>
      <c r="DO259" t="e">
        <f>AND(#REF!,"AAAAAG/Pa3Y=")</f>
        <v>#REF!</v>
      </c>
      <c r="DP259" t="e">
        <f>AND(#REF!,"AAAAAG/Pa3c=")</f>
        <v>#REF!</v>
      </c>
      <c r="DQ259" t="e">
        <f>AND(#REF!,"AAAAAG/Pa3g=")</f>
        <v>#REF!</v>
      </c>
      <c r="DR259" t="e">
        <f>AND(#REF!,"AAAAAG/Pa3k=")</f>
        <v>#REF!</v>
      </c>
      <c r="DS259" t="e">
        <f>AND(#REF!,"AAAAAG/Pa3o=")</f>
        <v>#REF!</v>
      </c>
      <c r="DT259" t="e">
        <f>AND(#REF!,"AAAAAG/Pa3s=")</f>
        <v>#REF!</v>
      </c>
      <c r="DU259" t="e">
        <f>AND(#REF!,"AAAAAG/Pa3w=")</f>
        <v>#REF!</v>
      </c>
      <c r="DV259" t="e">
        <f>AND(#REF!,"AAAAAG/Pa30=")</f>
        <v>#REF!</v>
      </c>
      <c r="DW259" t="e">
        <f>AND(#REF!,"AAAAAG/Pa34=")</f>
        <v>#REF!</v>
      </c>
      <c r="DX259" t="e">
        <f>AND(#REF!,"AAAAAG/Pa38=")</f>
        <v>#REF!</v>
      </c>
      <c r="DY259" t="e">
        <f>AND(#REF!,"AAAAAG/Pa4A=")</f>
        <v>#REF!</v>
      </c>
      <c r="DZ259" t="e">
        <f>AND(#REF!,"AAAAAG/Pa4E=")</f>
        <v>#REF!</v>
      </c>
      <c r="EA259" t="e">
        <f>AND(#REF!,"AAAAAG/Pa4I=")</f>
        <v>#REF!</v>
      </c>
      <c r="EB259" t="e">
        <f>AND(#REF!,"AAAAAG/Pa4M=")</f>
        <v>#REF!</v>
      </c>
      <c r="EC259" t="e">
        <f>AND(#REF!,"AAAAAG/Pa4Q=")</f>
        <v>#REF!</v>
      </c>
      <c r="ED259" t="e">
        <f>AND(#REF!,"AAAAAG/Pa4U=")</f>
        <v>#REF!</v>
      </c>
      <c r="EE259" t="e">
        <f>AND(#REF!,"AAAAAG/Pa4Y=")</f>
        <v>#REF!</v>
      </c>
      <c r="EF259" t="e">
        <f>AND(#REF!,"AAAAAG/Pa4c=")</f>
        <v>#REF!</v>
      </c>
      <c r="EG259" t="e">
        <f>AND(#REF!,"AAAAAG/Pa4g=")</f>
        <v>#REF!</v>
      </c>
      <c r="EH259" t="e">
        <f>AND(#REF!,"AAAAAG/Pa4k=")</f>
        <v>#REF!</v>
      </c>
      <c r="EI259" t="e">
        <f>AND(#REF!,"AAAAAG/Pa4o=")</f>
        <v>#REF!</v>
      </c>
      <c r="EJ259" t="e">
        <f>AND(#REF!,"AAAAAG/Pa4s=")</f>
        <v>#REF!</v>
      </c>
      <c r="EK259" t="e">
        <f>AND(#REF!,"AAAAAG/Pa4w=")</f>
        <v>#REF!</v>
      </c>
      <c r="EL259" t="e">
        <f>AND(#REF!,"AAAAAG/Pa40=")</f>
        <v>#REF!</v>
      </c>
      <c r="EM259" t="e">
        <f>AND(#REF!,"AAAAAG/Pa44=")</f>
        <v>#REF!</v>
      </c>
      <c r="EN259" t="e">
        <f>AND(#REF!,"AAAAAG/Pa48=")</f>
        <v>#REF!</v>
      </c>
      <c r="EO259" t="e">
        <f>AND(#REF!,"AAAAAG/Pa5A=")</f>
        <v>#REF!</v>
      </c>
      <c r="EP259" t="e">
        <f>AND(#REF!,"AAAAAG/Pa5E=")</f>
        <v>#REF!</v>
      </c>
      <c r="EQ259" t="e">
        <f>AND(#REF!,"AAAAAG/Pa5I=")</f>
        <v>#REF!</v>
      </c>
      <c r="ER259" t="e">
        <f>AND(#REF!,"AAAAAG/Pa5M=")</f>
        <v>#REF!</v>
      </c>
      <c r="ES259" t="e">
        <f>AND(#REF!,"AAAAAG/Pa5Q=")</f>
        <v>#REF!</v>
      </c>
      <c r="ET259" t="e">
        <f>AND(#REF!,"AAAAAG/Pa5U=")</f>
        <v>#REF!</v>
      </c>
      <c r="EU259" t="e">
        <f>AND(#REF!,"AAAAAG/Pa5Y=")</f>
        <v>#REF!</v>
      </c>
      <c r="EV259" t="e">
        <f>AND(#REF!,"AAAAAG/Pa5c=")</f>
        <v>#REF!</v>
      </c>
      <c r="EW259" t="e">
        <f>AND(#REF!,"AAAAAG/Pa5g=")</f>
        <v>#REF!</v>
      </c>
      <c r="EX259" t="e">
        <f>AND(#REF!,"AAAAAG/Pa5k=")</f>
        <v>#REF!</v>
      </c>
      <c r="EY259" t="e">
        <f>AND(#REF!,"AAAAAG/Pa5o=")</f>
        <v>#REF!</v>
      </c>
      <c r="EZ259" t="e">
        <f>AND(#REF!,"AAAAAG/Pa5s=")</f>
        <v>#REF!</v>
      </c>
      <c r="FA259" t="e">
        <f>AND(#REF!,"AAAAAG/Pa5w=")</f>
        <v>#REF!</v>
      </c>
      <c r="FB259" t="e">
        <f>AND(#REF!,"AAAAAG/Pa50=")</f>
        <v>#REF!</v>
      </c>
      <c r="FC259" t="e">
        <f>AND(#REF!,"AAAAAG/Pa54=")</f>
        <v>#REF!</v>
      </c>
      <c r="FD259" t="e">
        <f>AND(#REF!,"AAAAAG/Pa58=")</f>
        <v>#REF!</v>
      </c>
      <c r="FE259" t="e">
        <f>AND(#REF!,"AAAAAG/Pa6A=")</f>
        <v>#REF!</v>
      </c>
      <c r="FF259" t="e">
        <f>AND(#REF!,"AAAAAG/Pa6E=")</f>
        <v>#REF!</v>
      </c>
      <c r="FG259" t="e">
        <f>AND(#REF!,"AAAAAG/Pa6I=")</f>
        <v>#REF!</v>
      </c>
      <c r="FH259" t="e">
        <f>AND(#REF!,"AAAAAG/Pa6M=")</f>
        <v>#REF!</v>
      </c>
      <c r="FI259" t="e">
        <f>AND(#REF!,"AAAAAG/Pa6Q=")</f>
        <v>#REF!</v>
      </c>
      <c r="FJ259" t="e">
        <f>AND(#REF!,"AAAAAG/Pa6U=")</f>
        <v>#REF!</v>
      </c>
      <c r="FK259" t="e">
        <f>AND(#REF!,"AAAAAG/Pa6Y=")</f>
        <v>#REF!</v>
      </c>
      <c r="FL259" t="e">
        <f>AND(#REF!,"AAAAAG/Pa6c=")</f>
        <v>#REF!</v>
      </c>
      <c r="FM259" t="e">
        <f>AND(#REF!,"AAAAAG/Pa6g=")</f>
        <v>#REF!</v>
      </c>
      <c r="FN259" t="e">
        <f>AND(#REF!,"AAAAAG/Pa6k=")</f>
        <v>#REF!</v>
      </c>
      <c r="FO259" t="e">
        <f>AND(#REF!,"AAAAAG/Pa6o=")</f>
        <v>#REF!</v>
      </c>
      <c r="FP259" t="e">
        <f>AND(#REF!,"AAAAAG/Pa6s=")</f>
        <v>#REF!</v>
      </c>
      <c r="FQ259" t="e">
        <f>AND(#REF!,"AAAAAG/Pa6w=")</f>
        <v>#REF!</v>
      </c>
      <c r="FR259" t="e">
        <f>AND(#REF!,"AAAAAG/Pa60=")</f>
        <v>#REF!</v>
      </c>
      <c r="FS259" t="e">
        <f>AND(#REF!,"AAAAAG/Pa64=")</f>
        <v>#REF!</v>
      </c>
      <c r="FT259" t="e">
        <f>AND(#REF!,"AAAAAG/Pa68=")</f>
        <v>#REF!</v>
      </c>
      <c r="FU259" t="e">
        <f>AND(#REF!,"AAAAAG/Pa7A=")</f>
        <v>#REF!</v>
      </c>
      <c r="FV259" t="e">
        <f>AND(#REF!,"AAAAAG/Pa7E=")</f>
        <v>#REF!</v>
      </c>
      <c r="FW259" t="e">
        <f>AND(#REF!,"AAAAAG/Pa7I=")</f>
        <v>#REF!</v>
      </c>
      <c r="FX259" t="e">
        <f>AND(#REF!,"AAAAAG/Pa7M=")</f>
        <v>#REF!</v>
      </c>
      <c r="FY259" t="e">
        <f>AND(#REF!,"AAAAAG/Pa7Q=")</f>
        <v>#REF!</v>
      </c>
      <c r="FZ259" t="e">
        <f>AND(#REF!,"AAAAAG/Pa7U=")</f>
        <v>#REF!</v>
      </c>
      <c r="GA259" t="e">
        <f>AND(#REF!,"AAAAAG/Pa7Y=")</f>
        <v>#REF!</v>
      </c>
      <c r="GB259" t="e">
        <f>AND(#REF!,"AAAAAG/Pa7c=")</f>
        <v>#REF!</v>
      </c>
      <c r="GC259" t="e">
        <f>AND(#REF!,"AAAAAG/Pa7g=")</f>
        <v>#REF!</v>
      </c>
      <c r="GD259" t="e">
        <f>AND(#REF!,"AAAAAG/Pa7k=")</f>
        <v>#REF!</v>
      </c>
      <c r="GE259" t="e">
        <f>AND(#REF!,"AAAAAG/Pa7o=")</f>
        <v>#REF!</v>
      </c>
      <c r="GF259" t="e">
        <f>AND(#REF!,"AAAAAG/Pa7s=")</f>
        <v>#REF!</v>
      </c>
      <c r="GG259" t="e">
        <f>AND(#REF!,"AAAAAG/Pa7w=")</f>
        <v>#REF!</v>
      </c>
      <c r="GH259" t="e">
        <f>AND(#REF!,"AAAAAG/Pa70=")</f>
        <v>#REF!</v>
      </c>
      <c r="GI259" t="e">
        <f>AND(#REF!,"AAAAAG/Pa74=")</f>
        <v>#REF!</v>
      </c>
      <c r="GJ259" t="e">
        <f>AND(#REF!,"AAAAAG/Pa78=")</f>
        <v>#REF!</v>
      </c>
      <c r="GK259" t="e">
        <f>AND(#REF!,"AAAAAG/Pa8A=")</f>
        <v>#REF!</v>
      </c>
      <c r="GL259" t="e">
        <f>AND(#REF!,"AAAAAG/Pa8E=")</f>
        <v>#REF!</v>
      </c>
      <c r="GM259" t="e">
        <f>AND(#REF!,"AAAAAG/Pa8I=")</f>
        <v>#REF!</v>
      </c>
      <c r="GN259" t="e">
        <f>AND(#REF!,"AAAAAG/Pa8M=")</f>
        <v>#REF!</v>
      </c>
      <c r="GO259" t="e">
        <f>AND(#REF!,"AAAAAG/Pa8Q=")</f>
        <v>#REF!</v>
      </c>
      <c r="GP259" t="e">
        <f>AND(#REF!,"AAAAAG/Pa8U=")</f>
        <v>#REF!</v>
      </c>
      <c r="GQ259" t="e">
        <f>AND(#REF!,"AAAAAG/Pa8Y=")</f>
        <v>#REF!</v>
      </c>
      <c r="GR259" t="e">
        <f>AND(#REF!,"AAAAAG/Pa8c=")</f>
        <v>#REF!</v>
      </c>
      <c r="GS259" t="e">
        <f>AND(#REF!,"AAAAAG/Pa8g=")</f>
        <v>#REF!</v>
      </c>
      <c r="GT259" t="e">
        <f>AND(#REF!,"AAAAAG/Pa8k=")</f>
        <v>#REF!</v>
      </c>
      <c r="GU259" t="e">
        <f>AND(#REF!,"AAAAAG/Pa8o=")</f>
        <v>#REF!</v>
      </c>
      <c r="GV259" t="e">
        <f>AND(#REF!,"AAAAAG/Pa8s=")</f>
        <v>#REF!</v>
      </c>
      <c r="GW259" t="e">
        <f>AND(#REF!,"AAAAAG/Pa8w=")</f>
        <v>#REF!</v>
      </c>
      <c r="GX259" t="e">
        <f>AND(#REF!,"AAAAAG/Pa80=")</f>
        <v>#REF!</v>
      </c>
      <c r="GY259" t="e">
        <f>AND(#REF!,"AAAAAG/Pa84=")</f>
        <v>#REF!</v>
      </c>
      <c r="GZ259" t="e">
        <f>AND(#REF!,"AAAAAG/Pa88=")</f>
        <v>#REF!</v>
      </c>
      <c r="HA259" t="e">
        <f>AND(#REF!,"AAAAAG/Pa9A=")</f>
        <v>#REF!</v>
      </c>
      <c r="HB259" t="e">
        <f>AND(#REF!,"AAAAAG/Pa9E=")</f>
        <v>#REF!</v>
      </c>
      <c r="HC259" t="e">
        <f>AND(#REF!,"AAAAAG/Pa9I=")</f>
        <v>#REF!</v>
      </c>
      <c r="HD259" t="e">
        <f>AND(#REF!,"AAAAAG/Pa9M=")</f>
        <v>#REF!</v>
      </c>
      <c r="HE259" t="e">
        <f>AND(#REF!,"AAAAAG/Pa9Q=")</f>
        <v>#REF!</v>
      </c>
      <c r="HF259" t="e">
        <f>AND(#REF!,"AAAAAG/Pa9U=")</f>
        <v>#REF!</v>
      </c>
      <c r="HG259" t="e">
        <f>AND(#REF!,"AAAAAG/Pa9Y=")</f>
        <v>#REF!</v>
      </c>
      <c r="HH259" t="e">
        <f>AND(#REF!,"AAAAAG/Pa9c=")</f>
        <v>#REF!</v>
      </c>
      <c r="HI259" t="e">
        <f>AND(#REF!,"AAAAAG/Pa9g=")</f>
        <v>#REF!</v>
      </c>
      <c r="HJ259" t="e">
        <f>AND(#REF!,"AAAAAG/Pa9k=")</f>
        <v>#REF!</v>
      </c>
      <c r="HK259" t="e">
        <f>AND(#REF!,"AAAAAG/Pa9o=")</f>
        <v>#REF!</v>
      </c>
      <c r="HL259" t="e">
        <f>AND(#REF!,"AAAAAG/Pa9s=")</f>
        <v>#REF!</v>
      </c>
      <c r="HM259" t="e">
        <f>AND(#REF!,"AAAAAG/Pa9w=")</f>
        <v>#REF!</v>
      </c>
      <c r="HN259" t="e">
        <f>AND(#REF!,"AAAAAG/Pa90=")</f>
        <v>#REF!</v>
      </c>
      <c r="HO259" t="e">
        <f>AND(#REF!,"AAAAAG/Pa94=")</f>
        <v>#REF!</v>
      </c>
      <c r="HP259" t="e">
        <f>AND(#REF!,"AAAAAG/Pa98=")</f>
        <v>#REF!</v>
      </c>
      <c r="HQ259" t="e">
        <f>AND(#REF!,"AAAAAG/Pa+A=")</f>
        <v>#REF!</v>
      </c>
      <c r="HR259" t="e">
        <f>AND(#REF!,"AAAAAG/Pa+E=")</f>
        <v>#REF!</v>
      </c>
      <c r="HS259" t="e">
        <f>AND(#REF!,"AAAAAG/Pa+I=")</f>
        <v>#REF!</v>
      </c>
      <c r="HT259" t="e">
        <f>AND(#REF!,"AAAAAG/Pa+M=")</f>
        <v>#REF!</v>
      </c>
      <c r="HU259" t="e">
        <f>AND(#REF!,"AAAAAG/Pa+Q=")</f>
        <v>#REF!</v>
      </c>
      <c r="HV259" t="e">
        <f>AND(#REF!,"AAAAAG/Pa+U=")</f>
        <v>#REF!</v>
      </c>
      <c r="HW259" t="e">
        <f>AND(#REF!,"AAAAAG/Pa+Y=")</f>
        <v>#REF!</v>
      </c>
      <c r="HX259" t="e">
        <f>AND(#REF!,"AAAAAG/Pa+c=")</f>
        <v>#REF!</v>
      </c>
      <c r="HY259" t="e">
        <f>AND(#REF!,"AAAAAG/Pa+g=")</f>
        <v>#REF!</v>
      </c>
      <c r="HZ259" t="e">
        <f>AND(#REF!,"AAAAAG/Pa+k=")</f>
        <v>#REF!</v>
      </c>
      <c r="IA259" t="e">
        <f>AND(#REF!,"AAAAAG/Pa+o=")</f>
        <v>#REF!</v>
      </c>
      <c r="IB259" t="e">
        <f>AND(#REF!,"AAAAAG/Pa+s=")</f>
        <v>#REF!</v>
      </c>
      <c r="IC259" t="e">
        <f>AND(#REF!,"AAAAAG/Pa+w=")</f>
        <v>#REF!</v>
      </c>
      <c r="ID259" t="e">
        <f>AND(#REF!,"AAAAAG/Pa+0=")</f>
        <v>#REF!</v>
      </c>
      <c r="IE259" t="e">
        <f>AND(#REF!,"AAAAAG/Pa+4=")</f>
        <v>#REF!</v>
      </c>
      <c r="IF259" t="e">
        <f>AND(#REF!,"AAAAAG/Pa+8=")</f>
        <v>#REF!</v>
      </c>
      <c r="IG259" t="e">
        <f>AND(#REF!,"AAAAAG/Pa/A=")</f>
        <v>#REF!</v>
      </c>
      <c r="IH259" t="e">
        <f>AND(#REF!,"AAAAAG/Pa/E=")</f>
        <v>#REF!</v>
      </c>
      <c r="II259" t="e">
        <f>AND(#REF!,"AAAAAG/Pa/I=")</f>
        <v>#REF!</v>
      </c>
      <c r="IJ259" t="e">
        <f>AND(#REF!,"AAAAAG/Pa/M=")</f>
        <v>#REF!</v>
      </c>
      <c r="IK259" t="e">
        <f>AND(#REF!,"AAAAAG/Pa/Q=")</f>
        <v>#REF!</v>
      </c>
      <c r="IL259" t="e">
        <f>AND(#REF!,"AAAAAG/Pa/U=")</f>
        <v>#REF!</v>
      </c>
      <c r="IM259" t="e">
        <f>AND(#REF!,"AAAAAG/Pa/Y=")</f>
        <v>#REF!</v>
      </c>
      <c r="IN259" t="e">
        <f>AND(#REF!,"AAAAAG/Pa/c=")</f>
        <v>#REF!</v>
      </c>
      <c r="IO259" t="e">
        <f>AND(#REF!,"AAAAAG/Pa/g=")</f>
        <v>#REF!</v>
      </c>
      <c r="IP259" t="e">
        <f>AND(#REF!,"AAAAAG/Pa/k=")</f>
        <v>#REF!</v>
      </c>
      <c r="IQ259" t="e">
        <f>AND(#REF!,"AAAAAG/Pa/o=")</f>
        <v>#REF!</v>
      </c>
      <c r="IR259" t="e">
        <f>AND(#REF!,"AAAAAG/Pa/s=")</f>
        <v>#REF!</v>
      </c>
      <c r="IS259" t="e">
        <f>AND(#REF!,"AAAAAG/Pa/w=")</f>
        <v>#REF!</v>
      </c>
      <c r="IT259" t="e">
        <f>AND(#REF!,"AAAAAG/Pa/0=")</f>
        <v>#REF!</v>
      </c>
      <c r="IU259" t="e">
        <f>AND(#REF!,"AAAAAG/Pa/4=")</f>
        <v>#REF!</v>
      </c>
      <c r="IV259" t="e">
        <f>AND(#REF!,"AAAAAG/Pa/8=")</f>
        <v>#REF!</v>
      </c>
    </row>
    <row r="260" spans="1:256" x14ac:dyDescent="0.25">
      <c r="A260" t="e">
        <f>AND(#REF!,"AAAAAGvr7wA=")</f>
        <v>#REF!</v>
      </c>
      <c r="B260" t="e">
        <f>AND(#REF!,"AAAAAGvr7wE=")</f>
        <v>#REF!</v>
      </c>
      <c r="C260" t="e">
        <f>AND(#REF!,"AAAAAGvr7wI=")</f>
        <v>#REF!</v>
      </c>
      <c r="D260" t="e">
        <f>AND(#REF!,"AAAAAGvr7wM=")</f>
        <v>#REF!</v>
      </c>
      <c r="E260" t="e">
        <f>AND(#REF!,"AAAAAGvr7wQ=")</f>
        <v>#REF!</v>
      </c>
      <c r="F260" t="e">
        <f>AND(#REF!,"AAAAAGvr7wU=")</f>
        <v>#REF!</v>
      </c>
      <c r="G260" t="e">
        <f>AND(#REF!,"AAAAAGvr7wY=")</f>
        <v>#REF!</v>
      </c>
      <c r="H260" t="e">
        <f>AND(#REF!,"AAAAAGvr7wc=")</f>
        <v>#REF!</v>
      </c>
      <c r="I260" t="e">
        <f>AND(#REF!,"AAAAAGvr7wg=")</f>
        <v>#REF!</v>
      </c>
      <c r="J260" t="e">
        <f>AND(#REF!,"AAAAAGvr7wk=")</f>
        <v>#REF!</v>
      </c>
      <c r="K260" t="e">
        <f>AND(#REF!,"AAAAAGvr7wo=")</f>
        <v>#REF!</v>
      </c>
      <c r="L260" t="e">
        <f>AND(#REF!,"AAAAAGvr7ws=")</f>
        <v>#REF!</v>
      </c>
      <c r="M260" t="e">
        <f>AND(#REF!,"AAAAAGvr7ww=")</f>
        <v>#REF!</v>
      </c>
      <c r="N260" t="e">
        <f>AND(#REF!,"AAAAAGvr7w0=")</f>
        <v>#REF!</v>
      </c>
      <c r="O260" t="e">
        <f>AND(#REF!,"AAAAAGvr7w4=")</f>
        <v>#REF!</v>
      </c>
      <c r="P260" t="e">
        <f>AND(#REF!,"AAAAAGvr7w8=")</f>
        <v>#REF!</v>
      </c>
      <c r="Q260" t="e">
        <f>AND(#REF!,"AAAAAGvr7xA=")</f>
        <v>#REF!</v>
      </c>
      <c r="R260" t="e">
        <f>AND(#REF!,"AAAAAGvr7xE=")</f>
        <v>#REF!</v>
      </c>
      <c r="S260" t="e">
        <f>AND(#REF!,"AAAAAGvr7xI=")</f>
        <v>#REF!</v>
      </c>
      <c r="T260" t="e">
        <f>AND(#REF!,"AAAAAGvr7xM=")</f>
        <v>#REF!</v>
      </c>
      <c r="U260" t="e">
        <f>AND(#REF!,"AAAAAGvr7xQ=")</f>
        <v>#REF!</v>
      </c>
      <c r="V260" t="e">
        <f>AND(#REF!,"AAAAAGvr7xU=")</f>
        <v>#REF!</v>
      </c>
      <c r="W260" t="e">
        <f>AND(#REF!,"AAAAAGvr7xY=")</f>
        <v>#REF!</v>
      </c>
      <c r="X260" t="e">
        <f>AND(#REF!,"AAAAAGvr7xc=")</f>
        <v>#REF!</v>
      </c>
      <c r="Y260" t="e">
        <f>AND(#REF!,"AAAAAGvr7xg=")</f>
        <v>#REF!</v>
      </c>
      <c r="Z260" t="e">
        <f>AND(#REF!,"AAAAAGvr7xk=")</f>
        <v>#REF!</v>
      </c>
      <c r="AA260" t="e">
        <f>AND(#REF!,"AAAAAGvr7xo=")</f>
        <v>#REF!</v>
      </c>
      <c r="AB260" t="e">
        <f>IF(#REF!,"AAAAAGvr7xs=",0)</f>
        <v>#REF!</v>
      </c>
      <c r="AC260" t="e">
        <f>AND(#REF!,"AAAAAGvr7xw=")</f>
        <v>#REF!</v>
      </c>
      <c r="AD260" t="e">
        <f>AND(#REF!,"AAAAAGvr7x0=")</f>
        <v>#REF!</v>
      </c>
      <c r="AE260" t="e">
        <f>AND(#REF!,"AAAAAGvr7x4=")</f>
        <v>#REF!</v>
      </c>
      <c r="AF260" t="e">
        <f>AND(#REF!,"AAAAAGvr7x8=")</f>
        <v>#REF!</v>
      </c>
      <c r="AG260" t="e">
        <f>AND(#REF!,"AAAAAGvr7yA=")</f>
        <v>#REF!</v>
      </c>
      <c r="AH260" t="e">
        <f>AND(#REF!,"AAAAAGvr7yE=")</f>
        <v>#REF!</v>
      </c>
      <c r="AI260" t="e">
        <f>AND(#REF!,"AAAAAGvr7yI=")</f>
        <v>#REF!</v>
      </c>
      <c r="AJ260" t="e">
        <f>AND(#REF!,"AAAAAGvr7yM=")</f>
        <v>#REF!</v>
      </c>
      <c r="AK260" t="e">
        <f>AND(#REF!,"AAAAAGvr7yQ=")</f>
        <v>#REF!</v>
      </c>
      <c r="AL260" t="e">
        <f>AND(#REF!,"AAAAAGvr7yU=")</f>
        <v>#REF!</v>
      </c>
      <c r="AM260" t="e">
        <f>AND(#REF!,"AAAAAGvr7yY=")</f>
        <v>#REF!</v>
      </c>
      <c r="AN260" t="e">
        <f>AND(#REF!,"AAAAAGvr7yc=")</f>
        <v>#REF!</v>
      </c>
      <c r="AO260" t="e">
        <f>AND(#REF!,"AAAAAGvr7yg=")</f>
        <v>#REF!</v>
      </c>
      <c r="AP260" t="e">
        <f>AND(#REF!,"AAAAAGvr7yk=")</f>
        <v>#REF!</v>
      </c>
      <c r="AQ260" t="e">
        <f>AND(#REF!,"AAAAAGvr7yo=")</f>
        <v>#REF!</v>
      </c>
      <c r="AR260" t="e">
        <f>AND(#REF!,"AAAAAGvr7ys=")</f>
        <v>#REF!</v>
      </c>
      <c r="AS260" t="e">
        <f>AND(#REF!,"AAAAAGvr7yw=")</f>
        <v>#REF!</v>
      </c>
      <c r="AT260" t="e">
        <f>AND(#REF!,"AAAAAGvr7y0=")</f>
        <v>#REF!</v>
      </c>
      <c r="AU260" t="e">
        <f>AND(#REF!,"AAAAAGvr7y4=")</f>
        <v>#REF!</v>
      </c>
      <c r="AV260" t="e">
        <f>AND(#REF!,"AAAAAGvr7y8=")</f>
        <v>#REF!</v>
      </c>
      <c r="AW260" t="e">
        <f>AND(#REF!,"AAAAAGvr7zA=")</f>
        <v>#REF!</v>
      </c>
      <c r="AX260" t="e">
        <f>AND(#REF!,"AAAAAGvr7zE=")</f>
        <v>#REF!</v>
      </c>
      <c r="AY260" t="e">
        <f>AND(#REF!,"AAAAAGvr7zI=")</f>
        <v>#REF!</v>
      </c>
      <c r="AZ260" t="e">
        <f>AND(#REF!,"AAAAAGvr7zM=")</f>
        <v>#REF!</v>
      </c>
      <c r="BA260" t="e">
        <f>AND(#REF!,"AAAAAGvr7zQ=")</f>
        <v>#REF!</v>
      </c>
      <c r="BB260" t="e">
        <f>AND(#REF!,"AAAAAGvr7zU=")</f>
        <v>#REF!</v>
      </c>
      <c r="BC260" t="e">
        <f>AND(#REF!,"AAAAAGvr7zY=")</f>
        <v>#REF!</v>
      </c>
      <c r="BD260" t="e">
        <f>AND(#REF!,"AAAAAGvr7zc=")</f>
        <v>#REF!</v>
      </c>
      <c r="BE260" t="e">
        <f>AND(#REF!,"AAAAAGvr7zg=")</f>
        <v>#REF!</v>
      </c>
      <c r="BF260" t="e">
        <f>AND(#REF!,"AAAAAGvr7zk=")</f>
        <v>#REF!</v>
      </c>
      <c r="BG260" t="e">
        <f>AND(#REF!,"AAAAAGvr7zo=")</f>
        <v>#REF!</v>
      </c>
      <c r="BH260" t="e">
        <f>AND(#REF!,"AAAAAGvr7zs=")</f>
        <v>#REF!</v>
      </c>
      <c r="BI260" t="e">
        <f>AND(#REF!,"AAAAAGvr7zw=")</f>
        <v>#REF!</v>
      </c>
      <c r="BJ260" t="e">
        <f>AND(#REF!,"AAAAAGvr7z0=")</f>
        <v>#REF!</v>
      </c>
      <c r="BK260" t="e">
        <f>AND(#REF!,"AAAAAGvr7z4=")</f>
        <v>#REF!</v>
      </c>
      <c r="BL260" t="e">
        <f>AND(#REF!,"AAAAAGvr7z8=")</f>
        <v>#REF!</v>
      </c>
      <c r="BM260" t="e">
        <f>AND(#REF!,"AAAAAGvr70A=")</f>
        <v>#REF!</v>
      </c>
      <c r="BN260" t="e">
        <f>AND(#REF!,"AAAAAGvr70E=")</f>
        <v>#REF!</v>
      </c>
      <c r="BO260" t="e">
        <f>AND(#REF!,"AAAAAGvr70I=")</f>
        <v>#REF!</v>
      </c>
      <c r="BP260" t="e">
        <f>AND(#REF!,"AAAAAGvr70M=")</f>
        <v>#REF!</v>
      </c>
      <c r="BQ260" t="e">
        <f>AND(#REF!,"AAAAAGvr70Q=")</f>
        <v>#REF!</v>
      </c>
      <c r="BR260" t="e">
        <f>AND(#REF!,"AAAAAGvr70U=")</f>
        <v>#REF!</v>
      </c>
      <c r="BS260" t="e">
        <f>AND(#REF!,"AAAAAGvr70Y=")</f>
        <v>#REF!</v>
      </c>
      <c r="BT260" t="e">
        <f>AND(#REF!,"AAAAAGvr70c=")</f>
        <v>#REF!</v>
      </c>
      <c r="BU260" t="e">
        <f>AND(#REF!,"AAAAAGvr70g=")</f>
        <v>#REF!</v>
      </c>
      <c r="BV260" t="e">
        <f>AND(#REF!,"AAAAAGvr70k=")</f>
        <v>#REF!</v>
      </c>
      <c r="BW260" t="e">
        <f>AND(#REF!,"AAAAAGvr70o=")</f>
        <v>#REF!</v>
      </c>
      <c r="BX260" t="e">
        <f>AND(#REF!,"AAAAAGvr70s=")</f>
        <v>#REF!</v>
      </c>
      <c r="BY260" t="e">
        <f>AND(#REF!,"AAAAAGvr70w=")</f>
        <v>#REF!</v>
      </c>
      <c r="BZ260" t="e">
        <f>AND(#REF!,"AAAAAGvr700=")</f>
        <v>#REF!</v>
      </c>
      <c r="CA260" t="e">
        <f>AND(#REF!,"AAAAAGvr704=")</f>
        <v>#REF!</v>
      </c>
      <c r="CB260" t="e">
        <f>AND(#REF!,"AAAAAGvr708=")</f>
        <v>#REF!</v>
      </c>
      <c r="CC260" t="e">
        <f>AND(#REF!,"AAAAAGvr71A=")</f>
        <v>#REF!</v>
      </c>
      <c r="CD260" t="e">
        <f>AND(#REF!,"AAAAAGvr71E=")</f>
        <v>#REF!</v>
      </c>
      <c r="CE260" t="e">
        <f>AND(#REF!,"AAAAAGvr71I=")</f>
        <v>#REF!</v>
      </c>
      <c r="CF260" t="e">
        <f>AND(#REF!,"AAAAAGvr71M=")</f>
        <v>#REF!</v>
      </c>
      <c r="CG260" t="e">
        <f>AND(#REF!,"AAAAAGvr71Q=")</f>
        <v>#REF!</v>
      </c>
      <c r="CH260" t="e">
        <f>AND(#REF!,"AAAAAGvr71U=")</f>
        <v>#REF!</v>
      </c>
      <c r="CI260" t="e">
        <f>AND(#REF!,"AAAAAGvr71Y=")</f>
        <v>#REF!</v>
      </c>
      <c r="CJ260" t="e">
        <f>AND(#REF!,"AAAAAGvr71c=")</f>
        <v>#REF!</v>
      </c>
      <c r="CK260" t="e">
        <f>AND(#REF!,"AAAAAGvr71g=")</f>
        <v>#REF!</v>
      </c>
      <c r="CL260" t="e">
        <f>AND(#REF!,"AAAAAGvr71k=")</f>
        <v>#REF!</v>
      </c>
      <c r="CM260" t="e">
        <f>AND(#REF!,"AAAAAGvr71o=")</f>
        <v>#REF!</v>
      </c>
      <c r="CN260" t="e">
        <f>AND(#REF!,"AAAAAGvr71s=")</f>
        <v>#REF!</v>
      </c>
      <c r="CO260" t="e">
        <f>AND(#REF!,"AAAAAGvr71w=")</f>
        <v>#REF!</v>
      </c>
      <c r="CP260" t="e">
        <f>AND(#REF!,"AAAAAGvr710=")</f>
        <v>#REF!</v>
      </c>
      <c r="CQ260" t="e">
        <f>AND(#REF!,"AAAAAGvr714=")</f>
        <v>#REF!</v>
      </c>
      <c r="CR260" t="e">
        <f>AND(#REF!,"AAAAAGvr718=")</f>
        <v>#REF!</v>
      </c>
      <c r="CS260" t="e">
        <f>AND(#REF!,"AAAAAGvr72A=")</f>
        <v>#REF!</v>
      </c>
      <c r="CT260" t="e">
        <f>AND(#REF!,"AAAAAGvr72E=")</f>
        <v>#REF!</v>
      </c>
      <c r="CU260" t="e">
        <f>AND(#REF!,"AAAAAGvr72I=")</f>
        <v>#REF!</v>
      </c>
      <c r="CV260" t="e">
        <f>AND(#REF!,"AAAAAGvr72M=")</f>
        <v>#REF!</v>
      </c>
      <c r="CW260" t="e">
        <f>AND(#REF!,"AAAAAGvr72Q=")</f>
        <v>#REF!</v>
      </c>
      <c r="CX260" t="e">
        <f>AND(#REF!,"AAAAAGvr72U=")</f>
        <v>#REF!</v>
      </c>
      <c r="CY260" t="e">
        <f>AND(#REF!,"AAAAAGvr72Y=")</f>
        <v>#REF!</v>
      </c>
      <c r="CZ260" t="e">
        <f>AND(#REF!,"AAAAAGvr72c=")</f>
        <v>#REF!</v>
      </c>
      <c r="DA260" t="e">
        <f>AND(#REF!,"AAAAAGvr72g=")</f>
        <v>#REF!</v>
      </c>
      <c r="DB260" t="e">
        <f>AND(#REF!,"AAAAAGvr72k=")</f>
        <v>#REF!</v>
      </c>
      <c r="DC260" t="e">
        <f>AND(#REF!,"AAAAAGvr72o=")</f>
        <v>#REF!</v>
      </c>
      <c r="DD260" t="e">
        <f>AND(#REF!,"AAAAAGvr72s=")</f>
        <v>#REF!</v>
      </c>
      <c r="DE260" t="e">
        <f>AND(#REF!,"AAAAAGvr72w=")</f>
        <v>#REF!</v>
      </c>
      <c r="DF260" t="e">
        <f>AND(#REF!,"AAAAAGvr720=")</f>
        <v>#REF!</v>
      </c>
      <c r="DG260" t="e">
        <f>AND(#REF!,"AAAAAGvr724=")</f>
        <v>#REF!</v>
      </c>
      <c r="DH260" t="e">
        <f>AND(#REF!,"AAAAAGvr728=")</f>
        <v>#REF!</v>
      </c>
      <c r="DI260" t="e">
        <f>AND(#REF!,"AAAAAGvr73A=")</f>
        <v>#REF!</v>
      </c>
      <c r="DJ260" t="e">
        <f>AND(#REF!,"AAAAAGvr73E=")</f>
        <v>#REF!</v>
      </c>
      <c r="DK260" t="e">
        <f>AND(#REF!,"AAAAAGvr73I=")</f>
        <v>#REF!</v>
      </c>
      <c r="DL260" t="e">
        <f>AND(#REF!,"AAAAAGvr73M=")</f>
        <v>#REF!</v>
      </c>
      <c r="DM260" t="e">
        <f>AND(#REF!,"AAAAAGvr73Q=")</f>
        <v>#REF!</v>
      </c>
      <c r="DN260" t="e">
        <f>AND(#REF!,"AAAAAGvr73U=")</f>
        <v>#REF!</v>
      </c>
      <c r="DO260" t="e">
        <f>AND(#REF!,"AAAAAGvr73Y=")</f>
        <v>#REF!</v>
      </c>
      <c r="DP260" t="e">
        <f>AND(#REF!,"AAAAAGvr73c=")</f>
        <v>#REF!</v>
      </c>
      <c r="DQ260" t="e">
        <f>AND(#REF!,"AAAAAGvr73g=")</f>
        <v>#REF!</v>
      </c>
      <c r="DR260" t="e">
        <f>AND(#REF!,"AAAAAGvr73k=")</f>
        <v>#REF!</v>
      </c>
      <c r="DS260" t="e">
        <f>AND(#REF!,"AAAAAGvr73o=")</f>
        <v>#REF!</v>
      </c>
      <c r="DT260" t="e">
        <f>AND(#REF!,"AAAAAGvr73s=")</f>
        <v>#REF!</v>
      </c>
      <c r="DU260" t="e">
        <f>AND(#REF!,"AAAAAGvr73w=")</f>
        <v>#REF!</v>
      </c>
      <c r="DV260" t="e">
        <f>AND(#REF!,"AAAAAGvr730=")</f>
        <v>#REF!</v>
      </c>
      <c r="DW260" t="e">
        <f>AND(#REF!,"AAAAAGvr734=")</f>
        <v>#REF!</v>
      </c>
      <c r="DX260" t="e">
        <f>AND(#REF!,"AAAAAGvr738=")</f>
        <v>#REF!</v>
      </c>
      <c r="DY260" t="e">
        <f>AND(#REF!,"AAAAAGvr74A=")</f>
        <v>#REF!</v>
      </c>
      <c r="DZ260" t="e">
        <f>AND(#REF!,"AAAAAGvr74E=")</f>
        <v>#REF!</v>
      </c>
      <c r="EA260" t="e">
        <f>AND(#REF!,"AAAAAGvr74I=")</f>
        <v>#REF!</v>
      </c>
      <c r="EB260" t="e">
        <f>AND(#REF!,"AAAAAGvr74M=")</f>
        <v>#REF!</v>
      </c>
      <c r="EC260" t="e">
        <f>AND(#REF!,"AAAAAGvr74Q=")</f>
        <v>#REF!</v>
      </c>
      <c r="ED260" t="e">
        <f>AND(#REF!,"AAAAAGvr74U=")</f>
        <v>#REF!</v>
      </c>
      <c r="EE260" t="e">
        <f>AND(#REF!,"AAAAAGvr74Y=")</f>
        <v>#REF!</v>
      </c>
      <c r="EF260" t="e">
        <f>AND(#REF!,"AAAAAGvr74c=")</f>
        <v>#REF!</v>
      </c>
      <c r="EG260" t="e">
        <f>AND(#REF!,"AAAAAGvr74g=")</f>
        <v>#REF!</v>
      </c>
      <c r="EH260" t="e">
        <f>AND(#REF!,"AAAAAGvr74k=")</f>
        <v>#REF!</v>
      </c>
      <c r="EI260" t="e">
        <f>AND(#REF!,"AAAAAGvr74o=")</f>
        <v>#REF!</v>
      </c>
      <c r="EJ260" t="e">
        <f>AND(#REF!,"AAAAAGvr74s=")</f>
        <v>#REF!</v>
      </c>
      <c r="EK260" t="e">
        <f>AND(#REF!,"AAAAAGvr74w=")</f>
        <v>#REF!</v>
      </c>
      <c r="EL260" t="e">
        <f>AND(#REF!,"AAAAAGvr740=")</f>
        <v>#REF!</v>
      </c>
      <c r="EM260" t="e">
        <f>AND(#REF!,"AAAAAGvr744=")</f>
        <v>#REF!</v>
      </c>
      <c r="EN260" t="e">
        <f>AND(#REF!,"AAAAAGvr748=")</f>
        <v>#REF!</v>
      </c>
      <c r="EO260" t="e">
        <f>AND(#REF!,"AAAAAGvr75A=")</f>
        <v>#REF!</v>
      </c>
      <c r="EP260" t="e">
        <f>AND(#REF!,"AAAAAGvr75E=")</f>
        <v>#REF!</v>
      </c>
      <c r="EQ260" t="e">
        <f>AND(#REF!,"AAAAAGvr75I=")</f>
        <v>#REF!</v>
      </c>
      <c r="ER260" t="e">
        <f>AND(#REF!,"AAAAAGvr75M=")</f>
        <v>#REF!</v>
      </c>
      <c r="ES260" t="e">
        <f>AND(#REF!,"AAAAAGvr75Q=")</f>
        <v>#REF!</v>
      </c>
      <c r="ET260" t="e">
        <f>AND(#REF!,"AAAAAGvr75U=")</f>
        <v>#REF!</v>
      </c>
      <c r="EU260" t="e">
        <f>AND(#REF!,"AAAAAGvr75Y=")</f>
        <v>#REF!</v>
      </c>
      <c r="EV260" t="e">
        <f>AND(#REF!,"AAAAAGvr75c=")</f>
        <v>#REF!</v>
      </c>
      <c r="EW260" t="e">
        <f>AND(#REF!,"AAAAAGvr75g=")</f>
        <v>#REF!</v>
      </c>
      <c r="EX260" t="e">
        <f>AND(#REF!,"AAAAAGvr75k=")</f>
        <v>#REF!</v>
      </c>
      <c r="EY260" t="e">
        <f>AND(#REF!,"AAAAAGvr75o=")</f>
        <v>#REF!</v>
      </c>
      <c r="EZ260" t="e">
        <f>AND(#REF!,"AAAAAGvr75s=")</f>
        <v>#REF!</v>
      </c>
      <c r="FA260" t="e">
        <f>AND(#REF!,"AAAAAGvr75w=")</f>
        <v>#REF!</v>
      </c>
      <c r="FB260" t="e">
        <f>AND(#REF!,"AAAAAGvr750=")</f>
        <v>#REF!</v>
      </c>
      <c r="FC260" t="e">
        <f>AND(#REF!,"AAAAAGvr754=")</f>
        <v>#REF!</v>
      </c>
      <c r="FD260" t="e">
        <f>AND(#REF!,"AAAAAGvr758=")</f>
        <v>#REF!</v>
      </c>
      <c r="FE260" t="e">
        <f>AND(#REF!,"AAAAAGvr76A=")</f>
        <v>#REF!</v>
      </c>
      <c r="FF260" t="e">
        <f>AND(#REF!,"AAAAAGvr76E=")</f>
        <v>#REF!</v>
      </c>
      <c r="FG260" t="e">
        <f>AND(#REF!,"AAAAAGvr76I=")</f>
        <v>#REF!</v>
      </c>
      <c r="FH260" t="e">
        <f>AND(#REF!,"AAAAAGvr76M=")</f>
        <v>#REF!</v>
      </c>
      <c r="FI260" t="e">
        <f>AND(#REF!,"AAAAAGvr76Q=")</f>
        <v>#REF!</v>
      </c>
      <c r="FJ260" t="e">
        <f>AND(#REF!,"AAAAAGvr76U=")</f>
        <v>#REF!</v>
      </c>
      <c r="FK260" t="e">
        <f>AND(#REF!,"AAAAAGvr76Y=")</f>
        <v>#REF!</v>
      </c>
      <c r="FL260" t="e">
        <f>AND(#REF!,"AAAAAGvr76c=")</f>
        <v>#REF!</v>
      </c>
      <c r="FM260" t="e">
        <f>AND(#REF!,"AAAAAGvr76g=")</f>
        <v>#REF!</v>
      </c>
      <c r="FN260" t="e">
        <f>AND(#REF!,"AAAAAGvr76k=")</f>
        <v>#REF!</v>
      </c>
      <c r="FO260" t="e">
        <f>AND(#REF!,"AAAAAGvr76o=")</f>
        <v>#REF!</v>
      </c>
      <c r="FP260" t="e">
        <f>AND(#REF!,"AAAAAGvr76s=")</f>
        <v>#REF!</v>
      </c>
      <c r="FQ260" t="e">
        <f>AND(#REF!,"AAAAAGvr76w=")</f>
        <v>#REF!</v>
      </c>
      <c r="FR260" t="e">
        <f>AND(#REF!,"AAAAAGvr760=")</f>
        <v>#REF!</v>
      </c>
      <c r="FS260" t="e">
        <f>AND(#REF!,"AAAAAGvr764=")</f>
        <v>#REF!</v>
      </c>
      <c r="FT260" t="e">
        <f>AND(#REF!,"AAAAAGvr768=")</f>
        <v>#REF!</v>
      </c>
      <c r="FU260" t="e">
        <f>AND(#REF!,"AAAAAGvr77A=")</f>
        <v>#REF!</v>
      </c>
      <c r="FV260" t="e">
        <f>AND(#REF!,"AAAAAGvr77E=")</f>
        <v>#REF!</v>
      </c>
      <c r="FW260" t="e">
        <f>AND(#REF!,"AAAAAGvr77I=")</f>
        <v>#REF!</v>
      </c>
      <c r="FX260" t="e">
        <f>AND(#REF!,"AAAAAGvr77M=")</f>
        <v>#REF!</v>
      </c>
      <c r="FY260" t="e">
        <f>AND(#REF!,"AAAAAGvr77Q=")</f>
        <v>#REF!</v>
      </c>
      <c r="FZ260" t="e">
        <f>AND(#REF!,"AAAAAGvr77U=")</f>
        <v>#REF!</v>
      </c>
      <c r="GA260" t="e">
        <f>AND(#REF!,"AAAAAGvr77Y=")</f>
        <v>#REF!</v>
      </c>
      <c r="GB260" t="e">
        <f>AND(#REF!,"AAAAAGvr77c=")</f>
        <v>#REF!</v>
      </c>
      <c r="GC260" t="e">
        <f>AND(#REF!,"AAAAAGvr77g=")</f>
        <v>#REF!</v>
      </c>
      <c r="GD260" t="e">
        <f>AND(#REF!,"AAAAAGvr77k=")</f>
        <v>#REF!</v>
      </c>
      <c r="GE260" t="e">
        <f>AND(#REF!,"AAAAAGvr77o=")</f>
        <v>#REF!</v>
      </c>
      <c r="GF260" t="e">
        <f>AND(#REF!,"AAAAAGvr77s=")</f>
        <v>#REF!</v>
      </c>
      <c r="GG260" t="e">
        <f>AND(#REF!,"AAAAAGvr77w=")</f>
        <v>#REF!</v>
      </c>
      <c r="GH260" t="e">
        <f>AND(#REF!,"AAAAAGvr770=")</f>
        <v>#REF!</v>
      </c>
      <c r="GI260" t="e">
        <f>AND(#REF!,"AAAAAGvr774=")</f>
        <v>#REF!</v>
      </c>
      <c r="GJ260" t="e">
        <f>AND(#REF!,"AAAAAGvr778=")</f>
        <v>#REF!</v>
      </c>
      <c r="GK260" t="e">
        <f>AND(#REF!,"AAAAAGvr78A=")</f>
        <v>#REF!</v>
      </c>
      <c r="GL260" t="e">
        <f>AND(#REF!,"AAAAAGvr78E=")</f>
        <v>#REF!</v>
      </c>
      <c r="GM260" t="e">
        <f>AND(#REF!,"AAAAAGvr78I=")</f>
        <v>#REF!</v>
      </c>
      <c r="GN260" t="e">
        <f>AND(#REF!,"AAAAAGvr78M=")</f>
        <v>#REF!</v>
      </c>
      <c r="GO260" t="e">
        <f>AND(#REF!,"AAAAAGvr78Q=")</f>
        <v>#REF!</v>
      </c>
      <c r="GP260" t="e">
        <f>AND(#REF!,"AAAAAGvr78U=")</f>
        <v>#REF!</v>
      </c>
      <c r="GQ260" t="e">
        <f>AND(#REF!,"AAAAAGvr78Y=")</f>
        <v>#REF!</v>
      </c>
      <c r="GR260" t="e">
        <f>AND(#REF!,"AAAAAGvr78c=")</f>
        <v>#REF!</v>
      </c>
      <c r="GS260" t="e">
        <f>AND(#REF!,"AAAAAGvr78g=")</f>
        <v>#REF!</v>
      </c>
      <c r="GT260" t="e">
        <f>AND(#REF!,"AAAAAGvr78k=")</f>
        <v>#REF!</v>
      </c>
      <c r="GU260" t="e">
        <f>AND(#REF!,"AAAAAGvr78o=")</f>
        <v>#REF!</v>
      </c>
      <c r="GV260" t="e">
        <f>AND(#REF!,"AAAAAGvr78s=")</f>
        <v>#REF!</v>
      </c>
      <c r="GW260" t="e">
        <f>AND(#REF!,"AAAAAGvr78w=")</f>
        <v>#REF!</v>
      </c>
      <c r="GX260" t="e">
        <f>AND(#REF!,"AAAAAGvr780=")</f>
        <v>#REF!</v>
      </c>
      <c r="GY260" t="e">
        <f>AND(#REF!,"AAAAAGvr784=")</f>
        <v>#REF!</v>
      </c>
      <c r="GZ260" t="e">
        <f>AND(#REF!,"AAAAAGvr788=")</f>
        <v>#REF!</v>
      </c>
      <c r="HA260" t="e">
        <f>AND(#REF!,"AAAAAGvr79A=")</f>
        <v>#REF!</v>
      </c>
      <c r="HB260" t="e">
        <f>AND(#REF!,"AAAAAGvr79E=")</f>
        <v>#REF!</v>
      </c>
      <c r="HC260" t="e">
        <f>AND(#REF!,"AAAAAGvr79I=")</f>
        <v>#REF!</v>
      </c>
      <c r="HD260" t="e">
        <f>AND(#REF!,"AAAAAGvr79M=")</f>
        <v>#REF!</v>
      </c>
      <c r="HE260" t="e">
        <f>AND(#REF!,"AAAAAGvr79Q=")</f>
        <v>#REF!</v>
      </c>
      <c r="HF260" t="e">
        <f>AND(#REF!,"AAAAAGvr79U=")</f>
        <v>#REF!</v>
      </c>
      <c r="HG260" t="e">
        <f>AND(#REF!,"AAAAAGvr79Y=")</f>
        <v>#REF!</v>
      </c>
      <c r="HH260" t="e">
        <f>AND(#REF!,"AAAAAGvr79c=")</f>
        <v>#REF!</v>
      </c>
      <c r="HI260" t="e">
        <f>IF(#REF!,"AAAAAGvr79g=",0)</f>
        <v>#REF!</v>
      </c>
      <c r="HJ260" t="e">
        <f>AND(#REF!,"AAAAAGvr79k=")</f>
        <v>#REF!</v>
      </c>
      <c r="HK260" t="e">
        <f>AND(#REF!,"AAAAAGvr79o=")</f>
        <v>#REF!</v>
      </c>
      <c r="HL260" t="e">
        <f>AND(#REF!,"AAAAAGvr79s=")</f>
        <v>#REF!</v>
      </c>
      <c r="HM260" t="e">
        <f>AND(#REF!,"AAAAAGvr79w=")</f>
        <v>#REF!</v>
      </c>
      <c r="HN260" t="e">
        <f>AND(#REF!,"AAAAAGvr790=")</f>
        <v>#REF!</v>
      </c>
      <c r="HO260" t="e">
        <f>AND(#REF!,"AAAAAGvr794=")</f>
        <v>#REF!</v>
      </c>
      <c r="HP260" t="e">
        <f>AND(#REF!,"AAAAAGvr798=")</f>
        <v>#REF!</v>
      </c>
      <c r="HQ260" t="e">
        <f>AND(#REF!,"AAAAAGvr7+A=")</f>
        <v>#REF!</v>
      </c>
      <c r="HR260" t="e">
        <f>AND(#REF!,"AAAAAGvr7+E=")</f>
        <v>#REF!</v>
      </c>
      <c r="HS260" t="e">
        <f>AND(#REF!,"AAAAAGvr7+I=")</f>
        <v>#REF!</v>
      </c>
      <c r="HT260" t="e">
        <f>AND(#REF!,"AAAAAGvr7+M=")</f>
        <v>#REF!</v>
      </c>
      <c r="HU260" t="e">
        <f>AND(#REF!,"AAAAAGvr7+Q=")</f>
        <v>#REF!</v>
      </c>
      <c r="HV260" t="e">
        <f>AND(#REF!,"AAAAAGvr7+U=")</f>
        <v>#REF!</v>
      </c>
      <c r="HW260" t="e">
        <f>AND(#REF!,"AAAAAGvr7+Y=")</f>
        <v>#REF!</v>
      </c>
      <c r="HX260" t="e">
        <f>AND(#REF!,"AAAAAGvr7+c=")</f>
        <v>#REF!</v>
      </c>
      <c r="HY260" t="e">
        <f>AND(#REF!,"AAAAAGvr7+g=")</f>
        <v>#REF!</v>
      </c>
      <c r="HZ260" t="e">
        <f>AND(#REF!,"AAAAAGvr7+k=")</f>
        <v>#REF!</v>
      </c>
      <c r="IA260" t="e">
        <f>AND(#REF!,"AAAAAGvr7+o=")</f>
        <v>#REF!</v>
      </c>
      <c r="IB260" t="e">
        <f>AND(#REF!,"AAAAAGvr7+s=")</f>
        <v>#REF!</v>
      </c>
      <c r="IC260" t="e">
        <f>AND(#REF!,"AAAAAGvr7+w=")</f>
        <v>#REF!</v>
      </c>
      <c r="ID260" t="e">
        <f>AND(#REF!,"AAAAAGvr7+0=")</f>
        <v>#REF!</v>
      </c>
      <c r="IE260" t="e">
        <f>AND(#REF!,"AAAAAGvr7+4=")</f>
        <v>#REF!</v>
      </c>
      <c r="IF260" t="e">
        <f>AND(#REF!,"AAAAAGvr7+8=")</f>
        <v>#REF!</v>
      </c>
      <c r="IG260" t="e">
        <f>AND(#REF!,"AAAAAGvr7/A=")</f>
        <v>#REF!</v>
      </c>
      <c r="IH260" t="e">
        <f>AND(#REF!,"AAAAAGvr7/E=")</f>
        <v>#REF!</v>
      </c>
      <c r="II260" t="e">
        <f>AND(#REF!,"AAAAAGvr7/I=")</f>
        <v>#REF!</v>
      </c>
      <c r="IJ260" t="e">
        <f>AND(#REF!,"AAAAAGvr7/M=")</f>
        <v>#REF!</v>
      </c>
      <c r="IK260" t="e">
        <f>AND(#REF!,"AAAAAGvr7/Q=")</f>
        <v>#REF!</v>
      </c>
      <c r="IL260" t="e">
        <f>AND(#REF!,"AAAAAGvr7/U=")</f>
        <v>#REF!</v>
      </c>
      <c r="IM260" t="e">
        <f>AND(#REF!,"AAAAAGvr7/Y=")</f>
        <v>#REF!</v>
      </c>
      <c r="IN260" t="e">
        <f>AND(#REF!,"AAAAAGvr7/c=")</f>
        <v>#REF!</v>
      </c>
      <c r="IO260" t="e">
        <f>AND(#REF!,"AAAAAGvr7/g=")</f>
        <v>#REF!</v>
      </c>
      <c r="IP260" t="e">
        <f>AND(#REF!,"AAAAAGvr7/k=")</f>
        <v>#REF!</v>
      </c>
      <c r="IQ260" t="e">
        <f>AND(#REF!,"AAAAAGvr7/o=")</f>
        <v>#REF!</v>
      </c>
      <c r="IR260" t="e">
        <f>AND(#REF!,"AAAAAGvr7/s=")</f>
        <v>#REF!</v>
      </c>
      <c r="IS260" t="e">
        <f>AND(#REF!,"AAAAAGvr7/w=")</f>
        <v>#REF!</v>
      </c>
      <c r="IT260" t="e">
        <f>AND(#REF!,"AAAAAGvr7/0=")</f>
        <v>#REF!</v>
      </c>
      <c r="IU260" t="e">
        <f>AND(#REF!,"AAAAAGvr7/4=")</f>
        <v>#REF!</v>
      </c>
      <c r="IV260" t="e">
        <f>AND(#REF!,"AAAAAGvr7/8=")</f>
        <v>#REF!</v>
      </c>
    </row>
    <row r="261" spans="1:256" x14ac:dyDescent="0.25">
      <c r="A261" t="e">
        <f>AND(#REF!,"AAAAAHfXfwA=")</f>
        <v>#REF!</v>
      </c>
      <c r="B261" t="e">
        <f>AND(#REF!,"AAAAAHfXfwE=")</f>
        <v>#REF!</v>
      </c>
      <c r="C261" t="e">
        <f>AND(#REF!,"AAAAAHfXfwI=")</f>
        <v>#REF!</v>
      </c>
      <c r="D261" t="e">
        <f>AND(#REF!,"AAAAAHfXfwM=")</f>
        <v>#REF!</v>
      </c>
      <c r="E261" t="e">
        <f>AND(#REF!,"AAAAAHfXfwQ=")</f>
        <v>#REF!</v>
      </c>
      <c r="F261" t="e">
        <f>AND(#REF!,"AAAAAHfXfwU=")</f>
        <v>#REF!</v>
      </c>
      <c r="G261" t="e">
        <f>AND(#REF!,"AAAAAHfXfwY=")</f>
        <v>#REF!</v>
      </c>
      <c r="H261" t="e">
        <f>AND(#REF!,"AAAAAHfXfwc=")</f>
        <v>#REF!</v>
      </c>
      <c r="I261" t="e">
        <f>AND(#REF!,"AAAAAHfXfwg=")</f>
        <v>#REF!</v>
      </c>
      <c r="J261" t="e">
        <f>AND(#REF!,"AAAAAHfXfwk=")</f>
        <v>#REF!</v>
      </c>
      <c r="K261" t="e">
        <f>AND(#REF!,"AAAAAHfXfwo=")</f>
        <v>#REF!</v>
      </c>
      <c r="L261" t="e">
        <f>AND(#REF!,"AAAAAHfXfws=")</f>
        <v>#REF!</v>
      </c>
      <c r="M261" t="e">
        <f>AND(#REF!,"AAAAAHfXfww=")</f>
        <v>#REF!</v>
      </c>
      <c r="N261" t="e">
        <f>AND(#REF!,"AAAAAHfXfw0=")</f>
        <v>#REF!</v>
      </c>
      <c r="O261" t="e">
        <f>AND(#REF!,"AAAAAHfXfw4=")</f>
        <v>#REF!</v>
      </c>
      <c r="P261" t="e">
        <f>AND(#REF!,"AAAAAHfXfw8=")</f>
        <v>#REF!</v>
      </c>
      <c r="Q261" t="e">
        <f>AND(#REF!,"AAAAAHfXfxA=")</f>
        <v>#REF!</v>
      </c>
      <c r="R261" t="e">
        <f>AND(#REF!,"AAAAAHfXfxE=")</f>
        <v>#REF!</v>
      </c>
      <c r="S261" t="e">
        <f>AND(#REF!,"AAAAAHfXfxI=")</f>
        <v>#REF!</v>
      </c>
      <c r="T261" t="e">
        <f>AND(#REF!,"AAAAAHfXfxM=")</f>
        <v>#REF!</v>
      </c>
      <c r="U261" t="e">
        <f>AND(#REF!,"AAAAAHfXfxQ=")</f>
        <v>#REF!</v>
      </c>
      <c r="V261" t="e">
        <f>AND(#REF!,"AAAAAHfXfxU=")</f>
        <v>#REF!</v>
      </c>
      <c r="W261" t="e">
        <f>AND(#REF!,"AAAAAHfXfxY=")</f>
        <v>#REF!</v>
      </c>
      <c r="X261" t="e">
        <f>AND(#REF!,"AAAAAHfXfxc=")</f>
        <v>#REF!</v>
      </c>
      <c r="Y261" t="e">
        <f>AND(#REF!,"AAAAAHfXfxg=")</f>
        <v>#REF!</v>
      </c>
      <c r="Z261" t="e">
        <f>AND(#REF!,"AAAAAHfXfxk=")</f>
        <v>#REF!</v>
      </c>
      <c r="AA261" t="e">
        <f>AND(#REF!,"AAAAAHfXfxo=")</f>
        <v>#REF!</v>
      </c>
      <c r="AB261" t="e">
        <f>AND(#REF!,"AAAAAHfXfxs=")</f>
        <v>#REF!</v>
      </c>
      <c r="AC261" t="e">
        <f>AND(#REF!,"AAAAAHfXfxw=")</f>
        <v>#REF!</v>
      </c>
      <c r="AD261" t="e">
        <f>AND(#REF!,"AAAAAHfXfx0=")</f>
        <v>#REF!</v>
      </c>
      <c r="AE261" t="e">
        <f>AND(#REF!,"AAAAAHfXfx4=")</f>
        <v>#REF!</v>
      </c>
      <c r="AF261" t="e">
        <f>AND(#REF!,"AAAAAHfXfx8=")</f>
        <v>#REF!</v>
      </c>
      <c r="AG261" t="e">
        <f>AND(#REF!,"AAAAAHfXfyA=")</f>
        <v>#REF!</v>
      </c>
      <c r="AH261" t="e">
        <f>AND(#REF!,"AAAAAHfXfyE=")</f>
        <v>#REF!</v>
      </c>
      <c r="AI261" t="e">
        <f>AND(#REF!,"AAAAAHfXfyI=")</f>
        <v>#REF!</v>
      </c>
      <c r="AJ261" t="e">
        <f>AND(#REF!,"AAAAAHfXfyM=")</f>
        <v>#REF!</v>
      </c>
      <c r="AK261" t="e">
        <f>AND(#REF!,"AAAAAHfXfyQ=")</f>
        <v>#REF!</v>
      </c>
      <c r="AL261" t="e">
        <f>AND(#REF!,"AAAAAHfXfyU=")</f>
        <v>#REF!</v>
      </c>
      <c r="AM261" t="e">
        <f>AND(#REF!,"AAAAAHfXfyY=")</f>
        <v>#REF!</v>
      </c>
      <c r="AN261" t="e">
        <f>AND(#REF!,"AAAAAHfXfyc=")</f>
        <v>#REF!</v>
      </c>
      <c r="AO261" t="e">
        <f>AND(#REF!,"AAAAAHfXfyg=")</f>
        <v>#REF!</v>
      </c>
      <c r="AP261" t="e">
        <f>AND(#REF!,"AAAAAHfXfyk=")</f>
        <v>#REF!</v>
      </c>
      <c r="AQ261" t="e">
        <f>AND(#REF!,"AAAAAHfXfyo=")</f>
        <v>#REF!</v>
      </c>
      <c r="AR261" t="e">
        <f>AND(#REF!,"AAAAAHfXfys=")</f>
        <v>#REF!</v>
      </c>
      <c r="AS261" t="e">
        <f>AND(#REF!,"AAAAAHfXfyw=")</f>
        <v>#REF!</v>
      </c>
      <c r="AT261" t="e">
        <f>AND(#REF!,"AAAAAHfXfy0=")</f>
        <v>#REF!</v>
      </c>
      <c r="AU261" t="e">
        <f>AND(#REF!,"AAAAAHfXfy4=")</f>
        <v>#REF!</v>
      </c>
      <c r="AV261" t="e">
        <f>AND(#REF!,"AAAAAHfXfy8=")</f>
        <v>#REF!</v>
      </c>
      <c r="AW261" t="e">
        <f>AND(#REF!,"AAAAAHfXfzA=")</f>
        <v>#REF!</v>
      </c>
      <c r="AX261" t="e">
        <f>AND(#REF!,"AAAAAHfXfzE=")</f>
        <v>#REF!</v>
      </c>
      <c r="AY261" t="e">
        <f>AND(#REF!,"AAAAAHfXfzI=")</f>
        <v>#REF!</v>
      </c>
      <c r="AZ261" t="e">
        <f>AND(#REF!,"AAAAAHfXfzM=")</f>
        <v>#REF!</v>
      </c>
      <c r="BA261" t="e">
        <f>AND(#REF!,"AAAAAHfXfzQ=")</f>
        <v>#REF!</v>
      </c>
      <c r="BB261" t="e">
        <f>AND(#REF!,"AAAAAHfXfzU=")</f>
        <v>#REF!</v>
      </c>
      <c r="BC261" t="e">
        <f>AND(#REF!,"AAAAAHfXfzY=")</f>
        <v>#REF!</v>
      </c>
      <c r="BD261" t="e">
        <f>AND(#REF!,"AAAAAHfXfzc=")</f>
        <v>#REF!</v>
      </c>
      <c r="BE261" t="e">
        <f>AND(#REF!,"AAAAAHfXfzg=")</f>
        <v>#REF!</v>
      </c>
      <c r="BF261" t="e">
        <f>AND(#REF!,"AAAAAHfXfzk=")</f>
        <v>#REF!</v>
      </c>
      <c r="BG261" t="e">
        <f>AND(#REF!,"AAAAAHfXfzo=")</f>
        <v>#REF!</v>
      </c>
      <c r="BH261" t="e">
        <f>AND(#REF!,"AAAAAHfXfzs=")</f>
        <v>#REF!</v>
      </c>
      <c r="BI261" t="e">
        <f>AND(#REF!,"AAAAAHfXfzw=")</f>
        <v>#REF!</v>
      </c>
      <c r="BJ261" t="e">
        <f>AND(#REF!,"AAAAAHfXfz0=")</f>
        <v>#REF!</v>
      </c>
      <c r="BK261" t="e">
        <f>AND(#REF!,"AAAAAHfXfz4=")</f>
        <v>#REF!</v>
      </c>
      <c r="BL261" t="e">
        <f>AND(#REF!,"AAAAAHfXfz8=")</f>
        <v>#REF!</v>
      </c>
      <c r="BM261" t="e">
        <f>AND(#REF!,"AAAAAHfXf0A=")</f>
        <v>#REF!</v>
      </c>
      <c r="BN261" t="e">
        <f>AND(#REF!,"AAAAAHfXf0E=")</f>
        <v>#REF!</v>
      </c>
      <c r="BO261" t="e">
        <f>AND(#REF!,"AAAAAHfXf0I=")</f>
        <v>#REF!</v>
      </c>
      <c r="BP261" t="e">
        <f>AND(#REF!,"AAAAAHfXf0M=")</f>
        <v>#REF!</v>
      </c>
      <c r="BQ261" t="e">
        <f>AND(#REF!,"AAAAAHfXf0Q=")</f>
        <v>#REF!</v>
      </c>
      <c r="BR261" t="e">
        <f>AND(#REF!,"AAAAAHfXf0U=")</f>
        <v>#REF!</v>
      </c>
      <c r="BS261" t="e">
        <f>AND(#REF!,"AAAAAHfXf0Y=")</f>
        <v>#REF!</v>
      </c>
      <c r="BT261" t="e">
        <f>AND(#REF!,"AAAAAHfXf0c=")</f>
        <v>#REF!</v>
      </c>
      <c r="BU261" t="e">
        <f>AND(#REF!,"AAAAAHfXf0g=")</f>
        <v>#REF!</v>
      </c>
      <c r="BV261" t="e">
        <f>AND(#REF!,"AAAAAHfXf0k=")</f>
        <v>#REF!</v>
      </c>
      <c r="BW261" t="e">
        <f>AND(#REF!,"AAAAAHfXf0o=")</f>
        <v>#REF!</v>
      </c>
      <c r="BX261" t="e">
        <f>AND(#REF!,"AAAAAHfXf0s=")</f>
        <v>#REF!</v>
      </c>
      <c r="BY261" t="e">
        <f>AND(#REF!,"AAAAAHfXf0w=")</f>
        <v>#REF!</v>
      </c>
      <c r="BZ261" t="e">
        <f>AND(#REF!,"AAAAAHfXf00=")</f>
        <v>#REF!</v>
      </c>
      <c r="CA261" t="e">
        <f>AND(#REF!,"AAAAAHfXf04=")</f>
        <v>#REF!</v>
      </c>
      <c r="CB261" t="e">
        <f>AND(#REF!,"AAAAAHfXf08=")</f>
        <v>#REF!</v>
      </c>
      <c r="CC261" t="e">
        <f>AND(#REF!,"AAAAAHfXf1A=")</f>
        <v>#REF!</v>
      </c>
      <c r="CD261" t="e">
        <f>AND(#REF!,"AAAAAHfXf1E=")</f>
        <v>#REF!</v>
      </c>
      <c r="CE261" t="e">
        <f>AND(#REF!,"AAAAAHfXf1I=")</f>
        <v>#REF!</v>
      </c>
      <c r="CF261" t="e">
        <f>AND(#REF!,"AAAAAHfXf1M=")</f>
        <v>#REF!</v>
      </c>
      <c r="CG261" t="e">
        <f>AND(#REF!,"AAAAAHfXf1Q=")</f>
        <v>#REF!</v>
      </c>
      <c r="CH261" t="e">
        <f>AND(#REF!,"AAAAAHfXf1U=")</f>
        <v>#REF!</v>
      </c>
      <c r="CI261" t="e">
        <f>AND(#REF!,"AAAAAHfXf1Y=")</f>
        <v>#REF!</v>
      </c>
      <c r="CJ261" t="e">
        <f>AND(#REF!,"AAAAAHfXf1c=")</f>
        <v>#REF!</v>
      </c>
      <c r="CK261" t="e">
        <f>AND(#REF!,"AAAAAHfXf1g=")</f>
        <v>#REF!</v>
      </c>
      <c r="CL261" t="e">
        <f>AND(#REF!,"AAAAAHfXf1k=")</f>
        <v>#REF!</v>
      </c>
      <c r="CM261" t="e">
        <f>AND(#REF!,"AAAAAHfXf1o=")</f>
        <v>#REF!</v>
      </c>
      <c r="CN261" t="e">
        <f>AND(#REF!,"AAAAAHfXf1s=")</f>
        <v>#REF!</v>
      </c>
      <c r="CO261" t="e">
        <f>AND(#REF!,"AAAAAHfXf1w=")</f>
        <v>#REF!</v>
      </c>
      <c r="CP261" t="e">
        <f>AND(#REF!,"AAAAAHfXf10=")</f>
        <v>#REF!</v>
      </c>
      <c r="CQ261" t="e">
        <f>AND(#REF!,"AAAAAHfXf14=")</f>
        <v>#REF!</v>
      </c>
      <c r="CR261" t="e">
        <f>AND(#REF!,"AAAAAHfXf18=")</f>
        <v>#REF!</v>
      </c>
      <c r="CS261" t="e">
        <f>AND(#REF!,"AAAAAHfXf2A=")</f>
        <v>#REF!</v>
      </c>
      <c r="CT261" t="e">
        <f>AND(#REF!,"AAAAAHfXf2E=")</f>
        <v>#REF!</v>
      </c>
      <c r="CU261" t="e">
        <f>AND(#REF!,"AAAAAHfXf2I=")</f>
        <v>#REF!</v>
      </c>
      <c r="CV261" t="e">
        <f>AND(#REF!,"AAAAAHfXf2M=")</f>
        <v>#REF!</v>
      </c>
      <c r="CW261" t="e">
        <f>AND(#REF!,"AAAAAHfXf2Q=")</f>
        <v>#REF!</v>
      </c>
      <c r="CX261" t="e">
        <f>AND(#REF!,"AAAAAHfXf2U=")</f>
        <v>#REF!</v>
      </c>
      <c r="CY261" t="e">
        <f>AND(#REF!,"AAAAAHfXf2Y=")</f>
        <v>#REF!</v>
      </c>
      <c r="CZ261" t="e">
        <f>AND(#REF!,"AAAAAHfXf2c=")</f>
        <v>#REF!</v>
      </c>
      <c r="DA261" t="e">
        <f>AND(#REF!,"AAAAAHfXf2g=")</f>
        <v>#REF!</v>
      </c>
      <c r="DB261" t="e">
        <f>AND(#REF!,"AAAAAHfXf2k=")</f>
        <v>#REF!</v>
      </c>
      <c r="DC261" t="e">
        <f>AND(#REF!,"AAAAAHfXf2o=")</f>
        <v>#REF!</v>
      </c>
      <c r="DD261" t="e">
        <f>AND(#REF!,"AAAAAHfXf2s=")</f>
        <v>#REF!</v>
      </c>
      <c r="DE261" t="e">
        <f>AND(#REF!,"AAAAAHfXf2w=")</f>
        <v>#REF!</v>
      </c>
      <c r="DF261" t="e">
        <f>AND(#REF!,"AAAAAHfXf20=")</f>
        <v>#REF!</v>
      </c>
      <c r="DG261" t="e">
        <f>AND(#REF!,"AAAAAHfXf24=")</f>
        <v>#REF!</v>
      </c>
      <c r="DH261" t="e">
        <f>AND(#REF!,"AAAAAHfXf28=")</f>
        <v>#REF!</v>
      </c>
      <c r="DI261" t="e">
        <f>AND(#REF!,"AAAAAHfXf3A=")</f>
        <v>#REF!</v>
      </c>
      <c r="DJ261" t="e">
        <f>AND(#REF!,"AAAAAHfXf3E=")</f>
        <v>#REF!</v>
      </c>
      <c r="DK261" t="e">
        <f>AND(#REF!,"AAAAAHfXf3I=")</f>
        <v>#REF!</v>
      </c>
      <c r="DL261" t="e">
        <f>AND(#REF!,"AAAAAHfXf3M=")</f>
        <v>#REF!</v>
      </c>
      <c r="DM261" t="e">
        <f>AND(#REF!,"AAAAAHfXf3Q=")</f>
        <v>#REF!</v>
      </c>
      <c r="DN261" t="e">
        <f>AND(#REF!,"AAAAAHfXf3U=")</f>
        <v>#REF!</v>
      </c>
      <c r="DO261" t="e">
        <f>AND(#REF!,"AAAAAHfXf3Y=")</f>
        <v>#REF!</v>
      </c>
      <c r="DP261" t="e">
        <f>AND(#REF!,"AAAAAHfXf3c=")</f>
        <v>#REF!</v>
      </c>
      <c r="DQ261" t="e">
        <f>AND(#REF!,"AAAAAHfXf3g=")</f>
        <v>#REF!</v>
      </c>
      <c r="DR261" t="e">
        <f>AND(#REF!,"AAAAAHfXf3k=")</f>
        <v>#REF!</v>
      </c>
      <c r="DS261" t="e">
        <f>AND(#REF!,"AAAAAHfXf3o=")</f>
        <v>#REF!</v>
      </c>
      <c r="DT261" t="e">
        <f>AND(#REF!,"AAAAAHfXf3s=")</f>
        <v>#REF!</v>
      </c>
      <c r="DU261" t="e">
        <f>AND(#REF!,"AAAAAHfXf3w=")</f>
        <v>#REF!</v>
      </c>
      <c r="DV261" t="e">
        <f>AND(#REF!,"AAAAAHfXf30=")</f>
        <v>#REF!</v>
      </c>
      <c r="DW261" t="e">
        <f>AND(#REF!,"AAAAAHfXf34=")</f>
        <v>#REF!</v>
      </c>
      <c r="DX261" t="e">
        <f>AND(#REF!,"AAAAAHfXf38=")</f>
        <v>#REF!</v>
      </c>
      <c r="DY261" t="e">
        <f>AND(#REF!,"AAAAAHfXf4A=")</f>
        <v>#REF!</v>
      </c>
      <c r="DZ261" t="e">
        <f>AND(#REF!,"AAAAAHfXf4E=")</f>
        <v>#REF!</v>
      </c>
      <c r="EA261" t="e">
        <f>AND(#REF!,"AAAAAHfXf4I=")</f>
        <v>#REF!</v>
      </c>
      <c r="EB261" t="e">
        <f>AND(#REF!,"AAAAAHfXf4M=")</f>
        <v>#REF!</v>
      </c>
      <c r="EC261" t="e">
        <f>AND(#REF!,"AAAAAHfXf4Q=")</f>
        <v>#REF!</v>
      </c>
      <c r="ED261" t="e">
        <f>AND(#REF!,"AAAAAHfXf4U=")</f>
        <v>#REF!</v>
      </c>
      <c r="EE261" t="e">
        <f>AND(#REF!,"AAAAAHfXf4Y=")</f>
        <v>#REF!</v>
      </c>
      <c r="EF261" t="e">
        <f>AND(#REF!,"AAAAAHfXf4c=")</f>
        <v>#REF!</v>
      </c>
      <c r="EG261" t="e">
        <f>AND(#REF!,"AAAAAHfXf4g=")</f>
        <v>#REF!</v>
      </c>
      <c r="EH261" t="e">
        <f>AND(#REF!,"AAAAAHfXf4k=")</f>
        <v>#REF!</v>
      </c>
      <c r="EI261" t="e">
        <f>AND(#REF!,"AAAAAHfXf4o=")</f>
        <v>#REF!</v>
      </c>
      <c r="EJ261" t="e">
        <f>AND(#REF!,"AAAAAHfXf4s=")</f>
        <v>#REF!</v>
      </c>
      <c r="EK261" t="e">
        <f>AND(#REF!,"AAAAAHfXf4w=")</f>
        <v>#REF!</v>
      </c>
      <c r="EL261" t="e">
        <f>AND(#REF!,"AAAAAHfXf40=")</f>
        <v>#REF!</v>
      </c>
      <c r="EM261" t="e">
        <f>AND(#REF!,"AAAAAHfXf44=")</f>
        <v>#REF!</v>
      </c>
      <c r="EN261" t="e">
        <f>AND(#REF!,"AAAAAHfXf48=")</f>
        <v>#REF!</v>
      </c>
      <c r="EO261" t="e">
        <f>AND(#REF!,"AAAAAHfXf5A=")</f>
        <v>#REF!</v>
      </c>
      <c r="EP261" t="e">
        <f>AND(#REF!,"AAAAAHfXf5E=")</f>
        <v>#REF!</v>
      </c>
      <c r="EQ261" t="e">
        <f>AND(#REF!,"AAAAAHfXf5I=")</f>
        <v>#REF!</v>
      </c>
      <c r="ER261" t="e">
        <f>AND(#REF!,"AAAAAHfXf5M=")</f>
        <v>#REF!</v>
      </c>
      <c r="ES261" t="e">
        <f>AND(#REF!,"AAAAAHfXf5Q=")</f>
        <v>#REF!</v>
      </c>
      <c r="ET261" t="e">
        <f>IF(#REF!,"AAAAAHfXf5U=",0)</f>
        <v>#REF!</v>
      </c>
      <c r="EU261" t="e">
        <f>AND(#REF!,"AAAAAHfXf5Y=")</f>
        <v>#REF!</v>
      </c>
      <c r="EV261" t="e">
        <f>AND(#REF!,"AAAAAHfXf5c=")</f>
        <v>#REF!</v>
      </c>
      <c r="EW261" t="e">
        <f>AND(#REF!,"AAAAAHfXf5g=")</f>
        <v>#REF!</v>
      </c>
      <c r="EX261" t="e">
        <f>AND(#REF!,"AAAAAHfXf5k=")</f>
        <v>#REF!</v>
      </c>
      <c r="EY261" t="e">
        <f>AND(#REF!,"AAAAAHfXf5o=")</f>
        <v>#REF!</v>
      </c>
      <c r="EZ261" t="e">
        <f>AND(#REF!,"AAAAAHfXf5s=")</f>
        <v>#REF!</v>
      </c>
      <c r="FA261" t="e">
        <f>AND(#REF!,"AAAAAHfXf5w=")</f>
        <v>#REF!</v>
      </c>
      <c r="FB261" t="e">
        <f>AND(#REF!,"AAAAAHfXf50=")</f>
        <v>#REF!</v>
      </c>
      <c r="FC261" t="e">
        <f>AND(#REF!,"AAAAAHfXf54=")</f>
        <v>#REF!</v>
      </c>
      <c r="FD261" t="e">
        <f>AND(#REF!,"AAAAAHfXf58=")</f>
        <v>#REF!</v>
      </c>
      <c r="FE261" t="e">
        <f>AND(#REF!,"AAAAAHfXf6A=")</f>
        <v>#REF!</v>
      </c>
      <c r="FF261" t="e">
        <f>AND(#REF!,"AAAAAHfXf6E=")</f>
        <v>#REF!</v>
      </c>
      <c r="FG261" t="e">
        <f>AND(#REF!,"AAAAAHfXf6I=")</f>
        <v>#REF!</v>
      </c>
      <c r="FH261" t="e">
        <f>AND(#REF!,"AAAAAHfXf6M=")</f>
        <v>#REF!</v>
      </c>
      <c r="FI261" t="e">
        <f>AND(#REF!,"AAAAAHfXf6Q=")</f>
        <v>#REF!</v>
      </c>
      <c r="FJ261" t="e">
        <f>AND(#REF!,"AAAAAHfXf6U=")</f>
        <v>#REF!</v>
      </c>
      <c r="FK261" t="e">
        <f>AND(#REF!,"AAAAAHfXf6Y=")</f>
        <v>#REF!</v>
      </c>
      <c r="FL261" t="e">
        <f>AND(#REF!,"AAAAAHfXf6c=")</f>
        <v>#REF!</v>
      </c>
      <c r="FM261" t="e">
        <f>AND(#REF!,"AAAAAHfXf6g=")</f>
        <v>#REF!</v>
      </c>
      <c r="FN261" t="e">
        <f>AND(#REF!,"AAAAAHfXf6k=")</f>
        <v>#REF!</v>
      </c>
      <c r="FO261" t="e">
        <f>AND(#REF!,"AAAAAHfXf6o=")</f>
        <v>#REF!</v>
      </c>
      <c r="FP261" t="e">
        <f>AND(#REF!,"AAAAAHfXf6s=")</f>
        <v>#REF!</v>
      </c>
      <c r="FQ261" t="e">
        <f>AND(#REF!,"AAAAAHfXf6w=")</f>
        <v>#REF!</v>
      </c>
      <c r="FR261" t="e">
        <f>AND(#REF!,"AAAAAHfXf60=")</f>
        <v>#REF!</v>
      </c>
      <c r="FS261" t="e">
        <f>AND(#REF!,"AAAAAHfXf64=")</f>
        <v>#REF!</v>
      </c>
      <c r="FT261" t="e">
        <f>AND(#REF!,"AAAAAHfXf68=")</f>
        <v>#REF!</v>
      </c>
      <c r="FU261" t="e">
        <f>AND(#REF!,"AAAAAHfXf7A=")</f>
        <v>#REF!</v>
      </c>
      <c r="FV261" t="e">
        <f>AND(#REF!,"AAAAAHfXf7E=")</f>
        <v>#REF!</v>
      </c>
      <c r="FW261" t="e">
        <f>AND(#REF!,"AAAAAHfXf7I=")</f>
        <v>#REF!</v>
      </c>
      <c r="FX261" t="e">
        <f>AND(#REF!,"AAAAAHfXf7M=")</f>
        <v>#REF!</v>
      </c>
      <c r="FY261" t="e">
        <f>AND(#REF!,"AAAAAHfXf7Q=")</f>
        <v>#REF!</v>
      </c>
      <c r="FZ261" t="e">
        <f>AND(#REF!,"AAAAAHfXf7U=")</f>
        <v>#REF!</v>
      </c>
      <c r="GA261" t="e">
        <f>AND(#REF!,"AAAAAHfXf7Y=")</f>
        <v>#REF!</v>
      </c>
      <c r="GB261" t="e">
        <f>AND(#REF!,"AAAAAHfXf7c=")</f>
        <v>#REF!</v>
      </c>
      <c r="GC261" t="e">
        <f>AND(#REF!,"AAAAAHfXf7g=")</f>
        <v>#REF!</v>
      </c>
      <c r="GD261" t="e">
        <f>AND(#REF!,"AAAAAHfXf7k=")</f>
        <v>#REF!</v>
      </c>
      <c r="GE261" t="e">
        <f>AND(#REF!,"AAAAAHfXf7o=")</f>
        <v>#REF!</v>
      </c>
      <c r="GF261" t="e">
        <f>AND(#REF!,"AAAAAHfXf7s=")</f>
        <v>#REF!</v>
      </c>
      <c r="GG261" t="e">
        <f>AND(#REF!,"AAAAAHfXf7w=")</f>
        <v>#REF!</v>
      </c>
      <c r="GH261" t="e">
        <f>AND(#REF!,"AAAAAHfXf70=")</f>
        <v>#REF!</v>
      </c>
      <c r="GI261" t="e">
        <f>AND(#REF!,"AAAAAHfXf74=")</f>
        <v>#REF!</v>
      </c>
      <c r="GJ261" t="e">
        <f>AND(#REF!,"AAAAAHfXf78=")</f>
        <v>#REF!</v>
      </c>
      <c r="GK261" t="e">
        <f>AND(#REF!,"AAAAAHfXf8A=")</f>
        <v>#REF!</v>
      </c>
      <c r="GL261" t="e">
        <f>AND(#REF!,"AAAAAHfXf8E=")</f>
        <v>#REF!</v>
      </c>
      <c r="GM261" t="e">
        <f>AND(#REF!,"AAAAAHfXf8I=")</f>
        <v>#REF!</v>
      </c>
      <c r="GN261" t="e">
        <f>AND(#REF!,"AAAAAHfXf8M=")</f>
        <v>#REF!</v>
      </c>
      <c r="GO261" t="e">
        <f>AND(#REF!,"AAAAAHfXf8Q=")</f>
        <v>#REF!</v>
      </c>
      <c r="GP261" t="e">
        <f>AND(#REF!,"AAAAAHfXf8U=")</f>
        <v>#REF!</v>
      </c>
      <c r="GQ261" t="e">
        <f>AND(#REF!,"AAAAAHfXf8Y=")</f>
        <v>#REF!</v>
      </c>
      <c r="GR261" t="e">
        <f>AND(#REF!,"AAAAAHfXf8c=")</f>
        <v>#REF!</v>
      </c>
      <c r="GS261" t="e">
        <f>AND(#REF!,"AAAAAHfXf8g=")</f>
        <v>#REF!</v>
      </c>
      <c r="GT261" t="e">
        <f>AND(#REF!,"AAAAAHfXf8k=")</f>
        <v>#REF!</v>
      </c>
      <c r="GU261" t="e">
        <f>AND(#REF!,"AAAAAHfXf8o=")</f>
        <v>#REF!</v>
      </c>
      <c r="GV261" t="e">
        <f>AND(#REF!,"AAAAAHfXf8s=")</f>
        <v>#REF!</v>
      </c>
      <c r="GW261" t="e">
        <f>AND(#REF!,"AAAAAHfXf8w=")</f>
        <v>#REF!</v>
      </c>
      <c r="GX261" t="e">
        <f>AND(#REF!,"AAAAAHfXf80=")</f>
        <v>#REF!</v>
      </c>
      <c r="GY261" t="e">
        <f>AND(#REF!,"AAAAAHfXf84=")</f>
        <v>#REF!</v>
      </c>
      <c r="GZ261" t="e">
        <f>AND(#REF!,"AAAAAHfXf88=")</f>
        <v>#REF!</v>
      </c>
      <c r="HA261" t="e">
        <f>AND(#REF!,"AAAAAHfXf9A=")</f>
        <v>#REF!</v>
      </c>
      <c r="HB261" t="e">
        <f>AND(#REF!,"AAAAAHfXf9E=")</f>
        <v>#REF!</v>
      </c>
      <c r="HC261" t="e">
        <f>AND(#REF!,"AAAAAHfXf9I=")</f>
        <v>#REF!</v>
      </c>
      <c r="HD261" t="e">
        <f>AND(#REF!,"AAAAAHfXf9M=")</f>
        <v>#REF!</v>
      </c>
      <c r="HE261" t="e">
        <f>AND(#REF!,"AAAAAHfXf9Q=")</f>
        <v>#REF!</v>
      </c>
      <c r="HF261" t="e">
        <f>AND(#REF!,"AAAAAHfXf9U=")</f>
        <v>#REF!</v>
      </c>
      <c r="HG261" t="e">
        <f>AND(#REF!,"AAAAAHfXf9Y=")</f>
        <v>#REF!</v>
      </c>
      <c r="HH261" t="e">
        <f>AND(#REF!,"AAAAAHfXf9c=")</f>
        <v>#REF!</v>
      </c>
      <c r="HI261" t="e">
        <f>AND(#REF!,"AAAAAHfXf9g=")</f>
        <v>#REF!</v>
      </c>
      <c r="HJ261" t="e">
        <f>AND(#REF!,"AAAAAHfXf9k=")</f>
        <v>#REF!</v>
      </c>
      <c r="HK261" t="e">
        <f>AND(#REF!,"AAAAAHfXf9o=")</f>
        <v>#REF!</v>
      </c>
      <c r="HL261" t="e">
        <f>AND(#REF!,"AAAAAHfXf9s=")</f>
        <v>#REF!</v>
      </c>
      <c r="HM261" t="e">
        <f>AND(#REF!,"AAAAAHfXf9w=")</f>
        <v>#REF!</v>
      </c>
      <c r="HN261" t="e">
        <f>AND(#REF!,"AAAAAHfXf90=")</f>
        <v>#REF!</v>
      </c>
      <c r="HO261" t="e">
        <f>AND(#REF!,"AAAAAHfXf94=")</f>
        <v>#REF!</v>
      </c>
      <c r="HP261" t="e">
        <f>AND(#REF!,"AAAAAHfXf98=")</f>
        <v>#REF!</v>
      </c>
      <c r="HQ261" t="e">
        <f>AND(#REF!,"AAAAAHfXf+A=")</f>
        <v>#REF!</v>
      </c>
      <c r="HR261" t="e">
        <f>AND(#REF!,"AAAAAHfXf+E=")</f>
        <v>#REF!</v>
      </c>
      <c r="HS261" t="e">
        <f>AND(#REF!,"AAAAAHfXf+I=")</f>
        <v>#REF!</v>
      </c>
      <c r="HT261" t="e">
        <f>AND(#REF!,"AAAAAHfXf+M=")</f>
        <v>#REF!</v>
      </c>
      <c r="HU261" t="e">
        <f>AND(#REF!,"AAAAAHfXf+Q=")</f>
        <v>#REF!</v>
      </c>
      <c r="HV261" t="e">
        <f>AND(#REF!,"AAAAAHfXf+U=")</f>
        <v>#REF!</v>
      </c>
      <c r="HW261" t="e">
        <f>AND(#REF!,"AAAAAHfXf+Y=")</f>
        <v>#REF!</v>
      </c>
      <c r="HX261" t="e">
        <f>AND(#REF!,"AAAAAHfXf+c=")</f>
        <v>#REF!</v>
      </c>
      <c r="HY261" t="e">
        <f>AND(#REF!,"AAAAAHfXf+g=")</f>
        <v>#REF!</v>
      </c>
      <c r="HZ261" t="e">
        <f>AND(#REF!,"AAAAAHfXf+k=")</f>
        <v>#REF!</v>
      </c>
      <c r="IA261" t="e">
        <f>AND(#REF!,"AAAAAHfXf+o=")</f>
        <v>#REF!</v>
      </c>
      <c r="IB261" t="e">
        <f>AND(#REF!,"AAAAAHfXf+s=")</f>
        <v>#REF!</v>
      </c>
      <c r="IC261" t="e">
        <f>AND(#REF!,"AAAAAHfXf+w=")</f>
        <v>#REF!</v>
      </c>
      <c r="ID261" t="e">
        <f>AND(#REF!,"AAAAAHfXf+0=")</f>
        <v>#REF!</v>
      </c>
      <c r="IE261" t="e">
        <f>AND(#REF!,"AAAAAHfXf+4=")</f>
        <v>#REF!</v>
      </c>
      <c r="IF261" t="e">
        <f>AND(#REF!,"AAAAAHfXf+8=")</f>
        <v>#REF!</v>
      </c>
      <c r="IG261" t="e">
        <f>AND(#REF!,"AAAAAHfXf/A=")</f>
        <v>#REF!</v>
      </c>
      <c r="IH261" t="e">
        <f>AND(#REF!,"AAAAAHfXf/E=")</f>
        <v>#REF!</v>
      </c>
      <c r="II261" t="e">
        <f>AND(#REF!,"AAAAAHfXf/I=")</f>
        <v>#REF!</v>
      </c>
      <c r="IJ261" t="e">
        <f>AND(#REF!,"AAAAAHfXf/M=")</f>
        <v>#REF!</v>
      </c>
      <c r="IK261" t="e">
        <f>AND(#REF!,"AAAAAHfXf/Q=")</f>
        <v>#REF!</v>
      </c>
      <c r="IL261" t="e">
        <f>AND(#REF!,"AAAAAHfXf/U=")</f>
        <v>#REF!</v>
      </c>
      <c r="IM261" t="e">
        <f>AND(#REF!,"AAAAAHfXf/Y=")</f>
        <v>#REF!</v>
      </c>
      <c r="IN261" t="e">
        <f>AND(#REF!,"AAAAAHfXf/c=")</f>
        <v>#REF!</v>
      </c>
      <c r="IO261" t="e">
        <f>AND(#REF!,"AAAAAHfXf/g=")</f>
        <v>#REF!</v>
      </c>
      <c r="IP261" t="e">
        <f>AND(#REF!,"AAAAAHfXf/k=")</f>
        <v>#REF!</v>
      </c>
      <c r="IQ261" t="e">
        <f>AND(#REF!,"AAAAAHfXf/o=")</f>
        <v>#REF!</v>
      </c>
      <c r="IR261" t="e">
        <f>AND(#REF!,"AAAAAHfXf/s=")</f>
        <v>#REF!</v>
      </c>
      <c r="IS261" t="e">
        <f>AND(#REF!,"AAAAAHfXf/w=")</f>
        <v>#REF!</v>
      </c>
      <c r="IT261" t="e">
        <f>AND(#REF!,"AAAAAHfXf/0=")</f>
        <v>#REF!</v>
      </c>
      <c r="IU261" t="e">
        <f>AND(#REF!,"AAAAAHfXf/4=")</f>
        <v>#REF!</v>
      </c>
      <c r="IV261" t="e">
        <f>AND(#REF!,"AAAAAHfXf/8=")</f>
        <v>#REF!</v>
      </c>
    </row>
    <row r="262" spans="1:256" x14ac:dyDescent="0.25">
      <c r="A262" t="e">
        <f>AND(#REF!,"AAAAAH9P3gA=")</f>
        <v>#REF!</v>
      </c>
      <c r="B262" t="e">
        <f>AND(#REF!,"AAAAAH9P3gE=")</f>
        <v>#REF!</v>
      </c>
      <c r="C262" t="e">
        <f>AND(#REF!,"AAAAAH9P3gI=")</f>
        <v>#REF!</v>
      </c>
      <c r="D262" t="e">
        <f>AND(#REF!,"AAAAAH9P3gM=")</f>
        <v>#REF!</v>
      </c>
      <c r="E262" t="e">
        <f>AND(#REF!,"AAAAAH9P3gQ=")</f>
        <v>#REF!</v>
      </c>
      <c r="F262" t="e">
        <f>AND(#REF!,"AAAAAH9P3gU=")</f>
        <v>#REF!</v>
      </c>
      <c r="G262" t="e">
        <f>AND(#REF!,"AAAAAH9P3gY=")</f>
        <v>#REF!</v>
      </c>
      <c r="H262" t="e">
        <f>AND(#REF!,"AAAAAH9P3gc=")</f>
        <v>#REF!</v>
      </c>
      <c r="I262" t="e">
        <f>AND(#REF!,"AAAAAH9P3gg=")</f>
        <v>#REF!</v>
      </c>
      <c r="J262" t="e">
        <f>AND(#REF!,"AAAAAH9P3gk=")</f>
        <v>#REF!</v>
      </c>
      <c r="K262" t="e">
        <f>AND(#REF!,"AAAAAH9P3go=")</f>
        <v>#REF!</v>
      </c>
      <c r="L262" t="e">
        <f>AND(#REF!,"AAAAAH9P3gs=")</f>
        <v>#REF!</v>
      </c>
      <c r="M262" t="e">
        <f>AND(#REF!,"AAAAAH9P3gw=")</f>
        <v>#REF!</v>
      </c>
      <c r="N262" t="e">
        <f>AND(#REF!,"AAAAAH9P3g0=")</f>
        <v>#REF!</v>
      </c>
      <c r="O262" t="e">
        <f>AND(#REF!,"AAAAAH9P3g4=")</f>
        <v>#REF!</v>
      </c>
      <c r="P262" t="e">
        <f>AND(#REF!,"AAAAAH9P3g8=")</f>
        <v>#REF!</v>
      </c>
      <c r="Q262" t="e">
        <f>AND(#REF!,"AAAAAH9P3hA=")</f>
        <v>#REF!</v>
      </c>
      <c r="R262" t="e">
        <f>AND(#REF!,"AAAAAH9P3hE=")</f>
        <v>#REF!</v>
      </c>
      <c r="S262" t="e">
        <f>AND(#REF!,"AAAAAH9P3hI=")</f>
        <v>#REF!</v>
      </c>
      <c r="T262" t="e">
        <f>AND(#REF!,"AAAAAH9P3hM=")</f>
        <v>#REF!</v>
      </c>
      <c r="U262" t="e">
        <f>AND(#REF!,"AAAAAH9P3hQ=")</f>
        <v>#REF!</v>
      </c>
      <c r="V262" t="e">
        <f>AND(#REF!,"AAAAAH9P3hU=")</f>
        <v>#REF!</v>
      </c>
      <c r="W262" t="e">
        <f>AND(#REF!,"AAAAAH9P3hY=")</f>
        <v>#REF!</v>
      </c>
      <c r="X262" t="e">
        <f>AND(#REF!,"AAAAAH9P3hc=")</f>
        <v>#REF!</v>
      </c>
      <c r="Y262" t="e">
        <f>AND(#REF!,"AAAAAH9P3hg=")</f>
        <v>#REF!</v>
      </c>
      <c r="Z262" t="e">
        <f>AND(#REF!,"AAAAAH9P3hk=")</f>
        <v>#REF!</v>
      </c>
      <c r="AA262" t="e">
        <f>AND(#REF!,"AAAAAH9P3ho=")</f>
        <v>#REF!</v>
      </c>
      <c r="AB262" t="e">
        <f>AND(#REF!,"AAAAAH9P3hs=")</f>
        <v>#REF!</v>
      </c>
      <c r="AC262" t="e">
        <f>AND(#REF!,"AAAAAH9P3hw=")</f>
        <v>#REF!</v>
      </c>
      <c r="AD262" t="e">
        <f>AND(#REF!,"AAAAAH9P3h0=")</f>
        <v>#REF!</v>
      </c>
      <c r="AE262" t="e">
        <f>AND(#REF!,"AAAAAH9P3h4=")</f>
        <v>#REF!</v>
      </c>
      <c r="AF262" t="e">
        <f>AND(#REF!,"AAAAAH9P3h8=")</f>
        <v>#REF!</v>
      </c>
      <c r="AG262" t="e">
        <f>AND(#REF!,"AAAAAH9P3iA=")</f>
        <v>#REF!</v>
      </c>
      <c r="AH262" t="e">
        <f>AND(#REF!,"AAAAAH9P3iE=")</f>
        <v>#REF!</v>
      </c>
      <c r="AI262" t="e">
        <f>AND(#REF!,"AAAAAH9P3iI=")</f>
        <v>#REF!</v>
      </c>
      <c r="AJ262" t="e">
        <f>AND(#REF!,"AAAAAH9P3iM=")</f>
        <v>#REF!</v>
      </c>
      <c r="AK262" t="e">
        <f>AND(#REF!,"AAAAAH9P3iQ=")</f>
        <v>#REF!</v>
      </c>
      <c r="AL262" t="e">
        <f>AND(#REF!,"AAAAAH9P3iU=")</f>
        <v>#REF!</v>
      </c>
      <c r="AM262" t="e">
        <f>AND(#REF!,"AAAAAH9P3iY=")</f>
        <v>#REF!</v>
      </c>
      <c r="AN262" t="e">
        <f>AND(#REF!,"AAAAAH9P3ic=")</f>
        <v>#REF!</v>
      </c>
      <c r="AO262" t="e">
        <f>AND(#REF!,"AAAAAH9P3ig=")</f>
        <v>#REF!</v>
      </c>
      <c r="AP262" t="e">
        <f>AND(#REF!,"AAAAAH9P3ik=")</f>
        <v>#REF!</v>
      </c>
      <c r="AQ262" t="e">
        <f>AND(#REF!,"AAAAAH9P3io=")</f>
        <v>#REF!</v>
      </c>
      <c r="AR262" t="e">
        <f>AND(#REF!,"AAAAAH9P3is=")</f>
        <v>#REF!</v>
      </c>
      <c r="AS262" t="e">
        <f>AND(#REF!,"AAAAAH9P3iw=")</f>
        <v>#REF!</v>
      </c>
      <c r="AT262" t="e">
        <f>AND(#REF!,"AAAAAH9P3i0=")</f>
        <v>#REF!</v>
      </c>
      <c r="AU262" t="e">
        <f>AND(#REF!,"AAAAAH9P3i4=")</f>
        <v>#REF!</v>
      </c>
      <c r="AV262" t="e">
        <f>AND(#REF!,"AAAAAH9P3i8=")</f>
        <v>#REF!</v>
      </c>
      <c r="AW262" t="e">
        <f>AND(#REF!,"AAAAAH9P3jA=")</f>
        <v>#REF!</v>
      </c>
      <c r="AX262" t="e">
        <f>AND(#REF!,"AAAAAH9P3jE=")</f>
        <v>#REF!</v>
      </c>
      <c r="AY262" t="e">
        <f>AND(#REF!,"AAAAAH9P3jI=")</f>
        <v>#REF!</v>
      </c>
      <c r="AZ262" t="e">
        <f>AND(#REF!,"AAAAAH9P3jM=")</f>
        <v>#REF!</v>
      </c>
      <c r="BA262" t="e">
        <f>AND(#REF!,"AAAAAH9P3jQ=")</f>
        <v>#REF!</v>
      </c>
      <c r="BB262" t="e">
        <f>AND(#REF!,"AAAAAH9P3jU=")</f>
        <v>#REF!</v>
      </c>
      <c r="BC262" t="e">
        <f>AND(#REF!,"AAAAAH9P3jY=")</f>
        <v>#REF!</v>
      </c>
      <c r="BD262" t="e">
        <f>AND(#REF!,"AAAAAH9P3jc=")</f>
        <v>#REF!</v>
      </c>
      <c r="BE262" t="e">
        <f>AND(#REF!,"AAAAAH9P3jg=")</f>
        <v>#REF!</v>
      </c>
      <c r="BF262" t="e">
        <f>AND(#REF!,"AAAAAH9P3jk=")</f>
        <v>#REF!</v>
      </c>
      <c r="BG262" t="e">
        <f>AND(#REF!,"AAAAAH9P3jo=")</f>
        <v>#REF!</v>
      </c>
      <c r="BH262" t="e">
        <f>AND(#REF!,"AAAAAH9P3js=")</f>
        <v>#REF!</v>
      </c>
      <c r="BI262" t="e">
        <f>AND(#REF!,"AAAAAH9P3jw=")</f>
        <v>#REF!</v>
      </c>
      <c r="BJ262" t="e">
        <f>AND(#REF!,"AAAAAH9P3j0=")</f>
        <v>#REF!</v>
      </c>
      <c r="BK262" t="e">
        <f>AND(#REF!,"AAAAAH9P3j4=")</f>
        <v>#REF!</v>
      </c>
      <c r="BL262" t="e">
        <f>AND(#REF!,"AAAAAH9P3j8=")</f>
        <v>#REF!</v>
      </c>
      <c r="BM262" t="e">
        <f>AND(#REF!,"AAAAAH9P3kA=")</f>
        <v>#REF!</v>
      </c>
      <c r="BN262" t="e">
        <f>AND(#REF!,"AAAAAH9P3kE=")</f>
        <v>#REF!</v>
      </c>
      <c r="BO262" t="e">
        <f>AND(#REF!,"AAAAAH9P3kI=")</f>
        <v>#REF!</v>
      </c>
      <c r="BP262" t="e">
        <f>AND(#REF!,"AAAAAH9P3kM=")</f>
        <v>#REF!</v>
      </c>
      <c r="BQ262" t="e">
        <f>AND(#REF!,"AAAAAH9P3kQ=")</f>
        <v>#REF!</v>
      </c>
      <c r="BR262" t="e">
        <f>AND(#REF!,"AAAAAH9P3kU=")</f>
        <v>#REF!</v>
      </c>
      <c r="BS262" t="e">
        <f>AND(#REF!,"AAAAAH9P3kY=")</f>
        <v>#REF!</v>
      </c>
      <c r="BT262" t="e">
        <f>AND(#REF!,"AAAAAH9P3kc=")</f>
        <v>#REF!</v>
      </c>
      <c r="BU262" t="e">
        <f>AND(#REF!,"AAAAAH9P3kg=")</f>
        <v>#REF!</v>
      </c>
      <c r="BV262" t="e">
        <f>AND(#REF!,"AAAAAH9P3kk=")</f>
        <v>#REF!</v>
      </c>
      <c r="BW262" t="e">
        <f>AND(#REF!,"AAAAAH9P3ko=")</f>
        <v>#REF!</v>
      </c>
      <c r="BX262" t="e">
        <f>AND(#REF!,"AAAAAH9P3ks=")</f>
        <v>#REF!</v>
      </c>
      <c r="BY262" t="e">
        <f>AND(#REF!,"AAAAAH9P3kw=")</f>
        <v>#REF!</v>
      </c>
      <c r="BZ262" t="e">
        <f>AND(#REF!,"AAAAAH9P3k0=")</f>
        <v>#REF!</v>
      </c>
      <c r="CA262" t="e">
        <f>AND(#REF!,"AAAAAH9P3k4=")</f>
        <v>#REF!</v>
      </c>
      <c r="CB262" t="e">
        <f>AND(#REF!,"AAAAAH9P3k8=")</f>
        <v>#REF!</v>
      </c>
      <c r="CC262" t="e">
        <f>AND(#REF!,"AAAAAH9P3lA=")</f>
        <v>#REF!</v>
      </c>
      <c r="CD262" t="e">
        <f>AND(#REF!,"AAAAAH9P3lE=")</f>
        <v>#REF!</v>
      </c>
      <c r="CE262" t="e">
        <f>IF(#REF!,"AAAAAH9P3lI=",0)</f>
        <v>#REF!</v>
      </c>
      <c r="CF262" t="e">
        <f>AND(#REF!,"AAAAAH9P3lM=")</f>
        <v>#REF!</v>
      </c>
      <c r="CG262" t="e">
        <f>AND(#REF!,"AAAAAH9P3lQ=")</f>
        <v>#REF!</v>
      </c>
      <c r="CH262" t="e">
        <f>AND(#REF!,"AAAAAH9P3lU=")</f>
        <v>#REF!</v>
      </c>
      <c r="CI262" t="e">
        <f>AND(#REF!,"AAAAAH9P3lY=")</f>
        <v>#REF!</v>
      </c>
      <c r="CJ262" t="e">
        <f>AND(#REF!,"AAAAAH9P3lc=")</f>
        <v>#REF!</v>
      </c>
      <c r="CK262" t="e">
        <f>AND(#REF!,"AAAAAH9P3lg=")</f>
        <v>#REF!</v>
      </c>
      <c r="CL262" t="e">
        <f>AND(#REF!,"AAAAAH9P3lk=")</f>
        <v>#REF!</v>
      </c>
      <c r="CM262" t="e">
        <f>AND(#REF!,"AAAAAH9P3lo=")</f>
        <v>#REF!</v>
      </c>
      <c r="CN262" t="e">
        <f>AND(#REF!,"AAAAAH9P3ls=")</f>
        <v>#REF!</v>
      </c>
      <c r="CO262" t="e">
        <f>AND(#REF!,"AAAAAH9P3lw=")</f>
        <v>#REF!</v>
      </c>
      <c r="CP262" t="e">
        <f>AND(#REF!,"AAAAAH9P3l0=")</f>
        <v>#REF!</v>
      </c>
      <c r="CQ262" t="e">
        <f>AND(#REF!,"AAAAAH9P3l4=")</f>
        <v>#REF!</v>
      </c>
      <c r="CR262" t="e">
        <f>AND(#REF!,"AAAAAH9P3l8=")</f>
        <v>#REF!</v>
      </c>
      <c r="CS262" t="e">
        <f>AND(#REF!,"AAAAAH9P3mA=")</f>
        <v>#REF!</v>
      </c>
      <c r="CT262" t="e">
        <f>AND(#REF!,"AAAAAH9P3mE=")</f>
        <v>#REF!</v>
      </c>
      <c r="CU262" t="e">
        <f>AND(#REF!,"AAAAAH9P3mI=")</f>
        <v>#REF!</v>
      </c>
      <c r="CV262" t="e">
        <f>AND(#REF!,"AAAAAH9P3mM=")</f>
        <v>#REF!</v>
      </c>
      <c r="CW262" t="e">
        <f>AND(#REF!,"AAAAAH9P3mQ=")</f>
        <v>#REF!</v>
      </c>
      <c r="CX262" t="e">
        <f>AND(#REF!,"AAAAAH9P3mU=")</f>
        <v>#REF!</v>
      </c>
      <c r="CY262" t="e">
        <f>AND(#REF!,"AAAAAH9P3mY=")</f>
        <v>#REF!</v>
      </c>
      <c r="CZ262" t="e">
        <f>AND(#REF!,"AAAAAH9P3mc=")</f>
        <v>#REF!</v>
      </c>
      <c r="DA262" t="e">
        <f>AND(#REF!,"AAAAAH9P3mg=")</f>
        <v>#REF!</v>
      </c>
      <c r="DB262" t="e">
        <f>AND(#REF!,"AAAAAH9P3mk=")</f>
        <v>#REF!</v>
      </c>
      <c r="DC262" t="e">
        <f>AND(#REF!,"AAAAAH9P3mo=")</f>
        <v>#REF!</v>
      </c>
      <c r="DD262" t="e">
        <f>AND(#REF!,"AAAAAH9P3ms=")</f>
        <v>#REF!</v>
      </c>
      <c r="DE262" t="e">
        <f>AND(#REF!,"AAAAAH9P3mw=")</f>
        <v>#REF!</v>
      </c>
      <c r="DF262" t="e">
        <f>AND(#REF!,"AAAAAH9P3m0=")</f>
        <v>#REF!</v>
      </c>
      <c r="DG262" t="e">
        <f>AND(#REF!,"AAAAAH9P3m4=")</f>
        <v>#REF!</v>
      </c>
      <c r="DH262" t="e">
        <f>AND(#REF!,"AAAAAH9P3m8=")</f>
        <v>#REF!</v>
      </c>
      <c r="DI262" t="e">
        <f>AND(#REF!,"AAAAAH9P3nA=")</f>
        <v>#REF!</v>
      </c>
      <c r="DJ262" t="e">
        <f>AND(#REF!,"AAAAAH9P3nE=")</f>
        <v>#REF!</v>
      </c>
      <c r="DK262" t="e">
        <f>AND(#REF!,"AAAAAH9P3nI=")</f>
        <v>#REF!</v>
      </c>
      <c r="DL262" t="e">
        <f>AND(#REF!,"AAAAAH9P3nM=")</f>
        <v>#REF!</v>
      </c>
      <c r="DM262" t="e">
        <f>AND(#REF!,"AAAAAH9P3nQ=")</f>
        <v>#REF!</v>
      </c>
      <c r="DN262" t="e">
        <f>AND(#REF!,"AAAAAH9P3nU=")</f>
        <v>#REF!</v>
      </c>
      <c r="DO262" t="e">
        <f>AND(#REF!,"AAAAAH9P3nY=")</f>
        <v>#REF!</v>
      </c>
      <c r="DP262" t="e">
        <f>AND(#REF!,"AAAAAH9P3nc=")</f>
        <v>#REF!</v>
      </c>
      <c r="DQ262" t="e">
        <f>AND(#REF!,"AAAAAH9P3ng=")</f>
        <v>#REF!</v>
      </c>
      <c r="DR262" t="e">
        <f>AND(#REF!,"AAAAAH9P3nk=")</f>
        <v>#REF!</v>
      </c>
      <c r="DS262" t="e">
        <f>AND(#REF!,"AAAAAH9P3no=")</f>
        <v>#REF!</v>
      </c>
      <c r="DT262" t="e">
        <f>AND(#REF!,"AAAAAH9P3ns=")</f>
        <v>#REF!</v>
      </c>
      <c r="DU262" t="e">
        <f>AND(#REF!,"AAAAAH9P3nw=")</f>
        <v>#REF!</v>
      </c>
      <c r="DV262" t="e">
        <f>AND(#REF!,"AAAAAH9P3n0=")</f>
        <v>#REF!</v>
      </c>
      <c r="DW262" t="e">
        <f>AND(#REF!,"AAAAAH9P3n4=")</f>
        <v>#REF!</v>
      </c>
      <c r="DX262" t="e">
        <f>AND(#REF!,"AAAAAH9P3n8=")</f>
        <v>#REF!</v>
      </c>
      <c r="DY262" t="e">
        <f>AND(#REF!,"AAAAAH9P3oA=")</f>
        <v>#REF!</v>
      </c>
      <c r="DZ262" t="e">
        <f>AND(#REF!,"AAAAAH9P3oE=")</f>
        <v>#REF!</v>
      </c>
      <c r="EA262" t="e">
        <f>AND(#REF!,"AAAAAH9P3oI=")</f>
        <v>#REF!</v>
      </c>
      <c r="EB262" t="e">
        <f>AND(#REF!,"AAAAAH9P3oM=")</f>
        <v>#REF!</v>
      </c>
      <c r="EC262" t="e">
        <f>AND(#REF!,"AAAAAH9P3oQ=")</f>
        <v>#REF!</v>
      </c>
      <c r="ED262" t="e">
        <f>AND(#REF!,"AAAAAH9P3oU=")</f>
        <v>#REF!</v>
      </c>
      <c r="EE262" t="e">
        <f>AND(#REF!,"AAAAAH9P3oY=")</f>
        <v>#REF!</v>
      </c>
      <c r="EF262" t="e">
        <f>AND(#REF!,"AAAAAH9P3oc=")</f>
        <v>#REF!</v>
      </c>
      <c r="EG262" t="e">
        <f>AND(#REF!,"AAAAAH9P3og=")</f>
        <v>#REF!</v>
      </c>
      <c r="EH262" t="e">
        <f>AND(#REF!,"AAAAAH9P3ok=")</f>
        <v>#REF!</v>
      </c>
      <c r="EI262" t="e">
        <f>AND(#REF!,"AAAAAH9P3oo=")</f>
        <v>#REF!</v>
      </c>
      <c r="EJ262" t="e">
        <f>AND(#REF!,"AAAAAH9P3os=")</f>
        <v>#REF!</v>
      </c>
      <c r="EK262" t="e">
        <f>AND(#REF!,"AAAAAH9P3ow=")</f>
        <v>#REF!</v>
      </c>
      <c r="EL262" t="e">
        <f>AND(#REF!,"AAAAAH9P3o0=")</f>
        <v>#REF!</v>
      </c>
      <c r="EM262" t="e">
        <f>AND(#REF!,"AAAAAH9P3o4=")</f>
        <v>#REF!</v>
      </c>
      <c r="EN262" t="e">
        <f>AND(#REF!,"AAAAAH9P3o8=")</f>
        <v>#REF!</v>
      </c>
      <c r="EO262" t="e">
        <f>AND(#REF!,"AAAAAH9P3pA=")</f>
        <v>#REF!</v>
      </c>
      <c r="EP262" t="e">
        <f>AND(#REF!,"AAAAAH9P3pE=")</f>
        <v>#REF!</v>
      </c>
      <c r="EQ262" t="e">
        <f>AND(#REF!,"AAAAAH9P3pI=")</f>
        <v>#REF!</v>
      </c>
      <c r="ER262" t="e">
        <f>AND(#REF!,"AAAAAH9P3pM=")</f>
        <v>#REF!</v>
      </c>
      <c r="ES262" t="e">
        <f>AND(#REF!,"AAAAAH9P3pQ=")</f>
        <v>#REF!</v>
      </c>
      <c r="ET262" t="e">
        <f>AND(#REF!,"AAAAAH9P3pU=")</f>
        <v>#REF!</v>
      </c>
      <c r="EU262" t="e">
        <f>AND(#REF!,"AAAAAH9P3pY=")</f>
        <v>#REF!</v>
      </c>
      <c r="EV262" t="e">
        <f>AND(#REF!,"AAAAAH9P3pc=")</f>
        <v>#REF!</v>
      </c>
      <c r="EW262" t="e">
        <f>AND(#REF!,"AAAAAH9P3pg=")</f>
        <v>#REF!</v>
      </c>
      <c r="EX262" t="e">
        <f>AND(#REF!,"AAAAAH9P3pk=")</f>
        <v>#REF!</v>
      </c>
      <c r="EY262" t="e">
        <f>AND(#REF!,"AAAAAH9P3po=")</f>
        <v>#REF!</v>
      </c>
      <c r="EZ262" t="e">
        <f>AND(#REF!,"AAAAAH9P3ps=")</f>
        <v>#REF!</v>
      </c>
      <c r="FA262" t="e">
        <f>AND(#REF!,"AAAAAH9P3pw=")</f>
        <v>#REF!</v>
      </c>
      <c r="FB262" t="e">
        <f>AND(#REF!,"AAAAAH9P3p0=")</f>
        <v>#REF!</v>
      </c>
      <c r="FC262" t="e">
        <f>AND(#REF!,"AAAAAH9P3p4=")</f>
        <v>#REF!</v>
      </c>
      <c r="FD262" t="e">
        <f>AND(#REF!,"AAAAAH9P3p8=")</f>
        <v>#REF!</v>
      </c>
      <c r="FE262" t="e">
        <f>AND(#REF!,"AAAAAH9P3qA=")</f>
        <v>#REF!</v>
      </c>
      <c r="FF262" t="e">
        <f>AND(#REF!,"AAAAAH9P3qE=")</f>
        <v>#REF!</v>
      </c>
      <c r="FG262" t="e">
        <f>AND(#REF!,"AAAAAH9P3qI=")</f>
        <v>#REF!</v>
      </c>
      <c r="FH262" t="e">
        <f>AND(#REF!,"AAAAAH9P3qM=")</f>
        <v>#REF!</v>
      </c>
      <c r="FI262" t="e">
        <f>AND(#REF!,"AAAAAH9P3qQ=")</f>
        <v>#REF!</v>
      </c>
      <c r="FJ262" t="e">
        <f>AND(#REF!,"AAAAAH9P3qU=")</f>
        <v>#REF!</v>
      </c>
      <c r="FK262" t="e">
        <f>AND(#REF!,"AAAAAH9P3qY=")</f>
        <v>#REF!</v>
      </c>
      <c r="FL262" t="e">
        <f>AND(#REF!,"AAAAAH9P3qc=")</f>
        <v>#REF!</v>
      </c>
      <c r="FM262" t="e">
        <f>AND(#REF!,"AAAAAH9P3qg=")</f>
        <v>#REF!</v>
      </c>
      <c r="FN262" t="e">
        <f>AND(#REF!,"AAAAAH9P3qk=")</f>
        <v>#REF!</v>
      </c>
      <c r="FO262" t="e">
        <f>AND(#REF!,"AAAAAH9P3qo=")</f>
        <v>#REF!</v>
      </c>
      <c r="FP262" t="e">
        <f>AND(#REF!,"AAAAAH9P3qs=")</f>
        <v>#REF!</v>
      </c>
      <c r="FQ262" t="e">
        <f>AND(#REF!,"AAAAAH9P3qw=")</f>
        <v>#REF!</v>
      </c>
      <c r="FR262" t="e">
        <f>AND(#REF!,"AAAAAH9P3q0=")</f>
        <v>#REF!</v>
      </c>
      <c r="FS262" t="e">
        <f>AND(#REF!,"AAAAAH9P3q4=")</f>
        <v>#REF!</v>
      </c>
      <c r="FT262" t="e">
        <f>AND(#REF!,"AAAAAH9P3q8=")</f>
        <v>#REF!</v>
      </c>
      <c r="FU262" t="e">
        <f>AND(#REF!,"AAAAAH9P3rA=")</f>
        <v>#REF!</v>
      </c>
      <c r="FV262" t="e">
        <f>AND(#REF!,"AAAAAH9P3rE=")</f>
        <v>#REF!</v>
      </c>
      <c r="FW262" t="e">
        <f>AND(#REF!,"AAAAAH9P3rI=")</f>
        <v>#REF!</v>
      </c>
      <c r="FX262" t="e">
        <f>AND(#REF!,"AAAAAH9P3rM=")</f>
        <v>#REF!</v>
      </c>
      <c r="FY262" t="e">
        <f>AND(#REF!,"AAAAAH9P3rQ=")</f>
        <v>#REF!</v>
      </c>
      <c r="FZ262" t="e">
        <f>AND(#REF!,"AAAAAH9P3rU=")</f>
        <v>#REF!</v>
      </c>
      <c r="GA262" t="e">
        <f>AND(#REF!,"AAAAAH9P3rY=")</f>
        <v>#REF!</v>
      </c>
      <c r="GB262" t="e">
        <f>AND(#REF!,"AAAAAH9P3rc=")</f>
        <v>#REF!</v>
      </c>
      <c r="GC262" t="e">
        <f>AND(#REF!,"AAAAAH9P3rg=")</f>
        <v>#REF!</v>
      </c>
      <c r="GD262" t="e">
        <f>AND(#REF!,"AAAAAH9P3rk=")</f>
        <v>#REF!</v>
      </c>
      <c r="GE262" t="e">
        <f>AND(#REF!,"AAAAAH9P3ro=")</f>
        <v>#REF!</v>
      </c>
      <c r="GF262" t="e">
        <f>AND(#REF!,"AAAAAH9P3rs=")</f>
        <v>#REF!</v>
      </c>
      <c r="GG262" t="e">
        <f>AND(#REF!,"AAAAAH9P3rw=")</f>
        <v>#REF!</v>
      </c>
      <c r="GH262" t="e">
        <f>AND(#REF!,"AAAAAH9P3r0=")</f>
        <v>#REF!</v>
      </c>
      <c r="GI262" t="e">
        <f>AND(#REF!,"AAAAAH9P3r4=")</f>
        <v>#REF!</v>
      </c>
      <c r="GJ262" t="e">
        <f>AND(#REF!,"AAAAAH9P3r8=")</f>
        <v>#REF!</v>
      </c>
      <c r="GK262" t="e">
        <f>AND(#REF!,"AAAAAH9P3sA=")</f>
        <v>#REF!</v>
      </c>
      <c r="GL262" t="e">
        <f>AND(#REF!,"AAAAAH9P3sE=")</f>
        <v>#REF!</v>
      </c>
      <c r="GM262" t="e">
        <f>AND(#REF!,"AAAAAH9P3sI=")</f>
        <v>#REF!</v>
      </c>
      <c r="GN262" t="e">
        <f>AND(#REF!,"AAAAAH9P3sM=")</f>
        <v>#REF!</v>
      </c>
      <c r="GO262" t="e">
        <f>AND(#REF!,"AAAAAH9P3sQ=")</f>
        <v>#REF!</v>
      </c>
      <c r="GP262" t="e">
        <f>AND(#REF!,"AAAAAH9P3sU=")</f>
        <v>#REF!</v>
      </c>
      <c r="GQ262" t="e">
        <f>AND(#REF!,"AAAAAH9P3sY=")</f>
        <v>#REF!</v>
      </c>
      <c r="GR262" t="e">
        <f>AND(#REF!,"AAAAAH9P3sc=")</f>
        <v>#REF!</v>
      </c>
      <c r="GS262" t="e">
        <f>AND(#REF!,"AAAAAH9P3sg=")</f>
        <v>#REF!</v>
      </c>
      <c r="GT262" t="e">
        <f>AND(#REF!,"AAAAAH9P3sk=")</f>
        <v>#REF!</v>
      </c>
      <c r="GU262" t="e">
        <f>AND(#REF!,"AAAAAH9P3so=")</f>
        <v>#REF!</v>
      </c>
      <c r="GV262" t="e">
        <f>AND(#REF!,"AAAAAH9P3ss=")</f>
        <v>#REF!</v>
      </c>
      <c r="GW262" t="e">
        <f>AND(#REF!,"AAAAAH9P3sw=")</f>
        <v>#REF!</v>
      </c>
      <c r="GX262" t="e">
        <f>AND(#REF!,"AAAAAH9P3s0=")</f>
        <v>#REF!</v>
      </c>
      <c r="GY262" t="e">
        <f>AND(#REF!,"AAAAAH9P3s4=")</f>
        <v>#REF!</v>
      </c>
      <c r="GZ262" t="e">
        <f>AND(#REF!,"AAAAAH9P3s8=")</f>
        <v>#REF!</v>
      </c>
      <c r="HA262" t="e">
        <f>AND(#REF!,"AAAAAH9P3tA=")</f>
        <v>#REF!</v>
      </c>
      <c r="HB262" t="e">
        <f>AND(#REF!,"AAAAAH9P3tE=")</f>
        <v>#REF!</v>
      </c>
      <c r="HC262" t="e">
        <f>AND(#REF!,"AAAAAH9P3tI=")</f>
        <v>#REF!</v>
      </c>
      <c r="HD262" t="e">
        <f>AND(#REF!,"AAAAAH9P3tM=")</f>
        <v>#REF!</v>
      </c>
      <c r="HE262" t="e">
        <f>AND(#REF!,"AAAAAH9P3tQ=")</f>
        <v>#REF!</v>
      </c>
      <c r="HF262" t="e">
        <f>AND(#REF!,"AAAAAH9P3tU=")</f>
        <v>#REF!</v>
      </c>
      <c r="HG262" t="e">
        <f>AND(#REF!,"AAAAAH9P3tY=")</f>
        <v>#REF!</v>
      </c>
      <c r="HH262" t="e">
        <f>AND(#REF!,"AAAAAH9P3tc=")</f>
        <v>#REF!</v>
      </c>
      <c r="HI262" t="e">
        <f>AND(#REF!,"AAAAAH9P3tg=")</f>
        <v>#REF!</v>
      </c>
      <c r="HJ262" t="e">
        <f>AND(#REF!,"AAAAAH9P3tk=")</f>
        <v>#REF!</v>
      </c>
      <c r="HK262" t="e">
        <f>AND(#REF!,"AAAAAH9P3to=")</f>
        <v>#REF!</v>
      </c>
      <c r="HL262" t="e">
        <f>AND(#REF!,"AAAAAH9P3ts=")</f>
        <v>#REF!</v>
      </c>
      <c r="HM262" t="e">
        <f>AND(#REF!,"AAAAAH9P3tw=")</f>
        <v>#REF!</v>
      </c>
      <c r="HN262" t="e">
        <f>AND(#REF!,"AAAAAH9P3t0=")</f>
        <v>#REF!</v>
      </c>
      <c r="HO262" t="e">
        <f>AND(#REF!,"AAAAAH9P3t4=")</f>
        <v>#REF!</v>
      </c>
      <c r="HP262" t="e">
        <f>AND(#REF!,"AAAAAH9P3t8=")</f>
        <v>#REF!</v>
      </c>
      <c r="HQ262" t="e">
        <f>AND(#REF!,"AAAAAH9P3uA=")</f>
        <v>#REF!</v>
      </c>
      <c r="HR262" t="e">
        <f>AND(#REF!,"AAAAAH9P3uE=")</f>
        <v>#REF!</v>
      </c>
      <c r="HS262" t="e">
        <f>AND(#REF!,"AAAAAH9P3uI=")</f>
        <v>#REF!</v>
      </c>
      <c r="HT262" t="e">
        <f>AND(#REF!,"AAAAAH9P3uM=")</f>
        <v>#REF!</v>
      </c>
      <c r="HU262" t="e">
        <f>AND(#REF!,"AAAAAH9P3uQ=")</f>
        <v>#REF!</v>
      </c>
      <c r="HV262" t="e">
        <f>AND(#REF!,"AAAAAH9P3uU=")</f>
        <v>#REF!</v>
      </c>
      <c r="HW262" t="e">
        <f>AND(#REF!,"AAAAAH9P3uY=")</f>
        <v>#REF!</v>
      </c>
      <c r="HX262" t="e">
        <f>AND(#REF!,"AAAAAH9P3uc=")</f>
        <v>#REF!</v>
      </c>
      <c r="HY262" t="e">
        <f>AND(#REF!,"AAAAAH9P3ug=")</f>
        <v>#REF!</v>
      </c>
      <c r="HZ262" t="e">
        <f>AND(#REF!,"AAAAAH9P3uk=")</f>
        <v>#REF!</v>
      </c>
      <c r="IA262" t="e">
        <f>AND(#REF!,"AAAAAH9P3uo=")</f>
        <v>#REF!</v>
      </c>
      <c r="IB262" t="e">
        <f>AND(#REF!,"AAAAAH9P3us=")</f>
        <v>#REF!</v>
      </c>
      <c r="IC262" t="e">
        <f>AND(#REF!,"AAAAAH9P3uw=")</f>
        <v>#REF!</v>
      </c>
      <c r="ID262" t="e">
        <f>AND(#REF!,"AAAAAH9P3u0=")</f>
        <v>#REF!</v>
      </c>
      <c r="IE262" t="e">
        <f>AND(#REF!,"AAAAAH9P3u4=")</f>
        <v>#REF!</v>
      </c>
      <c r="IF262" t="e">
        <f>AND(#REF!,"AAAAAH9P3u8=")</f>
        <v>#REF!</v>
      </c>
      <c r="IG262" t="e">
        <f>AND(#REF!,"AAAAAH9P3vA=")</f>
        <v>#REF!</v>
      </c>
      <c r="IH262" t="e">
        <f>AND(#REF!,"AAAAAH9P3vE=")</f>
        <v>#REF!</v>
      </c>
      <c r="II262" t="e">
        <f>AND(#REF!,"AAAAAH9P3vI=")</f>
        <v>#REF!</v>
      </c>
      <c r="IJ262" t="e">
        <f>AND(#REF!,"AAAAAH9P3vM=")</f>
        <v>#REF!</v>
      </c>
      <c r="IK262" t="e">
        <f>AND(#REF!,"AAAAAH9P3vQ=")</f>
        <v>#REF!</v>
      </c>
      <c r="IL262" t="e">
        <f>AND(#REF!,"AAAAAH9P3vU=")</f>
        <v>#REF!</v>
      </c>
      <c r="IM262" t="e">
        <f>AND(#REF!,"AAAAAH9P3vY=")</f>
        <v>#REF!</v>
      </c>
      <c r="IN262" t="e">
        <f>AND(#REF!,"AAAAAH9P3vc=")</f>
        <v>#REF!</v>
      </c>
      <c r="IO262" t="e">
        <f>AND(#REF!,"AAAAAH9P3vg=")</f>
        <v>#REF!</v>
      </c>
      <c r="IP262" t="e">
        <f>AND(#REF!,"AAAAAH9P3vk=")</f>
        <v>#REF!</v>
      </c>
      <c r="IQ262" t="e">
        <f>AND(#REF!,"AAAAAH9P3vo=")</f>
        <v>#REF!</v>
      </c>
      <c r="IR262" t="e">
        <f>AND(#REF!,"AAAAAH9P3vs=")</f>
        <v>#REF!</v>
      </c>
      <c r="IS262" t="e">
        <f>AND(#REF!,"AAAAAH9P3vw=")</f>
        <v>#REF!</v>
      </c>
      <c r="IT262" t="e">
        <f>AND(#REF!,"AAAAAH9P3v0=")</f>
        <v>#REF!</v>
      </c>
      <c r="IU262" t="e">
        <f>AND(#REF!,"AAAAAH9P3v4=")</f>
        <v>#REF!</v>
      </c>
      <c r="IV262" t="e">
        <f>AND(#REF!,"AAAAAH9P3v8=")</f>
        <v>#REF!</v>
      </c>
    </row>
    <row r="263" spans="1:256" x14ac:dyDescent="0.25">
      <c r="A263" t="e">
        <f>AND(#REF!,"AAAAAE55ngA=")</f>
        <v>#REF!</v>
      </c>
      <c r="B263" t="e">
        <f>AND(#REF!,"AAAAAE55ngE=")</f>
        <v>#REF!</v>
      </c>
      <c r="C263" t="e">
        <f>AND(#REF!,"AAAAAE55ngI=")</f>
        <v>#REF!</v>
      </c>
      <c r="D263" t="e">
        <f>AND(#REF!,"AAAAAE55ngM=")</f>
        <v>#REF!</v>
      </c>
      <c r="E263" t="e">
        <f>AND(#REF!,"AAAAAE55ngQ=")</f>
        <v>#REF!</v>
      </c>
      <c r="F263" t="e">
        <f>AND(#REF!,"AAAAAE55ngU=")</f>
        <v>#REF!</v>
      </c>
      <c r="G263" t="e">
        <f>AND(#REF!,"AAAAAE55ngY=")</f>
        <v>#REF!</v>
      </c>
      <c r="H263" t="e">
        <f>AND(#REF!,"AAAAAE55ngc=")</f>
        <v>#REF!</v>
      </c>
      <c r="I263" t="e">
        <f>AND(#REF!,"AAAAAE55ngg=")</f>
        <v>#REF!</v>
      </c>
      <c r="J263" t="e">
        <f>AND(#REF!,"AAAAAE55ngk=")</f>
        <v>#REF!</v>
      </c>
      <c r="K263" t="e">
        <f>AND(#REF!,"AAAAAE55ngo=")</f>
        <v>#REF!</v>
      </c>
      <c r="L263" t="e">
        <f>AND(#REF!,"AAAAAE55ngs=")</f>
        <v>#REF!</v>
      </c>
      <c r="M263" t="e">
        <f>AND(#REF!,"AAAAAE55ngw=")</f>
        <v>#REF!</v>
      </c>
      <c r="N263" t="e">
        <f>AND(#REF!,"AAAAAE55ng0=")</f>
        <v>#REF!</v>
      </c>
      <c r="O263" t="e">
        <f>AND(#REF!,"AAAAAE55ng4=")</f>
        <v>#REF!</v>
      </c>
      <c r="P263" t="e">
        <f>IF(#REF!,"AAAAAE55ng8=",0)</f>
        <v>#REF!</v>
      </c>
      <c r="Q263" t="e">
        <f>AND(#REF!,"AAAAAE55nhA=")</f>
        <v>#REF!</v>
      </c>
      <c r="R263" t="e">
        <f>AND(#REF!,"AAAAAE55nhE=")</f>
        <v>#REF!</v>
      </c>
      <c r="S263" t="e">
        <f>AND(#REF!,"AAAAAE55nhI=")</f>
        <v>#REF!</v>
      </c>
      <c r="T263" t="e">
        <f>AND(#REF!,"AAAAAE55nhM=")</f>
        <v>#REF!</v>
      </c>
      <c r="U263" t="e">
        <f>AND(#REF!,"AAAAAE55nhQ=")</f>
        <v>#REF!</v>
      </c>
      <c r="V263" t="e">
        <f>AND(#REF!,"AAAAAE55nhU=")</f>
        <v>#REF!</v>
      </c>
      <c r="W263" t="e">
        <f>AND(#REF!,"AAAAAE55nhY=")</f>
        <v>#REF!</v>
      </c>
      <c r="X263" t="e">
        <f>AND(#REF!,"AAAAAE55nhc=")</f>
        <v>#REF!</v>
      </c>
      <c r="Y263" t="e">
        <f>AND(#REF!,"AAAAAE55nhg=")</f>
        <v>#REF!</v>
      </c>
      <c r="Z263" t="e">
        <f>AND(#REF!,"AAAAAE55nhk=")</f>
        <v>#REF!</v>
      </c>
      <c r="AA263" t="e">
        <f>AND(#REF!,"AAAAAE55nho=")</f>
        <v>#REF!</v>
      </c>
      <c r="AB263" t="e">
        <f>AND(#REF!,"AAAAAE55nhs=")</f>
        <v>#REF!</v>
      </c>
      <c r="AC263" t="e">
        <f>AND(#REF!,"AAAAAE55nhw=")</f>
        <v>#REF!</v>
      </c>
      <c r="AD263" t="e">
        <f>AND(#REF!,"AAAAAE55nh0=")</f>
        <v>#REF!</v>
      </c>
      <c r="AE263" t="e">
        <f>AND(#REF!,"AAAAAE55nh4=")</f>
        <v>#REF!</v>
      </c>
      <c r="AF263" t="e">
        <f>AND(#REF!,"AAAAAE55nh8=")</f>
        <v>#REF!</v>
      </c>
      <c r="AG263" t="e">
        <f>AND(#REF!,"AAAAAE55niA=")</f>
        <v>#REF!</v>
      </c>
      <c r="AH263" t="e">
        <f>AND(#REF!,"AAAAAE55niE=")</f>
        <v>#REF!</v>
      </c>
      <c r="AI263" t="e">
        <f>AND(#REF!,"AAAAAE55niI=")</f>
        <v>#REF!</v>
      </c>
      <c r="AJ263" t="e">
        <f>AND(#REF!,"AAAAAE55niM=")</f>
        <v>#REF!</v>
      </c>
      <c r="AK263" t="e">
        <f>AND(#REF!,"AAAAAE55niQ=")</f>
        <v>#REF!</v>
      </c>
      <c r="AL263" t="e">
        <f>AND(#REF!,"AAAAAE55niU=")</f>
        <v>#REF!</v>
      </c>
      <c r="AM263" t="e">
        <f>AND(#REF!,"AAAAAE55niY=")</f>
        <v>#REF!</v>
      </c>
      <c r="AN263" t="e">
        <f>AND(#REF!,"AAAAAE55nic=")</f>
        <v>#REF!</v>
      </c>
      <c r="AO263" t="e">
        <f>AND(#REF!,"AAAAAE55nig=")</f>
        <v>#REF!</v>
      </c>
      <c r="AP263" t="e">
        <f>AND(#REF!,"AAAAAE55nik=")</f>
        <v>#REF!</v>
      </c>
      <c r="AQ263" t="e">
        <f>AND(#REF!,"AAAAAE55nio=")</f>
        <v>#REF!</v>
      </c>
      <c r="AR263" t="e">
        <f>AND(#REF!,"AAAAAE55nis=")</f>
        <v>#REF!</v>
      </c>
      <c r="AS263" t="e">
        <f>AND(#REF!,"AAAAAE55niw=")</f>
        <v>#REF!</v>
      </c>
      <c r="AT263" t="e">
        <f>AND(#REF!,"AAAAAE55ni0=")</f>
        <v>#REF!</v>
      </c>
      <c r="AU263" t="e">
        <f>AND(#REF!,"AAAAAE55ni4=")</f>
        <v>#REF!</v>
      </c>
      <c r="AV263" t="e">
        <f>AND(#REF!,"AAAAAE55ni8=")</f>
        <v>#REF!</v>
      </c>
      <c r="AW263" t="e">
        <f>AND(#REF!,"AAAAAE55njA=")</f>
        <v>#REF!</v>
      </c>
      <c r="AX263" t="e">
        <f>AND(#REF!,"AAAAAE55njE=")</f>
        <v>#REF!</v>
      </c>
      <c r="AY263" t="e">
        <f>AND(#REF!,"AAAAAE55njI=")</f>
        <v>#REF!</v>
      </c>
      <c r="AZ263" t="e">
        <f>AND(#REF!,"AAAAAE55njM=")</f>
        <v>#REF!</v>
      </c>
      <c r="BA263" t="e">
        <f>AND(#REF!,"AAAAAE55njQ=")</f>
        <v>#REF!</v>
      </c>
      <c r="BB263" t="e">
        <f>AND(#REF!,"AAAAAE55njU=")</f>
        <v>#REF!</v>
      </c>
      <c r="BC263" t="e">
        <f>AND(#REF!,"AAAAAE55njY=")</f>
        <v>#REF!</v>
      </c>
      <c r="BD263" t="e">
        <f>AND(#REF!,"AAAAAE55njc=")</f>
        <v>#REF!</v>
      </c>
      <c r="BE263" t="e">
        <f>AND(#REF!,"AAAAAE55njg=")</f>
        <v>#REF!</v>
      </c>
      <c r="BF263" t="e">
        <f>AND(#REF!,"AAAAAE55njk=")</f>
        <v>#REF!</v>
      </c>
      <c r="BG263" t="e">
        <f>AND(#REF!,"AAAAAE55njo=")</f>
        <v>#REF!</v>
      </c>
      <c r="BH263" t="e">
        <f>AND(#REF!,"AAAAAE55njs=")</f>
        <v>#REF!</v>
      </c>
      <c r="BI263" t="e">
        <f>AND(#REF!,"AAAAAE55njw=")</f>
        <v>#REF!</v>
      </c>
      <c r="BJ263" t="e">
        <f>AND(#REF!,"AAAAAE55nj0=")</f>
        <v>#REF!</v>
      </c>
      <c r="BK263" t="e">
        <f>AND(#REF!,"AAAAAE55nj4=")</f>
        <v>#REF!</v>
      </c>
      <c r="BL263" t="e">
        <f>AND(#REF!,"AAAAAE55nj8=")</f>
        <v>#REF!</v>
      </c>
      <c r="BM263" t="e">
        <f>AND(#REF!,"AAAAAE55nkA=")</f>
        <v>#REF!</v>
      </c>
      <c r="BN263" t="e">
        <f>AND(#REF!,"AAAAAE55nkE=")</f>
        <v>#REF!</v>
      </c>
      <c r="BO263" t="e">
        <f>AND(#REF!,"AAAAAE55nkI=")</f>
        <v>#REF!</v>
      </c>
      <c r="BP263" t="e">
        <f>AND(#REF!,"AAAAAE55nkM=")</f>
        <v>#REF!</v>
      </c>
      <c r="BQ263" t="e">
        <f>AND(#REF!,"AAAAAE55nkQ=")</f>
        <v>#REF!</v>
      </c>
      <c r="BR263" t="e">
        <f>AND(#REF!,"AAAAAE55nkU=")</f>
        <v>#REF!</v>
      </c>
      <c r="BS263" t="e">
        <f>AND(#REF!,"AAAAAE55nkY=")</f>
        <v>#REF!</v>
      </c>
      <c r="BT263" t="e">
        <f>AND(#REF!,"AAAAAE55nkc=")</f>
        <v>#REF!</v>
      </c>
      <c r="BU263" t="e">
        <f>AND(#REF!,"AAAAAE55nkg=")</f>
        <v>#REF!</v>
      </c>
      <c r="BV263" t="e">
        <f>AND(#REF!,"AAAAAE55nkk=")</f>
        <v>#REF!</v>
      </c>
      <c r="BW263" t="e">
        <f>AND(#REF!,"AAAAAE55nko=")</f>
        <v>#REF!</v>
      </c>
      <c r="BX263" t="e">
        <f>AND(#REF!,"AAAAAE55nks=")</f>
        <v>#REF!</v>
      </c>
      <c r="BY263" t="e">
        <f>AND(#REF!,"AAAAAE55nkw=")</f>
        <v>#REF!</v>
      </c>
      <c r="BZ263" t="e">
        <f>AND(#REF!,"AAAAAE55nk0=")</f>
        <v>#REF!</v>
      </c>
      <c r="CA263" t="e">
        <f>AND(#REF!,"AAAAAE55nk4=")</f>
        <v>#REF!</v>
      </c>
      <c r="CB263" t="e">
        <f>AND(#REF!,"AAAAAE55nk8=")</f>
        <v>#REF!</v>
      </c>
      <c r="CC263" t="e">
        <f>AND(#REF!,"AAAAAE55nlA=")</f>
        <v>#REF!</v>
      </c>
      <c r="CD263" t="e">
        <f>AND(#REF!,"AAAAAE55nlE=")</f>
        <v>#REF!</v>
      </c>
      <c r="CE263" t="e">
        <f>AND(#REF!,"AAAAAE55nlI=")</f>
        <v>#REF!</v>
      </c>
      <c r="CF263" t="e">
        <f>AND(#REF!,"AAAAAE55nlM=")</f>
        <v>#REF!</v>
      </c>
      <c r="CG263" t="e">
        <f>AND(#REF!,"AAAAAE55nlQ=")</f>
        <v>#REF!</v>
      </c>
      <c r="CH263" t="e">
        <f>AND(#REF!,"AAAAAE55nlU=")</f>
        <v>#REF!</v>
      </c>
      <c r="CI263" t="e">
        <f>AND(#REF!,"AAAAAE55nlY=")</f>
        <v>#REF!</v>
      </c>
      <c r="CJ263" t="e">
        <f>AND(#REF!,"AAAAAE55nlc=")</f>
        <v>#REF!</v>
      </c>
      <c r="CK263" t="e">
        <f>AND(#REF!,"AAAAAE55nlg=")</f>
        <v>#REF!</v>
      </c>
      <c r="CL263" t="e">
        <f>AND(#REF!,"AAAAAE55nlk=")</f>
        <v>#REF!</v>
      </c>
      <c r="CM263" t="e">
        <f>AND(#REF!,"AAAAAE55nlo=")</f>
        <v>#REF!</v>
      </c>
      <c r="CN263" t="e">
        <f>AND(#REF!,"AAAAAE55nls=")</f>
        <v>#REF!</v>
      </c>
      <c r="CO263" t="e">
        <f>AND(#REF!,"AAAAAE55nlw=")</f>
        <v>#REF!</v>
      </c>
      <c r="CP263" t="e">
        <f>AND(#REF!,"AAAAAE55nl0=")</f>
        <v>#REF!</v>
      </c>
      <c r="CQ263" t="e">
        <f>AND(#REF!,"AAAAAE55nl4=")</f>
        <v>#REF!</v>
      </c>
      <c r="CR263" t="e">
        <f>AND(#REF!,"AAAAAE55nl8=")</f>
        <v>#REF!</v>
      </c>
      <c r="CS263" t="e">
        <f>AND(#REF!,"AAAAAE55nmA=")</f>
        <v>#REF!</v>
      </c>
      <c r="CT263" t="e">
        <f>AND(#REF!,"AAAAAE55nmE=")</f>
        <v>#REF!</v>
      </c>
      <c r="CU263" t="e">
        <f>AND(#REF!,"AAAAAE55nmI=")</f>
        <v>#REF!</v>
      </c>
      <c r="CV263" t="e">
        <f>AND(#REF!,"AAAAAE55nmM=")</f>
        <v>#REF!</v>
      </c>
      <c r="CW263" t="e">
        <f>AND(#REF!,"AAAAAE55nmQ=")</f>
        <v>#REF!</v>
      </c>
      <c r="CX263" t="e">
        <f>AND(#REF!,"AAAAAE55nmU=")</f>
        <v>#REF!</v>
      </c>
      <c r="CY263" t="e">
        <f>AND(#REF!,"AAAAAE55nmY=")</f>
        <v>#REF!</v>
      </c>
      <c r="CZ263" t="e">
        <f>AND(#REF!,"AAAAAE55nmc=")</f>
        <v>#REF!</v>
      </c>
      <c r="DA263" t="e">
        <f>AND(#REF!,"AAAAAE55nmg=")</f>
        <v>#REF!</v>
      </c>
      <c r="DB263" t="e">
        <f>AND(#REF!,"AAAAAE55nmk=")</f>
        <v>#REF!</v>
      </c>
      <c r="DC263" t="e">
        <f>AND(#REF!,"AAAAAE55nmo=")</f>
        <v>#REF!</v>
      </c>
      <c r="DD263" t="e">
        <f>AND(#REF!,"AAAAAE55nms=")</f>
        <v>#REF!</v>
      </c>
      <c r="DE263" t="e">
        <f>AND(#REF!,"AAAAAE55nmw=")</f>
        <v>#REF!</v>
      </c>
      <c r="DF263" t="e">
        <f>AND(#REF!,"AAAAAE55nm0=")</f>
        <v>#REF!</v>
      </c>
      <c r="DG263" t="e">
        <f>AND(#REF!,"AAAAAE55nm4=")</f>
        <v>#REF!</v>
      </c>
      <c r="DH263" t="e">
        <f>AND(#REF!,"AAAAAE55nm8=")</f>
        <v>#REF!</v>
      </c>
      <c r="DI263" t="e">
        <f>AND(#REF!,"AAAAAE55nnA=")</f>
        <v>#REF!</v>
      </c>
      <c r="DJ263" t="e">
        <f>AND(#REF!,"AAAAAE55nnE=")</f>
        <v>#REF!</v>
      </c>
      <c r="DK263" t="e">
        <f>AND(#REF!,"AAAAAE55nnI=")</f>
        <v>#REF!</v>
      </c>
      <c r="DL263" t="e">
        <f>AND(#REF!,"AAAAAE55nnM=")</f>
        <v>#REF!</v>
      </c>
      <c r="DM263" t="e">
        <f>AND(#REF!,"AAAAAE55nnQ=")</f>
        <v>#REF!</v>
      </c>
      <c r="DN263" t="e">
        <f>AND(#REF!,"AAAAAE55nnU=")</f>
        <v>#REF!</v>
      </c>
      <c r="DO263" t="e">
        <f>AND(#REF!,"AAAAAE55nnY=")</f>
        <v>#REF!</v>
      </c>
      <c r="DP263" t="e">
        <f>AND(#REF!,"AAAAAE55nnc=")</f>
        <v>#REF!</v>
      </c>
      <c r="DQ263" t="e">
        <f>AND(#REF!,"AAAAAE55nng=")</f>
        <v>#REF!</v>
      </c>
      <c r="DR263" t="e">
        <f>AND(#REF!,"AAAAAE55nnk=")</f>
        <v>#REF!</v>
      </c>
      <c r="DS263" t="e">
        <f>AND(#REF!,"AAAAAE55nno=")</f>
        <v>#REF!</v>
      </c>
      <c r="DT263" t="e">
        <f>AND(#REF!,"AAAAAE55nns=")</f>
        <v>#REF!</v>
      </c>
      <c r="DU263" t="e">
        <f>AND(#REF!,"AAAAAE55nnw=")</f>
        <v>#REF!</v>
      </c>
      <c r="DV263" t="e">
        <f>AND(#REF!,"AAAAAE55nn0=")</f>
        <v>#REF!</v>
      </c>
      <c r="DW263" t="e">
        <f>AND(#REF!,"AAAAAE55nn4=")</f>
        <v>#REF!</v>
      </c>
      <c r="DX263" t="e">
        <f>AND(#REF!,"AAAAAE55nn8=")</f>
        <v>#REF!</v>
      </c>
      <c r="DY263" t="e">
        <f>AND(#REF!,"AAAAAE55noA=")</f>
        <v>#REF!</v>
      </c>
      <c r="DZ263" t="e">
        <f>AND(#REF!,"AAAAAE55noE=")</f>
        <v>#REF!</v>
      </c>
      <c r="EA263" t="e">
        <f>AND(#REF!,"AAAAAE55noI=")</f>
        <v>#REF!</v>
      </c>
      <c r="EB263" t="e">
        <f>AND(#REF!,"AAAAAE55noM=")</f>
        <v>#REF!</v>
      </c>
      <c r="EC263" t="e">
        <f>AND(#REF!,"AAAAAE55noQ=")</f>
        <v>#REF!</v>
      </c>
      <c r="ED263" t="e">
        <f>AND(#REF!,"AAAAAE55noU=")</f>
        <v>#REF!</v>
      </c>
      <c r="EE263" t="e">
        <f>AND(#REF!,"AAAAAE55noY=")</f>
        <v>#REF!</v>
      </c>
      <c r="EF263" t="e">
        <f>AND(#REF!,"AAAAAE55noc=")</f>
        <v>#REF!</v>
      </c>
      <c r="EG263" t="e">
        <f>AND(#REF!,"AAAAAE55nog=")</f>
        <v>#REF!</v>
      </c>
      <c r="EH263" t="e">
        <f>AND(#REF!,"AAAAAE55nok=")</f>
        <v>#REF!</v>
      </c>
      <c r="EI263" t="e">
        <f>AND(#REF!,"AAAAAE55noo=")</f>
        <v>#REF!</v>
      </c>
      <c r="EJ263" t="e">
        <f>AND(#REF!,"AAAAAE55nos=")</f>
        <v>#REF!</v>
      </c>
      <c r="EK263" t="e">
        <f>AND(#REF!,"AAAAAE55now=")</f>
        <v>#REF!</v>
      </c>
      <c r="EL263" t="e">
        <f>AND(#REF!,"AAAAAE55no0=")</f>
        <v>#REF!</v>
      </c>
      <c r="EM263" t="e">
        <f>AND(#REF!,"AAAAAE55no4=")</f>
        <v>#REF!</v>
      </c>
      <c r="EN263" t="e">
        <f>AND(#REF!,"AAAAAE55no8=")</f>
        <v>#REF!</v>
      </c>
      <c r="EO263" t="e">
        <f>AND(#REF!,"AAAAAE55npA=")</f>
        <v>#REF!</v>
      </c>
      <c r="EP263" t="e">
        <f>AND(#REF!,"AAAAAE55npE=")</f>
        <v>#REF!</v>
      </c>
      <c r="EQ263" t="e">
        <f>AND(#REF!,"AAAAAE55npI=")</f>
        <v>#REF!</v>
      </c>
      <c r="ER263" t="e">
        <f>AND(#REF!,"AAAAAE55npM=")</f>
        <v>#REF!</v>
      </c>
      <c r="ES263" t="e">
        <f>AND(#REF!,"AAAAAE55npQ=")</f>
        <v>#REF!</v>
      </c>
      <c r="ET263" t="e">
        <f>AND(#REF!,"AAAAAE55npU=")</f>
        <v>#REF!</v>
      </c>
      <c r="EU263" t="e">
        <f>AND(#REF!,"AAAAAE55npY=")</f>
        <v>#REF!</v>
      </c>
      <c r="EV263" t="e">
        <f>AND(#REF!,"AAAAAE55npc=")</f>
        <v>#REF!</v>
      </c>
      <c r="EW263" t="e">
        <f>AND(#REF!,"AAAAAE55npg=")</f>
        <v>#REF!</v>
      </c>
      <c r="EX263" t="e">
        <f>AND(#REF!,"AAAAAE55npk=")</f>
        <v>#REF!</v>
      </c>
      <c r="EY263" t="e">
        <f>AND(#REF!,"AAAAAE55npo=")</f>
        <v>#REF!</v>
      </c>
      <c r="EZ263" t="e">
        <f>AND(#REF!,"AAAAAE55nps=")</f>
        <v>#REF!</v>
      </c>
      <c r="FA263" t="e">
        <f>AND(#REF!,"AAAAAE55npw=")</f>
        <v>#REF!</v>
      </c>
      <c r="FB263" t="e">
        <f>AND(#REF!,"AAAAAE55np0=")</f>
        <v>#REF!</v>
      </c>
      <c r="FC263" t="e">
        <f>AND(#REF!,"AAAAAE55np4=")</f>
        <v>#REF!</v>
      </c>
      <c r="FD263" t="e">
        <f>AND(#REF!,"AAAAAE55np8=")</f>
        <v>#REF!</v>
      </c>
      <c r="FE263" t="e">
        <f>AND(#REF!,"AAAAAE55nqA=")</f>
        <v>#REF!</v>
      </c>
      <c r="FF263" t="e">
        <f>AND(#REF!,"AAAAAE55nqE=")</f>
        <v>#REF!</v>
      </c>
      <c r="FG263" t="e">
        <f>AND(#REF!,"AAAAAE55nqI=")</f>
        <v>#REF!</v>
      </c>
      <c r="FH263" t="e">
        <f>AND(#REF!,"AAAAAE55nqM=")</f>
        <v>#REF!</v>
      </c>
      <c r="FI263" t="e">
        <f>AND(#REF!,"AAAAAE55nqQ=")</f>
        <v>#REF!</v>
      </c>
      <c r="FJ263" t="e">
        <f>AND(#REF!,"AAAAAE55nqU=")</f>
        <v>#REF!</v>
      </c>
      <c r="FK263" t="e">
        <f>AND(#REF!,"AAAAAE55nqY=")</f>
        <v>#REF!</v>
      </c>
      <c r="FL263" t="e">
        <f>AND(#REF!,"AAAAAE55nqc=")</f>
        <v>#REF!</v>
      </c>
      <c r="FM263" t="e">
        <f>AND(#REF!,"AAAAAE55nqg=")</f>
        <v>#REF!</v>
      </c>
      <c r="FN263" t="e">
        <f>AND(#REF!,"AAAAAE55nqk=")</f>
        <v>#REF!</v>
      </c>
      <c r="FO263" t="e">
        <f>AND(#REF!,"AAAAAE55nqo=")</f>
        <v>#REF!</v>
      </c>
      <c r="FP263" t="e">
        <f>AND(#REF!,"AAAAAE55nqs=")</f>
        <v>#REF!</v>
      </c>
      <c r="FQ263" t="e">
        <f>AND(#REF!,"AAAAAE55nqw=")</f>
        <v>#REF!</v>
      </c>
      <c r="FR263" t="e">
        <f>AND(#REF!,"AAAAAE55nq0=")</f>
        <v>#REF!</v>
      </c>
      <c r="FS263" t="e">
        <f>AND(#REF!,"AAAAAE55nq4=")</f>
        <v>#REF!</v>
      </c>
      <c r="FT263" t="e">
        <f>AND(#REF!,"AAAAAE55nq8=")</f>
        <v>#REF!</v>
      </c>
      <c r="FU263" t="e">
        <f>AND(#REF!,"AAAAAE55nrA=")</f>
        <v>#REF!</v>
      </c>
      <c r="FV263" t="e">
        <f>AND(#REF!,"AAAAAE55nrE=")</f>
        <v>#REF!</v>
      </c>
      <c r="FW263" t="e">
        <f>AND(#REF!,"AAAAAE55nrI=")</f>
        <v>#REF!</v>
      </c>
      <c r="FX263" t="e">
        <f>AND(#REF!,"AAAAAE55nrM=")</f>
        <v>#REF!</v>
      </c>
      <c r="FY263" t="e">
        <f>AND(#REF!,"AAAAAE55nrQ=")</f>
        <v>#REF!</v>
      </c>
      <c r="FZ263" t="e">
        <f>AND(#REF!,"AAAAAE55nrU=")</f>
        <v>#REF!</v>
      </c>
      <c r="GA263" t="e">
        <f>AND(#REF!,"AAAAAE55nrY=")</f>
        <v>#REF!</v>
      </c>
      <c r="GB263" t="e">
        <f>AND(#REF!,"AAAAAE55nrc=")</f>
        <v>#REF!</v>
      </c>
      <c r="GC263" t="e">
        <f>AND(#REF!,"AAAAAE55nrg=")</f>
        <v>#REF!</v>
      </c>
      <c r="GD263" t="e">
        <f>AND(#REF!,"AAAAAE55nrk=")</f>
        <v>#REF!</v>
      </c>
      <c r="GE263" t="e">
        <f>AND(#REF!,"AAAAAE55nro=")</f>
        <v>#REF!</v>
      </c>
      <c r="GF263" t="e">
        <f>AND(#REF!,"AAAAAE55nrs=")</f>
        <v>#REF!</v>
      </c>
      <c r="GG263" t="e">
        <f>AND(#REF!,"AAAAAE55nrw=")</f>
        <v>#REF!</v>
      </c>
      <c r="GH263" t="e">
        <f>AND(#REF!,"AAAAAE55nr0=")</f>
        <v>#REF!</v>
      </c>
      <c r="GI263" t="e">
        <f>AND(#REF!,"AAAAAE55nr4=")</f>
        <v>#REF!</v>
      </c>
      <c r="GJ263" t="e">
        <f>AND(#REF!,"AAAAAE55nr8=")</f>
        <v>#REF!</v>
      </c>
      <c r="GK263" t="e">
        <f>AND(#REF!,"AAAAAE55nsA=")</f>
        <v>#REF!</v>
      </c>
      <c r="GL263" t="e">
        <f>AND(#REF!,"AAAAAE55nsE=")</f>
        <v>#REF!</v>
      </c>
      <c r="GM263" t="e">
        <f>AND(#REF!,"AAAAAE55nsI=")</f>
        <v>#REF!</v>
      </c>
      <c r="GN263" t="e">
        <f>AND(#REF!,"AAAAAE55nsM=")</f>
        <v>#REF!</v>
      </c>
      <c r="GO263" t="e">
        <f>AND(#REF!,"AAAAAE55nsQ=")</f>
        <v>#REF!</v>
      </c>
      <c r="GP263" t="e">
        <f>AND(#REF!,"AAAAAE55nsU=")</f>
        <v>#REF!</v>
      </c>
      <c r="GQ263" t="e">
        <f>AND(#REF!,"AAAAAE55nsY=")</f>
        <v>#REF!</v>
      </c>
      <c r="GR263" t="e">
        <f>AND(#REF!,"AAAAAE55nsc=")</f>
        <v>#REF!</v>
      </c>
      <c r="GS263" t="e">
        <f>AND(#REF!,"AAAAAE55nsg=")</f>
        <v>#REF!</v>
      </c>
      <c r="GT263" t="e">
        <f>AND(#REF!,"AAAAAE55nsk=")</f>
        <v>#REF!</v>
      </c>
      <c r="GU263" t="e">
        <f>AND(#REF!,"AAAAAE55nso=")</f>
        <v>#REF!</v>
      </c>
      <c r="GV263" t="e">
        <f>AND(#REF!,"AAAAAE55nss=")</f>
        <v>#REF!</v>
      </c>
      <c r="GW263" t="e">
        <f>IF(#REF!,"AAAAAE55nsw=",0)</f>
        <v>#REF!</v>
      </c>
      <c r="GX263" t="e">
        <f>AND(#REF!,"AAAAAE55ns0=")</f>
        <v>#REF!</v>
      </c>
      <c r="GY263" t="e">
        <f>AND(#REF!,"AAAAAE55ns4=")</f>
        <v>#REF!</v>
      </c>
      <c r="GZ263" t="e">
        <f>AND(#REF!,"AAAAAE55ns8=")</f>
        <v>#REF!</v>
      </c>
      <c r="HA263" t="e">
        <f>AND(#REF!,"AAAAAE55ntA=")</f>
        <v>#REF!</v>
      </c>
      <c r="HB263" t="e">
        <f>AND(#REF!,"AAAAAE55ntE=")</f>
        <v>#REF!</v>
      </c>
      <c r="HC263" t="e">
        <f>AND(#REF!,"AAAAAE55ntI=")</f>
        <v>#REF!</v>
      </c>
      <c r="HD263" t="e">
        <f>AND(#REF!,"AAAAAE55ntM=")</f>
        <v>#REF!</v>
      </c>
      <c r="HE263" t="e">
        <f>AND(#REF!,"AAAAAE55ntQ=")</f>
        <v>#REF!</v>
      </c>
      <c r="HF263" t="e">
        <f>AND(#REF!,"AAAAAE55ntU=")</f>
        <v>#REF!</v>
      </c>
      <c r="HG263" t="e">
        <f>AND(#REF!,"AAAAAE55ntY=")</f>
        <v>#REF!</v>
      </c>
      <c r="HH263" t="e">
        <f>AND(#REF!,"AAAAAE55ntc=")</f>
        <v>#REF!</v>
      </c>
      <c r="HI263" t="e">
        <f>AND(#REF!,"AAAAAE55ntg=")</f>
        <v>#REF!</v>
      </c>
      <c r="HJ263" t="e">
        <f>AND(#REF!,"AAAAAE55ntk=")</f>
        <v>#REF!</v>
      </c>
      <c r="HK263" t="e">
        <f>AND(#REF!,"AAAAAE55nto=")</f>
        <v>#REF!</v>
      </c>
      <c r="HL263" t="e">
        <f>AND(#REF!,"AAAAAE55nts=")</f>
        <v>#REF!</v>
      </c>
      <c r="HM263" t="e">
        <f>AND(#REF!,"AAAAAE55ntw=")</f>
        <v>#REF!</v>
      </c>
      <c r="HN263" t="e">
        <f>AND(#REF!,"AAAAAE55nt0=")</f>
        <v>#REF!</v>
      </c>
      <c r="HO263" t="e">
        <f>AND(#REF!,"AAAAAE55nt4=")</f>
        <v>#REF!</v>
      </c>
      <c r="HP263" t="e">
        <f>AND(#REF!,"AAAAAE55nt8=")</f>
        <v>#REF!</v>
      </c>
      <c r="HQ263" t="e">
        <f>AND(#REF!,"AAAAAE55nuA=")</f>
        <v>#REF!</v>
      </c>
      <c r="HR263" t="e">
        <f>AND(#REF!,"AAAAAE55nuE=")</f>
        <v>#REF!</v>
      </c>
      <c r="HS263" t="e">
        <f>AND(#REF!,"AAAAAE55nuI=")</f>
        <v>#REF!</v>
      </c>
      <c r="HT263" t="e">
        <f>AND(#REF!,"AAAAAE55nuM=")</f>
        <v>#REF!</v>
      </c>
      <c r="HU263" t="e">
        <f>AND(#REF!,"AAAAAE55nuQ=")</f>
        <v>#REF!</v>
      </c>
      <c r="HV263" t="e">
        <f>AND(#REF!,"AAAAAE55nuU=")</f>
        <v>#REF!</v>
      </c>
      <c r="HW263" t="e">
        <f>AND(#REF!,"AAAAAE55nuY=")</f>
        <v>#REF!</v>
      </c>
      <c r="HX263" t="e">
        <f>AND(#REF!,"AAAAAE55nuc=")</f>
        <v>#REF!</v>
      </c>
      <c r="HY263" t="e">
        <f>AND(#REF!,"AAAAAE55nug=")</f>
        <v>#REF!</v>
      </c>
      <c r="HZ263" t="e">
        <f>AND(#REF!,"AAAAAE55nuk=")</f>
        <v>#REF!</v>
      </c>
      <c r="IA263" t="e">
        <f>AND(#REF!,"AAAAAE55nuo=")</f>
        <v>#REF!</v>
      </c>
      <c r="IB263" t="e">
        <f>AND(#REF!,"AAAAAE55nus=")</f>
        <v>#REF!</v>
      </c>
      <c r="IC263" t="e">
        <f>AND(#REF!,"AAAAAE55nuw=")</f>
        <v>#REF!</v>
      </c>
      <c r="ID263" t="e">
        <f>AND(#REF!,"AAAAAE55nu0=")</f>
        <v>#REF!</v>
      </c>
      <c r="IE263" t="e">
        <f>AND(#REF!,"AAAAAE55nu4=")</f>
        <v>#REF!</v>
      </c>
      <c r="IF263" t="e">
        <f>AND(#REF!,"AAAAAE55nu8=")</f>
        <v>#REF!</v>
      </c>
      <c r="IG263" t="e">
        <f>AND(#REF!,"AAAAAE55nvA=")</f>
        <v>#REF!</v>
      </c>
      <c r="IH263" t="e">
        <f>AND(#REF!,"AAAAAE55nvE=")</f>
        <v>#REF!</v>
      </c>
      <c r="II263" t="e">
        <f>AND(#REF!,"AAAAAE55nvI=")</f>
        <v>#REF!</v>
      </c>
      <c r="IJ263" t="e">
        <f>AND(#REF!,"AAAAAE55nvM=")</f>
        <v>#REF!</v>
      </c>
      <c r="IK263" t="e">
        <f>AND(#REF!,"AAAAAE55nvQ=")</f>
        <v>#REF!</v>
      </c>
      <c r="IL263" t="e">
        <f>AND(#REF!,"AAAAAE55nvU=")</f>
        <v>#REF!</v>
      </c>
      <c r="IM263" t="e">
        <f>AND(#REF!,"AAAAAE55nvY=")</f>
        <v>#REF!</v>
      </c>
      <c r="IN263" t="e">
        <f>AND(#REF!,"AAAAAE55nvc=")</f>
        <v>#REF!</v>
      </c>
      <c r="IO263" t="e">
        <f>AND(#REF!,"AAAAAE55nvg=")</f>
        <v>#REF!</v>
      </c>
      <c r="IP263" t="e">
        <f>AND(#REF!,"AAAAAE55nvk=")</f>
        <v>#REF!</v>
      </c>
      <c r="IQ263" t="e">
        <f>AND(#REF!,"AAAAAE55nvo=")</f>
        <v>#REF!</v>
      </c>
      <c r="IR263" t="e">
        <f>AND(#REF!,"AAAAAE55nvs=")</f>
        <v>#REF!</v>
      </c>
      <c r="IS263" t="e">
        <f>AND(#REF!,"AAAAAE55nvw=")</f>
        <v>#REF!</v>
      </c>
      <c r="IT263" t="e">
        <f>AND(#REF!,"AAAAAE55nv0=")</f>
        <v>#REF!</v>
      </c>
      <c r="IU263" t="e">
        <f>AND(#REF!,"AAAAAE55nv4=")</f>
        <v>#REF!</v>
      </c>
      <c r="IV263" t="e">
        <f>AND(#REF!,"AAAAAE55nv8=")</f>
        <v>#REF!</v>
      </c>
    </row>
    <row r="264" spans="1:256" x14ac:dyDescent="0.25">
      <c r="A264" t="e">
        <f>AND(#REF!,"AAAAAH/o9gA=")</f>
        <v>#REF!</v>
      </c>
      <c r="B264" t="e">
        <f>AND(#REF!,"AAAAAH/o9gE=")</f>
        <v>#REF!</v>
      </c>
      <c r="C264" t="e">
        <f>AND(#REF!,"AAAAAH/o9gI=")</f>
        <v>#REF!</v>
      </c>
      <c r="D264" t="e">
        <f>AND(#REF!,"AAAAAH/o9gM=")</f>
        <v>#REF!</v>
      </c>
      <c r="E264" t="e">
        <f>AND(#REF!,"AAAAAH/o9gQ=")</f>
        <v>#REF!</v>
      </c>
      <c r="F264" t="e">
        <f>AND(#REF!,"AAAAAH/o9gU=")</f>
        <v>#REF!</v>
      </c>
      <c r="G264" t="e">
        <f>AND(#REF!,"AAAAAH/o9gY=")</f>
        <v>#REF!</v>
      </c>
      <c r="H264" t="e">
        <f>AND(#REF!,"AAAAAH/o9gc=")</f>
        <v>#REF!</v>
      </c>
      <c r="I264" t="e">
        <f>AND(#REF!,"AAAAAH/o9gg=")</f>
        <v>#REF!</v>
      </c>
      <c r="J264" t="e">
        <f>AND(#REF!,"AAAAAH/o9gk=")</f>
        <v>#REF!</v>
      </c>
      <c r="K264" t="e">
        <f>AND(#REF!,"AAAAAH/o9go=")</f>
        <v>#REF!</v>
      </c>
      <c r="L264" t="e">
        <f>AND(#REF!,"AAAAAH/o9gs=")</f>
        <v>#REF!</v>
      </c>
      <c r="M264" t="e">
        <f>AND(#REF!,"AAAAAH/o9gw=")</f>
        <v>#REF!</v>
      </c>
      <c r="N264" t="e">
        <f>AND(#REF!,"AAAAAH/o9g0=")</f>
        <v>#REF!</v>
      </c>
      <c r="O264" t="e">
        <f>AND(#REF!,"AAAAAH/o9g4=")</f>
        <v>#REF!</v>
      </c>
      <c r="P264" t="e">
        <f>AND(#REF!,"AAAAAH/o9g8=")</f>
        <v>#REF!</v>
      </c>
      <c r="Q264" t="e">
        <f>AND(#REF!,"AAAAAH/o9hA=")</f>
        <v>#REF!</v>
      </c>
      <c r="R264" t="e">
        <f>AND(#REF!,"AAAAAH/o9hE=")</f>
        <v>#REF!</v>
      </c>
      <c r="S264" t="e">
        <f>AND(#REF!,"AAAAAH/o9hI=")</f>
        <v>#REF!</v>
      </c>
      <c r="T264" t="e">
        <f>AND(#REF!,"AAAAAH/o9hM=")</f>
        <v>#REF!</v>
      </c>
      <c r="U264" t="e">
        <f>AND(#REF!,"AAAAAH/o9hQ=")</f>
        <v>#REF!</v>
      </c>
      <c r="V264" t="e">
        <f>AND(#REF!,"AAAAAH/o9hU=")</f>
        <v>#REF!</v>
      </c>
      <c r="W264" t="e">
        <f>AND(#REF!,"AAAAAH/o9hY=")</f>
        <v>#REF!</v>
      </c>
      <c r="X264" t="e">
        <f>AND(#REF!,"AAAAAH/o9hc=")</f>
        <v>#REF!</v>
      </c>
      <c r="Y264" t="e">
        <f>AND(#REF!,"AAAAAH/o9hg=")</f>
        <v>#REF!</v>
      </c>
      <c r="Z264" t="e">
        <f>AND(#REF!,"AAAAAH/o9hk=")</f>
        <v>#REF!</v>
      </c>
      <c r="AA264" t="e">
        <f>AND(#REF!,"AAAAAH/o9ho=")</f>
        <v>#REF!</v>
      </c>
      <c r="AB264" t="e">
        <f>AND(#REF!,"AAAAAH/o9hs=")</f>
        <v>#REF!</v>
      </c>
      <c r="AC264" t="e">
        <f>AND(#REF!,"AAAAAH/o9hw=")</f>
        <v>#REF!</v>
      </c>
      <c r="AD264" t="e">
        <f>AND(#REF!,"AAAAAH/o9h0=")</f>
        <v>#REF!</v>
      </c>
      <c r="AE264" t="e">
        <f>AND(#REF!,"AAAAAH/o9h4=")</f>
        <v>#REF!</v>
      </c>
      <c r="AF264" t="e">
        <f>AND(#REF!,"AAAAAH/o9h8=")</f>
        <v>#REF!</v>
      </c>
      <c r="AG264" t="e">
        <f>AND(#REF!,"AAAAAH/o9iA=")</f>
        <v>#REF!</v>
      </c>
      <c r="AH264" t="e">
        <f>AND(#REF!,"AAAAAH/o9iE=")</f>
        <v>#REF!</v>
      </c>
      <c r="AI264" t="e">
        <f>AND(#REF!,"AAAAAH/o9iI=")</f>
        <v>#REF!</v>
      </c>
      <c r="AJ264" t="e">
        <f>AND(#REF!,"AAAAAH/o9iM=")</f>
        <v>#REF!</v>
      </c>
      <c r="AK264" t="e">
        <f>AND(#REF!,"AAAAAH/o9iQ=")</f>
        <v>#REF!</v>
      </c>
      <c r="AL264" t="e">
        <f>AND(#REF!,"AAAAAH/o9iU=")</f>
        <v>#REF!</v>
      </c>
      <c r="AM264" t="e">
        <f>AND(#REF!,"AAAAAH/o9iY=")</f>
        <v>#REF!</v>
      </c>
      <c r="AN264" t="e">
        <f>AND(#REF!,"AAAAAH/o9ic=")</f>
        <v>#REF!</v>
      </c>
      <c r="AO264" t="e">
        <f>AND(#REF!,"AAAAAH/o9ig=")</f>
        <v>#REF!</v>
      </c>
      <c r="AP264" t="e">
        <f>AND(#REF!,"AAAAAH/o9ik=")</f>
        <v>#REF!</v>
      </c>
      <c r="AQ264" t="e">
        <f>AND(#REF!,"AAAAAH/o9io=")</f>
        <v>#REF!</v>
      </c>
      <c r="AR264" t="e">
        <f>AND(#REF!,"AAAAAH/o9is=")</f>
        <v>#REF!</v>
      </c>
      <c r="AS264" t="e">
        <f>AND(#REF!,"AAAAAH/o9iw=")</f>
        <v>#REF!</v>
      </c>
      <c r="AT264" t="e">
        <f>AND(#REF!,"AAAAAH/o9i0=")</f>
        <v>#REF!</v>
      </c>
      <c r="AU264" t="e">
        <f>AND(#REF!,"AAAAAH/o9i4=")</f>
        <v>#REF!</v>
      </c>
      <c r="AV264" t="e">
        <f>AND(#REF!,"AAAAAH/o9i8=")</f>
        <v>#REF!</v>
      </c>
      <c r="AW264" t="e">
        <f>AND(#REF!,"AAAAAH/o9jA=")</f>
        <v>#REF!</v>
      </c>
      <c r="AX264" t="e">
        <f>AND(#REF!,"AAAAAH/o9jE=")</f>
        <v>#REF!</v>
      </c>
      <c r="AY264" t="e">
        <f>AND(#REF!,"AAAAAH/o9jI=")</f>
        <v>#REF!</v>
      </c>
      <c r="AZ264" t="e">
        <f>AND(#REF!,"AAAAAH/o9jM=")</f>
        <v>#REF!</v>
      </c>
      <c r="BA264" t="e">
        <f>AND(#REF!,"AAAAAH/o9jQ=")</f>
        <v>#REF!</v>
      </c>
      <c r="BB264" t="e">
        <f>AND(#REF!,"AAAAAH/o9jU=")</f>
        <v>#REF!</v>
      </c>
      <c r="BC264" t="e">
        <f>AND(#REF!,"AAAAAH/o9jY=")</f>
        <v>#REF!</v>
      </c>
      <c r="BD264" t="e">
        <f>AND(#REF!,"AAAAAH/o9jc=")</f>
        <v>#REF!</v>
      </c>
      <c r="BE264" t="e">
        <f>AND(#REF!,"AAAAAH/o9jg=")</f>
        <v>#REF!</v>
      </c>
      <c r="BF264" t="e">
        <f>AND(#REF!,"AAAAAH/o9jk=")</f>
        <v>#REF!</v>
      </c>
      <c r="BG264" t="e">
        <f>AND(#REF!,"AAAAAH/o9jo=")</f>
        <v>#REF!</v>
      </c>
      <c r="BH264" t="e">
        <f>AND(#REF!,"AAAAAH/o9js=")</f>
        <v>#REF!</v>
      </c>
      <c r="BI264" t="e">
        <f>AND(#REF!,"AAAAAH/o9jw=")</f>
        <v>#REF!</v>
      </c>
      <c r="BJ264" t="e">
        <f>AND(#REF!,"AAAAAH/o9j0=")</f>
        <v>#REF!</v>
      </c>
      <c r="BK264" t="e">
        <f>AND(#REF!,"AAAAAH/o9j4=")</f>
        <v>#REF!</v>
      </c>
      <c r="BL264" t="e">
        <f>AND(#REF!,"AAAAAH/o9j8=")</f>
        <v>#REF!</v>
      </c>
      <c r="BM264" t="e">
        <f>AND(#REF!,"AAAAAH/o9kA=")</f>
        <v>#REF!</v>
      </c>
      <c r="BN264" t="e">
        <f>AND(#REF!,"AAAAAH/o9kE=")</f>
        <v>#REF!</v>
      </c>
      <c r="BO264" t="e">
        <f>AND(#REF!,"AAAAAH/o9kI=")</f>
        <v>#REF!</v>
      </c>
      <c r="BP264" t="e">
        <f>AND(#REF!,"AAAAAH/o9kM=")</f>
        <v>#REF!</v>
      </c>
      <c r="BQ264" t="e">
        <f>AND(#REF!,"AAAAAH/o9kQ=")</f>
        <v>#REF!</v>
      </c>
      <c r="BR264" t="e">
        <f>AND(#REF!,"AAAAAH/o9kU=")</f>
        <v>#REF!</v>
      </c>
      <c r="BS264" t="e">
        <f>AND(#REF!,"AAAAAH/o9kY=")</f>
        <v>#REF!</v>
      </c>
      <c r="BT264" t="e">
        <f>AND(#REF!,"AAAAAH/o9kc=")</f>
        <v>#REF!</v>
      </c>
      <c r="BU264" t="e">
        <f>AND(#REF!,"AAAAAH/o9kg=")</f>
        <v>#REF!</v>
      </c>
      <c r="BV264" t="e">
        <f>AND(#REF!,"AAAAAH/o9kk=")</f>
        <v>#REF!</v>
      </c>
      <c r="BW264" t="e">
        <f>AND(#REF!,"AAAAAH/o9ko=")</f>
        <v>#REF!</v>
      </c>
      <c r="BX264" t="e">
        <f>AND(#REF!,"AAAAAH/o9ks=")</f>
        <v>#REF!</v>
      </c>
      <c r="BY264" t="e">
        <f>AND(#REF!,"AAAAAH/o9kw=")</f>
        <v>#REF!</v>
      </c>
      <c r="BZ264" t="e">
        <f>AND(#REF!,"AAAAAH/o9k0=")</f>
        <v>#REF!</v>
      </c>
      <c r="CA264" t="e">
        <f>AND(#REF!,"AAAAAH/o9k4=")</f>
        <v>#REF!</v>
      </c>
      <c r="CB264" t="e">
        <f>AND(#REF!,"AAAAAH/o9k8=")</f>
        <v>#REF!</v>
      </c>
      <c r="CC264" t="e">
        <f>AND(#REF!,"AAAAAH/o9lA=")</f>
        <v>#REF!</v>
      </c>
      <c r="CD264" t="e">
        <f>AND(#REF!,"AAAAAH/o9lE=")</f>
        <v>#REF!</v>
      </c>
      <c r="CE264" t="e">
        <f>AND(#REF!,"AAAAAH/o9lI=")</f>
        <v>#REF!</v>
      </c>
      <c r="CF264" t="e">
        <f>AND(#REF!,"AAAAAH/o9lM=")</f>
        <v>#REF!</v>
      </c>
      <c r="CG264" t="e">
        <f>AND(#REF!,"AAAAAH/o9lQ=")</f>
        <v>#REF!</v>
      </c>
      <c r="CH264" t="e">
        <f>AND(#REF!,"AAAAAH/o9lU=")</f>
        <v>#REF!</v>
      </c>
      <c r="CI264" t="e">
        <f>AND(#REF!,"AAAAAH/o9lY=")</f>
        <v>#REF!</v>
      </c>
      <c r="CJ264" t="e">
        <f>AND(#REF!,"AAAAAH/o9lc=")</f>
        <v>#REF!</v>
      </c>
      <c r="CK264" t="e">
        <f>AND(#REF!,"AAAAAH/o9lg=")</f>
        <v>#REF!</v>
      </c>
      <c r="CL264" t="e">
        <f>AND(#REF!,"AAAAAH/o9lk=")</f>
        <v>#REF!</v>
      </c>
      <c r="CM264" t="e">
        <f>AND(#REF!,"AAAAAH/o9lo=")</f>
        <v>#REF!</v>
      </c>
      <c r="CN264" t="e">
        <f>AND(#REF!,"AAAAAH/o9ls=")</f>
        <v>#REF!</v>
      </c>
      <c r="CO264" t="e">
        <f>AND(#REF!,"AAAAAH/o9lw=")</f>
        <v>#REF!</v>
      </c>
      <c r="CP264" t="e">
        <f>AND(#REF!,"AAAAAH/o9l0=")</f>
        <v>#REF!</v>
      </c>
      <c r="CQ264" t="e">
        <f>AND(#REF!,"AAAAAH/o9l4=")</f>
        <v>#REF!</v>
      </c>
      <c r="CR264" t="e">
        <f>AND(#REF!,"AAAAAH/o9l8=")</f>
        <v>#REF!</v>
      </c>
      <c r="CS264" t="e">
        <f>AND(#REF!,"AAAAAH/o9mA=")</f>
        <v>#REF!</v>
      </c>
      <c r="CT264" t="e">
        <f>AND(#REF!,"AAAAAH/o9mE=")</f>
        <v>#REF!</v>
      </c>
      <c r="CU264" t="e">
        <f>AND(#REF!,"AAAAAH/o9mI=")</f>
        <v>#REF!</v>
      </c>
      <c r="CV264" t="e">
        <f>AND(#REF!,"AAAAAH/o9mM=")</f>
        <v>#REF!</v>
      </c>
      <c r="CW264" t="e">
        <f>AND(#REF!,"AAAAAH/o9mQ=")</f>
        <v>#REF!</v>
      </c>
      <c r="CX264" t="e">
        <f>AND(#REF!,"AAAAAH/o9mU=")</f>
        <v>#REF!</v>
      </c>
      <c r="CY264" t="e">
        <f>AND(#REF!,"AAAAAH/o9mY=")</f>
        <v>#REF!</v>
      </c>
      <c r="CZ264" t="e">
        <f>AND(#REF!,"AAAAAH/o9mc=")</f>
        <v>#REF!</v>
      </c>
      <c r="DA264" t="e">
        <f>AND(#REF!,"AAAAAH/o9mg=")</f>
        <v>#REF!</v>
      </c>
      <c r="DB264" t="e">
        <f>AND(#REF!,"AAAAAH/o9mk=")</f>
        <v>#REF!</v>
      </c>
      <c r="DC264" t="e">
        <f>AND(#REF!,"AAAAAH/o9mo=")</f>
        <v>#REF!</v>
      </c>
      <c r="DD264" t="e">
        <f>AND(#REF!,"AAAAAH/o9ms=")</f>
        <v>#REF!</v>
      </c>
      <c r="DE264" t="e">
        <f>AND(#REF!,"AAAAAH/o9mw=")</f>
        <v>#REF!</v>
      </c>
      <c r="DF264" t="e">
        <f>AND(#REF!,"AAAAAH/o9m0=")</f>
        <v>#REF!</v>
      </c>
      <c r="DG264" t="e">
        <f>AND(#REF!,"AAAAAH/o9m4=")</f>
        <v>#REF!</v>
      </c>
      <c r="DH264" t="e">
        <f>AND(#REF!,"AAAAAH/o9m8=")</f>
        <v>#REF!</v>
      </c>
      <c r="DI264" t="e">
        <f>AND(#REF!,"AAAAAH/o9nA=")</f>
        <v>#REF!</v>
      </c>
      <c r="DJ264" t="e">
        <f>AND(#REF!,"AAAAAH/o9nE=")</f>
        <v>#REF!</v>
      </c>
      <c r="DK264" t="e">
        <f>AND(#REF!,"AAAAAH/o9nI=")</f>
        <v>#REF!</v>
      </c>
      <c r="DL264" t="e">
        <f>AND(#REF!,"AAAAAH/o9nM=")</f>
        <v>#REF!</v>
      </c>
      <c r="DM264" t="e">
        <f>AND(#REF!,"AAAAAH/o9nQ=")</f>
        <v>#REF!</v>
      </c>
      <c r="DN264" t="e">
        <f>AND(#REF!,"AAAAAH/o9nU=")</f>
        <v>#REF!</v>
      </c>
      <c r="DO264" t="e">
        <f>AND(#REF!,"AAAAAH/o9nY=")</f>
        <v>#REF!</v>
      </c>
      <c r="DP264" t="e">
        <f>AND(#REF!,"AAAAAH/o9nc=")</f>
        <v>#REF!</v>
      </c>
      <c r="DQ264" t="e">
        <f>AND(#REF!,"AAAAAH/o9ng=")</f>
        <v>#REF!</v>
      </c>
      <c r="DR264" t="e">
        <f>AND(#REF!,"AAAAAH/o9nk=")</f>
        <v>#REF!</v>
      </c>
      <c r="DS264" t="e">
        <f>AND(#REF!,"AAAAAH/o9no=")</f>
        <v>#REF!</v>
      </c>
      <c r="DT264" t="e">
        <f>AND(#REF!,"AAAAAH/o9ns=")</f>
        <v>#REF!</v>
      </c>
      <c r="DU264" t="e">
        <f>AND(#REF!,"AAAAAH/o9nw=")</f>
        <v>#REF!</v>
      </c>
      <c r="DV264" t="e">
        <f>AND(#REF!,"AAAAAH/o9n0=")</f>
        <v>#REF!</v>
      </c>
      <c r="DW264" t="e">
        <f>AND(#REF!,"AAAAAH/o9n4=")</f>
        <v>#REF!</v>
      </c>
      <c r="DX264" t="e">
        <f>AND(#REF!,"AAAAAH/o9n8=")</f>
        <v>#REF!</v>
      </c>
      <c r="DY264" t="e">
        <f>AND(#REF!,"AAAAAH/o9oA=")</f>
        <v>#REF!</v>
      </c>
      <c r="DZ264" t="e">
        <f>AND(#REF!,"AAAAAH/o9oE=")</f>
        <v>#REF!</v>
      </c>
      <c r="EA264" t="e">
        <f>AND(#REF!,"AAAAAH/o9oI=")</f>
        <v>#REF!</v>
      </c>
      <c r="EB264" t="e">
        <f>AND(#REF!,"AAAAAH/o9oM=")</f>
        <v>#REF!</v>
      </c>
      <c r="EC264" t="e">
        <f>AND(#REF!,"AAAAAH/o9oQ=")</f>
        <v>#REF!</v>
      </c>
      <c r="ED264" t="e">
        <f>AND(#REF!,"AAAAAH/o9oU=")</f>
        <v>#REF!</v>
      </c>
      <c r="EE264" t="e">
        <f>AND(#REF!,"AAAAAH/o9oY=")</f>
        <v>#REF!</v>
      </c>
      <c r="EF264" t="e">
        <f>AND(#REF!,"AAAAAH/o9oc=")</f>
        <v>#REF!</v>
      </c>
      <c r="EG264" t="e">
        <f>AND(#REF!,"AAAAAH/o9og=")</f>
        <v>#REF!</v>
      </c>
      <c r="EH264" t="e">
        <f>IF(#REF!,"AAAAAH/o9ok=",0)</f>
        <v>#REF!</v>
      </c>
      <c r="EI264" t="e">
        <f>AND(#REF!,"AAAAAH/o9oo=")</f>
        <v>#REF!</v>
      </c>
      <c r="EJ264" t="e">
        <f>AND(#REF!,"AAAAAH/o9os=")</f>
        <v>#REF!</v>
      </c>
      <c r="EK264" t="e">
        <f>AND(#REF!,"AAAAAH/o9ow=")</f>
        <v>#REF!</v>
      </c>
      <c r="EL264" t="e">
        <f>AND(#REF!,"AAAAAH/o9o0=")</f>
        <v>#REF!</v>
      </c>
      <c r="EM264" t="e">
        <f>AND(#REF!,"AAAAAH/o9o4=")</f>
        <v>#REF!</v>
      </c>
      <c r="EN264" t="e">
        <f>AND(#REF!,"AAAAAH/o9o8=")</f>
        <v>#REF!</v>
      </c>
      <c r="EO264" t="e">
        <f>AND(#REF!,"AAAAAH/o9pA=")</f>
        <v>#REF!</v>
      </c>
      <c r="EP264" t="e">
        <f>AND(#REF!,"AAAAAH/o9pE=")</f>
        <v>#REF!</v>
      </c>
      <c r="EQ264" t="e">
        <f>AND(#REF!,"AAAAAH/o9pI=")</f>
        <v>#REF!</v>
      </c>
      <c r="ER264" t="e">
        <f>AND(#REF!,"AAAAAH/o9pM=")</f>
        <v>#REF!</v>
      </c>
      <c r="ES264" t="e">
        <f>AND(#REF!,"AAAAAH/o9pQ=")</f>
        <v>#REF!</v>
      </c>
      <c r="ET264" t="e">
        <f>AND(#REF!,"AAAAAH/o9pU=")</f>
        <v>#REF!</v>
      </c>
      <c r="EU264" t="e">
        <f>AND(#REF!,"AAAAAH/o9pY=")</f>
        <v>#REF!</v>
      </c>
      <c r="EV264" t="e">
        <f>AND(#REF!,"AAAAAH/o9pc=")</f>
        <v>#REF!</v>
      </c>
      <c r="EW264" t="e">
        <f>AND(#REF!,"AAAAAH/o9pg=")</f>
        <v>#REF!</v>
      </c>
      <c r="EX264" t="e">
        <f>AND(#REF!,"AAAAAH/o9pk=")</f>
        <v>#REF!</v>
      </c>
      <c r="EY264" t="e">
        <f>AND(#REF!,"AAAAAH/o9po=")</f>
        <v>#REF!</v>
      </c>
      <c r="EZ264" t="e">
        <f>AND(#REF!,"AAAAAH/o9ps=")</f>
        <v>#REF!</v>
      </c>
      <c r="FA264" t="e">
        <f>AND(#REF!,"AAAAAH/o9pw=")</f>
        <v>#REF!</v>
      </c>
      <c r="FB264" t="e">
        <f>AND(#REF!,"AAAAAH/o9p0=")</f>
        <v>#REF!</v>
      </c>
      <c r="FC264" t="e">
        <f>AND(#REF!,"AAAAAH/o9p4=")</f>
        <v>#REF!</v>
      </c>
      <c r="FD264" t="e">
        <f>AND(#REF!,"AAAAAH/o9p8=")</f>
        <v>#REF!</v>
      </c>
      <c r="FE264" t="e">
        <f>AND(#REF!,"AAAAAH/o9qA=")</f>
        <v>#REF!</v>
      </c>
      <c r="FF264" t="e">
        <f>AND(#REF!,"AAAAAH/o9qE=")</f>
        <v>#REF!</v>
      </c>
      <c r="FG264" t="e">
        <f>AND(#REF!,"AAAAAH/o9qI=")</f>
        <v>#REF!</v>
      </c>
      <c r="FH264" t="e">
        <f>AND(#REF!,"AAAAAH/o9qM=")</f>
        <v>#REF!</v>
      </c>
      <c r="FI264" t="e">
        <f>AND(#REF!,"AAAAAH/o9qQ=")</f>
        <v>#REF!</v>
      </c>
      <c r="FJ264" t="e">
        <f>AND(#REF!,"AAAAAH/o9qU=")</f>
        <v>#REF!</v>
      </c>
      <c r="FK264" t="e">
        <f>AND(#REF!,"AAAAAH/o9qY=")</f>
        <v>#REF!</v>
      </c>
      <c r="FL264" t="e">
        <f>AND(#REF!,"AAAAAH/o9qc=")</f>
        <v>#REF!</v>
      </c>
      <c r="FM264" t="e">
        <f>AND(#REF!,"AAAAAH/o9qg=")</f>
        <v>#REF!</v>
      </c>
      <c r="FN264" t="e">
        <f>AND(#REF!,"AAAAAH/o9qk=")</f>
        <v>#REF!</v>
      </c>
      <c r="FO264" t="e">
        <f>AND(#REF!,"AAAAAH/o9qo=")</f>
        <v>#REF!</v>
      </c>
      <c r="FP264" t="e">
        <f>AND(#REF!,"AAAAAH/o9qs=")</f>
        <v>#REF!</v>
      </c>
      <c r="FQ264" t="e">
        <f>AND(#REF!,"AAAAAH/o9qw=")</f>
        <v>#REF!</v>
      </c>
      <c r="FR264" t="e">
        <f>AND(#REF!,"AAAAAH/o9q0=")</f>
        <v>#REF!</v>
      </c>
      <c r="FS264" t="e">
        <f>AND(#REF!,"AAAAAH/o9q4=")</f>
        <v>#REF!</v>
      </c>
      <c r="FT264" t="e">
        <f>AND(#REF!,"AAAAAH/o9q8=")</f>
        <v>#REF!</v>
      </c>
      <c r="FU264" t="e">
        <f>AND(#REF!,"AAAAAH/o9rA=")</f>
        <v>#REF!</v>
      </c>
      <c r="FV264" t="e">
        <f>AND(#REF!,"AAAAAH/o9rE=")</f>
        <v>#REF!</v>
      </c>
      <c r="FW264" t="e">
        <f>AND(#REF!,"AAAAAH/o9rI=")</f>
        <v>#REF!</v>
      </c>
      <c r="FX264" t="e">
        <f>AND(#REF!,"AAAAAH/o9rM=")</f>
        <v>#REF!</v>
      </c>
      <c r="FY264" t="e">
        <f>AND(#REF!,"AAAAAH/o9rQ=")</f>
        <v>#REF!</v>
      </c>
      <c r="FZ264" t="e">
        <f>AND(#REF!,"AAAAAH/o9rU=")</f>
        <v>#REF!</v>
      </c>
      <c r="GA264" t="e">
        <f>AND(#REF!,"AAAAAH/o9rY=")</f>
        <v>#REF!</v>
      </c>
      <c r="GB264" t="e">
        <f>AND(#REF!,"AAAAAH/o9rc=")</f>
        <v>#REF!</v>
      </c>
      <c r="GC264" t="e">
        <f>AND(#REF!,"AAAAAH/o9rg=")</f>
        <v>#REF!</v>
      </c>
      <c r="GD264" t="e">
        <f>AND(#REF!,"AAAAAH/o9rk=")</f>
        <v>#REF!</v>
      </c>
      <c r="GE264" t="e">
        <f>AND(#REF!,"AAAAAH/o9ro=")</f>
        <v>#REF!</v>
      </c>
      <c r="GF264" t="e">
        <f>AND(#REF!,"AAAAAH/o9rs=")</f>
        <v>#REF!</v>
      </c>
      <c r="GG264" t="e">
        <f>AND(#REF!,"AAAAAH/o9rw=")</f>
        <v>#REF!</v>
      </c>
      <c r="GH264" t="e">
        <f>AND(#REF!,"AAAAAH/o9r0=")</f>
        <v>#REF!</v>
      </c>
      <c r="GI264" t="e">
        <f>AND(#REF!,"AAAAAH/o9r4=")</f>
        <v>#REF!</v>
      </c>
      <c r="GJ264" t="e">
        <f>AND(#REF!,"AAAAAH/o9r8=")</f>
        <v>#REF!</v>
      </c>
      <c r="GK264" t="e">
        <f>AND(#REF!,"AAAAAH/o9sA=")</f>
        <v>#REF!</v>
      </c>
      <c r="GL264" t="e">
        <f>AND(#REF!,"AAAAAH/o9sE=")</f>
        <v>#REF!</v>
      </c>
      <c r="GM264" t="e">
        <f>AND(#REF!,"AAAAAH/o9sI=")</f>
        <v>#REF!</v>
      </c>
      <c r="GN264" t="e">
        <f>AND(#REF!,"AAAAAH/o9sM=")</f>
        <v>#REF!</v>
      </c>
      <c r="GO264" t="e">
        <f>AND(#REF!,"AAAAAH/o9sQ=")</f>
        <v>#REF!</v>
      </c>
      <c r="GP264" t="e">
        <f>AND(#REF!,"AAAAAH/o9sU=")</f>
        <v>#REF!</v>
      </c>
      <c r="GQ264" t="e">
        <f>AND(#REF!,"AAAAAH/o9sY=")</f>
        <v>#REF!</v>
      </c>
      <c r="GR264" t="e">
        <f>AND(#REF!,"AAAAAH/o9sc=")</f>
        <v>#REF!</v>
      </c>
      <c r="GS264" t="e">
        <f>AND(#REF!,"AAAAAH/o9sg=")</f>
        <v>#REF!</v>
      </c>
      <c r="GT264" t="e">
        <f>AND(#REF!,"AAAAAH/o9sk=")</f>
        <v>#REF!</v>
      </c>
      <c r="GU264" t="e">
        <f>AND(#REF!,"AAAAAH/o9so=")</f>
        <v>#REF!</v>
      </c>
      <c r="GV264" t="e">
        <f>AND(#REF!,"AAAAAH/o9ss=")</f>
        <v>#REF!</v>
      </c>
      <c r="GW264" t="e">
        <f>AND(#REF!,"AAAAAH/o9sw=")</f>
        <v>#REF!</v>
      </c>
      <c r="GX264" t="e">
        <f>AND(#REF!,"AAAAAH/o9s0=")</f>
        <v>#REF!</v>
      </c>
      <c r="GY264" t="e">
        <f>AND(#REF!,"AAAAAH/o9s4=")</f>
        <v>#REF!</v>
      </c>
      <c r="GZ264" t="e">
        <f>AND(#REF!,"AAAAAH/o9s8=")</f>
        <v>#REF!</v>
      </c>
      <c r="HA264" t="e">
        <f>AND(#REF!,"AAAAAH/o9tA=")</f>
        <v>#REF!</v>
      </c>
      <c r="HB264" t="e">
        <f>AND(#REF!,"AAAAAH/o9tE=")</f>
        <v>#REF!</v>
      </c>
      <c r="HC264" t="e">
        <f>AND(#REF!,"AAAAAH/o9tI=")</f>
        <v>#REF!</v>
      </c>
      <c r="HD264" t="e">
        <f>AND(#REF!,"AAAAAH/o9tM=")</f>
        <v>#REF!</v>
      </c>
      <c r="HE264" t="e">
        <f>AND(#REF!,"AAAAAH/o9tQ=")</f>
        <v>#REF!</v>
      </c>
      <c r="HF264" t="e">
        <f>AND(#REF!,"AAAAAH/o9tU=")</f>
        <v>#REF!</v>
      </c>
      <c r="HG264" t="e">
        <f>AND(#REF!,"AAAAAH/o9tY=")</f>
        <v>#REF!</v>
      </c>
      <c r="HH264" t="e">
        <f>AND(#REF!,"AAAAAH/o9tc=")</f>
        <v>#REF!</v>
      </c>
      <c r="HI264" t="e">
        <f>AND(#REF!,"AAAAAH/o9tg=")</f>
        <v>#REF!</v>
      </c>
      <c r="HJ264" t="e">
        <f>AND(#REF!,"AAAAAH/o9tk=")</f>
        <v>#REF!</v>
      </c>
      <c r="HK264" t="e">
        <f>AND(#REF!,"AAAAAH/o9to=")</f>
        <v>#REF!</v>
      </c>
      <c r="HL264" t="e">
        <f>AND(#REF!,"AAAAAH/o9ts=")</f>
        <v>#REF!</v>
      </c>
      <c r="HM264" t="e">
        <f>AND(#REF!,"AAAAAH/o9tw=")</f>
        <v>#REF!</v>
      </c>
      <c r="HN264" t="e">
        <f>AND(#REF!,"AAAAAH/o9t0=")</f>
        <v>#REF!</v>
      </c>
      <c r="HO264" t="e">
        <f>AND(#REF!,"AAAAAH/o9t4=")</f>
        <v>#REF!</v>
      </c>
      <c r="HP264" t="e">
        <f>AND(#REF!,"AAAAAH/o9t8=")</f>
        <v>#REF!</v>
      </c>
      <c r="HQ264" t="e">
        <f>AND(#REF!,"AAAAAH/o9uA=")</f>
        <v>#REF!</v>
      </c>
      <c r="HR264" t="e">
        <f>AND(#REF!,"AAAAAH/o9uE=")</f>
        <v>#REF!</v>
      </c>
      <c r="HS264" t="e">
        <f>AND(#REF!,"AAAAAH/o9uI=")</f>
        <v>#REF!</v>
      </c>
      <c r="HT264" t="e">
        <f>AND(#REF!,"AAAAAH/o9uM=")</f>
        <v>#REF!</v>
      </c>
      <c r="HU264" t="e">
        <f>AND(#REF!,"AAAAAH/o9uQ=")</f>
        <v>#REF!</v>
      </c>
      <c r="HV264" t="e">
        <f>AND(#REF!,"AAAAAH/o9uU=")</f>
        <v>#REF!</v>
      </c>
      <c r="HW264" t="e">
        <f>AND(#REF!,"AAAAAH/o9uY=")</f>
        <v>#REF!</v>
      </c>
      <c r="HX264" t="e">
        <f>AND(#REF!,"AAAAAH/o9uc=")</f>
        <v>#REF!</v>
      </c>
      <c r="HY264" t="e">
        <f>AND(#REF!,"AAAAAH/o9ug=")</f>
        <v>#REF!</v>
      </c>
      <c r="HZ264" t="e">
        <f>AND(#REF!,"AAAAAH/o9uk=")</f>
        <v>#REF!</v>
      </c>
      <c r="IA264" t="e">
        <f>AND(#REF!,"AAAAAH/o9uo=")</f>
        <v>#REF!</v>
      </c>
      <c r="IB264" t="e">
        <f>AND(#REF!,"AAAAAH/o9us=")</f>
        <v>#REF!</v>
      </c>
      <c r="IC264" t="e">
        <f>AND(#REF!,"AAAAAH/o9uw=")</f>
        <v>#REF!</v>
      </c>
      <c r="ID264" t="e">
        <f>AND(#REF!,"AAAAAH/o9u0=")</f>
        <v>#REF!</v>
      </c>
      <c r="IE264" t="e">
        <f>AND(#REF!,"AAAAAH/o9u4=")</f>
        <v>#REF!</v>
      </c>
      <c r="IF264" t="e">
        <f>AND(#REF!,"AAAAAH/o9u8=")</f>
        <v>#REF!</v>
      </c>
      <c r="IG264" t="e">
        <f>AND(#REF!,"AAAAAH/o9vA=")</f>
        <v>#REF!</v>
      </c>
      <c r="IH264" t="e">
        <f>AND(#REF!,"AAAAAH/o9vE=")</f>
        <v>#REF!</v>
      </c>
      <c r="II264" t="e">
        <f>AND(#REF!,"AAAAAH/o9vI=")</f>
        <v>#REF!</v>
      </c>
      <c r="IJ264" t="e">
        <f>AND(#REF!,"AAAAAH/o9vM=")</f>
        <v>#REF!</v>
      </c>
      <c r="IK264" t="e">
        <f>AND(#REF!,"AAAAAH/o9vQ=")</f>
        <v>#REF!</v>
      </c>
      <c r="IL264" t="e">
        <f>AND(#REF!,"AAAAAH/o9vU=")</f>
        <v>#REF!</v>
      </c>
      <c r="IM264" t="e">
        <f>AND(#REF!,"AAAAAH/o9vY=")</f>
        <v>#REF!</v>
      </c>
      <c r="IN264" t="e">
        <f>AND(#REF!,"AAAAAH/o9vc=")</f>
        <v>#REF!</v>
      </c>
      <c r="IO264" t="e">
        <f>AND(#REF!,"AAAAAH/o9vg=")</f>
        <v>#REF!</v>
      </c>
      <c r="IP264" t="e">
        <f>AND(#REF!,"AAAAAH/o9vk=")</f>
        <v>#REF!</v>
      </c>
      <c r="IQ264" t="e">
        <f>AND(#REF!,"AAAAAH/o9vo=")</f>
        <v>#REF!</v>
      </c>
      <c r="IR264" t="e">
        <f>AND(#REF!,"AAAAAH/o9vs=")</f>
        <v>#REF!</v>
      </c>
      <c r="IS264" t="e">
        <f>AND(#REF!,"AAAAAH/o9vw=")</f>
        <v>#REF!</v>
      </c>
      <c r="IT264" t="e">
        <f>AND(#REF!,"AAAAAH/o9v0=")</f>
        <v>#REF!</v>
      </c>
      <c r="IU264" t="e">
        <f>AND(#REF!,"AAAAAH/o9v4=")</f>
        <v>#REF!</v>
      </c>
      <c r="IV264" t="e">
        <f>AND(#REF!,"AAAAAH/o9v8=")</f>
        <v>#REF!</v>
      </c>
    </row>
    <row r="265" spans="1:256" x14ac:dyDescent="0.25">
      <c r="A265" t="e">
        <f>AND(#REF!,"AAAAAGqOogA=")</f>
        <v>#REF!</v>
      </c>
      <c r="B265" t="e">
        <f>AND(#REF!,"AAAAAGqOogE=")</f>
        <v>#REF!</v>
      </c>
      <c r="C265" t="e">
        <f>AND(#REF!,"AAAAAGqOogI=")</f>
        <v>#REF!</v>
      </c>
      <c r="D265" t="e">
        <f>AND(#REF!,"AAAAAGqOogM=")</f>
        <v>#REF!</v>
      </c>
      <c r="E265" t="e">
        <f>AND(#REF!,"AAAAAGqOogQ=")</f>
        <v>#REF!</v>
      </c>
      <c r="F265" t="e">
        <f>AND(#REF!,"AAAAAGqOogU=")</f>
        <v>#REF!</v>
      </c>
      <c r="G265" t="e">
        <f>AND(#REF!,"AAAAAGqOogY=")</f>
        <v>#REF!</v>
      </c>
      <c r="H265" t="e">
        <f>AND(#REF!,"AAAAAGqOogc=")</f>
        <v>#REF!</v>
      </c>
      <c r="I265" t="e">
        <f>AND(#REF!,"AAAAAGqOogg=")</f>
        <v>#REF!</v>
      </c>
      <c r="J265" t="e">
        <f>AND(#REF!,"AAAAAGqOogk=")</f>
        <v>#REF!</v>
      </c>
      <c r="K265" t="e">
        <f>AND(#REF!,"AAAAAGqOogo=")</f>
        <v>#REF!</v>
      </c>
      <c r="L265" t="e">
        <f>AND(#REF!,"AAAAAGqOogs=")</f>
        <v>#REF!</v>
      </c>
      <c r="M265" t="e">
        <f>AND(#REF!,"AAAAAGqOogw=")</f>
        <v>#REF!</v>
      </c>
      <c r="N265" t="e">
        <f>AND(#REF!,"AAAAAGqOog0=")</f>
        <v>#REF!</v>
      </c>
      <c r="O265" t="e">
        <f>AND(#REF!,"AAAAAGqOog4=")</f>
        <v>#REF!</v>
      </c>
      <c r="P265" t="e">
        <f>AND(#REF!,"AAAAAGqOog8=")</f>
        <v>#REF!</v>
      </c>
      <c r="Q265" t="e">
        <f>AND(#REF!,"AAAAAGqOohA=")</f>
        <v>#REF!</v>
      </c>
      <c r="R265" t="e">
        <f>AND(#REF!,"AAAAAGqOohE=")</f>
        <v>#REF!</v>
      </c>
      <c r="S265" t="e">
        <f>AND(#REF!,"AAAAAGqOohI=")</f>
        <v>#REF!</v>
      </c>
      <c r="T265" t="e">
        <f>AND(#REF!,"AAAAAGqOohM=")</f>
        <v>#REF!</v>
      </c>
      <c r="U265" t="e">
        <f>AND(#REF!,"AAAAAGqOohQ=")</f>
        <v>#REF!</v>
      </c>
      <c r="V265" t="e">
        <f>AND(#REF!,"AAAAAGqOohU=")</f>
        <v>#REF!</v>
      </c>
      <c r="W265" t="e">
        <f>AND(#REF!,"AAAAAGqOohY=")</f>
        <v>#REF!</v>
      </c>
      <c r="X265" t="e">
        <f>AND(#REF!,"AAAAAGqOohc=")</f>
        <v>#REF!</v>
      </c>
      <c r="Y265" t="e">
        <f>AND(#REF!,"AAAAAGqOohg=")</f>
        <v>#REF!</v>
      </c>
      <c r="Z265" t="e">
        <f>AND(#REF!,"AAAAAGqOohk=")</f>
        <v>#REF!</v>
      </c>
      <c r="AA265" t="e">
        <f>AND(#REF!,"AAAAAGqOoho=")</f>
        <v>#REF!</v>
      </c>
      <c r="AB265" t="e">
        <f>AND(#REF!,"AAAAAGqOohs=")</f>
        <v>#REF!</v>
      </c>
      <c r="AC265" t="e">
        <f>AND(#REF!,"AAAAAGqOohw=")</f>
        <v>#REF!</v>
      </c>
      <c r="AD265" t="e">
        <f>AND(#REF!,"AAAAAGqOoh0=")</f>
        <v>#REF!</v>
      </c>
      <c r="AE265" t="e">
        <f>AND(#REF!,"AAAAAGqOoh4=")</f>
        <v>#REF!</v>
      </c>
      <c r="AF265" t="e">
        <f>AND(#REF!,"AAAAAGqOoh8=")</f>
        <v>#REF!</v>
      </c>
      <c r="AG265" t="e">
        <f>AND(#REF!,"AAAAAGqOoiA=")</f>
        <v>#REF!</v>
      </c>
      <c r="AH265" t="e">
        <f>AND(#REF!,"AAAAAGqOoiE=")</f>
        <v>#REF!</v>
      </c>
      <c r="AI265" t="e">
        <f>AND(#REF!,"AAAAAGqOoiI=")</f>
        <v>#REF!</v>
      </c>
      <c r="AJ265" t="e">
        <f>AND(#REF!,"AAAAAGqOoiM=")</f>
        <v>#REF!</v>
      </c>
      <c r="AK265" t="e">
        <f>AND(#REF!,"AAAAAGqOoiQ=")</f>
        <v>#REF!</v>
      </c>
      <c r="AL265" t="e">
        <f>AND(#REF!,"AAAAAGqOoiU=")</f>
        <v>#REF!</v>
      </c>
      <c r="AM265" t="e">
        <f>AND(#REF!,"AAAAAGqOoiY=")</f>
        <v>#REF!</v>
      </c>
      <c r="AN265" t="e">
        <f>AND(#REF!,"AAAAAGqOoic=")</f>
        <v>#REF!</v>
      </c>
      <c r="AO265" t="e">
        <f>AND(#REF!,"AAAAAGqOoig=")</f>
        <v>#REF!</v>
      </c>
      <c r="AP265" t="e">
        <f>AND(#REF!,"AAAAAGqOoik=")</f>
        <v>#REF!</v>
      </c>
      <c r="AQ265" t="e">
        <f>AND(#REF!,"AAAAAGqOoio=")</f>
        <v>#REF!</v>
      </c>
      <c r="AR265" t="e">
        <f>AND(#REF!,"AAAAAGqOois=")</f>
        <v>#REF!</v>
      </c>
      <c r="AS265" t="e">
        <f>AND(#REF!,"AAAAAGqOoiw=")</f>
        <v>#REF!</v>
      </c>
      <c r="AT265" t="e">
        <f>AND(#REF!,"AAAAAGqOoi0=")</f>
        <v>#REF!</v>
      </c>
      <c r="AU265" t="e">
        <f>AND(#REF!,"AAAAAGqOoi4=")</f>
        <v>#REF!</v>
      </c>
      <c r="AV265" t="e">
        <f>AND(#REF!,"AAAAAGqOoi8=")</f>
        <v>#REF!</v>
      </c>
      <c r="AW265" t="e">
        <f>AND(#REF!,"AAAAAGqOojA=")</f>
        <v>#REF!</v>
      </c>
      <c r="AX265" t="e">
        <f>AND(#REF!,"AAAAAGqOojE=")</f>
        <v>#REF!</v>
      </c>
      <c r="AY265" t="e">
        <f>AND(#REF!,"AAAAAGqOojI=")</f>
        <v>#REF!</v>
      </c>
      <c r="AZ265" t="e">
        <f>AND(#REF!,"AAAAAGqOojM=")</f>
        <v>#REF!</v>
      </c>
      <c r="BA265" t="e">
        <f>AND(#REF!,"AAAAAGqOojQ=")</f>
        <v>#REF!</v>
      </c>
      <c r="BB265" t="e">
        <f>AND(#REF!,"AAAAAGqOojU=")</f>
        <v>#REF!</v>
      </c>
      <c r="BC265" t="e">
        <f>AND(#REF!,"AAAAAGqOojY=")</f>
        <v>#REF!</v>
      </c>
      <c r="BD265" t="e">
        <f>AND(#REF!,"AAAAAGqOojc=")</f>
        <v>#REF!</v>
      </c>
      <c r="BE265" t="e">
        <f>AND(#REF!,"AAAAAGqOojg=")</f>
        <v>#REF!</v>
      </c>
      <c r="BF265" t="e">
        <f>AND(#REF!,"AAAAAGqOojk=")</f>
        <v>#REF!</v>
      </c>
      <c r="BG265" t="e">
        <f>AND(#REF!,"AAAAAGqOojo=")</f>
        <v>#REF!</v>
      </c>
      <c r="BH265" t="e">
        <f>AND(#REF!,"AAAAAGqOojs=")</f>
        <v>#REF!</v>
      </c>
      <c r="BI265" t="e">
        <f>AND(#REF!,"AAAAAGqOojw=")</f>
        <v>#REF!</v>
      </c>
      <c r="BJ265" t="e">
        <f>AND(#REF!,"AAAAAGqOoj0=")</f>
        <v>#REF!</v>
      </c>
      <c r="BK265" t="e">
        <f>AND(#REF!,"AAAAAGqOoj4=")</f>
        <v>#REF!</v>
      </c>
      <c r="BL265" t="e">
        <f>AND(#REF!,"AAAAAGqOoj8=")</f>
        <v>#REF!</v>
      </c>
      <c r="BM265" t="e">
        <f>AND(#REF!,"AAAAAGqOokA=")</f>
        <v>#REF!</v>
      </c>
      <c r="BN265" t="e">
        <f>AND(#REF!,"AAAAAGqOokE=")</f>
        <v>#REF!</v>
      </c>
      <c r="BO265" t="e">
        <f>AND(#REF!,"AAAAAGqOokI=")</f>
        <v>#REF!</v>
      </c>
      <c r="BP265" t="e">
        <f>AND(#REF!,"AAAAAGqOokM=")</f>
        <v>#REF!</v>
      </c>
      <c r="BQ265" t="e">
        <f>AND(#REF!,"AAAAAGqOokQ=")</f>
        <v>#REF!</v>
      </c>
      <c r="BR265" t="e">
        <f>AND(#REF!,"AAAAAGqOokU=")</f>
        <v>#REF!</v>
      </c>
      <c r="BS265" t="e">
        <f>IF(#REF!,"AAAAAGqOokY=",0)</f>
        <v>#REF!</v>
      </c>
      <c r="BT265" t="e">
        <f>AND(#REF!,"AAAAAGqOokc=")</f>
        <v>#REF!</v>
      </c>
      <c r="BU265" t="e">
        <f>AND(#REF!,"AAAAAGqOokg=")</f>
        <v>#REF!</v>
      </c>
      <c r="BV265" t="e">
        <f>AND(#REF!,"AAAAAGqOokk=")</f>
        <v>#REF!</v>
      </c>
      <c r="BW265" t="e">
        <f>AND(#REF!,"AAAAAGqOoko=")</f>
        <v>#REF!</v>
      </c>
      <c r="BX265" t="e">
        <f>AND(#REF!,"AAAAAGqOoks=")</f>
        <v>#REF!</v>
      </c>
      <c r="BY265" t="e">
        <f>AND(#REF!,"AAAAAGqOokw=")</f>
        <v>#REF!</v>
      </c>
      <c r="BZ265" t="e">
        <f>AND(#REF!,"AAAAAGqOok0=")</f>
        <v>#REF!</v>
      </c>
      <c r="CA265" t="e">
        <f>AND(#REF!,"AAAAAGqOok4=")</f>
        <v>#REF!</v>
      </c>
      <c r="CB265" t="e">
        <f>AND(#REF!,"AAAAAGqOok8=")</f>
        <v>#REF!</v>
      </c>
      <c r="CC265" t="e">
        <f>AND(#REF!,"AAAAAGqOolA=")</f>
        <v>#REF!</v>
      </c>
      <c r="CD265" t="e">
        <f>AND(#REF!,"AAAAAGqOolE=")</f>
        <v>#REF!</v>
      </c>
      <c r="CE265" t="e">
        <f>AND(#REF!,"AAAAAGqOolI=")</f>
        <v>#REF!</v>
      </c>
      <c r="CF265" t="e">
        <f>AND(#REF!,"AAAAAGqOolM=")</f>
        <v>#REF!</v>
      </c>
      <c r="CG265" t="e">
        <f>AND(#REF!,"AAAAAGqOolQ=")</f>
        <v>#REF!</v>
      </c>
      <c r="CH265" t="e">
        <f>AND(#REF!,"AAAAAGqOolU=")</f>
        <v>#REF!</v>
      </c>
      <c r="CI265" t="e">
        <f>AND(#REF!,"AAAAAGqOolY=")</f>
        <v>#REF!</v>
      </c>
      <c r="CJ265" t="e">
        <f>AND(#REF!,"AAAAAGqOolc=")</f>
        <v>#REF!</v>
      </c>
      <c r="CK265" t="e">
        <f>AND(#REF!,"AAAAAGqOolg=")</f>
        <v>#REF!</v>
      </c>
      <c r="CL265" t="e">
        <f>AND(#REF!,"AAAAAGqOolk=")</f>
        <v>#REF!</v>
      </c>
      <c r="CM265" t="e">
        <f>AND(#REF!,"AAAAAGqOolo=")</f>
        <v>#REF!</v>
      </c>
      <c r="CN265" t="e">
        <f>AND(#REF!,"AAAAAGqOols=")</f>
        <v>#REF!</v>
      </c>
      <c r="CO265" t="e">
        <f>AND(#REF!,"AAAAAGqOolw=")</f>
        <v>#REF!</v>
      </c>
      <c r="CP265" t="e">
        <f>AND(#REF!,"AAAAAGqOol0=")</f>
        <v>#REF!</v>
      </c>
      <c r="CQ265" t="e">
        <f>AND(#REF!,"AAAAAGqOol4=")</f>
        <v>#REF!</v>
      </c>
      <c r="CR265" t="e">
        <f>AND(#REF!,"AAAAAGqOol8=")</f>
        <v>#REF!</v>
      </c>
      <c r="CS265" t="e">
        <f>AND(#REF!,"AAAAAGqOomA=")</f>
        <v>#REF!</v>
      </c>
      <c r="CT265" t="e">
        <f>AND(#REF!,"AAAAAGqOomE=")</f>
        <v>#REF!</v>
      </c>
      <c r="CU265" t="e">
        <f>AND(#REF!,"AAAAAGqOomI=")</f>
        <v>#REF!</v>
      </c>
      <c r="CV265" t="e">
        <f>AND(#REF!,"AAAAAGqOomM=")</f>
        <v>#REF!</v>
      </c>
      <c r="CW265" t="e">
        <f>AND(#REF!,"AAAAAGqOomQ=")</f>
        <v>#REF!</v>
      </c>
      <c r="CX265" t="e">
        <f>AND(#REF!,"AAAAAGqOomU=")</f>
        <v>#REF!</v>
      </c>
      <c r="CY265" t="e">
        <f>AND(#REF!,"AAAAAGqOomY=")</f>
        <v>#REF!</v>
      </c>
      <c r="CZ265" t="e">
        <f>AND(#REF!,"AAAAAGqOomc=")</f>
        <v>#REF!</v>
      </c>
      <c r="DA265" t="e">
        <f>AND(#REF!,"AAAAAGqOomg=")</f>
        <v>#REF!</v>
      </c>
      <c r="DB265" t="e">
        <f>AND(#REF!,"AAAAAGqOomk=")</f>
        <v>#REF!</v>
      </c>
      <c r="DC265" t="e">
        <f>AND(#REF!,"AAAAAGqOomo=")</f>
        <v>#REF!</v>
      </c>
      <c r="DD265" t="e">
        <f>AND(#REF!,"AAAAAGqOoms=")</f>
        <v>#REF!</v>
      </c>
      <c r="DE265" t="e">
        <f>AND(#REF!,"AAAAAGqOomw=")</f>
        <v>#REF!</v>
      </c>
      <c r="DF265" t="e">
        <f>AND(#REF!,"AAAAAGqOom0=")</f>
        <v>#REF!</v>
      </c>
      <c r="DG265" t="e">
        <f>AND(#REF!,"AAAAAGqOom4=")</f>
        <v>#REF!</v>
      </c>
      <c r="DH265" t="e">
        <f>AND(#REF!,"AAAAAGqOom8=")</f>
        <v>#REF!</v>
      </c>
      <c r="DI265" t="e">
        <f>AND(#REF!,"AAAAAGqOonA=")</f>
        <v>#REF!</v>
      </c>
      <c r="DJ265" t="e">
        <f>AND(#REF!,"AAAAAGqOonE=")</f>
        <v>#REF!</v>
      </c>
      <c r="DK265" t="e">
        <f>AND(#REF!,"AAAAAGqOonI=")</f>
        <v>#REF!</v>
      </c>
      <c r="DL265" t="e">
        <f>AND(#REF!,"AAAAAGqOonM=")</f>
        <v>#REF!</v>
      </c>
      <c r="DM265" t="e">
        <f>AND(#REF!,"AAAAAGqOonQ=")</f>
        <v>#REF!</v>
      </c>
      <c r="DN265" t="e">
        <f>AND(#REF!,"AAAAAGqOonU=")</f>
        <v>#REF!</v>
      </c>
      <c r="DO265" t="e">
        <f>AND(#REF!,"AAAAAGqOonY=")</f>
        <v>#REF!</v>
      </c>
      <c r="DP265" t="e">
        <f>AND(#REF!,"AAAAAGqOonc=")</f>
        <v>#REF!</v>
      </c>
      <c r="DQ265" t="e">
        <f>AND(#REF!,"AAAAAGqOong=")</f>
        <v>#REF!</v>
      </c>
      <c r="DR265" t="e">
        <f>AND(#REF!,"AAAAAGqOonk=")</f>
        <v>#REF!</v>
      </c>
      <c r="DS265" t="e">
        <f>AND(#REF!,"AAAAAGqOono=")</f>
        <v>#REF!</v>
      </c>
      <c r="DT265" t="e">
        <f>AND(#REF!,"AAAAAGqOons=")</f>
        <v>#REF!</v>
      </c>
      <c r="DU265" t="e">
        <f>AND(#REF!,"AAAAAGqOonw=")</f>
        <v>#REF!</v>
      </c>
      <c r="DV265" t="e">
        <f>AND(#REF!,"AAAAAGqOon0=")</f>
        <v>#REF!</v>
      </c>
      <c r="DW265" t="e">
        <f>AND(#REF!,"AAAAAGqOon4=")</f>
        <v>#REF!</v>
      </c>
      <c r="DX265" t="e">
        <f>AND(#REF!,"AAAAAGqOon8=")</f>
        <v>#REF!</v>
      </c>
      <c r="DY265" t="e">
        <f>AND(#REF!,"AAAAAGqOooA=")</f>
        <v>#REF!</v>
      </c>
      <c r="DZ265" t="e">
        <f>AND(#REF!,"AAAAAGqOooE=")</f>
        <v>#REF!</v>
      </c>
      <c r="EA265" t="e">
        <f>AND(#REF!,"AAAAAGqOooI=")</f>
        <v>#REF!</v>
      </c>
      <c r="EB265" t="e">
        <f>AND(#REF!,"AAAAAGqOooM=")</f>
        <v>#REF!</v>
      </c>
      <c r="EC265" t="e">
        <f>AND(#REF!,"AAAAAGqOooQ=")</f>
        <v>#REF!</v>
      </c>
      <c r="ED265" t="e">
        <f>AND(#REF!,"AAAAAGqOooU=")</f>
        <v>#REF!</v>
      </c>
      <c r="EE265" t="e">
        <f>AND(#REF!,"AAAAAGqOooY=")</f>
        <v>#REF!</v>
      </c>
      <c r="EF265" t="e">
        <f>AND(#REF!,"AAAAAGqOooc=")</f>
        <v>#REF!</v>
      </c>
      <c r="EG265" t="e">
        <f>AND(#REF!,"AAAAAGqOoog=")</f>
        <v>#REF!</v>
      </c>
      <c r="EH265" t="e">
        <f>AND(#REF!,"AAAAAGqOook=")</f>
        <v>#REF!</v>
      </c>
      <c r="EI265" t="e">
        <f>AND(#REF!,"AAAAAGqOooo=")</f>
        <v>#REF!</v>
      </c>
      <c r="EJ265" t="e">
        <f>AND(#REF!,"AAAAAGqOoos=")</f>
        <v>#REF!</v>
      </c>
      <c r="EK265" t="e">
        <f>AND(#REF!,"AAAAAGqOoow=")</f>
        <v>#REF!</v>
      </c>
      <c r="EL265" t="e">
        <f>AND(#REF!,"AAAAAGqOoo0=")</f>
        <v>#REF!</v>
      </c>
      <c r="EM265" t="e">
        <f>AND(#REF!,"AAAAAGqOoo4=")</f>
        <v>#REF!</v>
      </c>
      <c r="EN265" t="e">
        <f>AND(#REF!,"AAAAAGqOoo8=")</f>
        <v>#REF!</v>
      </c>
      <c r="EO265" t="e">
        <f>AND(#REF!,"AAAAAGqOopA=")</f>
        <v>#REF!</v>
      </c>
      <c r="EP265" t="e">
        <f>AND(#REF!,"AAAAAGqOopE=")</f>
        <v>#REF!</v>
      </c>
      <c r="EQ265" t="e">
        <f>AND(#REF!,"AAAAAGqOopI=")</f>
        <v>#REF!</v>
      </c>
      <c r="ER265" t="e">
        <f>AND(#REF!,"AAAAAGqOopM=")</f>
        <v>#REF!</v>
      </c>
      <c r="ES265" t="e">
        <f>AND(#REF!,"AAAAAGqOopQ=")</f>
        <v>#REF!</v>
      </c>
      <c r="ET265" t="e">
        <f>AND(#REF!,"AAAAAGqOopU=")</f>
        <v>#REF!</v>
      </c>
      <c r="EU265" t="e">
        <f>AND(#REF!,"AAAAAGqOopY=")</f>
        <v>#REF!</v>
      </c>
      <c r="EV265" t="e">
        <f>AND(#REF!,"AAAAAGqOopc=")</f>
        <v>#REF!</v>
      </c>
      <c r="EW265" t="e">
        <f>AND(#REF!,"AAAAAGqOopg=")</f>
        <v>#REF!</v>
      </c>
      <c r="EX265" t="e">
        <f>AND(#REF!,"AAAAAGqOopk=")</f>
        <v>#REF!</v>
      </c>
      <c r="EY265" t="e">
        <f>AND(#REF!,"AAAAAGqOopo=")</f>
        <v>#REF!</v>
      </c>
      <c r="EZ265" t="e">
        <f>AND(#REF!,"AAAAAGqOops=")</f>
        <v>#REF!</v>
      </c>
      <c r="FA265" t="e">
        <f>AND(#REF!,"AAAAAGqOopw=")</f>
        <v>#REF!</v>
      </c>
      <c r="FB265" t="e">
        <f>AND(#REF!,"AAAAAGqOop0=")</f>
        <v>#REF!</v>
      </c>
      <c r="FC265" t="e">
        <f>AND(#REF!,"AAAAAGqOop4=")</f>
        <v>#REF!</v>
      </c>
      <c r="FD265" t="e">
        <f>AND(#REF!,"AAAAAGqOop8=")</f>
        <v>#REF!</v>
      </c>
      <c r="FE265" t="e">
        <f>AND(#REF!,"AAAAAGqOoqA=")</f>
        <v>#REF!</v>
      </c>
      <c r="FF265" t="e">
        <f>AND(#REF!,"AAAAAGqOoqE=")</f>
        <v>#REF!</v>
      </c>
      <c r="FG265" t="e">
        <f>AND(#REF!,"AAAAAGqOoqI=")</f>
        <v>#REF!</v>
      </c>
      <c r="FH265" t="e">
        <f>AND(#REF!,"AAAAAGqOoqM=")</f>
        <v>#REF!</v>
      </c>
      <c r="FI265" t="e">
        <f>AND(#REF!,"AAAAAGqOoqQ=")</f>
        <v>#REF!</v>
      </c>
      <c r="FJ265" t="e">
        <f>AND(#REF!,"AAAAAGqOoqU=")</f>
        <v>#REF!</v>
      </c>
      <c r="FK265" t="e">
        <f>AND(#REF!,"AAAAAGqOoqY=")</f>
        <v>#REF!</v>
      </c>
      <c r="FL265" t="e">
        <f>AND(#REF!,"AAAAAGqOoqc=")</f>
        <v>#REF!</v>
      </c>
      <c r="FM265" t="e">
        <f>AND(#REF!,"AAAAAGqOoqg=")</f>
        <v>#REF!</v>
      </c>
      <c r="FN265" t="e">
        <f>AND(#REF!,"AAAAAGqOoqk=")</f>
        <v>#REF!</v>
      </c>
      <c r="FO265" t="e">
        <f>AND(#REF!,"AAAAAGqOoqo=")</f>
        <v>#REF!</v>
      </c>
      <c r="FP265" t="e">
        <f>AND(#REF!,"AAAAAGqOoqs=")</f>
        <v>#REF!</v>
      </c>
      <c r="FQ265" t="e">
        <f>AND(#REF!,"AAAAAGqOoqw=")</f>
        <v>#REF!</v>
      </c>
      <c r="FR265" t="e">
        <f>AND(#REF!,"AAAAAGqOoq0=")</f>
        <v>#REF!</v>
      </c>
      <c r="FS265" t="e">
        <f>AND(#REF!,"AAAAAGqOoq4=")</f>
        <v>#REF!</v>
      </c>
      <c r="FT265" t="e">
        <f>AND(#REF!,"AAAAAGqOoq8=")</f>
        <v>#REF!</v>
      </c>
      <c r="FU265" t="e">
        <f>AND(#REF!,"AAAAAGqOorA=")</f>
        <v>#REF!</v>
      </c>
      <c r="FV265" t="e">
        <f>AND(#REF!,"AAAAAGqOorE=")</f>
        <v>#REF!</v>
      </c>
      <c r="FW265" t="e">
        <f>AND(#REF!,"AAAAAGqOorI=")</f>
        <v>#REF!</v>
      </c>
      <c r="FX265" t="e">
        <f>AND(#REF!,"AAAAAGqOorM=")</f>
        <v>#REF!</v>
      </c>
      <c r="FY265" t="e">
        <f>AND(#REF!,"AAAAAGqOorQ=")</f>
        <v>#REF!</v>
      </c>
      <c r="FZ265" t="e">
        <f>AND(#REF!,"AAAAAGqOorU=")</f>
        <v>#REF!</v>
      </c>
      <c r="GA265" t="e">
        <f>AND(#REF!,"AAAAAGqOorY=")</f>
        <v>#REF!</v>
      </c>
      <c r="GB265" t="e">
        <f>AND(#REF!,"AAAAAGqOorc=")</f>
        <v>#REF!</v>
      </c>
      <c r="GC265" t="e">
        <f>AND(#REF!,"AAAAAGqOorg=")</f>
        <v>#REF!</v>
      </c>
      <c r="GD265" t="e">
        <f>AND(#REF!,"AAAAAGqOork=")</f>
        <v>#REF!</v>
      </c>
      <c r="GE265" t="e">
        <f>AND(#REF!,"AAAAAGqOoro=")</f>
        <v>#REF!</v>
      </c>
      <c r="GF265" t="e">
        <f>AND(#REF!,"AAAAAGqOors=")</f>
        <v>#REF!</v>
      </c>
      <c r="GG265" t="e">
        <f>AND(#REF!,"AAAAAGqOorw=")</f>
        <v>#REF!</v>
      </c>
      <c r="GH265" t="e">
        <f>AND(#REF!,"AAAAAGqOor0=")</f>
        <v>#REF!</v>
      </c>
      <c r="GI265" t="e">
        <f>AND(#REF!,"AAAAAGqOor4=")</f>
        <v>#REF!</v>
      </c>
      <c r="GJ265" t="e">
        <f>AND(#REF!,"AAAAAGqOor8=")</f>
        <v>#REF!</v>
      </c>
      <c r="GK265" t="e">
        <f>AND(#REF!,"AAAAAGqOosA=")</f>
        <v>#REF!</v>
      </c>
      <c r="GL265" t="e">
        <f>AND(#REF!,"AAAAAGqOosE=")</f>
        <v>#REF!</v>
      </c>
      <c r="GM265" t="e">
        <f>AND(#REF!,"AAAAAGqOosI=")</f>
        <v>#REF!</v>
      </c>
      <c r="GN265" t="e">
        <f>AND(#REF!,"AAAAAGqOosM=")</f>
        <v>#REF!</v>
      </c>
      <c r="GO265" t="e">
        <f>AND(#REF!,"AAAAAGqOosQ=")</f>
        <v>#REF!</v>
      </c>
      <c r="GP265" t="e">
        <f>AND(#REF!,"AAAAAGqOosU=")</f>
        <v>#REF!</v>
      </c>
      <c r="GQ265" t="e">
        <f>AND(#REF!,"AAAAAGqOosY=")</f>
        <v>#REF!</v>
      </c>
      <c r="GR265" t="e">
        <f>AND(#REF!,"AAAAAGqOosc=")</f>
        <v>#REF!</v>
      </c>
      <c r="GS265" t="e">
        <f>AND(#REF!,"AAAAAGqOosg=")</f>
        <v>#REF!</v>
      </c>
      <c r="GT265" t="e">
        <f>AND(#REF!,"AAAAAGqOosk=")</f>
        <v>#REF!</v>
      </c>
      <c r="GU265" t="e">
        <f>AND(#REF!,"AAAAAGqOoso=")</f>
        <v>#REF!</v>
      </c>
      <c r="GV265" t="e">
        <f>AND(#REF!,"AAAAAGqOoss=")</f>
        <v>#REF!</v>
      </c>
      <c r="GW265" t="e">
        <f>AND(#REF!,"AAAAAGqOosw=")</f>
        <v>#REF!</v>
      </c>
      <c r="GX265" t="e">
        <f>AND(#REF!,"AAAAAGqOos0=")</f>
        <v>#REF!</v>
      </c>
      <c r="GY265" t="e">
        <f>AND(#REF!,"AAAAAGqOos4=")</f>
        <v>#REF!</v>
      </c>
      <c r="GZ265" t="e">
        <f>AND(#REF!,"AAAAAGqOos8=")</f>
        <v>#REF!</v>
      </c>
      <c r="HA265" t="e">
        <f>AND(#REF!,"AAAAAGqOotA=")</f>
        <v>#REF!</v>
      </c>
      <c r="HB265" t="e">
        <f>AND(#REF!,"AAAAAGqOotE=")</f>
        <v>#REF!</v>
      </c>
      <c r="HC265" t="e">
        <f>AND(#REF!,"AAAAAGqOotI=")</f>
        <v>#REF!</v>
      </c>
      <c r="HD265" t="e">
        <f>AND(#REF!,"AAAAAGqOotM=")</f>
        <v>#REF!</v>
      </c>
      <c r="HE265" t="e">
        <f>AND(#REF!,"AAAAAGqOotQ=")</f>
        <v>#REF!</v>
      </c>
      <c r="HF265" t="e">
        <f>AND(#REF!,"AAAAAGqOotU=")</f>
        <v>#REF!</v>
      </c>
      <c r="HG265" t="e">
        <f>AND(#REF!,"AAAAAGqOotY=")</f>
        <v>#REF!</v>
      </c>
      <c r="HH265" t="e">
        <f>AND(#REF!,"AAAAAGqOotc=")</f>
        <v>#REF!</v>
      </c>
      <c r="HI265" t="e">
        <f>AND(#REF!,"AAAAAGqOotg=")</f>
        <v>#REF!</v>
      </c>
      <c r="HJ265" t="e">
        <f>AND(#REF!,"AAAAAGqOotk=")</f>
        <v>#REF!</v>
      </c>
      <c r="HK265" t="e">
        <f>AND(#REF!,"AAAAAGqOoto=")</f>
        <v>#REF!</v>
      </c>
      <c r="HL265" t="e">
        <f>AND(#REF!,"AAAAAGqOots=")</f>
        <v>#REF!</v>
      </c>
      <c r="HM265" t="e">
        <f>AND(#REF!,"AAAAAGqOotw=")</f>
        <v>#REF!</v>
      </c>
      <c r="HN265" t="e">
        <f>AND(#REF!,"AAAAAGqOot0=")</f>
        <v>#REF!</v>
      </c>
      <c r="HO265" t="e">
        <f>AND(#REF!,"AAAAAGqOot4=")</f>
        <v>#REF!</v>
      </c>
      <c r="HP265" t="e">
        <f>AND(#REF!,"AAAAAGqOot8=")</f>
        <v>#REF!</v>
      </c>
      <c r="HQ265" t="e">
        <f>AND(#REF!,"AAAAAGqOouA=")</f>
        <v>#REF!</v>
      </c>
      <c r="HR265" t="e">
        <f>AND(#REF!,"AAAAAGqOouE=")</f>
        <v>#REF!</v>
      </c>
      <c r="HS265" t="e">
        <f>AND(#REF!,"AAAAAGqOouI=")</f>
        <v>#REF!</v>
      </c>
      <c r="HT265" t="e">
        <f>AND(#REF!,"AAAAAGqOouM=")</f>
        <v>#REF!</v>
      </c>
      <c r="HU265" t="e">
        <f>AND(#REF!,"AAAAAGqOouQ=")</f>
        <v>#REF!</v>
      </c>
      <c r="HV265" t="e">
        <f>AND(#REF!,"AAAAAGqOouU=")</f>
        <v>#REF!</v>
      </c>
      <c r="HW265" t="e">
        <f>AND(#REF!,"AAAAAGqOouY=")</f>
        <v>#REF!</v>
      </c>
      <c r="HX265" t="e">
        <f>AND(#REF!,"AAAAAGqOouc=")</f>
        <v>#REF!</v>
      </c>
      <c r="HY265" t="e">
        <f>AND(#REF!,"AAAAAGqOoug=")</f>
        <v>#REF!</v>
      </c>
      <c r="HZ265" t="e">
        <f>AND(#REF!,"AAAAAGqOouk=")</f>
        <v>#REF!</v>
      </c>
      <c r="IA265" t="e">
        <f>AND(#REF!,"AAAAAGqOouo=")</f>
        <v>#REF!</v>
      </c>
      <c r="IB265" t="e">
        <f>AND(#REF!,"AAAAAGqOous=")</f>
        <v>#REF!</v>
      </c>
      <c r="IC265" t="e">
        <f>AND(#REF!,"AAAAAGqOouw=")</f>
        <v>#REF!</v>
      </c>
      <c r="ID265" t="e">
        <f>AND(#REF!,"AAAAAGqOou0=")</f>
        <v>#REF!</v>
      </c>
      <c r="IE265" t="e">
        <f>AND(#REF!,"AAAAAGqOou4=")</f>
        <v>#REF!</v>
      </c>
      <c r="IF265" t="e">
        <f>AND(#REF!,"AAAAAGqOou8=")</f>
        <v>#REF!</v>
      </c>
      <c r="IG265" t="e">
        <f>AND(#REF!,"AAAAAGqOovA=")</f>
        <v>#REF!</v>
      </c>
      <c r="IH265" t="e">
        <f>AND(#REF!,"AAAAAGqOovE=")</f>
        <v>#REF!</v>
      </c>
      <c r="II265" t="e">
        <f>AND(#REF!,"AAAAAGqOovI=")</f>
        <v>#REF!</v>
      </c>
      <c r="IJ265" t="e">
        <f>AND(#REF!,"AAAAAGqOovM=")</f>
        <v>#REF!</v>
      </c>
      <c r="IK265" t="e">
        <f>AND(#REF!,"AAAAAGqOovQ=")</f>
        <v>#REF!</v>
      </c>
      <c r="IL265" t="e">
        <f>AND(#REF!,"AAAAAGqOovU=")</f>
        <v>#REF!</v>
      </c>
      <c r="IM265" t="e">
        <f>AND(#REF!,"AAAAAGqOovY=")</f>
        <v>#REF!</v>
      </c>
      <c r="IN265" t="e">
        <f>AND(#REF!,"AAAAAGqOovc=")</f>
        <v>#REF!</v>
      </c>
      <c r="IO265" t="e">
        <f>AND(#REF!,"AAAAAGqOovg=")</f>
        <v>#REF!</v>
      </c>
      <c r="IP265" t="e">
        <f>AND(#REF!,"AAAAAGqOovk=")</f>
        <v>#REF!</v>
      </c>
      <c r="IQ265" t="e">
        <f>AND(#REF!,"AAAAAGqOovo=")</f>
        <v>#REF!</v>
      </c>
      <c r="IR265" t="e">
        <f>AND(#REF!,"AAAAAGqOovs=")</f>
        <v>#REF!</v>
      </c>
      <c r="IS265" t="e">
        <f>AND(#REF!,"AAAAAGqOovw=")</f>
        <v>#REF!</v>
      </c>
      <c r="IT265" t="e">
        <f>AND(#REF!,"AAAAAGqOov0=")</f>
        <v>#REF!</v>
      </c>
      <c r="IU265" t="e">
        <f>AND(#REF!,"AAAAAGqOov4=")</f>
        <v>#REF!</v>
      </c>
      <c r="IV265" t="e">
        <f>AND(#REF!,"AAAAAGqOov8=")</f>
        <v>#REF!</v>
      </c>
    </row>
    <row r="266" spans="1:256" x14ac:dyDescent="0.25">
      <c r="A266" t="e">
        <f>AND(#REF!,"AAAAAH9f7wA=")</f>
        <v>#REF!</v>
      </c>
      <c r="B266" t="e">
        <f>AND(#REF!,"AAAAAH9f7wE=")</f>
        <v>#REF!</v>
      </c>
      <c r="C266" t="e">
        <f>AND(#REF!,"AAAAAH9f7wI=")</f>
        <v>#REF!</v>
      </c>
      <c r="D266" t="e">
        <f>IF(#REF!,"AAAAAH9f7wM=",0)</f>
        <v>#REF!</v>
      </c>
      <c r="E266" t="e">
        <f>AND(#REF!,"AAAAAH9f7wQ=")</f>
        <v>#REF!</v>
      </c>
      <c r="F266" t="e">
        <f>AND(#REF!,"AAAAAH9f7wU=")</f>
        <v>#REF!</v>
      </c>
      <c r="G266" t="e">
        <f>AND(#REF!,"AAAAAH9f7wY=")</f>
        <v>#REF!</v>
      </c>
      <c r="H266" t="e">
        <f>AND(#REF!,"AAAAAH9f7wc=")</f>
        <v>#REF!</v>
      </c>
      <c r="I266" t="e">
        <f>AND(#REF!,"AAAAAH9f7wg=")</f>
        <v>#REF!</v>
      </c>
      <c r="J266" t="e">
        <f>AND(#REF!,"AAAAAH9f7wk=")</f>
        <v>#REF!</v>
      </c>
      <c r="K266" t="e">
        <f>AND(#REF!,"AAAAAH9f7wo=")</f>
        <v>#REF!</v>
      </c>
      <c r="L266" t="e">
        <f>AND(#REF!,"AAAAAH9f7ws=")</f>
        <v>#REF!</v>
      </c>
      <c r="M266" t="e">
        <f>AND(#REF!,"AAAAAH9f7ww=")</f>
        <v>#REF!</v>
      </c>
      <c r="N266" t="e">
        <f>AND(#REF!,"AAAAAH9f7w0=")</f>
        <v>#REF!</v>
      </c>
      <c r="O266" t="e">
        <f>AND(#REF!,"AAAAAH9f7w4=")</f>
        <v>#REF!</v>
      </c>
      <c r="P266" t="e">
        <f>AND(#REF!,"AAAAAH9f7w8=")</f>
        <v>#REF!</v>
      </c>
      <c r="Q266" t="e">
        <f>AND(#REF!,"AAAAAH9f7xA=")</f>
        <v>#REF!</v>
      </c>
      <c r="R266" t="e">
        <f>AND(#REF!,"AAAAAH9f7xE=")</f>
        <v>#REF!</v>
      </c>
      <c r="S266" t="e">
        <f>AND(#REF!,"AAAAAH9f7xI=")</f>
        <v>#REF!</v>
      </c>
      <c r="T266" t="e">
        <f>AND(#REF!,"AAAAAH9f7xM=")</f>
        <v>#REF!</v>
      </c>
      <c r="U266" t="e">
        <f>AND(#REF!,"AAAAAH9f7xQ=")</f>
        <v>#REF!</v>
      </c>
      <c r="V266" t="e">
        <f>AND(#REF!,"AAAAAH9f7xU=")</f>
        <v>#REF!</v>
      </c>
      <c r="W266" t="e">
        <f>AND(#REF!,"AAAAAH9f7xY=")</f>
        <v>#REF!</v>
      </c>
      <c r="X266" t="e">
        <f>AND(#REF!,"AAAAAH9f7xc=")</f>
        <v>#REF!</v>
      </c>
      <c r="Y266" t="e">
        <f>AND(#REF!,"AAAAAH9f7xg=")</f>
        <v>#REF!</v>
      </c>
      <c r="Z266" t="e">
        <f>AND(#REF!,"AAAAAH9f7xk=")</f>
        <v>#REF!</v>
      </c>
      <c r="AA266" t="e">
        <f>AND(#REF!,"AAAAAH9f7xo=")</f>
        <v>#REF!</v>
      </c>
      <c r="AB266" t="e">
        <f>AND(#REF!,"AAAAAH9f7xs=")</f>
        <v>#REF!</v>
      </c>
      <c r="AC266" t="e">
        <f>AND(#REF!,"AAAAAH9f7xw=")</f>
        <v>#REF!</v>
      </c>
      <c r="AD266" t="e">
        <f>AND(#REF!,"AAAAAH9f7x0=")</f>
        <v>#REF!</v>
      </c>
      <c r="AE266" t="e">
        <f>AND(#REF!,"AAAAAH9f7x4=")</f>
        <v>#REF!</v>
      </c>
      <c r="AF266" t="e">
        <f>AND(#REF!,"AAAAAH9f7x8=")</f>
        <v>#REF!</v>
      </c>
      <c r="AG266" t="e">
        <f>AND(#REF!,"AAAAAH9f7yA=")</f>
        <v>#REF!</v>
      </c>
      <c r="AH266" t="e">
        <f>AND(#REF!,"AAAAAH9f7yE=")</f>
        <v>#REF!</v>
      </c>
      <c r="AI266" t="e">
        <f>AND(#REF!,"AAAAAH9f7yI=")</f>
        <v>#REF!</v>
      </c>
      <c r="AJ266" t="e">
        <f>AND(#REF!,"AAAAAH9f7yM=")</f>
        <v>#REF!</v>
      </c>
      <c r="AK266" t="e">
        <f>AND(#REF!,"AAAAAH9f7yQ=")</f>
        <v>#REF!</v>
      </c>
      <c r="AL266" t="e">
        <f>AND(#REF!,"AAAAAH9f7yU=")</f>
        <v>#REF!</v>
      </c>
      <c r="AM266" t="e">
        <f>AND(#REF!,"AAAAAH9f7yY=")</f>
        <v>#REF!</v>
      </c>
      <c r="AN266" t="e">
        <f>AND(#REF!,"AAAAAH9f7yc=")</f>
        <v>#REF!</v>
      </c>
      <c r="AO266" t="e">
        <f>AND(#REF!,"AAAAAH9f7yg=")</f>
        <v>#REF!</v>
      </c>
      <c r="AP266" t="e">
        <f>AND(#REF!,"AAAAAH9f7yk=")</f>
        <v>#REF!</v>
      </c>
      <c r="AQ266" t="e">
        <f>AND(#REF!,"AAAAAH9f7yo=")</f>
        <v>#REF!</v>
      </c>
      <c r="AR266" t="e">
        <f>AND(#REF!,"AAAAAH9f7ys=")</f>
        <v>#REF!</v>
      </c>
      <c r="AS266" t="e">
        <f>AND(#REF!,"AAAAAH9f7yw=")</f>
        <v>#REF!</v>
      </c>
      <c r="AT266" t="e">
        <f>AND(#REF!,"AAAAAH9f7y0=")</f>
        <v>#REF!</v>
      </c>
      <c r="AU266" t="e">
        <f>AND(#REF!,"AAAAAH9f7y4=")</f>
        <v>#REF!</v>
      </c>
      <c r="AV266" t="e">
        <f>AND(#REF!,"AAAAAH9f7y8=")</f>
        <v>#REF!</v>
      </c>
      <c r="AW266" t="e">
        <f>AND(#REF!,"AAAAAH9f7zA=")</f>
        <v>#REF!</v>
      </c>
      <c r="AX266" t="e">
        <f>AND(#REF!,"AAAAAH9f7zE=")</f>
        <v>#REF!</v>
      </c>
      <c r="AY266" t="e">
        <f>AND(#REF!,"AAAAAH9f7zI=")</f>
        <v>#REF!</v>
      </c>
      <c r="AZ266" t="e">
        <f>AND(#REF!,"AAAAAH9f7zM=")</f>
        <v>#REF!</v>
      </c>
      <c r="BA266" t="e">
        <f>AND(#REF!,"AAAAAH9f7zQ=")</f>
        <v>#REF!</v>
      </c>
      <c r="BB266" t="e">
        <f>AND(#REF!,"AAAAAH9f7zU=")</f>
        <v>#REF!</v>
      </c>
      <c r="BC266" t="e">
        <f>AND(#REF!,"AAAAAH9f7zY=")</f>
        <v>#REF!</v>
      </c>
      <c r="BD266" t="e">
        <f>AND(#REF!,"AAAAAH9f7zc=")</f>
        <v>#REF!</v>
      </c>
      <c r="BE266" t="e">
        <f>AND(#REF!,"AAAAAH9f7zg=")</f>
        <v>#REF!</v>
      </c>
      <c r="BF266" t="e">
        <f>AND(#REF!,"AAAAAH9f7zk=")</f>
        <v>#REF!</v>
      </c>
      <c r="BG266" t="e">
        <f>AND(#REF!,"AAAAAH9f7zo=")</f>
        <v>#REF!</v>
      </c>
      <c r="BH266" t="e">
        <f>AND(#REF!,"AAAAAH9f7zs=")</f>
        <v>#REF!</v>
      </c>
      <c r="BI266" t="e">
        <f>AND(#REF!,"AAAAAH9f7zw=")</f>
        <v>#REF!</v>
      </c>
      <c r="BJ266" t="e">
        <f>AND(#REF!,"AAAAAH9f7z0=")</f>
        <v>#REF!</v>
      </c>
      <c r="BK266" t="e">
        <f>AND(#REF!,"AAAAAH9f7z4=")</f>
        <v>#REF!</v>
      </c>
      <c r="BL266" t="e">
        <f>AND(#REF!,"AAAAAH9f7z8=")</f>
        <v>#REF!</v>
      </c>
      <c r="BM266" t="e">
        <f>AND(#REF!,"AAAAAH9f70A=")</f>
        <v>#REF!</v>
      </c>
      <c r="BN266" t="e">
        <f>AND(#REF!,"AAAAAH9f70E=")</f>
        <v>#REF!</v>
      </c>
      <c r="BO266" t="e">
        <f>AND(#REF!,"AAAAAH9f70I=")</f>
        <v>#REF!</v>
      </c>
      <c r="BP266" t="e">
        <f>AND(#REF!,"AAAAAH9f70M=")</f>
        <v>#REF!</v>
      </c>
      <c r="BQ266" t="e">
        <f>AND(#REF!,"AAAAAH9f70Q=")</f>
        <v>#REF!</v>
      </c>
      <c r="BR266" t="e">
        <f>AND(#REF!,"AAAAAH9f70U=")</f>
        <v>#REF!</v>
      </c>
      <c r="BS266" t="e">
        <f>AND(#REF!,"AAAAAH9f70Y=")</f>
        <v>#REF!</v>
      </c>
      <c r="BT266" t="e">
        <f>AND(#REF!,"AAAAAH9f70c=")</f>
        <v>#REF!</v>
      </c>
      <c r="BU266" t="e">
        <f>AND(#REF!,"AAAAAH9f70g=")</f>
        <v>#REF!</v>
      </c>
      <c r="BV266" t="e">
        <f>AND(#REF!,"AAAAAH9f70k=")</f>
        <v>#REF!</v>
      </c>
      <c r="BW266" t="e">
        <f>AND(#REF!,"AAAAAH9f70o=")</f>
        <v>#REF!</v>
      </c>
      <c r="BX266" t="e">
        <f>AND(#REF!,"AAAAAH9f70s=")</f>
        <v>#REF!</v>
      </c>
      <c r="BY266" t="e">
        <f>AND(#REF!,"AAAAAH9f70w=")</f>
        <v>#REF!</v>
      </c>
      <c r="BZ266" t="e">
        <f>AND(#REF!,"AAAAAH9f700=")</f>
        <v>#REF!</v>
      </c>
      <c r="CA266" t="e">
        <f>AND(#REF!,"AAAAAH9f704=")</f>
        <v>#REF!</v>
      </c>
      <c r="CB266" t="e">
        <f>AND(#REF!,"AAAAAH9f708=")</f>
        <v>#REF!</v>
      </c>
      <c r="CC266" t="e">
        <f>AND(#REF!,"AAAAAH9f71A=")</f>
        <v>#REF!</v>
      </c>
      <c r="CD266" t="e">
        <f>AND(#REF!,"AAAAAH9f71E=")</f>
        <v>#REF!</v>
      </c>
      <c r="CE266" t="e">
        <f>AND(#REF!,"AAAAAH9f71I=")</f>
        <v>#REF!</v>
      </c>
      <c r="CF266" t="e">
        <f>AND(#REF!,"AAAAAH9f71M=")</f>
        <v>#REF!</v>
      </c>
      <c r="CG266" t="e">
        <f>AND(#REF!,"AAAAAH9f71Q=")</f>
        <v>#REF!</v>
      </c>
      <c r="CH266" t="e">
        <f>AND(#REF!,"AAAAAH9f71U=")</f>
        <v>#REF!</v>
      </c>
      <c r="CI266" t="e">
        <f>AND(#REF!,"AAAAAH9f71Y=")</f>
        <v>#REF!</v>
      </c>
      <c r="CJ266" t="e">
        <f>AND(#REF!,"AAAAAH9f71c=")</f>
        <v>#REF!</v>
      </c>
      <c r="CK266" t="e">
        <f>AND(#REF!,"AAAAAH9f71g=")</f>
        <v>#REF!</v>
      </c>
      <c r="CL266" t="e">
        <f>AND(#REF!,"AAAAAH9f71k=")</f>
        <v>#REF!</v>
      </c>
      <c r="CM266" t="e">
        <f>AND(#REF!,"AAAAAH9f71o=")</f>
        <v>#REF!</v>
      </c>
      <c r="CN266" t="e">
        <f>AND(#REF!,"AAAAAH9f71s=")</f>
        <v>#REF!</v>
      </c>
      <c r="CO266" t="e">
        <f>AND(#REF!,"AAAAAH9f71w=")</f>
        <v>#REF!</v>
      </c>
      <c r="CP266" t="e">
        <f>AND(#REF!,"AAAAAH9f710=")</f>
        <v>#REF!</v>
      </c>
      <c r="CQ266" t="e">
        <f>AND(#REF!,"AAAAAH9f714=")</f>
        <v>#REF!</v>
      </c>
      <c r="CR266" t="e">
        <f>AND(#REF!,"AAAAAH9f718=")</f>
        <v>#REF!</v>
      </c>
      <c r="CS266" t="e">
        <f>AND(#REF!,"AAAAAH9f72A=")</f>
        <v>#REF!</v>
      </c>
      <c r="CT266" t="e">
        <f>AND(#REF!,"AAAAAH9f72E=")</f>
        <v>#REF!</v>
      </c>
      <c r="CU266" t="e">
        <f>AND(#REF!,"AAAAAH9f72I=")</f>
        <v>#REF!</v>
      </c>
      <c r="CV266" t="e">
        <f>AND(#REF!,"AAAAAH9f72M=")</f>
        <v>#REF!</v>
      </c>
      <c r="CW266" t="e">
        <f>AND(#REF!,"AAAAAH9f72Q=")</f>
        <v>#REF!</v>
      </c>
      <c r="CX266" t="e">
        <f>AND(#REF!,"AAAAAH9f72U=")</f>
        <v>#REF!</v>
      </c>
      <c r="CY266" t="e">
        <f>AND(#REF!,"AAAAAH9f72Y=")</f>
        <v>#REF!</v>
      </c>
      <c r="CZ266" t="e">
        <f>AND(#REF!,"AAAAAH9f72c=")</f>
        <v>#REF!</v>
      </c>
      <c r="DA266" t="e">
        <f>AND(#REF!,"AAAAAH9f72g=")</f>
        <v>#REF!</v>
      </c>
      <c r="DB266" t="e">
        <f>AND(#REF!,"AAAAAH9f72k=")</f>
        <v>#REF!</v>
      </c>
      <c r="DC266" t="e">
        <f>AND(#REF!,"AAAAAH9f72o=")</f>
        <v>#REF!</v>
      </c>
      <c r="DD266" t="e">
        <f>AND(#REF!,"AAAAAH9f72s=")</f>
        <v>#REF!</v>
      </c>
      <c r="DE266" t="e">
        <f>AND(#REF!,"AAAAAH9f72w=")</f>
        <v>#REF!</v>
      </c>
      <c r="DF266" t="e">
        <f>AND(#REF!,"AAAAAH9f720=")</f>
        <v>#REF!</v>
      </c>
      <c r="DG266" t="e">
        <f>AND(#REF!,"AAAAAH9f724=")</f>
        <v>#REF!</v>
      </c>
      <c r="DH266" t="e">
        <f>AND(#REF!,"AAAAAH9f728=")</f>
        <v>#REF!</v>
      </c>
      <c r="DI266" t="e">
        <f>AND(#REF!,"AAAAAH9f73A=")</f>
        <v>#REF!</v>
      </c>
      <c r="DJ266" t="e">
        <f>AND(#REF!,"AAAAAH9f73E=")</f>
        <v>#REF!</v>
      </c>
      <c r="DK266" t="e">
        <f>AND(#REF!,"AAAAAH9f73I=")</f>
        <v>#REF!</v>
      </c>
      <c r="DL266" t="e">
        <f>AND(#REF!,"AAAAAH9f73M=")</f>
        <v>#REF!</v>
      </c>
      <c r="DM266" t="e">
        <f>AND(#REF!,"AAAAAH9f73Q=")</f>
        <v>#REF!</v>
      </c>
      <c r="DN266" t="e">
        <f>AND(#REF!,"AAAAAH9f73U=")</f>
        <v>#REF!</v>
      </c>
      <c r="DO266" t="e">
        <f>AND(#REF!,"AAAAAH9f73Y=")</f>
        <v>#REF!</v>
      </c>
      <c r="DP266" t="e">
        <f>AND(#REF!,"AAAAAH9f73c=")</f>
        <v>#REF!</v>
      </c>
      <c r="DQ266" t="e">
        <f>AND(#REF!,"AAAAAH9f73g=")</f>
        <v>#REF!</v>
      </c>
      <c r="DR266" t="e">
        <f>AND(#REF!,"AAAAAH9f73k=")</f>
        <v>#REF!</v>
      </c>
      <c r="DS266" t="e">
        <f>AND(#REF!,"AAAAAH9f73o=")</f>
        <v>#REF!</v>
      </c>
      <c r="DT266" t="e">
        <f>AND(#REF!,"AAAAAH9f73s=")</f>
        <v>#REF!</v>
      </c>
      <c r="DU266" t="e">
        <f>AND(#REF!,"AAAAAH9f73w=")</f>
        <v>#REF!</v>
      </c>
      <c r="DV266" t="e">
        <f>AND(#REF!,"AAAAAH9f730=")</f>
        <v>#REF!</v>
      </c>
      <c r="DW266" t="e">
        <f>AND(#REF!,"AAAAAH9f734=")</f>
        <v>#REF!</v>
      </c>
      <c r="DX266" t="e">
        <f>AND(#REF!,"AAAAAH9f738=")</f>
        <v>#REF!</v>
      </c>
      <c r="DY266" t="e">
        <f>AND(#REF!,"AAAAAH9f74A=")</f>
        <v>#REF!</v>
      </c>
      <c r="DZ266" t="e">
        <f>AND(#REF!,"AAAAAH9f74E=")</f>
        <v>#REF!</v>
      </c>
      <c r="EA266" t="e">
        <f>AND(#REF!,"AAAAAH9f74I=")</f>
        <v>#REF!</v>
      </c>
      <c r="EB266" t="e">
        <f>AND(#REF!,"AAAAAH9f74M=")</f>
        <v>#REF!</v>
      </c>
      <c r="EC266" t="e">
        <f>AND(#REF!,"AAAAAH9f74Q=")</f>
        <v>#REF!</v>
      </c>
      <c r="ED266" t="e">
        <f>AND(#REF!,"AAAAAH9f74U=")</f>
        <v>#REF!</v>
      </c>
      <c r="EE266" t="e">
        <f>AND(#REF!,"AAAAAH9f74Y=")</f>
        <v>#REF!</v>
      </c>
      <c r="EF266" t="e">
        <f>AND(#REF!,"AAAAAH9f74c=")</f>
        <v>#REF!</v>
      </c>
      <c r="EG266" t="e">
        <f>AND(#REF!,"AAAAAH9f74g=")</f>
        <v>#REF!</v>
      </c>
      <c r="EH266" t="e">
        <f>AND(#REF!,"AAAAAH9f74k=")</f>
        <v>#REF!</v>
      </c>
      <c r="EI266" t="e">
        <f>AND(#REF!,"AAAAAH9f74o=")</f>
        <v>#REF!</v>
      </c>
      <c r="EJ266" t="e">
        <f>AND(#REF!,"AAAAAH9f74s=")</f>
        <v>#REF!</v>
      </c>
      <c r="EK266" t="e">
        <f>AND(#REF!,"AAAAAH9f74w=")</f>
        <v>#REF!</v>
      </c>
      <c r="EL266" t="e">
        <f>AND(#REF!,"AAAAAH9f740=")</f>
        <v>#REF!</v>
      </c>
      <c r="EM266" t="e">
        <f>AND(#REF!,"AAAAAH9f744=")</f>
        <v>#REF!</v>
      </c>
      <c r="EN266" t="e">
        <f>AND(#REF!,"AAAAAH9f748=")</f>
        <v>#REF!</v>
      </c>
      <c r="EO266" t="e">
        <f>AND(#REF!,"AAAAAH9f75A=")</f>
        <v>#REF!</v>
      </c>
      <c r="EP266" t="e">
        <f>AND(#REF!,"AAAAAH9f75E=")</f>
        <v>#REF!</v>
      </c>
      <c r="EQ266" t="e">
        <f>AND(#REF!,"AAAAAH9f75I=")</f>
        <v>#REF!</v>
      </c>
      <c r="ER266" t="e">
        <f>AND(#REF!,"AAAAAH9f75M=")</f>
        <v>#REF!</v>
      </c>
      <c r="ES266" t="e">
        <f>AND(#REF!,"AAAAAH9f75Q=")</f>
        <v>#REF!</v>
      </c>
      <c r="ET266" t="e">
        <f>AND(#REF!,"AAAAAH9f75U=")</f>
        <v>#REF!</v>
      </c>
      <c r="EU266" t="e">
        <f>AND(#REF!,"AAAAAH9f75Y=")</f>
        <v>#REF!</v>
      </c>
      <c r="EV266" t="e">
        <f>AND(#REF!,"AAAAAH9f75c=")</f>
        <v>#REF!</v>
      </c>
      <c r="EW266" t="e">
        <f>AND(#REF!,"AAAAAH9f75g=")</f>
        <v>#REF!</v>
      </c>
      <c r="EX266" t="e">
        <f>AND(#REF!,"AAAAAH9f75k=")</f>
        <v>#REF!</v>
      </c>
      <c r="EY266" t="e">
        <f>AND(#REF!,"AAAAAH9f75o=")</f>
        <v>#REF!</v>
      </c>
      <c r="EZ266" t="e">
        <f>AND(#REF!,"AAAAAH9f75s=")</f>
        <v>#REF!</v>
      </c>
      <c r="FA266" t="e">
        <f>AND(#REF!,"AAAAAH9f75w=")</f>
        <v>#REF!</v>
      </c>
      <c r="FB266" t="e">
        <f>AND(#REF!,"AAAAAH9f750=")</f>
        <v>#REF!</v>
      </c>
      <c r="FC266" t="e">
        <f>AND(#REF!,"AAAAAH9f754=")</f>
        <v>#REF!</v>
      </c>
      <c r="FD266" t="e">
        <f>AND(#REF!,"AAAAAH9f758=")</f>
        <v>#REF!</v>
      </c>
      <c r="FE266" t="e">
        <f>AND(#REF!,"AAAAAH9f76A=")</f>
        <v>#REF!</v>
      </c>
      <c r="FF266" t="e">
        <f>AND(#REF!,"AAAAAH9f76E=")</f>
        <v>#REF!</v>
      </c>
      <c r="FG266" t="e">
        <f>AND(#REF!,"AAAAAH9f76I=")</f>
        <v>#REF!</v>
      </c>
      <c r="FH266" t="e">
        <f>AND(#REF!,"AAAAAH9f76M=")</f>
        <v>#REF!</v>
      </c>
      <c r="FI266" t="e">
        <f>AND(#REF!,"AAAAAH9f76Q=")</f>
        <v>#REF!</v>
      </c>
      <c r="FJ266" t="e">
        <f>AND(#REF!,"AAAAAH9f76U=")</f>
        <v>#REF!</v>
      </c>
      <c r="FK266" t="e">
        <f>AND(#REF!,"AAAAAH9f76Y=")</f>
        <v>#REF!</v>
      </c>
      <c r="FL266" t="e">
        <f>AND(#REF!,"AAAAAH9f76c=")</f>
        <v>#REF!</v>
      </c>
      <c r="FM266" t="e">
        <f>AND(#REF!,"AAAAAH9f76g=")</f>
        <v>#REF!</v>
      </c>
      <c r="FN266" t="e">
        <f>AND(#REF!,"AAAAAH9f76k=")</f>
        <v>#REF!</v>
      </c>
      <c r="FO266" t="e">
        <f>AND(#REF!,"AAAAAH9f76o=")</f>
        <v>#REF!</v>
      </c>
      <c r="FP266" t="e">
        <f>AND(#REF!,"AAAAAH9f76s=")</f>
        <v>#REF!</v>
      </c>
      <c r="FQ266" t="e">
        <f>AND(#REF!,"AAAAAH9f76w=")</f>
        <v>#REF!</v>
      </c>
      <c r="FR266" t="e">
        <f>AND(#REF!,"AAAAAH9f760=")</f>
        <v>#REF!</v>
      </c>
      <c r="FS266" t="e">
        <f>AND(#REF!,"AAAAAH9f764=")</f>
        <v>#REF!</v>
      </c>
      <c r="FT266" t="e">
        <f>AND(#REF!,"AAAAAH9f768=")</f>
        <v>#REF!</v>
      </c>
      <c r="FU266" t="e">
        <f>AND(#REF!,"AAAAAH9f77A=")</f>
        <v>#REF!</v>
      </c>
      <c r="FV266" t="e">
        <f>AND(#REF!,"AAAAAH9f77E=")</f>
        <v>#REF!</v>
      </c>
      <c r="FW266" t="e">
        <f>AND(#REF!,"AAAAAH9f77I=")</f>
        <v>#REF!</v>
      </c>
      <c r="FX266" t="e">
        <f>AND(#REF!,"AAAAAH9f77M=")</f>
        <v>#REF!</v>
      </c>
      <c r="FY266" t="e">
        <f>AND(#REF!,"AAAAAH9f77Q=")</f>
        <v>#REF!</v>
      </c>
      <c r="FZ266" t="e">
        <f>AND(#REF!,"AAAAAH9f77U=")</f>
        <v>#REF!</v>
      </c>
      <c r="GA266" t="e">
        <f>AND(#REF!,"AAAAAH9f77Y=")</f>
        <v>#REF!</v>
      </c>
      <c r="GB266" t="e">
        <f>AND(#REF!,"AAAAAH9f77c=")</f>
        <v>#REF!</v>
      </c>
      <c r="GC266" t="e">
        <f>AND(#REF!,"AAAAAH9f77g=")</f>
        <v>#REF!</v>
      </c>
      <c r="GD266" t="e">
        <f>AND(#REF!,"AAAAAH9f77k=")</f>
        <v>#REF!</v>
      </c>
      <c r="GE266" t="e">
        <f>AND(#REF!,"AAAAAH9f77o=")</f>
        <v>#REF!</v>
      </c>
      <c r="GF266" t="e">
        <f>AND(#REF!,"AAAAAH9f77s=")</f>
        <v>#REF!</v>
      </c>
      <c r="GG266" t="e">
        <f>AND(#REF!,"AAAAAH9f77w=")</f>
        <v>#REF!</v>
      </c>
      <c r="GH266" t="e">
        <f>AND(#REF!,"AAAAAH9f770=")</f>
        <v>#REF!</v>
      </c>
      <c r="GI266" t="e">
        <f>AND(#REF!,"AAAAAH9f774=")</f>
        <v>#REF!</v>
      </c>
      <c r="GJ266" t="e">
        <f>AND(#REF!,"AAAAAH9f778=")</f>
        <v>#REF!</v>
      </c>
      <c r="GK266" t="e">
        <f>IF(#REF!,"AAAAAH9f78A=",0)</f>
        <v>#REF!</v>
      </c>
      <c r="GL266" t="e">
        <f>AND(#REF!,"AAAAAH9f78E=")</f>
        <v>#REF!</v>
      </c>
      <c r="GM266" t="e">
        <f>AND(#REF!,"AAAAAH9f78I=")</f>
        <v>#REF!</v>
      </c>
      <c r="GN266" t="e">
        <f>AND(#REF!,"AAAAAH9f78M=")</f>
        <v>#REF!</v>
      </c>
      <c r="GO266" t="e">
        <f>AND(#REF!,"AAAAAH9f78Q=")</f>
        <v>#REF!</v>
      </c>
      <c r="GP266" t="e">
        <f>AND(#REF!,"AAAAAH9f78U=")</f>
        <v>#REF!</v>
      </c>
      <c r="GQ266" t="e">
        <f>AND(#REF!,"AAAAAH9f78Y=")</f>
        <v>#REF!</v>
      </c>
      <c r="GR266" t="e">
        <f>AND(#REF!,"AAAAAH9f78c=")</f>
        <v>#REF!</v>
      </c>
      <c r="GS266" t="e">
        <f>AND(#REF!,"AAAAAH9f78g=")</f>
        <v>#REF!</v>
      </c>
      <c r="GT266" t="e">
        <f>AND(#REF!,"AAAAAH9f78k=")</f>
        <v>#REF!</v>
      </c>
      <c r="GU266" t="e">
        <f>AND(#REF!,"AAAAAH9f78o=")</f>
        <v>#REF!</v>
      </c>
      <c r="GV266" t="e">
        <f>AND(#REF!,"AAAAAH9f78s=")</f>
        <v>#REF!</v>
      </c>
      <c r="GW266" t="e">
        <f>AND(#REF!,"AAAAAH9f78w=")</f>
        <v>#REF!</v>
      </c>
      <c r="GX266" t="e">
        <f>AND(#REF!,"AAAAAH9f780=")</f>
        <v>#REF!</v>
      </c>
      <c r="GY266" t="e">
        <f>AND(#REF!,"AAAAAH9f784=")</f>
        <v>#REF!</v>
      </c>
      <c r="GZ266" t="e">
        <f>AND(#REF!,"AAAAAH9f788=")</f>
        <v>#REF!</v>
      </c>
      <c r="HA266" t="e">
        <f>AND(#REF!,"AAAAAH9f79A=")</f>
        <v>#REF!</v>
      </c>
      <c r="HB266" t="e">
        <f>AND(#REF!,"AAAAAH9f79E=")</f>
        <v>#REF!</v>
      </c>
      <c r="HC266" t="e">
        <f>AND(#REF!,"AAAAAH9f79I=")</f>
        <v>#REF!</v>
      </c>
      <c r="HD266" t="e">
        <f>AND(#REF!,"AAAAAH9f79M=")</f>
        <v>#REF!</v>
      </c>
      <c r="HE266" t="e">
        <f>AND(#REF!,"AAAAAH9f79Q=")</f>
        <v>#REF!</v>
      </c>
      <c r="HF266" t="e">
        <f>AND(#REF!,"AAAAAH9f79U=")</f>
        <v>#REF!</v>
      </c>
      <c r="HG266" t="e">
        <f>AND(#REF!,"AAAAAH9f79Y=")</f>
        <v>#REF!</v>
      </c>
      <c r="HH266" t="e">
        <f>AND(#REF!,"AAAAAH9f79c=")</f>
        <v>#REF!</v>
      </c>
      <c r="HI266" t="e">
        <f>AND(#REF!,"AAAAAH9f79g=")</f>
        <v>#REF!</v>
      </c>
      <c r="HJ266" t="e">
        <f>AND(#REF!,"AAAAAH9f79k=")</f>
        <v>#REF!</v>
      </c>
      <c r="HK266" t="e">
        <f>AND(#REF!,"AAAAAH9f79o=")</f>
        <v>#REF!</v>
      </c>
      <c r="HL266" t="e">
        <f>AND(#REF!,"AAAAAH9f79s=")</f>
        <v>#REF!</v>
      </c>
      <c r="HM266" t="e">
        <f>AND(#REF!,"AAAAAH9f79w=")</f>
        <v>#REF!</v>
      </c>
      <c r="HN266" t="e">
        <f>AND(#REF!,"AAAAAH9f790=")</f>
        <v>#REF!</v>
      </c>
      <c r="HO266" t="e">
        <f>AND(#REF!,"AAAAAH9f794=")</f>
        <v>#REF!</v>
      </c>
      <c r="HP266" t="e">
        <f>AND(#REF!,"AAAAAH9f798=")</f>
        <v>#REF!</v>
      </c>
      <c r="HQ266" t="e">
        <f>AND(#REF!,"AAAAAH9f7+A=")</f>
        <v>#REF!</v>
      </c>
      <c r="HR266" t="e">
        <f>AND(#REF!,"AAAAAH9f7+E=")</f>
        <v>#REF!</v>
      </c>
      <c r="HS266" t="e">
        <f>AND(#REF!,"AAAAAH9f7+I=")</f>
        <v>#REF!</v>
      </c>
      <c r="HT266" t="e">
        <f>AND(#REF!,"AAAAAH9f7+M=")</f>
        <v>#REF!</v>
      </c>
      <c r="HU266" t="e">
        <f>AND(#REF!,"AAAAAH9f7+Q=")</f>
        <v>#REF!</v>
      </c>
      <c r="HV266" t="e">
        <f>AND(#REF!,"AAAAAH9f7+U=")</f>
        <v>#REF!</v>
      </c>
      <c r="HW266" t="e">
        <f>AND(#REF!,"AAAAAH9f7+Y=")</f>
        <v>#REF!</v>
      </c>
      <c r="HX266" t="e">
        <f>AND(#REF!,"AAAAAH9f7+c=")</f>
        <v>#REF!</v>
      </c>
      <c r="HY266" t="e">
        <f>AND(#REF!,"AAAAAH9f7+g=")</f>
        <v>#REF!</v>
      </c>
      <c r="HZ266" t="e">
        <f>AND(#REF!,"AAAAAH9f7+k=")</f>
        <v>#REF!</v>
      </c>
      <c r="IA266" t="e">
        <f>AND(#REF!,"AAAAAH9f7+o=")</f>
        <v>#REF!</v>
      </c>
      <c r="IB266" t="e">
        <f>AND(#REF!,"AAAAAH9f7+s=")</f>
        <v>#REF!</v>
      </c>
      <c r="IC266" t="e">
        <f>AND(#REF!,"AAAAAH9f7+w=")</f>
        <v>#REF!</v>
      </c>
      <c r="ID266" t="e">
        <f>AND(#REF!,"AAAAAH9f7+0=")</f>
        <v>#REF!</v>
      </c>
      <c r="IE266" t="e">
        <f>AND(#REF!,"AAAAAH9f7+4=")</f>
        <v>#REF!</v>
      </c>
      <c r="IF266" t="e">
        <f>AND(#REF!,"AAAAAH9f7+8=")</f>
        <v>#REF!</v>
      </c>
      <c r="IG266" t="e">
        <f>AND(#REF!,"AAAAAH9f7/A=")</f>
        <v>#REF!</v>
      </c>
      <c r="IH266" t="e">
        <f>AND(#REF!,"AAAAAH9f7/E=")</f>
        <v>#REF!</v>
      </c>
      <c r="II266" t="e">
        <f>AND(#REF!,"AAAAAH9f7/I=")</f>
        <v>#REF!</v>
      </c>
      <c r="IJ266" t="e">
        <f>AND(#REF!,"AAAAAH9f7/M=")</f>
        <v>#REF!</v>
      </c>
      <c r="IK266" t="e">
        <f>AND(#REF!,"AAAAAH9f7/Q=")</f>
        <v>#REF!</v>
      </c>
      <c r="IL266" t="e">
        <f>AND(#REF!,"AAAAAH9f7/U=")</f>
        <v>#REF!</v>
      </c>
      <c r="IM266" t="e">
        <f>AND(#REF!,"AAAAAH9f7/Y=")</f>
        <v>#REF!</v>
      </c>
      <c r="IN266" t="e">
        <f>AND(#REF!,"AAAAAH9f7/c=")</f>
        <v>#REF!</v>
      </c>
      <c r="IO266" t="e">
        <f>AND(#REF!,"AAAAAH9f7/g=")</f>
        <v>#REF!</v>
      </c>
      <c r="IP266" t="e">
        <f>AND(#REF!,"AAAAAH9f7/k=")</f>
        <v>#REF!</v>
      </c>
      <c r="IQ266" t="e">
        <f>AND(#REF!,"AAAAAH9f7/o=")</f>
        <v>#REF!</v>
      </c>
      <c r="IR266" t="e">
        <f>AND(#REF!,"AAAAAH9f7/s=")</f>
        <v>#REF!</v>
      </c>
      <c r="IS266" t="e">
        <f>AND(#REF!,"AAAAAH9f7/w=")</f>
        <v>#REF!</v>
      </c>
      <c r="IT266" t="e">
        <f>AND(#REF!,"AAAAAH9f7/0=")</f>
        <v>#REF!</v>
      </c>
      <c r="IU266" t="e">
        <f>AND(#REF!,"AAAAAH9f7/4=")</f>
        <v>#REF!</v>
      </c>
      <c r="IV266" t="e">
        <f>AND(#REF!,"AAAAAH9f7/8=")</f>
        <v>#REF!</v>
      </c>
    </row>
    <row r="267" spans="1:256" x14ac:dyDescent="0.25">
      <c r="A267" t="e">
        <f>AND(#REF!,"AAAAAH37+wA=")</f>
        <v>#REF!</v>
      </c>
      <c r="B267" t="e">
        <f>AND(#REF!,"AAAAAH37+wE=")</f>
        <v>#REF!</v>
      </c>
      <c r="C267" t="e">
        <f>AND(#REF!,"AAAAAH37+wI=")</f>
        <v>#REF!</v>
      </c>
      <c r="D267" t="e">
        <f>AND(#REF!,"AAAAAH37+wM=")</f>
        <v>#REF!</v>
      </c>
      <c r="E267" t="e">
        <f>AND(#REF!,"AAAAAH37+wQ=")</f>
        <v>#REF!</v>
      </c>
      <c r="F267" t="e">
        <f>AND(#REF!,"AAAAAH37+wU=")</f>
        <v>#REF!</v>
      </c>
      <c r="G267" t="e">
        <f>AND(#REF!,"AAAAAH37+wY=")</f>
        <v>#REF!</v>
      </c>
      <c r="H267" t="e">
        <f>AND(#REF!,"AAAAAH37+wc=")</f>
        <v>#REF!</v>
      </c>
      <c r="I267" t="e">
        <f>AND(#REF!,"AAAAAH37+wg=")</f>
        <v>#REF!</v>
      </c>
      <c r="J267" t="e">
        <f>AND(#REF!,"AAAAAH37+wk=")</f>
        <v>#REF!</v>
      </c>
      <c r="K267" t="e">
        <f>AND(#REF!,"AAAAAH37+wo=")</f>
        <v>#REF!</v>
      </c>
      <c r="L267" t="e">
        <f>AND(#REF!,"AAAAAH37+ws=")</f>
        <v>#REF!</v>
      </c>
      <c r="M267" t="e">
        <f>AND(#REF!,"AAAAAH37+ww=")</f>
        <v>#REF!</v>
      </c>
      <c r="N267" t="e">
        <f>AND(#REF!,"AAAAAH37+w0=")</f>
        <v>#REF!</v>
      </c>
      <c r="O267" t="e">
        <f>AND(#REF!,"AAAAAH37+w4=")</f>
        <v>#REF!</v>
      </c>
      <c r="P267" t="e">
        <f>AND(#REF!,"AAAAAH37+w8=")</f>
        <v>#REF!</v>
      </c>
      <c r="Q267" t="e">
        <f>AND(#REF!,"AAAAAH37+xA=")</f>
        <v>#REF!</v>
      </c>
      <c r="R267" t="e">
        <f>AND(#REF!,"AAAAAH37+xE=")</f>
        <v>#REF!</v>
      </c>
      <c r="S267" t="e">
        <f>AND(#REF!,"AAAAAH37+xI=")</f>
        <v>#REF!</v>
      </c>
      <c r="T267" t="e">
        <f>AND(#REF!,"AAAAAH37+xM=")</f>
        <v>#REF!</v>
      </c>
      <c r="U267" t="e">
        <f>AND(#REF!,"AAAAAH37+xQ=")</f>
        <v>#REF!</v>
      </c>
      <c r="V267" t="e">
        <f>AND(#REF!,"AAAAAH37+xU=")</f>
        <v>#REF!</v>
      </c>
      <c r="W267" t="e">
        <f>AND(#REF!,"AAAAAH37+xY=")</f>
        <v>#REF!</v>
      </c>
      <c r="X267" t="e">
        <f>AND(#REF!,"AAAAAH37+xc=")</f>
        <v>#REF!</v>
      </c>
      <c r="Y267" t="e">
        <f>AND(#REF!,"AAAAAH37+xg=")</f>
        <v>#REF!</v>
      </c>
      <c r="Z267" t="e">
        <f>AND(#REF!,"AAAAAH37+xk=")</f>
        <v>#REF!</v>
      </c>
      <c r="AA267" t="e">
        <f>AND(#REF!,"AAAAAH37+xo=")</f>
        <v>#REF!</v>
      </c>
      <c r="AB267" t="e">
        <f>AND(#REF!,"AAAAAH37+xs=")</f>
        <v>#REF!</v>
      </c>
      <c r="AC267" t="e">
        <f>AND(#REF!,"AAAAAH37+xw=")</f>
        <v>#REF!</v>
      </c>
      <c r="AD267" t="e">
        <f>AND(#REF!,"AAAAAH37+x0=")</f>
        <v>#REF!</v>
      </c>
      <c r="AE267" t="e">
        <f>AND(#REF!,"AAAAAH37+x4=")</f>
        <v>#REF!</v>
      </c>
      <c r="AF267" t="e">
        <f>AND(#REF!,"AAAAAH37+x8=")</f>
        <v>#REF!</v>
      </c>
      <c r="AG267" t="e">
        <f>AND(#REF!,"AAAAAH37+yA=")</f>
        <v>#REF!</v>
      </c>
      <c r="AH267" t="e">
        <f>AND(#REF!,"AAAAAH37+yE=")</f>
        <v>#REF!</v>
      </c>
      <c r="AI267" t="e">
        <f>AND(#REF!,"AAAAAH37+yI=")</f>
        <v>#REF!</v>
      </c>
      <c r="AJ267" t="e">
        <f>AND(#REF!,"AAAAAH37+yM=")</f>
        <v>#REF!</v>
      </c>
      <c r="AK267" t="e">
        <f>AND(#REF!,"AAAAAH37+yQ=")</f>
        <v>#REF!</v>
      </c>
      <c r="AL267" t="e">
        <f>AND(#REF!,"AAAAAH37+yU=")</f>
        <v>#REF!</v>
      </c>
      <c r="AM267" t="e">
        <f>AND(#REF!,"AAAAAH37+yY=")</f>
        <v>#REF!</v>
      </c>
      <c r="AN267" t="e">
        <f>AND(#REF!,"AAAAAH37+yc=")</f>
        <v>#REF!</v>
      </c>
      <c r="AO267" t="e">
        <f>AND(#REF!,"AAAAAH37+yg=")</f>
        <v>#REF!</v>
      </c>
      <c r="AP267" t="e">
        <f>AND(#REF!,"AAAAAH37+yk=")</f>
        <v>#REF!</v>
      </c>
      <c r="AQ267" t="e">
        <f>AND(#REF!,"AAAAAH37+yo=")</f>
        <v>#REF!</v>
      </c>
      <c r="AR267" t="e">
        <f>AND(#REF!,"AAAAAH37+ys=")</f>
        <v>#REF!</v>
      </c>
      <c r="AS267" t="e">
        <f>AND(#REF!,"AAAAAH37+yw=")</f>
        <v>#REF!</v>
      </c>
      <c r="AT267" t="e">
        <f>AND(#REF!,"AAAAAH37+y0=")</f>
        <v>#REF!</v>
      </c>
      <c r="AU267" t="e">
        <f>AND(#REF!,"AAAAAH37+y4=")</f>
        <v>#REF!</v>
      </c>
      <c r="AV267" t="e">
        <f>AND(#REF!,"AAAAAH37+y8=")</f>
        <v>#REF!</v>
      </c>
      <c r="AW267" t="e">
        <f>AND(#REF!,"AAAAAH37+zA=")</f>
        <v>#REF!</v>
      </c>
      <c r="AX267" t="e">
        <f>AND(#REF!,"AAAAAH37+zE=")</f>
        <v>#REF!</v>
      </c>
      <c r="AY267" t="e">
        <f>AND(#REF!,"AAAAAH37+zI=")</f>
        <v>#REF!</v>
      </c>
      <c r="AZ267" t="e">
        <f>AND(#REF!,"AAAAAH37+zM=")</f>
        <v>#REF!</v>
      </c>
      <c r="BA267" t="e">
        <f>AND(#REF!,"AAAAAH37+zQ=")</f>
        <v>#REF!</v>
      </c>
      <c r="BB267" t="e">
        <f>AND(#REF!,"AAAAAH37+zU=")</f>
        <v>#REF!</v>
      </c>
      <c r="BC267" t="e">
        <f>AND(#REF!,"AAAAAH37+zY=")</f>
        <v>#REF!</v>
      </c>
      <c r="BD267" t="e">
        <f>AND(#REF!,"AAAAAH37+zc=")</f>
        <v>#REF!</v>
      </c>
      <c r="BE267" t="e">
        <f>AND(#REF!,"AAAAAH37+zg=")</f>
        <v>#REF!</v>
      </c>
      <c r="BF267" t="e">
        <f>AND(#REF!,"AAAAAH37+zk=")</f>
        <v>#REF!</v>
      </c>
      <c r="BG267" t="e">
        <f>AND(#REF!,"AAAAAH37+zo=")</f>
        <v>#REF!</v>
      </c>
      <c r="BH267" t="e">
        <f>AND(#REF!,"AAAAAH37+zs=")</f>
        <v>#REF!</v>
      </c>
      <c r="BI267" t="e">
        <f>AND(#REF!,"AAAAAH37+zw=")</f>
        <v>#REF!</v>
      </c>
      <c r="BJ267" t="e">
        <f>AND(#REF!,"AAAAAH37+z0=")</f>
        <v>#REF!</v>
      </c>
      <c r="BK267" t="e">
        <f>AND(#REF!,"AAAAAH37+z4=")</f>
        <v>#REF!</v>
      </c>
      <c r="BL267" t="e">
        <f>AND(#REF!,"AAAAAH37+z8=")</f>
        <v>#REF!</v>
      </c>
      <c r="BM267" t="e">
        <f>AND(#REF!,"AAAAAH37+0A=")</f>
        <v>#REF!</v>
      </c>
      <c r="BN267" t="e">
        <f>AND(#REF!,"AAAAAH37+0E=")</f>
        <v>#REF!</v>
      </c>
      <c r="BO267" t="e">
        <f>AND(#REF!,"AAAAAH37+0I=")</f>
        <v>#REF!</v>
      </c>
      <c r="BP267" t="e">
        <f>AND(#REF!,"AAAAAH37+0M=")</f>
        <v>#REF!</v>
      </c>
      <c r="BQ267" t="e">
        <f>AND(#REF!,"AAAAAH37+0Q=")</f>
        <v>#REF!</v>
      </c>
      <c r="BR267" t="e">
        <f>AND(#REF!,"AAAAAH37+0U=")</f>
        <v>#REF!</v>
      </c>
      <c r="BS267" t="e">
        <f>AND(#REF!,"AAAAAH37+0Y=")</f>
        <v>#REF!</v>
      </c>
      <c r="BT267" t="e">
        <f>AND(#REF!,"AAAAAH37+0c=")</f>
        <v>#REF!</v>
      </c>
      <c r="BU267" t="e">
        <f>AND(#REF!,"AAAAAH37+0g=")</f>
        <v>#REF!</v>
      </c>
      <c r="BV267" t="e">
        <f>AND(#REF!,"AAAAAH37+0k=")</f>
        <v>#REF!</v>
      </c>
      <c r="BW267" t="e">
        <f>AND(#REF!,"AAAAAH37+0o=")</f>
        <v>#REF!</v>
      </c>
      <c r="BX267" t="e">
        <f>AND(#REF!,"AAAAAH37+0s=")</f>
        <v>#REF!</v>
      </c>
      <c r="BY267" t="e">
        <f>AND(#REF!,"AAAAAH37+0w=")</f>
        <v>#REF!</v>
      </c>
      <c r="BZ267" t="e">
        <f>AND(#REF!,"AAAAAH37+00=")</f>
        <v>#REF!</v>
      </c>
      <c r="CA267" t="e">
        <f>AND(#REF!,"AAAAAH37+04=")</f>
        <v>#REF!</v>
      </c>
      <c r="CB267" t="e">
        <f>AND(#REF!,"AAAAAH37+08=")</f>
        <v>#REF!</v>
      </c>
      <c r="CC267" t="e">
        <f>AND(#REF!,"AAAAAH37+1A=")</f>
        <v>#REF!</v>
      </c>
      <c r="CD267" t="e">
        <f>AND(#REF!,"AAAAAH37+1E=")</f>
        <v>#REF!</v>
      </c>
      <c r="CE267" t="e">
        <f>AND(#REF!,"AAAAAH37+1I=")</f>
        <v>#REF!</v>
      </c>
      <c r="CF267" t="e">
        <f>AND(#REF!,"AAAAAH37+1M=")</f>
        <v>#REF!</v>
      </c>
      <c r="CG267" t="e">
        <f>AND(#REF!,"AAAAAH37+1Q=")</f>
        <v>#REF!</v>
      </c>
      <c r="CH267" t="e">
        <f>AND(#REF!,"AAAAAH37+1U=")</f>
        <v>#REF!</v>
      </c>
      <c r="CI267" t="e">
        <f>AND(#REF!,"AAAAAH37+1Y=")</f>
        <v>#REF!</v>
      </c>
      <c r="CJ267" t="e">
        <f>AND(#REF!,"AAAAAH37+1c=")</f>
        <v>#REF!</v>
      </c>
      <c r="CK267" t="e">
        <f>AND(#REF!,"AAAAAH37+1g=")</f>
        <v>#REF!</v>
      </c>
      <c r="CL267" t="e">
        <f>AND(#REF!,"AAAAAH37+1k=")</f>
        <v>#REF!</v>
      </c>
      <c r="CM267" t="e">
        <f>AND(#REF!,"AAAAAH37+1o=")</f>
        <v>#REF!</v>
      </c>
      <c r="CN267" t="e">
        <f>AND(#REF!,"AAAAAH37+1s=")</f>
        <v>#REF!</v>
      </c>
      <c r="CO267" t="e">
        <f>AND(#REF!,"AAAAAH37+1w=")</f>
        <v>#REF!</v>
      </c>
      <c r="CP267" t="e">
        <f>AND(#REF!,"AAAAAH37+10=")</f>
        <v>#REF!</v>
      </c>
      <c r="CQ267" t="e">
        <f>AND(#REF!,"AAAAAH37+14=")</f>
        <v>#REF!</v>
      </c>
      <c r="CR267" t="e">
        <f>AND(#REF!,"AAAAAH37+18=")</f>
        <v>#REF!</v>
      </c>
      <c r="CS267" t="e">
        <f>AND(#REF!,"AAAAAH37+2A=")</f>
        <v>#REF!</v>
      </c>
      <c r="CT267" t="e">
        <f>AND(#REF!,"AAAAAH37+2E=")</f>
        <v>#REF!</v>
      </c>
      <c r="CU267" t="e">
        <f>AND(#REF!,"AAAAAH37+2I=")</f>
        <v>#REF!</v>
      </c>
      <c r="CV267" t="e">
        <f>AND(#REF!,"AAAAAH37+2M=")</f>
        <v>#REF!</v>
      </c>
      <c r="CW267" t="e">
        <f>AND(#REF!,"AAAAAH37+2Q=")</f>
        <v>#REF!</v>
      </c>
      <c r="CX267" t="e">
        <f>AND(#REF!,"AAAAAH37+2U=")</f>
        <v>#REF!</v>
      </c>
      <c r="CY267" t="e">
        <f>AND(#REF!,"AAAAAH37+2Y=")</f>
        <v>#REF!</v>
      </c>
      <c r="CZ267" t="e">
        <f>AND(#REF!,"AAAAAH37+2c=")</f>
        <v>#REF!</v>
      </c>
      <c r="DA267" t="e">
        <f>AND(#REF!,"AAAAAH37+2g=")</f>
        <v>#REF!</v>
      </c>
      <c r="DB267" t="e">
        <f>AND(#REF!,"AAAAAH37+2k=")</f>
        <v>#REF!</v>
      </c>
      <c r="DC267" t="e">
        <f>AND(#REF!,"AAAAAH37+2o=")</f>
        <v>#REF!</v>
      </c>
      <c r="DD267" t="e">
        <f>AND(#REF!,"AAAAAH37+2s=")</f>
        <v>#REF!</v>
      </c>
      <c r="DE267" t="e">
        <f>AND(#REF!,"AAAAAH37+2w=")</f>
        <v>#REF!</v>
      </c>
      <c r="DF267" t="e">
        <f>AND(#REF!,"AAAAAH37+20=")</f>
        <v>#REF!</v>
      </c>
      <c r="DG267" t="e">
        <f>AND(#REF!,"AAAAAH37+24=")</f>
        <v>#REF!</v>
      </c>
      <c r="DH267" t="e">
        <f>AND(#REF!,"AAAAAH37+28=")</f>
        <v>#REF!</v>
      </c>
      <c r="DI267" t="e">
        <f>AND(#REF!,"AAAAAH37+3A=")</f>
        <v>#REF!</v>
      </c>
      <c r="DJ267" t="e">
        <f>AND(#REF!,"AAAAAH37+3E=")</f>
        <v>#REF!</v>
      </c>
      <c r="DK267" t="e">
        <f>AND(#REF!,"AAAAAH37+3I=")</f>
        <v>#REF!</v>
      </c>
      <c r="DL267" t="e">
        <f>AND(#REF!,"AAAAAH37+3M=")</f>
        <v>#REF!</v>
      </c>
      <c r="DM267" t="e">
        <f>AND(#REF!,"AAAAAH37+3Q=")</f>
        <v>#REF!</v>
      </c>
      <c r="DN267" t="e">
        <f>AND(#REF!,"AAAAAH37+3U=")</f>
        <v>#REF!</v>
      </c>
      <c r="DO267" t="e">
        <f>AND(#REF!,"AAAAAH37+3Y=")</f>
        <v>#REF!</v>
      </c>
      <c r="DP267" t="e">
        <f>AND(#REF!,"AAAAAH37+3c=")</f>
        <v>#REF!</v>
      </c>
      <c r="DQ267" t="e">
        <f>AND(#REF!,"AAAAAH37+3g=")</f>
        <v>#REF!</v>
      </c>
      <c r="DR267" t="e">
        <f>AND(#REF!,"AAAAAH37+3k=")</f>
        <v>#REF!</v>
      </c>
      <c r="DS267" t="e">
        <f>AND(#REF!,"AAAAAH37+3o=")</f>
        <v>#REF!</v>
      </c>
      <c r="DT267" t="e">
        <f>AND(#REF!,"AAAAAH37+3s=")</f>
        <v>#REF!</v>
      </c>
      <c r="DU267" t="e">
        <f>AND(#REF!,"AAAAAH37+3w=")</f>
        <v>#REF!</v>
      </c>
      <c r="DV267" t="e">
        <f>IF(#REF!,"AAAAAH37+30=",0)</f>
        <v>#REF!</v>
      </c>
      <c r="DW267" t="e">
        <f>AND(#REF!,"AAAAAH37+34=")</f>
        <v>#REF!</v>
      </c>
      <c r="DX267" t="e">
        <f>AND(#REF!,"AAAAAH37+38=")</f>
        <v>#REF!</v>
      </c>
      <c r="DY267" t="e">
        <f>AND(#REF!,"AAAAAH37+4A=")</f>
        <v>#REF!</v>
      </c>
      <c r="DZ267" t="e">
        <f>AND(#REF!,"AAAAAH37+4E=")</f>
        <v>#REF!</v>
      </c>
      <c r="EA267" t="e">
        <f>AND(#REF!,"AAAAAH37+4I=")</f>
        <v>#REF!</v>
      </c>
      <c r="EB267" t="e">
        <f>AND(#REF!,"AAAAAH37+4M=")</f>
        <v>#REF!</v>
      </c>
      <c r="EC267" t="e">
        <f>AND(#REF!,"AAAAAH37+4Q=")</f>
        <v>#REF!</v>
      </c>
      <c r="ED267" t="e">
        <f>AND(#REF!,"AAAAAH37+4U=")</f>
        <v>#REF!</v>
      </c>
      <c r="EE267" t="e">
        <f>AND(#REF!,"AAAAAH37+4Y=")</f>
        <v>#REF!</v>
      </c>
      <c r="EF267" t="e">
        <f>AND(#REF!,"AAAAAH37+4c=")</f>
        <v>#REF!</v>
      </c>
      <c r="EG267" t="e">
        <f>AND(#REF!,"AAAAAH37+4g=")</f>
        <v>#REF!</v>
      </c>
      <c r="EH267" t="e">
        <f>AND(#REF!,"AAAAAH37+4k=")</f>
        <v>#REF!</v>
      </c>
      <c r="EI267" t="e">
        <f>AND(#REF!,"AAAAAH37+4o=")</f>
        <v>#REF!</v>
      </c>
      <c r="EJ267" t="e">
        <f>AND(#REF!,"AAAAAH37+4s=")</f>
        <v>#REF!</v>
      </c>
      <c r="EK267" t="e">
        <f>AND(#REF!,"AAAAAH37+4w=")</f>
        <v>#REF!</v>
      </c>
      <c r="EL267" t="e">
        <f>AND(#REF!,"AAAAAH37+40=")</f>
        <v>#REF!</v>
      </c>
      <c r="EM267" t="e">
        <f>AND(#REF!,"AAAAAH37+44=")</f>
        <v>#REF!</v>
      </c>
      <c r="EN267" t="e">
        <f>AND(#REF!,"AAAAAH37+48=")</f>
        <v>#REF!</v>
      </c>
      <c r="EO267" t="e">
        <f>AND(#REF!,"AAAAAH37+5A=")</f>
        <v>#REF!</v>
      </c>
      <c r="EP267" t="e">
        <f>AND(#REF!,"AAAAAH37+5E=")</f>
        <v>#REF!</v>
      </c>
      <c r="EQ267" t="e">
        <f>AND(#REF!,"AAAAAH37+5I=")</f>
        <v>#REF!</v>
      </c>
      <c r="ER267" t="e">
        <f>AND(#REF!,"AAAAAH37+5M=")</f>
        <v>#REF!</v>
      </c>
      <c r="ES267" t="e">
        <f>AND(#REF!,"AAAAAH37+5Q=")</f>
        <v>#REF!</v>
      </c>
      <c r="ET267" t="e">
        <f>AND(#REF!,"AAAAAH37+5U=")</f>
        <v>#REF!</v>
      </c>
      <c r="EU267" t="e">
        <f>AND(#REF!,"AAAAAH37+5Y=")</f>
        <v>#REF!</v>
      </c>
      <c r="EV267" t="e">
        <f>AND(#REF!,"AAAAAH37+5c=")</f>
        <v>#REF!</v>
      </c>
      <c r="EW267" t="e">
        <f>AND(#REF!,"AAAAAH37+5g=")</f>
        <v>#REF!</v>
      </c>
      <c r="EX267" t="e">
        <f>AND(#REF!,"AAAAAH37+5k=")</f>
        <v>#REF!</v>
      </c>
      <c r="EY267" t="e">
        <f>AND(#REF!,"AAAAAH37+5o=")</f>
        <v>#REF!</v>
      </c>
      <c r="EZ267" t="e">
        <f>AND(#REF!,"AAAAAH37+5s=")</f>
        <v>#REF!</v>
      </c>
      <c r="FA267" t="e">
        <f>AND(#REF!,"AAAAAH37+5w=")</f>
        <v>#REF!</v>
      </c>
      <c r="FB267" t="e">
        <f>AND(#REF!,"AAAAAH37+50=")</f>
        <v>#REF!</v>
      </c>
      <c r="FC267" t="e">
        <f>AND(#REF!,"AAAAAH37+54=")</f>
        <v>#REF!</v>
      </c>
      <c r="FD267" t="e">
        <f>AND(#REF!,"AAAAAH37+58=")</f>
        <v>#REF!</v>
      </c>
      <c r="FE267" t="e">
        <f>AND(#REF!,"AAAAAH37+6A=")</f>
        <v>#REF!</v>
      </c>
      <c r="FF267" t="e">
        <f>AND(#REF!,"AAAAAH37+6E=")</f>
        <v>#REF!</v>
      </c>
      <c r="FG267" t="e">
        <f>AND(#REF!,"AAAAAH37+6I=")</f>
        <v>#REF!</v>
      </c>
      <c r="FH267" t="e">
        <f>AND(#REF!,"AAAAAH37+6M=")</f>
        <v>#REF!</v>
      </c>
      <c r="FI267" t="e">
        <f>AND(#REF!,"AAAAAH37+6Q=")</f>
        <v>#REF!</v>
      </c>
      <c r="FJ267" t="e">
        <f>AND(#REF!,"AAAAAH37+6U=")</f>
        <v>#REF!</v>
      </c>
      <c r="FK267" t="e">
        <f>AND(#REF!,"AAAAAH37+6Y=")</f>
        <v>#REF!</v>
      </c>
      <c r="FL267" t="e">
        <f>AND(#REF!,"AAAAAH37+6c=")</f>
        <v>#REF!</v>
      </c>
      <c r="FM267" t="e">
        <f>AND(#REF!,"AAAAAH37+6g=")</f>
        <v>#REF!</v>
      </c>
      <c r="FN267" t="e">
        <f>AND(#REF!,"AAAAAH37+6k=")</f>
        <v>#REF!</v>
      </c>
      <c r="FO267" t="e">
        <f>AND(#REF!,"AAAAAH37+6o=")</f>
        <v>#REF!</v>
      </c>
      <c r="FP267" t="e">
        <f>AND(#REF!,"AAAAAH37+6s=")</f>
        <v>#REF!</v>
      </c>
      <c r="FQ267" t="e">
        <f>AND(#REF!,"AAAAAH37+6w=")</f>
        <v>#REF!</v>
      </c>
      <c r="FR267" t="e">
        <f>AND(#REF!,"AAAAAH37+60=")</f>
        <v>#REF!</v>
      </c>
      <c r="FS267" t="e">
        <f>AND(#REF!,"AAAAAH37+64=")</f>
        <v>#REF!</v>
      </c>
      <c r="FT267" t="e">
        <f>AND(#REF!,"AAAAAH37+68=")</f>
        <v>#REF!</v>
      </c>
      <c r="FU267" t="e">
        <f>AND(#REF!,"AAAAAH37+7A=")</f>
        <v>#REF!</v>
      </c>
      <c r="FV267" t="e">
        <f>AND(#REF!,"AAAAAH37+7E=")</f>
        <v>#REF!</v>
      </c>
      <c r="FW267" t="e">
        <f>AND(#REF!,"AAAAAH37+7I=")</f>
        <v>#REF!</v>
      </c>
      <c r="FX267" t="e">
        <f>AND(#REF!,"AAAAAH37+7M=")</f>
        <v>#REF!</v>
      </c>
      <c r="FY267" t="e">
        <f>AND(#REF!,"AAAAAH37+7Q=")</f>
        <v>#REF!</v>
      </c>
      <c r="FZ267" t="e">
        <f>AND(#REF!,"AAAAAH37+7U=")</f>
        <v>#REF!</v>
      </c>
      <c r="GA267" t="e">
        <f>AND(#REF!,"AAAAAH37+7Y=")</f>
        <v>#REF!</v>
      </c>
      <c r="GB267" t="e">
        <f>AND(#REF!,"AAAAAH37+7c=")</f>
        <v>#REF!</v>
      </c>
      <c r="GC267" t="e">
        <f>AND(#REF!,"AAAAAH37+7g=")</f>
        <v>#REF!</v>
      </c>
      <c r="GD267" t="e">
        <f>AND(#REF!,"AAAAAH37+7k=")</f>
        <v>#REF!</v>
      </c>
      <c r="GE267" t="e">
        <f>AND(#REF!,"AAAAAH37+7o=")</f>
        <v>#REF!</v>
      </c>
      <c r="GF267" t="e">
        <f>AND(#REF!,"AAAAAH37+7s=")</f>
        <v>#REF!</v>
      </c>
      <c r="GG267" t="e">
        <f>AND(#REF!,"AAAAAH37+7w=")</f>
        <v>#REF!</v>
      </c>
      <c r="GH267" t="e">
        <f>AND(#REF!,"AAAAAH37+70=")</f>
        <v>#REF!</v>
      </c>
      <c r="GI267" t="e">
        <f>AND(#REF!,"AAAAAH37+74=")</f>
        <v>#REF!</v>
      </c>
      <c r="GJ267" t="e">
        <f>AND(#REF!,"AAAAAH37+78=")</f>
        <v>#REF!</v>
      </c>
      <c r="GK267" t="e">
        <f>AND(#REF!,"AAAAAH37+8A=")</f>
        <v>#REF!</v>
      </c>
      <c r="GL267" t="e">
        <f>AND(#REF!,"AAAAAH37+8E=")</f>
        <v>#REF!</v>
      </c>
      <c r="GM267" t="e">
        <f>AND(#REF!,"AAAAAH37+8I=")</f>
        <v>#REF!</v>
      </c>
      <c r="GN267" t="e">
        <f>AND(#REF!,"AAAAAH37+8M=")</f>
        <v>#REF!</v>
      </c>
      <c r="GO267" t="e">
        <f>AND(#REF!,"AAAAAH37+8Q=")</f>
        <v>#REF!</v>
      </c>
      <c r="GP267" t="e">
        <f>AND(#REF!,"AAAAAH37+8U=")</f>
        <v>#REF!</v>
      </c>
      <c r="GQ267" t="e">
        <f>AND(#REF!,"AAAAAH37+8Y=")</f>
        <v>#REF!</v>
      </c>
      <c r="GR267" t="e">
        <f>AND(#REF!,"AAAAAH37+8c=")</f>
        <v>#REF!</v>
      </c>
      <c r="GS267" t="e">
        <f>AND(#REF!,"AAAAAH37+8g=")</f>
        <v>#REF!</v>
      </c>
      <c r="GT267" t="e">
        <f>AND(#REF!,"AAAAAH37+8k=")</f>
        <v>#REF!</v>
      </c>
      <c r="GU267" t="e">
        <f>AND(#REF!,"AAAAAH37+8o=")</f>
        <v>#REF!</v>
      </c>
      <c r="GV267" t="e">
        <f>AND(#REF!,"AAAAAH37+8s=")</f>
        <v>#REF!</v>
      </c>
      <c r="GW267" t="e">
        <f>AND(#REF!,"AAAAAH37+8w=")</f>
        <v>#REF!</v>
      </c>
      <c r="GX267" t="e">
        <f>AND(#REF!,"AAAAAH37+80=")</f>
        <v>#REF!</v>
      </c>
      <c r="GY267" t="e">
        <f>AND(#REF!,"AAAAAH37+84=")</f>
        <v>#REF!</v>
      </c>
      <c r="GZ267" t="e">
        <f>AND(#REF!,"AAAAAH37+88=")</f>
        <v>#REF!</v>
      </c>
      <c r="HA267" t="e">
        <f>AND(#REF!,"AAAAAH37+9A=")</f>
        <v>#REF!</v>
      </c>
      <c r="HB267" t="e">
        <f>AND(#REF!,"AAAAAH37+9E=")</f>
        <v>#REF!</v>
      </c>
      <c r="HC267" t="e">
        <f>AND(#REF!,"AAAAAH37+9I=")</f>
        <v>#REF!</v>
      </c>
      <c r="HD267" t="e">
        <f>AND(#REF!,"AAAAAH37+9M=")</f>
        <v>#REF!</v>
      </c>
      <c r="HE267" t="e">
        <f>AND(#REF!,"AAAAAH37+9Q=")</f>
        <v>#REF!</v>
      </c>
      <c r="HF267" t="e">
        <f>AND(#REF!,"AAAAAH37+9U=")</f>
        <v>#REF!</v>
      </c>
      <c r="HG267" t="e">
        <f>AND(#REF!,"AAAAAH37+9Y=")</f>
        <v>#REF!</v>
      </c>
      <c r="HH267" t="e">
        <f>AND(#REF!,"AAAAAH37+9c=")</f>
        <v>#REF!</v>
      </c>
      <c r="HI267" t="e">
        <f>AND(#REF!,"AAAAAH37+9g=")</f>
        <v>#REF!</v>
      </c>
      <c r="HJ267" t="e">
        <f>AND(#REF!,"AAAAAH37+9k=")</f>
        <v>#REF!</v>
      </c>
      <c r="HK267" t="e">
        <f>AND(#REF!,"AAAAAH37+9o=")</f>
        <v>#REF!</v>
      </c>
      <c r="HL267" t="e">
        <f>AND(#REF!,"AAAAAH37+9s=")</f>
        <v>#REF!</v>
      </c>
      <c r="HM267" t="e">
        <f>AND(#REF!,"AAAAAH37+9w=")</f>
        <v>#REF!</v>
      </c>
      <c r="HN267" t="e">
        <f>AND(#REF!,"AAAAAH37+90=")</f>
        <v>#REF!</v>
      </c>
      <c r="HO267" t="e">
        <f>AND(#REF!,"AAAAAH37+94=")</f>
        <v>#REF!</v>
      </c>
      <c r="HP267" t="e">
        <f>AND(#REF!,"AAAAAH37+98=")</f>
        <v>#REF!</v>
      </c>
      <c r="HQ267" t="e">
        <f>AND(#REF!,"AAAAAH37++A=")</f>
        <v>#REF!</v>
      </c>
      <c r="HR267" t="e">
        <f>AND(#REF!,"AAAAAH37++E=")</f>
        <v>#REF!</v>
      </c>
      <c r="HS267" t="e">
        <f>AND(#REF!,"AAAAAH37++I=")</f>
        <v>#REF!</v>
      </c>
      <c r="HT267" t="e">
        <f>AND(#REF!,"AAAAAH37++M=")</f>
        <v>#REF!</v>
      </c>
      <c r="HU267" t="e">
        <f>AND(#REF!,"AAAAAH37++Q=")</f>
        <v>#REF!</v>
      </c>
      <c r="HV267" t="e">
        <f>AND(#REF!,"AAAAAH37++U=")</f>
        <v>#REF!</v>
      </c>
      <c r="HW267" t="e">
        <f>AND(#REF!,"AAAAAH37++Y=")</f>
        <v>#REF!</v>
      </c>
      <c r="HX267" t="e">
        <f>AND(#REF!,"AAAAAH37++c=")</f>
        <v>#REF!</v>
      </c>
      <c r="HY267" t="e">
        <f>AND(#REF!,"AAAAAH37++g=")</f>
        <v>#REF!</v>
      </c>
      <c r="HZ267" t="e">
        <f>AND(#REF!,"AAAAAH37++k=")</f>
        <v>#REF!</v>
      </c>
      <c r="IA267" t="e">
        <f>AND(#REF!,"AAAAAH37++o=")</f>
        <v>#REF!</v>
      </c>
      <c r="IB267" t="e">
        <f>AND(#REF!,"AAAAAH37++s=")</f>
        <v>#REF!</v>
      </c>
      <c r="IC267" t="e">
        <f>AND(#REF!,"AAAAAH37++w=")</f>
        <v>#REF!</v>
      </c>
      <c r="ID267" t="e">
        <f>AND(#REF!,"AAAAAH37++0=")</f>
        <v>#REF!</v>
      </c>
      <c r="IE267" t="e">
        <f>AND(#REF!,"AAAAAH37++4=")</f>
        <v>#REF!</v>
      </c>
      <c r="IF267" t="e">
        <f>AND(#REF!,"AAAAAH37++8=")</f>
        <v>#REF!</v>
      </c>
      <c r="IG267" t="e">
        <f>AND(#REF!,"AAAAAH37+/A=")</f>
        <v>#REF!</v>
      </c>
      <c r="IH267" t="e">
        <f>AND(#REF!,"AAAAAH37+/E=")</f>
        <v>#REF!</v>
      </c>
      <c r="II267" t="e">
        <f>AND(#REF!,"AAAAAH37+/I=")</f>
        <v>#REF!</v>
      </c>
      <c r="IJ267" t="e">
        <f>AND(#REF!,"AAAAAH37+/M=")</f>
        <v>#REF!</v>
      </c>
      <c r="IK267" t="e">
        <f>AND(#REF!,"AAAAAH37+/Q=")</f>
        <v>#REF!</v>
      </c>
      <c r="IL267" t="e">
        <f>AND(#REF!,"AAAAAH37+/U=")</f>
        <v>#REF!</v>
      </c>
      <c r="IM267" t="e">
        <f>AND(#REF!,"AAAAAH37+/Y=")</f>
        <v>#REF!</v>
      </c>
      <c r="IN267" t="e">
        <f>AND(#REF!,"AAAAAH37+/c=")</f>
        <v>#REF!</v>
      </c>
      <c r="IO267" t="e">
        <f>AND(#REF!,"AAAAAH37+/g=")</f>
        <v>#REF!</v>
      </c>
      <c r="IP267" t="e">
        <f>AND(#REF!,"AAAAAH37+/k=")</f>
        <v>#REF!</v>
      </c>
      <c r="IQ267" t="e">
        <f>AND(#REF!,"AAAAAH37+/o=")</f>
        <v>#REF!</v>
      </c>
      <c r="IR267" t="e">
        <f>AND(#REF!,"AAAAAH37+/s=")</f>
        <v>#REF!</v>
      </c>
      <c r="IS267" t="e">
        <f>AND(#REF!,"AAAAAH37+/w=")</f>
        <v>#REF!</v>
      </c>
      <c r="IT267" t="e">
        <f>AND(#REF!,"AAAAAH37+/0=")</f>
        <v>#REF!</v>
      </c>
      <c r="IU267" t="e">
        <f>AND(#REF!,"AAAAAH37+/4=")</f>
        <v>#REF!</v>
      </c>
      <c r="IV267" t="e">
        <f>AND(#REF!,"AAAAAH37+/8=")</f>
        <v>#REF!</v>
      </c>
    </row>
    <row r="268" spans="1:256" x14ac:dyDescent="0.25">
      <c r="A268" t="e">
        <f>AND(#REF!,"AAAAACuhugA=")</f>
        <v>#REF!</v>
      </c>
      <c r="B268" t="e">
        <f>AND(#REF!,"AAAAACuhugE=")</f>
        <v>#REF!</v>
      </c>
      <c r="C268" t="e">
        <f>AND(#REF!,"AAAAACuhugI=")</f>
        <v>#REF!</v>
      </c>
      <c r="D268" t="e">
        <f>AND(#REF!,"AAAAACuhugM=")</f>
        <v>#REF!</v>
      </c>
      <c r="E268" t="e">
        <f>AND(#REF!,"AAAAACuhugQ=")</f>
        <v>#REF!</v>
      </c>
      <c r="F268" t="e">
        <f>AND(#REF!,"AAAAACuhugU=")</f>
        <v>#REF!</v>
      </c>
      <c r="G268" t="e">
        <f>AND(#REF!,"AAAAACuhugY=")</f>
        <v>#REF!</v>
      </c>
      <c r="H268" t="e">
        <f>AND(#REF!,"AAAAACuhugc=")</f>
        <v>#REF!</v>
      </c>
      <c r="I268" t="e">
        <f>AND(#REF!,"AAAAACuhugg=")</f>
        <v>#REF!</v>
      </c>
      <c r="J268" t="e">
        <f>AND(#REF!,"AAAAACuhugk=")</f>
        <v>#REF!</v>
      </c>
      <c r="K268" t="e">
        <f>AND(#REF!,"AAAAACuhugo=")</f>
        <v>#REF!</v>
      </c>
      <c r="L268" t="e">
        <f>AND(#REF!,"AAAAACuhugs=")</f>
        <v>#REF!</v>
      </c>
      <c r="M268" t="e">
        <f>AND(#REF!,"AAAAACuhugw=")</f>
        <v>#REF!</v>
      </c>
      <c r="N268" t="e">
        <f>AND(#REF!,"AAAAACuhug0=")</f>
        <v>#REF!</v>
      </c>
      <c r="O268" t="e">
        <f>AND(#REF!,"AAAAACuhug4=")</f>
        <v>#REF!</v>
      </c>
      <c r="P268" t="e">
        <f>AND(#REF!,"AAAAACuhug8=")</f>
        <v>#REF!</v>
      </c>
      <c r="Q268" t="e">
        <f>AND(#REF!,"AAAAACuhuhA=")</f>
        <v>#REF!</v>
      </c>
      <c r="R268" t="e">
        <f>AND(#REF!,"AAAAACuhuhE=")</f>
        <v>#REF!</v>
      </c>
      <c r="S268" t="e">
        <f>AND(#REF!,"AAAAACuhuhI=")</f>
        <v>#REF!</v>
      </c>
      <c r="T268" t="e">
        <f>AND(#REF!,"AAAAACuhuhM=")</f>
        <v>#REF!</v>
      </c>
      <c r="U268" t="e">
        <f>AND(#REF!,"AAAAACuhuhQ=")</f>
        <v>#REF!</v>
      </c>
      <c r="V268" t="e">
        <f>AND(#REF!,"AAAAACuhuhU=")</f>
        <v>#REF!</v>
      </c>
      <c r="W268" t="e">
        <f>AND(#REF!,"AAAAACuhuhY=")</f>
        <v>#REF!</v>
      </c>
      <c r="X268" t="e">
        <f>AND(#REF!,"AAAAACuhuhc=")</f>
        <v>#REF!</v>
      </c>
      <c r="Y268" t="e">
        <f>AND(#REF!,"AAAAACuhuhg=")</f>
        <v>#REF!</v>
      </c>
      <c r="Z268" t="e">
        <f>AND(#REF!,"AAAAACuhuhk=")</f>
        <v>#REF!</v>
      </c>
      <c r="AA268" t="e">
        <f>AND(#REF!,"AAAAACuhuho=")</f>
        <v>#REF!</v>
      </c>
      <c r="AB268" t="e">
        <f>AND(#REF!,"AAAAACuhuhs=")</f>
        <v>#REF!</v>
      </c>
      <c r="AC268" t="e">
        <f>AND(#REF!,"AAAAACuhuhw=")</f>
        <v>#REF!</v>
      </c>
      <c r="AD268" t="e">
        <f>AND(#REF!,"AAAAACuhuh0=")</f>
        <v>#REF!</v>
      </c>
      <c r="AE268" t="e">
        <f>AND(#REF!,"AAAAACuhuh4=")</f>
        <v>#REF!</v>
      </c>
      <c r="AF268" t="e">
        <f>AND(#REF!,"AAAAACuhuh8=")</f>
        <v>#REF!</v>
      </c>
      <c r="AG268" t="e">
        <f>AND(#REF!,"AAAAACuhuiA=")</f>
        <v>#REF!</v>
      </c>
      <c r="AH268" t="e">
        <f>AND(#REF!,"AAAAACuhuiE=")</f>
        <v>#REF!</v>
      </c>
      <c r="AI268" t="e">
        <f>AND(#REF!,"AAAAACuhuiI=")</f>
        <v>#REF!</v>
      </c>
      <c r="AJ268" t="e">
        <f>AND(#REF!,"AAAAACuhuiM=")</f>
        <v>#REF!</v>
      </c>
      <c r="AK268" t="e">
        <f>AND(#REF!,"AAAAACuhuiQ=")</f>
        <v>#REF!</v>
      </c>
      <c r="AL268" t="e">
        <f>AND(#REF!,"AAAAACuhuiU=")</f>
        <v>#REF!</v>
      </c>
      <c r="AM268" t="e">
        <f>AND(#REF!,"AAAAACuhuiY=")</f>
        <v>#REF!</v>
      </c>
      <c r="AN268" t="e">
        <f>AND(#REF!,"AAAAACuhuic=")</f>
        <v>#REF!</v>
      </c>
      <c r="AO268" t="e">
        <f>AND(#REF!,"AAAAACuhuig=")</f>
        <v>#REF!</v>
      </c>
      <c r="AP268" t="e">
        <f>AND(#REF!,"AAAAACuhuik=")</f>
        <v>#REF!</v>
      </c>
      <c r="AQ268" t="e">
        <f>AND(#REF!,"AAAAACuhuio=")</f>
        <v>#REF!</v>
      </c>
      <c r="AR268" t="e">
        <f>AND(#REF!,"AAAAACuhuis=")</f>
        <v>#REF!</v>
      </c>
      <c r="AS268" t="e">
        <f>AND(#REF!,"AAAAACuhuiw=")</f>
        <v>#REF!</v>
      </c>
      <c r="AT268" t="e">
        <f>AND(#REF!,"AAAAACuhui0=")</f>
        <v>#REF!</v>
      </c>
      <c r="AU268" t="e">
        <f>AND(#REF!,"AAAAACuhui4=")</f>
        <v>#REF!</v>
      </c>
      <c r="AV268" t="e">
        <f>AND(#REF!,"AAAAACuhui8=")</f>
        <v>#REF!</v>
      </c>
      <c r="AW268" t="e">
        <f>AND(#REF!,"AAAAACuhujA=")</f>
        <v>#REF!</v>
      </c>
      <c r="AX268" t="e">
        <f>AND(#REF!,"AAAAACuhujE=")</f>
        <v>#REF!</v>
      </c>
      <c r="AY268" t="e">
        <f>AND(#REF!,"AAAAACuhujI=")</f>
        <v>#REF!</v>
      </c>
      <c r="AZ268" t="e">
        <f>AND(#REF!,"AAAAACuhujM=")</f>
        <v>#REF!</v>
      </c>
      <c r="BA268" t="e">
        <f>AND(#REF!,"AAAAACuhujQ=")</f>
        <v>#REF!</v>
      </c>
      <c r="BB268" t="e">
        <f>AND(#REF!,"AAAAACuhujU=")</f>
        <v>#REF!</v>
      </c>
      <c r="BC268" t="e">
        <f>AND(#REF!,"AAAAACuhujY=")</f>
        <v>#REF!</v>
      </c>
      <c r="BD268" t="e">
        <f>AND(#REF!,"AAAAACuhujc=")</f>
        <v>#REF!</v>
      </c>
      <c r="BE268" t="e">
        <f>AND(#REF!,"AAAAACuhujg=")</f>
        <v>#REF!</v>
      </c>
      <c r="BF268" t="e">
        <f>AND(#REF!,"AAAAACuhujk=")</f>
        <v>#REF!</v>
      </c>
      <c r="BG268" t="e">
        <f>IF(#REF!,"AAAAACuhujo=",0)</f>
        <v>#REF!</v>
      </c>
      <c r="BH268" t="e">
        <f>AND(#REF!,"AAAAACuhujs=")</f>
        <v>#REF!</v>
      </c>
      <c r="BI268" t="e">
        <f>AND(#REF!,"AAAAACuhujw=")</f>
        <v>#REF!</v>
      </c>
      <c r="BJ268" t="e">
        <f>AND(#REF!,"AAAAACuhuj0=")</f>
        <v>#REF!</v>
      </c>
      <c r="BK268" t="e">
        <f>AND(#REF!,"AAAAACuhuj4=")</f>
        <v>#REF!</v>
      </c>
      <c r="BL268" t="e">
        <f>AND(#REF!,"AAAAACuhuj8=")</f>
        <v>#REF!</v>
      </c>
      <c r="BM268" t="e">
        <f>AND(#REF!,"AAAAACuhukA=")</f>
        <v>#REF!</v>
      </c>
      <c r="BN268" t="e">
        <f>AND(#REF!,"AAAAACuhukE=")</f>
        <v>#REF!</v>
      </c>
      <c r="BO268" t="e">
        <f>AND(#REF!,"AAAAACuhukI=")</f>
        <v>#REF!</v>
      </c>
      <c r="BP268" t="e">
        <f>AND(#REF!,"AAAAACuhukM=")</f>
        <v>#REF!</v>
      </c>
      <c r="BQ268" t="e">
        <f>AND(#REF!,"AAAAACuhukQ=")</f>
        <v>#REF!</v>
      </c>
      <c r="BR268" t="e">
        <f>AND(#REF!,"AAAAACuhukU=")</f>
        <v>#REF!</v>
      </c>
      <c r="BS268" t="e">
        <f>AND(#REF!,"AAAAACuhukY=")</f>
        <v>#REF!</v>
      </c>
      <c r="BT268" t="e">
        <f>AND(#REF!,"AAAAACuhukc=")</f>
        <v>#REF!</v>
      </c>
      <c r="BU268" t="e">
        <f>AND(#REF!,"AAAAACuhukg=")</f>
        <v>#REF!</v>
      </c>
      <c r="BV268" t="e">
        <f>AND(#REF!,"AAAAACuhukk=")</f>
        <v>#REF!</v>
      </c>
      <c r="BW268" t="e">
        <f>AND(#REF!,"AAAAACuhuko=")</f>
        <v>#REF!</v>
      </c>
      <c r="BX268" t="e">
        <f>AND(#REF!,"AAAAACuhuks=")</f>
        <v>#REF!</v>
      </c>
      <c r="BY268" t="e">
        <f>AND(#REF!,"AAAAACuhukw=")</f>
        <v>#REF!</v>
      </c>
      <c r="BZ268" t="e">
        <f>AND(#REF!,"AAAAACuhuk0=")</f>
        <v>#REF!</v>
      </c>
      <c r="CA268" t="e">
        <f>AND(#REF!,"AAAAACuhuk4=")</f>
        <v>#REF!</v>
      </c>
      <c r="CB268" t="e">
        <f>AND(#REF!,"AAAAACuhuk8=")</f>
        <v>#REF!</v>
      </c>
      <c r="CC268" t="e">
        <f>AND(#REF!,"AAAAACuhulA=")</f>
        <v>#REF!</v>
      </c>
      <c r="CD268" t="e">
        <f>AND(#REF!,"AAAAACuhulE=")</f>
        <v>#REF!</v>
      </c>
      <c r="CE268" t="e">
        <f>AND(#REF!,"AAAAACuhulI=")</f>
        <v>#REF!</v>
      </c>
      <c r="CF268" t="e">
        <f>AND(#REF!,"AAAAACuhulM=")</f>
        <v>#REF!</v>
      </c>
      <c r="CG268" t="e">
        <f>AND(#REF!,"AAAAACuhulQ=")</f>
        <v>#REF!</v>
      </c>
      <c r="CH268" t="e">
        <f>AND(#REF!,"AAAAACuhulU=")</f>
        <v>#REF!</v>
      </c>
      <c r="CI268" t="e">
        <f>AND(#REF!,"AAAAACuhulY=")</f>
        <v>#REF!</v>
      </c>
      <c r="CJ268" t="e">
        <f>AND(#REF!,"AAAAACuhulc=")</f>
        <v>#REF!</v>
      </c>
      <c r="CK268" t="e">
        <f>AND(#REF!,"AAAAACuhulg=")</f>
        <v>#REF!</v>
      </c>
      <c r="CL268" t="e">
        <f>AND(#REF!,"AAAAACuhulk=")</f>
        <v>#REF!</v>
      </c>
      <c r="CM268" t="e">
        <f>AND(#REF!,"AAAAACuhulo=")</f>
        <v>#REF!</v>
      </c>
      <c r="CN268" t="e">
        <f>AND(#REF!,"AAAAACuhuls=")</f>
        <v>#REF!</v>
      </c>
      <c r="CO268" t="e">
        <f>AND(#REF!,"AAAAACuhulw=")</f>
        <v>#REF!</v>
      </c>
      <c r="CP268" t="e">
        <f>AND(#REF!,"AAAAACuhul0=")</f>
        <v>#REF!</v>
      </c>
      <c r="CQ268" t="e">
        <f>AND(#REF!,"AAAAACuhul4=")</f>
        <v>#REF!</v>
      </c>
      <c r="CR268" t="e">
        <f>AND(#REF!,"AAAAACuhul8=")</f>
        <v>#REF!</v>
      </c>
      <c r="CS268" t="e">
        <f>AND(#REF!,"AAAAACuhumA=")</f>
        <v>#REF!</v>
      </c>
      <c r="CT268" t="e">
        <f>AND(#REF!,"AAAAACuhumE=")</f>
        <v>#REF!</v>
      </c>
      <c r="CU268" t="e">
        <f>AND(#REF!,"AAAAACuhumI=")</f>
        <v>#REF!</v>
      </c>
      <c r="CV268" t="e">
        <f>AND(#REF!,"AAAAACuhumM=")</f>
        <v>#REF!</v>
      </c>
      <c r="CW268" t="e">
        <f>AND(#REF!,"AAAAACuhumQ=")</f>
        <v>#REF!</v>
      </c>
      <c r="CX268" t="e">
        <f>AND(#REF!,"AAAAACuhumU=")</f>
        <v>#REF!</v>
      </c>
      <c r="CY268" t="e">
        <f>AND(#REF!,"AAAAACuhumY=")</f>
        <v>#REF!</v>
      </c>
      <c r="CZ268" t="e">
        <f>AND(#REF!,"AAAAACuhumc=")</f>
        <v>#REF!</v>
      </c>
      <c r="DA268" t="e">
        <f>AND(#REF!,"AAAAACuhumg=")</f>
        <v>#REF!</v>
      </c>
      <c r="DB268" t="e">
        <f>AND(#REF!,"AAAAACuhumk=")</f>
        <v>#REF!</v>
      </c>
      <c r="DC268" t="e">
        <f>AND(#REF!,"AAAAACuhumo=")</f>
        <v>#REF!</v>
      </c>
      <c r="DD268" t="e">
        <f>AND(#REF!,"AAAAACuhums=")</f>
        <v>#REF!</v>
      </c>
      <c r="DE268" t="e">
        <f>AND(#REF!,"AAAAACuhumw=")</f>
        <v>#REF!</v>
      </c>
      <c r="DF268" t="e">
        <f>AND(#REF!,"AAAAACuhum0=")</f>
        <v>#REF!</v>
      </c>
      <c r="DG268" t="e">
        <f>AND(#REF!,"AAAAACuhum4=")</f>
        <v>#REF!</v>
      </c>
      <c r="DH268" t="e">
        <f>AND(#REF!,"AAAAACuhum8=")</f>
        <v>#REF!</v>
      </c>
      <c r="DI268" t="e">
        <f>AND(#REF!,"AAAAACuhunA=")</f>
        <v>#REF!</v>
      </c>
      <c r="DJ268" t="e">
        <f>AND(#REF!,"AAAAACuhunE=")</f>
        <v>#REF!</v>
      </c>
      <c r="DK268" t="e">
        <f>AND(#REF!,"AAAAACuhunI=")</f>
        <v>#REF!</v>
      </c>
      <c r="DL268" t="e">
        <f>AND(#REF!,"AAAAACuhunM=")</f>
        <v>#REF!</v>
      </c>
      <c r="DM268" t="e">
        <f>AND(#REF!,"AAAAACuhunQ=")</f>
        <v>#REF!</v>
      </c>
      <c r="DN268" t="e">
        <f>AND(#REF!,"AAAAACuhunU=")</f>
        <v>#REF!</v>
      </c>
      <c r="DO268" t="e">
        <f>AND(#REF!,"AAAAACuhunY=")</f>
        <v>#REF!</v>
      </c>
      <c r="DP268" t="e">
        <f>AND(#REF!,"AAAAACuhunc=")</f>
        <v>#REF!</v>
      </c>
      <c r="DQ268" t="e">
        <f>AND(#REF!,"AAAAACuhung=")</f>
        <v>#REF!</v>
      </c>
      <c r="DR268" t="e">
        <f>AND(#REF!,"AAAAACuhunk=")</f>
        <v>#REF!</v>
      </c>
      <c r="DS268" t="e">
        <f>AND(#REF!,"AAAAACuhuno=")</f>
        <v>#REF!</v>
      </c>
      <c r="DT268" t="e">
        <f>AND(#REF!,"AAAAACuhuns=")</f>
        <v>#REF!</v>
      </c>
      <c r="DU268" t="e">
        <f>AND(#REF!,"AAAAACuhunw=")</f>
        <v>#REF!</v>
      </c>
      <c r="DV268" t="e">
        <f>AND(#REF!,"AAAAACuhun0=")</f>
        <v>#REF!</v>
      </c>
      <c r="DW268" t="e">
        <f>AND(#REF!,"AAAAACuhun4=")</f>
        <v>#REF!</v>
      </c>
      <c r="DX268" t="e">
        <f>AND(#REF!,"AAAAACuhun8=")</f>
        <v>#REF!</v>
      </c>
      <c r="DY268" t="e">
        <f>AND(#REF!,"AAAAACuhuoA=")</f>
        <v>#REF!</v>
      </c>
      <c r="DZ268" t="e">
        <f>AND(#REF!,"AAAAACuhuoE=")</f>
        <v>#REF!</v>
      </c>
      <c r="EA268" t="e">
        <f>AND(#REF!,"AAAAACuhuoI=")</f>
        <v>#REF!</v>
      </c>
      <c r="EB268" t="e">
        <f>AND(#REF!,"AAAAACuhuoM=")</f>
        <v>#REF!</v>
      </c>
      <c r="EC268" t="e">
        <f>AND(#REF!,"AAAAACuhuoQ=")</f>
        <v>#REF!</v>
      </c>
      <c r="ED268" t="e">
        <f>AND(#REF!,"AAAAACuhuoU=")</f>
        <v>#REF!</v>
      </c>
      <c r="EE268" t="e">
        <f>AND(#REF!,"AAAAACuhuoY=")</f>
        <v>#REF!</v>
      </c>
      <c r="EF268" t="e">
        <f>AND(#REF!,"AAAAACuhuoc=")</f>
        <v>#REF!</v>
      </c>
      <c r="EG268" t="e">
        <f>AND(#REF!,"AAAAACuhuog=")</f>
        <v>#REF!</v>
      </c>
      <c r="EH268" t="e">
        <f>AND(#REF!,"AAAAACuhuok=")</f>
        <v>#REF!</v>
      </c>
      <c r="EI268" t="e">
        <f>AND(#REF!,"AAAAACuhuoo=")</f>
        <v>#REF!</v>
      </c>
      <c r="EJ268" t="e">
        <f>AND(#REF!,"AAAAACuhuos=")</f>
        <v>#REF!</v>
      </c>
      <c r="EK268" t="e">
        <f>AND(#REF!,"AAAAACuhuow=")</f>
        <v>#REF!</v>
      </c>
      <c r="EL268" t="e">
        <f>AND(#REF!,"AAAAACuhuo0=")</f>
        <v>#REF!</v>
      </c>
      <c r="EM268" t="e">
        <f>AND(#REF!,"AAAAACuhuo4=")</f>
        <v>#REF!</v>
      </c>
      <c r="EN268" t="e">
        <f>AND(#REF!,"AAAAACuhuo8=")</f>
        <v>#REF!</v>
      </c>
      <c r="EO268" t="e">
        <f>AND(#REF!,"AAAAACuhupA=")</f>
        <v>#REF!</v>
      </c>
      <c r="EP268" t="e">
        <f>AND(#REF!,"AAAAACuhupE=")</f>
        <v>#REF!</v>
      </c>
      <c r="EQ268" t="e">
        <f>AND(#REF!,"AAAAACuhupI=")</f>
        <v>#REF!</v>
      </c>
      <c r="ER268" t="e">
        <f>AND(#REF!,"AAAAACuhupM=")</f>
        <v>#REF!</v>
      </c>
      <c r="ES268" t="e">
        <f>AND(#REF!,"AAAAACuhupQ=")</f>
        <v>#REF!</v>
      </c>
      <c r="ET268" t="e">
        <f>AND(#REF!,"AAAAACuhupU=")</f>
        <v>#REF!</v>
      </c>
      <c r="EU268" t="e">
        <f>AND(#REF!,"AAAAACuhupY=")</f>
        <v>#REF!</v>
      </c>
      <c r="EV268" t="e">
        <f>AND(#REF!,"AAAAACuhupc=")</f>
        <v>#REF!</v>
      </c>
      <c r="EW268" t="e">
        <f>AND(#REF!,"AAAAACuhupg=")</f>
        <v>#REF!</v>
      </c>
      <c r="EX268" t="e">
        <f>AND(#REF!,"AAAAACuhupk=")</f>
        <v>#REF!</v>
      </c>
      <c r="EY268" t="e">
        <f>AND(#REF!,"AAAAACuhupo=")</f>
        <v>#REF!</v>
      </c>
      <c r="EZ268" t="e">
        <f>AND(#REF!,"AAAAACuhups=")</f>
        <v>#REF!</v>
      </c>
      <c r="FA268" t="e">
        <f>AND(#REF!,"AAAAACuhupw=")</f>
        <v>#REF!</v>
      </c>
      <c r="FB268" t="e">
        <f>AND(#REF!,"AAAAACuhup0=")</f>
        <v>#REF!</v>
      </c>
      <c r="FC268" t="e">
        <f>AND(#REF!,"AAAAACuhup4=")</f>
        <v>#REF!</v>
      </c>
      <c r="FD268" t="e">
        <f>AND(#REF!,"AAAAACuhup8=")</f>
        <v>#REF!</v>
      </c>
      <c r="FE268" t="e">
        <f>AND(#REF!,"AAAAACuhuqA=")</f>
        <v>#REF!</v>
      </c>
      <c r="FF268" t="e">
        <f>AND(#REF!,"AAAAACuhuqE=")</f>
        <v>#REF!</v>
      </c>
      <c r="FG268" t="e">
        <f>AND(#REF!,"AAAAACuhuqI=")</f>
        <v>#REF!</v>
      </c>
      <c r="FH268" t="e">
        <f>AND(#REF!,"AAAAACuhuqM=")</f>
        <v>#REF!</v>
      </c>
      <c r="FI268" t="e">
        <f>AND(#REF!,"AAAAACuhuqQ=")</f>
        <v>#REF!</v>
      </c>
      <c r="FJ268" t="e">
        <f>AND(#REF!,"AAAAACuhuqU=")</f>
        <v>#REF!</v>
      </c>
      <c r="FK268" t="e">
        <f>AND(#REF!,"AAAAACuhuqY=")</f>
        <v>#REF!</v>
      </c>
      <c r="FL268" t="e">
        <f>AND(#REF!,"AAAAACuhuqc=")</f>
        <v>#REF!</v>
      </c>
      <c r="FM268" t="e">
        <f>AND(#REF!,"AAAAACuhuqg=")</f>
        <v>#REF!</v>
      </c>
      <c r="FN268" t="e">
        <f>AND(#REF!,"AAAAACuhuqk=")</f>
        <v>#REF!</v>
      </c>
      <c r="FO268" t="e">
        <f>AND(#REF!,"AAAAACuhuqo=")</f>
        <v>#REF!</v>
      </c>
      <c r="FP268" t="e">
        <f>AND(#REF!,"AAAAACuhuqs=")</f>
        <v>#REF!</v>
      </c>
      <c r="FQ268" t="e">
        <f>AND(#REF!,"AAAAACuhuqw=")</f>
        <v>#REF!</v>
      </c>
      <c r="FR268" t="e">
        <f>AND(#REF!,"AAAAACuhuq0=")</f>
        <v>#REF!</v>
      </c>
      <c r="FS268" t="e">
        <f>AND(#REF!,"AAAAACuhuq4=")</f>
        <v>#REF!</v>
      </c>
      <c r="FT268" t="e">
        <f>AND(#REF!,"AAAAACuhuq8=")</f>
        <v>#REF!</v>
      </c>
      <c r="FU268" t="e">
        <f>AND(#REF!,"AAAAACuhurA=")</f>
        <v>#REF!</v>
      </c>
      <c r="FV268" t="e">
        <f>AND(#REF!,"AAAAACuhurE=")</f>
        <v>#REF!</v>
      </c>
      <c r="FW268" t="e">
        <f>AND(#REF!,"AAAAACuhurI=")</f>
        <v>#REF!</v>
      </c>
      <c r="FX268" t="e">
        <f>AND(#REF!,"AAAAACuhurM=")</f>
        <v>#REF!</v>
      </c>
      <c r="FY268" t="e">
        <f>AND(#REF!,"AAAAACuhurQ=")</f>
        <v>#REF!</v>
      </c>
      <c r="FZ268" t="e">
        <f>AND(#REF!,"AAAAACuhurU=")</f>
        <v>#REF!</v>
      </c>
      <c r="GA268" t="e">
        <f>AND(#REF!,"AAAAACuhurY=")</f>
        <v>#REF!</v>
      </c>
      <c r="GB268" t="e">
        <f>AND(#REF!,"AAAAACuhurc=")</f>
        <v>#REF!</v>
      </c>
      <c r="GC268" t="e">
        <f>AND(#REF!,"AAAAACuhurg=")</f>
        <v>#REF!</v>
      </c>
      <c r="GD268" t="e">
        <f>AND(#REF!,"AAAAACuhurk=")</f>
        <v>#REF!</v>
      </c>
      <c r="GE268" t="e">
        <f>AND(#REF!,"AAAAACuhuro=")</f>
        <v>#REF!</v>
      </c>
      <c r="GF268" t="e">
        <f>AND(#REF!,"AAAAACuhurs=")</f>
        <v>#REF!</v>
      </c>
      <c r="GG268" t="e">
        <f>AND(#REF!,"AAAAACuhurw=")</f>
        <v>#REF!</v>
      </c>
      <c r="GH268" t="e">
        <f>AND(#REF!,"AAAAACuhur0=")</f>
        <v>#REF!</v>
      </c>
      <c r="GI268" t="e">
        <f>AND(#REF!,"AAAAACuhur4=")</f>
        <v>#REF!</v>
      </c>
      <c r="GJ268" t="e">
        <f>AND(#REF!,"AAAAACuhur8=")</f>
        <v>#REF!</v>
      </c>
      <c r="GK268" t="e">
        <f>AND(#REF!,"AAAAACuhusA=")</f>
        <v>#REF!</v>
      </c>
      <c r="GL268" t="e">
        <f>AND(#REF!,"AAAAACuhusE=")</f>
        <v>#REF!</v>
      </c>
      <c r="GM268" t="e">
        <f>AND(#REF!,"AAAAACuhusI=")</f>
        <v>#REF!</v>
      </c>
      <c r="GN268" t="e">
        <f>AND(#REF!,"AAAAACuhusM=")</f>
        <v>#REF!</v>
      </c>
      <c r="GO268" t="e">
        <f>AND(#REF!,"AAAAACuhusQ=")</f>
        <v>#REF!</v>
      </c>
      <c r="GP268" t="e">
        <f>AND(#REF!,"AAAAACuhusU=")</f>
        <v>#REF!</v>
      </c>
      <c r="GQ268" t="e">
        <f>AND(#REF!,"AAAAACuhusY=")</f>
        <v>#REF!</v>
      </c>
      <c r="GR268" t="e">
        <f>AND(#REF!,"AAAAACuhusc=")</f>
        <v>#REF!</v>
      </c>
      <c r="GS268" t="e">
        <f>AND(#REF!,"AAAAACuhusg=")</f>
        <v>#REF!</v>
      </c>
      <c r="GT268" t="e">
        <f>AND(#REF!,"AAAAACuhusk=")</f>
        <v>#REF!</v>
      </c>
      <c r="GU268" t="e">
        <f>AND(#REF!,"AAAAACuhuso=")</f>
        <v>#REF!</v>
      </c>
      <c r="GV268" t="e">
        <f>AND(#REF!,"AAAAACuhuss=")</f>
        <v>#REF!</v>
      </c>
      <c r="GW268" t="e">
        <f>AND(#REF!,"AAAAACuhusw=")</f>
        <v>#REF!</v>
      </c>
      <c r="GX268" t="e">
        <f>AND(#REF!,"AAAAACuhus0=")</f>
        <v>#REF!</v>
      </c>
      <c r="GY268" t="e">
        <f>AND(#REF!,"AAAAACuhus4=")</f>
        <v>#REF!</v>
      </c>
      <c r="GZ268" t="e">
        <f>AND(#REF!,"AAAAACuhus8=")</f>
        <v>#REF!</v>
      </c>
      <c r="HA268" t="e">
        <f>AND(#REF!,"AAAAACuhutA=")</f>
        <v>#REF!</v>
      </c>
      <c r="HB268" t="e">
        <f>AND(#REF!,"AAAAACuhutE=")</f>
        <v>#REF!</v>
      </c>
      <c r="HC268" t="e">
        <f>AND(#REF!,"AAAAACuhutI=")</f>
        <v>#REF!</v>
      </c>
      <c r="HD268" t="e">
        <f>AND(#REF!,"AAAAACuhutM=")</f>
        <v>#REF!</v>
      </c>
      <c r="HE268" t="e">
        <f>AND(#REF!,"AAAAACuhutQ=")</f>
        <v>#REF!</v>
      </c>
      <c r="HF268" t="e">
        <f>AND(#REF!,"AAAAACuhutU=")</f>
        <v>#REF!</v>
      </c>
      <c r="HG268" t="e">
        <f>AND(#REF!,"AAAAACuhutY=")</f>
        <v>#REF!</v>
      </c>
      <c r="HH268" t="e">
        <f>AND(#REF!,"AAAAACuhutc=")</f>
        <v>#REF!</v>
      </c>
      <c r="HI268" t="e">
        <f>AND(#REF!,"AAAAACuhutg=")</f>
        <v>#REF!</v>
      </c>
      <c r="HJ268" t="e">
        <f>AND(#REF!,"AAAAACuhutk=")</f>
        <v>#REF!</v>
      </c>
      <c r="HK268" t="e">
        <f>AND(#REF!,"AAAAACuhuto=")</f>
        <v>#REF!</v>
      </c>
      <c r="HL268" t="e">
        <f>AND(#REF!,"AAAAACuhuts=")</f>
        <v>#REF!</v>
      </c>
      <c r="HM268" t="e">
        <f>AND(#REF!,"AAAAACuhutw=")</f>
        <v>#REF!</v>
      </c>
      <c r="HN268" t="e">
        <f>AND(#REF!,"AAAAACuhut0=")</f>
        <v>#REF!</v>
      </c>
      <c r="HO268" t="e">
        <f>AND(#REF!,"AAAAACuhut4=")</f>
        <v>#REF!</v>
      </c>
      <c r="HP268" t="e">
        <f>AND(#REF!,"AAAAACuhut8=")</f>
        <v>#REF!</v>
      </c>
      <c r="HQ268" t="e">
        <f>AND(#REF!,"AAAAACuhuuA=")</f>
        <v>#REF!</v>
      </c>
      <c r="HR268" t="e">
        <f>AND(#REF!,"AAAAACuhuuE=")</f>
        <v>#REF!</v>
      </c>
      <c r="HS268" t="e">
        <f>AND(#REF!,"AAAAACuhuuI=")</f>
        <v>#REF!</v>
      </c>
      <c r="HT268" t="e">
        <f>AND(#REF!,"AAAAACuhuuM=")</f>
        <v>#REF!</v>
      </c>
      <c r="HU268" t="e">
        <f>AND(#REF!,"AAAAACuhuuQ=")</f>
        <v>#REF!</v>
      </c>
      <c r="HV268" t="e">
        <f>AND(#REF!,"AAAAACuhuuU=")</f>
        <v>#REF!</v>
      </c>
      <c r="HW268" t="e">
        <f>AND(#REF!,"AAAAACuhuuY=")</f>
        <v>#REF!</v>
      </c>
      <c r="HX268" t="e">
        <f>AND(#REF!,"AAAAACuhuuc=")</f>
        <v>#REF!</v>
      </c>
      <c r="HY268" t="e">
        <f>AND(#REF!,"AAAAACuhuug=")</f>
        <v>#REF!</v>
      </c>
      <c r="HZ268" t="e">
        <f>AND(#REF!,"AAAAACuhuuk=")</f>
        <v>#REF!</v>
      </c>
      <c r="IA268" t="e">
        <f>AND(#REF!,"AAAAACuhuuo=")</f>
        <v>#REF!</v>
      </c>
      <c r="IB268" t="e">
        <f>AND(#REF!,"AAAAACuhuus=")</f>
        <v>#REF!</v>
      </c>
      <c r="IC268" t="e">
        <f>AND(#REF!,"AAAAACuhuuw=")</f>
        <v>#REF!</v>
      </c>
      <c r="ID268" t="e">
        <f>AND(#REF!,"AAAAACuhuu0=")</f>
        <v>#REF!</v>
      </c>
      <c r="IE268" t="e">
        <f>AND(#REF!,"AAAAACuhuu4=")</f>
        <v>#REF!</v>
      </c>
      <c r="IF268" t="e">
        <f>AND(#REF!,"AAAAACuhuu8=")</f>
        <v>#REF!</v>
      </c>
      <c r="IG268" t="e">
        <f>AND(#REF!,"AAAAACuhuvA=")</f>
        <v>#REF!</v>
      </c>
      <c r="IH268" t="e">
        <f>AND(#REF!,"AAAAACuhuvE=")</f>
        <v>#REF!</v>
      </c>
      <c r="II268" t="e">
        <f>AND(#REF!,"AAAAACuhuvI=")</f>
        <v>#REF!</v>
      </c>
      <c r="IJ268" t="e">
        <f>AND(#REF!,"AAAAACuhuvM=")</f>
        <v>#REF!</v>
      </c>
      <c r="IK268" t="e">
        <f>AND(#REF!,"AAAAACuhuvQ=")</f>
        <v>#REF!</v>
      </c>
      <c r="IL268" t="e">
        <f>AND(#REF!,"AAAAACuhuvU=")</f>
        <v>#REF!</v>
      </c>
      <c r="IM268" t="e">
        <f>AND(#REF!,"AAAAACuhuvY=")</f>
        <v>#REF!</v>
      </c>
      <c r="IN268" t="e">
        <f>IF(#REF!,"AAAAACuhuvc=",0)</f>
        <v>#REF!</v>
      </c>
      <c r="IO268" t="e">
        <f>AND(#REF!,"AAAAACuhuvg=")</f>
        <v>#REF!</v>
      </c>
      <c r="IP268" t="e">
        <f>AND(#REF!,"AAAAACuhuvk=")</f>
        <v>#REF!</v>
      </c>
      <c r="IQ268" t="e">
        <f>AND(#REF!,"AAAAACuhuvo=")</f>
        <v>#REF!</v>
      </c>
      <c r="IR268" t="e">
        <f>AND(#REF!,"AAAAACuhuvs=")</f>
        <v>#REF!</v>
      </c>
      <c r="IS268" t="e">
        <f>AND(#REF!,"AAAAACuhuvw=")</f>
        <v>#REF!</v>
      </c>
      <c r="IT268" t="e">
        <f>AND(#REF!,"AAAAACuhuv0=")</f>
        <v>#REF!</v>
      </c>
      <c r="IU268" t="e">
        <f>AND(#REF!,"AAAAACuhuv4=")</f>
        <v>#REF!</v>
      </c>
      <c r="IV268" t="e">
        <f>AND(#REF!,"AAAAACuhuv8=")</f>
        <v>#REF!</v>
      </c>
    </row>
    <row r="269" spans="1:256" x14ac:dyDescent="0.25">
      <c r="A269" t="e">
        <f>AND(#REF!,"AAAAAH1ffgA=")</f>
        <v>#REF!</v>
      </c>
      <c r="B269" t="e">
        <f>AND(#REF!,"AAAAAH1ffgE=")</f>
        <v>#REF!</v>
      </c>
      <c r="C269" t="e">
        <f>AND(#REF!,"AAAAAH1ffgI=")</f>
        <v>#REF!</v>
      </c>
      <c r="D269" t="e">
        <f>AND(#REF!,"AAAAAH1ffgM=")</f>
        <v>#REF!</v>
      </c>
      <c r="E269" t="e">
        <f>AND(#REF!,"AAAAAH1ffgQ=")</f>
        <v>#REF!</v>
      </c>
      <c r="F269" t="e">
        <f>AND(#REF!,"AAAAAH1ffgU=")</f>
        <v>#REF!</v>
      </c>
      <c r="G269" t="e">
        <f>AND(#REF!,"AAAAAH1ffgY=")</f>
        <v>#REF!</v>
      </c>
      <c r="H269" t="e">
        <f>AND(#REF!,"AAAAAH1ffgc=")</f>
        <v>#REF!</v>
      </c>
      <c r="I269" t="e">
        <f>AND(#REF!,"AAAAAH1ffgg=")</f>
        <v>#REF!</v>
      </c>
      <c r="J269" t="e">
        <f>AND(#REF!,"AAAAAH1ffgk=")</f>
        <v>#REF!</v>
      </c>
      <c r="K269" t="e">
        <f>AND(#REF!,"AAAAAH1ffgo=")</f>
        <v>#REF!</v>
      </c>
      <c r="L269" t="e">
        <f>AND(#REF!,"AAAAAH1ffgs=")</f>
        <v>#REF!</v>
      </c>
      <c r="M269" t="e">
        <f>AND(#REF!,"AAAAAH1ffgw=")</f>
        <v>#REF!</v>
      </c>
      <c r="N269" t="e">
        <f>AND(#REF!,"AAAAAH1ffg0=")</f>
        <v>#REF!</v>
      </c>
      <c r="O269" t="e">
        <f>AND(#REF!,"AAAAAH1ffg4=")</f>
        <v>#REF!</v>
      </c>
      <c r="P269" t="e">
        <f>AND(#REF!,"AAAAAH1ffg8=")</f>
        <v>#REF!</v>
      </c>
      <c r="Q269" t="e">
        <f>AND(#REF!,"AAAAAH1ffhA=")</f>
        <v>#REF!</v>
      </c>
      <c r="R269" t="e">
        <f>AND(#REF!,"AAAAAH1ffhE=")</f>
        <v>#REF!</v>
      </c>
      <c r="S269" t="e">
        <f>AND(#REF!,"AAAAAH1ffhI=")</f>
        <v>#REF!</v>
      </c>
      <c r="T269" t="e">
        <f>AND(#REF!,"AAAAAH1ffhM=")</f>
        <v>#REF!</v>
      </c>
      <c r="U269" t="e">
        <f>AND(#REF!,"AAAAAH1ffhQ=")</f>
        <v>#REF!</v>
      </c>
      <c r="V269" t="e">
        <f>AND(#REF!,"AAAAAH1ffhU=")</f>
        <v>#REF!</v>
      </c>
      <c r="W269" t="e">
        <f>AND(#REF!,"AAAAAH1ffhY=")</f>
        <v>#REF!</v>
      </c>
      <c r="X269" t="e">
        <f>AND(#REF!,"AAAAAH1ffhc=")</f>
        <v>#REF!</v>
      </c>
      <c r="Y269" t="e">
        <f>AND(#REF!,"AAAAAH1ffhg=")</f>
        <v>#REF!</v>
      </c>
      <c r="Z269" t="e">
        <f>AND(#REF!,"AAAAAH1ffhk=")</f>
        <v>#REF!</v>
      </c>
      <c r="AA269" t="e">
        <f>AND(#REF!,"AAAAAH1ffho=")</f>
        <v>#REF!</v>
      </c>
      <c r="AB269" t="e">
        <f>AND(#REF!,"AAAAAH1ffhs=")</f>
        <v>#REF!</v>
      </c>
      <c r="AC269" t="e">
        <f>AND(#REF!,"AAAAAH1ffhw=")</f>
        <v>#REF!</v>
      </c>
      <c r="AD269" t="e">
        <f>AND(#REF!,"AAAAAH1ffh0=")</f>
        <v>#REF!</v>
      </c>
      <c r="AE269" t="e">
        <f>AND(#REF!,"AAAAAH1ffh4=")</f>
        <v>#REF!</v>
      </c>
      <c r="AF269" t="e">
        <f>AND(#REF!,"AAAAAH1ffh8=")</f>
        <v>#REF!</v>
      </c>
      <c r="AG269" t="e">
        <f>AND(#REF!,"AAAAAH1ffiA=")</f>
        <v>#REF!</v>
      </c>
      <c r="AH269" t="e">
        <f>AND(#REF!,"AAAAAH1ffiE=")</f>
        <v>#REF!</v>
      </c>
      <c r="AI269" t="e">
        <f>AND(#REF!,"AAAAAH1ffiI=")</f>
        <v>#REF!</v>
      </c>
      <c r="AJ269" t="e">
        <f>AND(#REF!,"AAAAAH1ffiM=")</f>
        <v>#REF!</v>
      </c>
      <c r="AK269" t="e">
        <f>AND(#REF!,"AAAAAH1ffiQ=")</f>
        <v>#REF!</v>
      </c>
      <c r="AL269" t="e">
        <f>AND(#REF!,"AAAAAH1ffiU=")</f>
        <v>#REF!</v>
      </c>
      <c r="AM269" t="e">
        <f>AND(#REF!,"AAAAAH1ffiY=")</f>
        <v>#REF!</v>
      </c>
      <c r="AN269" t="e">
        <f>AND(#REF!,"AAAAAH1ffic=")</f>
        <v>#REF!</v>
      </c>
      <c r="AO269" t="e">
        <f>AND(#REF!,"AAAAAH1ffig=")</f>
        <v>#REF!</v>
      </c>
      <c r="AP269" t="e">
        <f>AND(#REF!,"AAAAAH1ffik=")</f>
        <v>#REF!</v>
      </c>
      <c r="AQ269" t="e">
        <f>AND(#REF!,"AAAAAH1ffio=")</f>
        <v>#REF!</v>
      </c>
      <c r="AR269" t="e">
        <f>AND(#REF!,"AAAAAH1ffis=")</f>
        <v>#REF!</v>
      </c>
      <c r="AS269" t="e">
        <f>AND(#REF!,"AAAAAH1ffiw=")</f>
        <v>#REF!</v>
      </c>
      <c r="AT269" t="e">
        <f>AND(#REF!,"AAAAAH1ffi0=")</f>
        <v>#REF!</v>
      </c>
      <c r="AU269" t="e">
        <f>AND(#REF!,"AAAAAH1ffi4=")</f>
        <v>#REF!</v>
      </c>
      <c r="AV269" t="e">
        <f>AND(#REF!,"AAAAAH1ffi8=")</f>
        <v>#REF!</v>
      </c>
      <c r="AW269" t="e">
        <f>AND(#REF!,"AAAAAH1ffjA=")</f>
        <v>#REF!</v>
      </c>
      <c r="AX269" t="e">
        <f>AND(#REF!,"AAAAAH1ffjE=")</f>
        <v>#REF!</v>
      </c>
      <c r="AY269" t="e">
        <f>AND(#REF!,"AAAAAH1ffjI=")</f>
        <v>#REF!</v>
      </c>
      <c r="AZ269" t="e">
        <f>AND(#REF!,"AAAAAH1ffjM=")</f>
        <v>#REF!</v>
      </c>
      <c r="BA269" t="e">
        <f>AND(#REF!,"AAAAAH1ffjQ=")</f>
        <v>#REF!</v>
      </c>
      <c r="BB269" t="e">
        <f>AND(#REF!,"AAAAAH1ffjU=")</f>
        <v>#REF!</v>
      </c>
      <c r="BC269" t="e">
        <f>AND(#REF!,"AAAAAH1ffjY=")</f>
        <v>#REF!</v>
      </c>
      <c r="BD269" t="e">
        <f>AND(#REF!,"AAAAAH1ffjc=")</f>
        <v>#REF!</v>
      </c>
      <c r="BE269" t="e">
        <f>AND(#REF!,"AAAAAH1ffjg=")</f>
        <v>#REF!</v>
      </c>
      <c r="BF269" t="e">
        <f>AND(#REF!,"AAAAAH1ffjk=")</f>
        <v>#REF!</v>
      </c>
      <c r="BG269" t="e">
        <f>AND(#REF!,"AAAAAH1ffjo=")</f>
        <v>#REF!</v>
      </c>
      <c r="BH269" t="e">
        <f>AND(#REF!,"AAAAAH1ffjs=")</f>
        <v>#REF!</v>
      </c>
      <c r="BI269" t="e">
        <f>AND(#REF!,"AAAAAH1ffjw=")</f>
        <v>#REF!</v>
      </c>
      <c r="BJ269" t="e">
        <f>AND(#REF!,"AAAAAH1ffj0=")</f>
        <v>#REF!</v>
      </c>
      <c r="BK269" t="e">
        <f>AND(#REF!,"AAAAAH1ffj4=")</f>
        <v>#REF!</v>
      </c>
      <c r="BL269" t="e">
        <f>AND(#REF!,"AAAAAH1ffj8=")</f>
        <v>#REF!</v>
      </c>
      <c r="BM269" t="e">
        <f>AND(#REF!,"AAAAAH1ffkA=")</f>
        <v>#REF!</v>
      </c>
      <c r="BN269" t="e">
        <f>AND(#REF!,"AAAAAH1ffkE=")</f>
        <v>#REF!</v>
      </c>
      <c r="BO269" t="e">
        <f>AND(#REF!,"AAAAAH1ffkI=")</f>
        <v>#REF!</v>
      </c>
      <c r="BP269" t="e">
        <f>AND(#REF!,"AAAAAH1ffkM=")</f>
        <v>#REF!</v>
      </c>
      <c r="BQ269" t="e">
        <f>AND(#REF!,"AAAAAH1ffkQ=")</f>
        <v>#REF!</v>
      </c>
      <c r="BR269" t="e">
        <f>AND(#REF!,"AAAAAH1ffkU=")</f>
        <v>#REF!</v>
      </c>
      <c r="BS269" t="e">
        <f>AND(#REF!,"AAAAAH1ffkY=")</f>
        <v>#REF!</v>
      </c>
      <c r="BT269" t="e">
        <f>AND(#REF!,"AAAAAH1ffkc=")</f>
        <v>#REF!</v>
      </c>
      <c r="BU269" t="e">
        <f>AND(#REF!,"AAAAAH1ffkg=")</f>
        <v>#REF!</v>
      </c>
      <c r="BV269" t="e">
        <f>AND(#REF!,"AAAAAH1ffkk=")</f>
        <v>#REF!</v>
      </c>
      <c r="BW269" t="e">
        <f>AND(#REF!,"AAAAAH1ffko=")</f>
        <v>#REF!</v>
      </c>
      <c r="BX269" t="e">
        <f>AND(#REF!,"AAAAAH1ffks=")</f>
        <v>#REF!</v>
      </c>
      <c r="BY269" t="e">
        <f>AND(#REF!,"AAAAAH1ffkw=")</f>
        <v>#REF!</v>
      </c>
      <c r="BZ269" t="e">
        <f>AND(#REF!,"AAAAAH1ffk0=")</f>
        <v>#REF!</v>
      </c>
      <c r="CA269" t="e">
        <f>AND(#REF!,"AAAAAH1ffk4=")</f>
        <v>#REF!</v>
      </c>
      <c r="CB269" t="e">
        <f>AND(#REF!,"AAAAAH1ffk8=")</f>
        <v>#REF!</v>
      </c>
      <c r="CC269" t="e">
        <f>AND(#REF!,"AAAAAH1fflA=")</f>
        <v>#REF!</v>
      </c>
      <c r="CD269" t="e">
        <f>AND(#REF!,"AAAAAH1fflE=")</f>
        <v>#REF!</v>
      </c>
      <c r="CE269" t="e">
        <f>AND(#REF!,"AAAAAH1fflI=")</f>
        <v>#REF!</v>
      </c>
      <c r="CF269" t="e">
        <f>AND(#REF!,"AAAAAH1fflM=")</f>
        <v>#REF!</v>
      </c>
      <c r="CG269" t="e">
        <f>AND(#REF!,"AAAAAH1fflQ=")</f>
        <v>#REF!</v>
      </c>
      <c r="CH269" t="e">
        <f>AND(#REF!,"AAAAAH1fflU=")</f>
        <v>#REF!</v>
      </c>
      <c r="CI269" t="e">
        <f>AND(#REF!,"AAAAAH1fflY=")</f>
        <v>#REF!</v>
      </c>
      <c r="CJ269" t="e">
        <f>AND(#REF!,"AAAAAH1fflc=")</f>
        <v>#REF!</v>
      </c>
      <c r="CK269" t="e">
        <f>AND(#REF!,"AAAAAH1fflg=")</f>
        <v>#REF!</v>
      </c>
      <c r="CL269" t="e">
        <f>AND(#REF!,"AAAAAH1fflk=")</f>
        <v>#REF!</v>
      </c>
      <c r="CM269" t="e">
        <f>AND(#REF!,"AAAAAH1fflo=")</f>
        <v>#REF!</v>
      </c>
      <c r="CN269" t="e">
        <f>AND(#REF!,"AAAAAH1ffls=")</f>
        <v>#REF!</v>
      </c>
      <c r="CO269" t="e">
        <f>AND(#REF!,"AAAAAH1fflw=")</f>
        <v>#REF!</v>
      </c>
      <c r="CP269" t="e">
        <f>AND(#REF!,"AAAAAH1ffl0=")</f>
        <v>#REF!</v>
      </c>
      <c r="CQ269" t="e">
        <f>AND(#REF!,"AAAAAH1ffl4=")</f>
        <v>#REF!</v>
      </c>
      <c r="CR269" t="e">
        <f>AND(#REF!,"AAAAAH1ffl8=")</f>
        <v>#REF!</v>
      </c>
      <c r="CS269" t="e">
        <f>AND(#REF!,"AAAAAH1ffmA=")</f>
        <v>#REF!</v>
      </c>
      <c r="CT269" t="e">
        <f>AND(#REF!,"AAAAAH1ffmE=")</f>
        <v>#REF!</v>
      </c>
      <c r="CU269" t="e">
        <f>AND(#REF!,"AAAAAH1ffmI=")</f>
        <v>#REF!</v>
      </c>
      <c r="CV269" t="e">
        <f>AND(#REF!,"AAAAAH1ffmM=")</f>
        <v>#REF!</v>
      </c>
      <c r="CW269" t="e">
        <f>AND(#REF!,"AAAAAH1ffmQ=")</f>
        <v>#REF!</v>
      </c>
      <c r="CX269" t="e">
        <f>AND(#REF!,"AAAAAH1ffmU=")</f>
        <v>#REF!</v>
      </c>
      <c r="CY269" t="e">
        <f>AND(#REF!,"AAAAAH1ffmY=")</f>
        <v>#REF!</v>
      </c>
      <c r="CZ269" t="e">
        <f>AND(#REF!,"AAAAAH1ffmc=")</f>
        <v>#REF!</v>
      </c>
      <c r="DA269" t="e">
        <f>AND(#REF!,"AAAAAH1ffmg=")</f>
        <v>#REF!</v>
      </c>
      <c r="DB269" t="e">
        <f>AND(#REF!,"AAAAAH1ffmk=")</f>
        <v>#REF!</v>
      </c>
      <c r="DC269" t="e">
        <f>AND(#REF!,"AAAAAH1ffmo=")</f>
        <v>#REF!</v>
      </c>
      <c r="DD269" t="e">
        <f>AND(#REF!,"AAAAAH1ffms=")</f>
        <v>#REF!</v>
      </c>
      <c r="DE269" t="e">
        <f>AND(#REF!,"AAAAAH1ffmw=")</f>
        <v>#REF!</v>
      </c>
      <c r="DF269" t="e">
        <f>AND(#REF!,"AAAAAH1ffm0=")</f>
        <v>#REF!</v>
      </c>
      <c r="DG269" t="e">
        <f>AND(#REF!,"AAAAAH1ffm4=")</f>
        <v>#REF!</v>
      </c>
      <c r="DH269" t="e">
        <f>AND(#REF!,"AAAAAH1ffm8=")</f>
        <v>#REF!</v>
      </c>
      <c r="DI269" t="e">
        <f>AND(#REF!,"AAAAAH1ffnA=")</f>
        <v>#REF!</v>
      </c>
      <c r="DJ269" t="e">
        <f>AND(#REF!,"AAAAAH1ffnE=")</f>
        <v>#REF!</v>
      </c>
      <c r="DK269" t="e">
        <f>AND(#REF!,"AAAAAH1ffnI=")</f>
        <v>#REF!</v>
      </c>
      <c r="DL269" t="e">
        <f>AND(#REF!,"AAAAAH1ffnM=")</f>
        <v>#REF!</v>
      </c>
      <c r="DM269" t="e">
        <f>AND(#REF!,"AAAAAH1ffnQ=")</f>
        <v>#REF!</v>
      </c>
      <c r="DN269" t="e">
        <f>AND(#REF!,"AAAAAH1ffnU=")</f>
        <v>#REF!</v>
      </c>
      <c r="DO269" t="e">
        <f>AND(#REF!,"AAAAAH1ffnY=")</f>
        <v>#REF!</v>
      </c>
      <c r="DP269" t="e">
        <f>AND(#REF!,"AAAAAH1ffnc=")</f>
        <v>#REF!</v>
      </c>
      <c r="DQ269" t="e">
        <f>AND(#REF!,"AAAAAH1ffng=")</f>
        <v>#REF!</v>
      </c>
      <c r="DR269" t="e">
        <f>AND(#REF!,"AAAAAH1ffnk=")</f>
        <v>#REF!</v>
      </c>
      <c r="DS269" t="e">
        <f>AND(#REF!,"AAAAAH1ffno=")</f>
        <v>#REF!</v>
      </c>
      <c r="DT269" t="e">
        <f>AND(#REF!,"AAAAAH1ffns=")</f>
        <v>#REF!</v>
      </c>
      <c r="DU269" t="e">
        <f>AND(#REF!,"AAAAAH1ffnw=")</f>
        <v>#REF!</v>
      </c>
      <c r="DV269" t="e">
        <f>AND(#REF!,"AAAAAH1ffn0=")</f>
        <v>#REF!</v>
      </c>
      <c r="DW269" t="e">
        <f>AND(#REF!,"AAAAAH1ffn4=")</f>
        <v>#REF!</v>
      </c>
      <c r="DX269" t="e">
        <f>AND(#REF!,"AAAAAH1ffn8=")</f>
        <v>#REF!</v>
      </c>
      <c r="DY269" t="e">
        <f>AND(#REF!,"AAAAAH1ffoA=")</f>
        <v>#REF!</v>
      </c>
      <c r="DZ269" t="e">
        <f>AND(#REF!,"AAAAAH1ffoE=")</f>
        <v>#REF!</v>
      </c>
      <c r="EA269" t="e">
        <f>AND(#REF!,"AAAAAH1ffoI=")</f>
        <v>#REF!</v>
      </c>
      <c r="EB269" t="e">
        <f>AND(#REF!,"AAAAAH1ffoM=")</f>
        <v>#REF!</v>
      </c>
      <c r="EC269" t="e">
        <f>AND(#REF!,"AAAAAH1ffoQ=")</f>
        <v>#REF!</v>
      </c>
      <c r="ED269" t="e">
        <f>AND(#REF!,"AAAAAH1ffoU=")</f>
        <v>#REF!</v>
      </c>
      <c r="EE269" t="e">
        <f>AND(#REF!,"AAAAAH1ffoY=")</f>
        <v>#REF!</v>
      </c>
      <c r="EF269" t="e">
        <f>AND(#REF!,"AAAAAH1ffoc=")</f>
        <v>#REF!</v>
      </c>
      <c r="EG269" t="e">
        <f>AND(#REF!,"AAAAAH1ffog=")</f>
        <v>#REF!</v>
      </c>
      <c r="EH269" t="e">
        <f>AND(#REF!,"AAAAAH1ffok=")</f>
        <v>#REF!</v>
      </c>
      <c r="EI269" t="e">
        <f>AND(#REF!,"AAAAAH1ffoo=")</f>
        <v>#REF!</v>
      </c>
      <c r="EJ269" t="e">
        <f>AND(#REF!,"AAAAAH1ffos=")</f>
        <v>#REF!</v>
      </c>
      <c r="EK269" t="e">
        <f>AND(#REF!,"AAAAAH1ffow=")</f>
        <v>#REF!</v>
      </c>
      <c r="EL269" t="e">
        <f>AND(#REF!,"AAAAAH1ffo0=")</f>
        <v>#REF!</v>
      </c>
      <c r="EM269" t="e">
        <f>AND(#REF!,"AAAAAH1ffo4=")</f>
        <v>#REF!</v>
      </c>
      <c r="EN269" t="e">
        <f>AND(#REF!,"AAAAAH1ffo8=")</f>
        <v>#REF!</v>
      </c>
      <c r="EO269" t="e">
        <f>AND(#REF!,"AAAAAH1ffpA=")</f>
        <v>#REF!</v>
      </c>
      <c r="EP269" t="e">
        <f>AND(#REF!,"AAAAAH1ffpE=")</f>
        <v>#REF!</v>
      </c>
      <c r="EQ269" t="e">
        <f>AND(#REF!,"AAAAAH1ffpI=")</f>
        <v>#REF!</v>
      </c>
      <c r="ER269" t="e">
        <f>AND(#REF!,"AAAAAH1ffpM=")</f>
        <v>#REF!</v>
      </c>
      <c r="ES269" t="e">
        <f>AND(#REF!,"AAAAAH1ffpQ=")</f>
        <v>#REF!</v>
      </c>
      <c r="ET269" t="e">
        <f>AND(#REF!,"AAAAAH1ffpU=")</f>
        <v>#REF!</v>
      </c>
      <c r="EU269" t="e">
        <f>AND(#REF!,"AAAAAH1ffpY=")</f>
        <v>#REF!</v>
      </c>
      <c r="EV269" t="e">
        <f>AND(#REF!,"AAAAAH1ffpc=")</f>
        <v>#REF!</v>
      </c>
      <c r="EW269" t="e">
        <f>AND(#REF!,"AAAAAH1ffpg=")</f>
        <v>#REF!</v>
      </c>
      <c r="EX269" t="e">
        <f>AND(#REF!,"AAAAAH1ffpk=")</f>
        <v>#REF!</v>
      </c>
      <c r="EY269" t="e">
        <f>AND(#REF!,"AAAAAH1ffpo=")</f>
        <v>#REF!</v>
      </c>
      <c r="EZ269" t="e">
        <f>AND(#REF!,"AAAAAH1ffps=")</f>
        <v>#REF!</v>
      </c>
      <c r="FA269" t="e">
        <f>AND(#REF!,"AAAAAH1ffpw=")</f>
        <v>#REF!</v>
      </c>
      <c r="FB269" t="e">
        <f>AND(#REF!,"AAAAAH1ffp0=")</f>
        <v>#REF!</v>
      </c>
      <c r="FC269" t="e">
        <f>AND(#REF!,"AAAAAH1ffp4=")</f>
        <v>#REF!</v>
      </c>
      <c r="FD269" t="e">
        <f>AND(#REF!,"AAAAAH1ffp8=")</f>
        <v>#REF!</v>
      </c>
      <c r="FE269" t="e">
        <f>AND(#REF!,"AAAAAH1ffqA=")</f>
        <v>#REF!</v>
      </c>
      <c r="FF269" t="e">
        <f>AND(#REF!,"AAAAAH1ffqE=")</f>
        <v>#REF!</v>
      </c>
      <c r="FG269" t="e">
        <f>AND(#REF!,"AAAAAH1ffqI=")</f>
        <v>#REF!</v>
      </c>
      <c r="FH269" t="e">
        <f>AND(#REF!,"AAAAAH1ffqM=")</f>
        <v>#REF!</v>
      </c>
      <c r="FI269" t="e">
        <f>AND(#REF!,"AAAAAH1ffqQ=")</f>
        <v>#REF!</v>
      </c>
      <c r="FJ269" t="e">
        <f>AND(#REF!,"AAAAAH1ffqU=")</f>
        <v>#REF!</v>
      </c>
      <c r="FK269" t="e">
        <f>AND(#REF!,"AAAAAH1ffqY=")</f>
        <v>#REF!</v>
      </c>
      <c r="FL269" t="e">
        <f>AND(#REF!,"AAAAAH1ffqc=")</f>
        <v>#REF!</v>
      </c>
      <c r="FM269" t="e">
        <f>AND(#REF!,"AAAAAH1ffqg=")</f>
        <v>#REF!</v>
      </c>
      <c r="FN269" t="e">
        <f>AND(#REF!,"AAAAAH1ffqk=")</f>
        <v>#REF!</v>
      </c>
      <c r="FO269" t="e">
        <f>AND(#REF!,"AAAAAH1ffqo=")</f>
        <v>#REF!</v>
      </c>
      <c r="FP269" t="e">
        <f>AND(#REF!,"AAAAAH1ffqs=")</f>
        <v>#REF!</v>
      </c>
      <c r="FQ269" t="e">
        <f>AND(#REF!,"AAAAAH1ffqw=")</f>
        <v>#REF!</v>
      </c>
      <c r="FR269" t="e">
        <f>AND(#REF!,"AAAAAH1ffq0=")</f>
        <v>#REF!</v>
      </c>
      <c r="FS269" t="e">
        <f>AND(#REF!,"AAAAAH1ffq4=")</f>
        <v>#REF!</v>
      </c>
      <c r="FT269" t="e">
        <f>AND(#REF!,"AAAAAH1ffq8=")</f>
        <v>#REF!</v>
      </c>
      <c r="FU269" t="e">
        <f>AND(#REF!,"AAAAAH1ffrA=")</f>
        <v>#REF!</v>
      </c>
      <c r="FV269" t="e">
        <f>AND(#REF!,"AAAAAH1ffrE=")</f>
        <v>#REF!</v>
      </c>
      <c r="FW269" t="e">
        <f>AND(#REF!,"AAAAAH1ffrI=")</f>
        <v>#REF!</v>
      </c>
      <c r="FX269" t="e">
        <f>AND(#REF!,"AAAAAH1ffrM=")</f>
        <v>#REF!</v>
      </c>
      <c r="FY269" t="e">
        <f>IF(#REF!,"AAAAAH1ffrQ=",0)</f>
        <v>#REF!</v>
      </c>
      <c r="FZ269" t="e">
        <f>AND(#REF!,"AAAAAH1ffrU=")</f>
        <v>#REF!</v>
      </c>
      <c r="GA269" t="e">
        <f>AND(#REF!,"AAAAAH1ffrY=")</f>
        <v>#REF!</v>
      </c>
      <c r="GB269" t="e">
        <f>AND(#REF!,"AAAAAH1ffrc=")</f>
        <v>#REF!</v>
      </c>
      <c r="GC269" t="e">
        <f>AND(#REF!,"AAAAAH1ffrg=")</f>
        <v>#REF!</v>
      </c>
      <c r="GD269" t="e">
        <f>AND(#REF!,"AAAAAH1ffrk=")</f>
        <v>#REF!</v>
      </c>
      <c r="GE269" t="e">
        <f>AND(#REF!,"AAAAAH1ffro=")</f>
        <v>#REF!</v>
      </c>
      <c r="GF269" t="e">
        <f>AND(#REF!,"AAAAAH1ffrs=")</f>
        <v>#REF!</v>
      </c>
      <c r="GG269" t="e">
        <f>AND(#REF!,"AAAAAH1ffrw=")</f>
        <v>#REF!</v>
      </c>
      <c r="GH269" t="e">
        <f>AND(#REF!,"AAAAAH1ffr0=")</f>
        <v>#REF!</v>
      </c>
      <c r="GI269" t="e">
        <f>AND(#REF!,"AAAAAH1ffr4=")</f>
        <v>#REF!</v>
      </c>
      <c r="GJ269" t="e">
        <f>AND(#REF!,"AAAAAH1ffr8=")</f>
        <v>#REF!</v>
      </c>
      <c r="GK269" t="e">
        <f>AND(#REF!,"AAAAAH1ffsA=")</f>
        <v>#REF!</v>
      </c>
      <c r="GL269" t="e">
        <f>AND(#REF!,"AAAAAH1ffsE=")</f>
        <v>#REF!</v>
      </c>
      <c r="GM269" t="e">
        <f>AND(#REF!,"AAAAAH1ffsI=")</f>
        <v>#REF!</v>
      </c>
      <c r="GN269" t="e">
        <f>AND(#REF!,"AAAAAH1ffsM=")</f>
        <v>#REF!</v>
      </c>
      <c r="GO269" t="e">
        <f>AND(#REF!,"AAAAAH1ffsQ=")</f>
        <v>#REF!</v>
      </c>
      <c r="GP269" t="e">
        <f>AND(#REF!,"AAAAAH1ffsU=")</f>
        <v>#REF!</v>
      </c>
      <c r="GQ269" t="e">
        <f>AND(#REF!,"AAAAAH1ffsY=")</f>
        <v>#REF!</v>
      </c>
      <c r="GR269" t="e">
        <f>AND(#REF!,"AAAAAH1ffsc=")</f>
        <v>#REF!</v>
      </c>
      <c r="GS269" t="e">
        <f>AND(#REF!,"AAAAAH1ffsg=")</f>
        <v>#REF!</v>
      </c>
      <c r="GT269" t="e">
        <f>AND(#REF!,"AAAAAH1ffsk=")</f>
        <v>#REF!</v>
      </c>
      <c r="GU269" t="e">
        <f>AND(#REF!,"AAAAAH1ffso=")</f>
        <v>#REF!</v>
      </c>
      <c r="GV269" t="e">
        <f>AND(#REF!,"AAAAAH1ffss=")</f>
        <v>#REF!</v>
      </c>
      <c r="GW269" t="e">
        <f>AND(#REF!,"AAAAAH1ffsw=")</f>
        <v>#REF!</v>
      </c>
      <c r="GX269" t="e">
        <f>AND(#REF!,"AAAAAH1ffs0=")</f>
        <v>#REF!</v>
      </c>
      <c r="GY269" t="e">
        <f>AND(#REF!,"AAAAAH1ffs4=")</f>
        <v>#REF!</v>
      </c>
      <c r="GZ269" t="e">
        <f>AND(#REF!,"AAAAAH1ffs8=")</f>
        <v>#REF!</v>
      </c>
      <c r="HA269" t="e">
        <f>AND(#REF!,"AAAAAH1fftA=")</f>
        <v>#REF!</v>
      </c>
      <c r="HB269" t="e">
        <f>AND(#REF!,"AAAAAH1fftE=")</f>
        <v>#REF!</v>
      </c>
      <c r="HC269" t="e">
        <f>AND(#REF!,"AAAAAH1fftI=")</f>
        <v>#REF!</v>
      </c>
      <c r="HD269" t="e">
        <f>AND(#REF!,"AAAAAH1fftM=")</f>
        <v>#REF!</v>
      </c>
      <c r="HE269" t="e">
        <f>AND(#REF!,"AAAAAH1fftQ=")</f>
        <v>#REF!</v>
      </c>
      <c r="HF269" t="e">
        <f>AND(#REF!,"AAAAAH1fftU=")</f>
        <v>#REF!</v>
      </c>
      <c r="HG269" t="e">
        <f>AND(#REF!,"AAAAAH1fftY=")</f>
        <v>#REF!</v>
      </c>
      <c r="HH269" t="e">
        <f>AND(#REF!,"AAAAAH1fftc=")</f>
        <v>#REF!</v>
      </c>
      <c r="HI269" t="e">
        <f>AND(#REF!,"AAAAAH1fftg=")</f>
        <v>#REF!</v>
      </c>
      <c r="HJ269" t="e">
        <f>AND(#REF!,"AAAAAH1fftk=")</f>
        <v>#REF!</v>
      </c>
      <c r="HK269" t="e">
        <f>AND(#REF!,"AAAAAH1ffto=")</f>
        <v>#REF!</v>
      </c>
      <c r="HL269" t="e">
        <f>AND(#REF!,"AAAAAH1ffts=")</f>
        <v>#REF!</v>
      </c>
      <c r="HM269" t="e">
        <f>AND(#REF!,"AAAAAH1fftw=")</f>
        <v>#REF!</v>
      </c>
      <c r="HN269" t="e">
        <f>AND(#REF!,"AAAAAH1fft0=")</f>
        <v>#REF!</v>
      </c>
      <c r="HO269" t="e">
        <f>AND(#REF!,"AAAAAH1fft4=")</f>
        <v>#REF!</v>
      </c>
      <c r="HP269" t="e">
        <f>AND(#REF!,"AAAAAH1fft8=")</f>
        <v>#REF!</v>
      </c>
      <c r="HQ269" t="e">
        <f>AND(#REF!,"AAAAAH1ffuA=")</f>
        <v>#REF!</v>
      </c>
      <c r="HR269" t="e">
        <f>AND(#REF!,"AAAAAH1ffuE=")</f>
        <v>#REF!</v>
      </c>
      <c r="HS269" t="e">
        <f>AND(#REF!,"AAAAAH1ffuI=")</f>
        <v>#REF!</v>
      </c>
      <c r="HT269" t="e">
        <f>AND(#REF!,"AAAAAH1ffuM=")</f>
        <v>#REF!</v>
      </c>
      <c r="HU269" t="e">
        <f>AND(#REF!,"AAAAAH1ffuQ=")</f>
        <v>#REF!</v>
      </c>
      <c r="HV269" t="e">
        <f>AND(#REF!,"AAAAAH1ffuU=")</f>
        <v>#REF!</v>
      </c>
      <c r="HW269" t="e">
        <f>AND(#REF!,"AAAAAH1ffuY=")</f>
        <v>#REF!</v>
      </c>
      <c r="HX269" t="e">
        <f>AND(#REF!,"AAAAAH1ffuc=")</f>
        <v>#REF!</v>
      </c>
      <c r="HY269" t="e">
        <f>AND(#REF!,"AAAAAH1ffug=")</f>
        <v>#REF!</v>
      </c>
      <c r="HZ269" t="e">
        <f>AND(#REF!,"AAAAAH1ffuk=")</f>
        <v>#REF!</v>
      </c>
      <c r="IA269" t="e">
        <f>AND(#REF!,"AAAAAH1ffuo=")</f>
        <v>#REF!</v>
      </c>
      <c r="IB269" t="e">
        <f>AND(#REF!,"AAAAAH1ffus=")</f>
        <v>#REF!</v>
      </c>
      <c r="IC269" t="e">
        <f>AND(#REF!,"AAAAAH1ffuw=")</f>
        <v>#REF!</v>
      </c>
      <c r="ID269" t="e">
        <f>AND(#REF!,"AAAAAH1ffu0=")</f>
        <v>#REF!</v>
      </c>
      <c r="IE269" t="e">
        <f>AND(#REF!,"AAAAAH1ffu4=")</f>
        <v>#REF!</v>
      </c>
      <c r="IF269" t="e">
        <f>AND(#REF!,"AAAAAH1ffu8=")</f>
        <v>#REF!</v>
      </c>
      <c r="IG269" t="e">
        <f>AND(#REF!,"AAAAAH1ffvA=")</f>
        <v>#REF!</v>
      </c>
      <c r="IH269" t="e">
        <f>AND(#REF!,"AAAAAH1ffvE=")</f>
        <v>#REF!</v>
      </c>
      <c r="II269" t="e">
        <f>AND(#REF!,"AAAAAH1ffvI=")</f>
        <v>#REF!</v>
      </c>
      <c r="IJ269" t="e">
        <f>AND(#REF!,"AAAAAH1ffvM=")</f>
        <v>#REF!</v>
      </c>
      <c r="IK269" t="e">
        <f>AND(#REF!,"AAAAAH1ffvQ=")</f>
        <v>#REF!</v>
      </c>
      <c r="IL269" t="e">
        <f>AND(#REF!,"AAAAAH1ffvU=")</f>
        <v>#REF!</v>
      </c>
      <c r="IM269" t="e">
        <f>AND(#REF!,"AAAAAH1ffvY=")</f>
        <v>#REF!</v>
      </c>
      <c r="IN269" t="e">
        <f>AND(#REF!,"AAAAAH1ffvc=")</f>
        <v>#REF!</v>
      </c>
      <c r="IO269" t="e">
        <f>AND(#REF!,"AAAAAH1ffvg=")</f>
        <v>#REF!</v>
      </c>
      <c r="IP269" t="e">
        <f>AND(#REF!,"AAAAAH1ffvk=")</f>
        <v>#REF!</v>
      </c>
      <c r="IQ269" t="e">
        <f>AND(#REF!,"AAAAAH1ffvo=")</f>
        <v>#REF!</v>
      </c>
      <c r="IR269" t="e">
        <f>AND(#REF!,"AAAAAH1ffvs=")</f>
        <v>#REF!</v>
      </c>
      <c r="IS269" t="e">
        <f>AND(#REF!,"AAAAAH1ffvw=")</f>
        <v>#REF!</v>
      </c>
      <c r="IT269" t="e">
        <f>AND(#REF!,"AAAAAH1ffv0=")</f>
        <v>#REF!</v>
      </c>
      <c r="IU269" t="e">
        <f>AND(#REF!,"AAAAAH1ffv4=")</f>
        <v>#REF!</v>
      </c>
      <c r="IV269" t="e">
        <f>AND(#REF!,"AAAAAH1ffv8=")</f>
        <v>#REF!</v>
      </c>
    </row>
    <row r="270" spans="1:256" x14ac:dyDescent="0.25">
      <c r="A270" t="e">
        <f>AND(#REF!,"AAAAADve9QA=")</f>
        <v>#REF!</v>
      </c>
      <c r="B270" t="e">
        <f>AND(#REF!,"AAAAADve9QE=")</f>
        <v>#REF!</v>
      </c>
      <c r="C270" t="e">
        <f>AND(#REF!,"AAAAADve9QI=")</f>
        <v>#REF!</v>
      </c>
      <c r="D270" t="e">
        <f>AND(#REF!,"AAAAADve9QM=")</f>
        <v>#REF!</v>
      </c>
      <c r="E270" t="e">
        <f>AND(#REF!,"AAAAADve9QQ=")</f>
        <v>#REF!</v>
      </c>
      <c r="F270" t="e">
        <f>AND(#REF!,"AAAAADve9QU=")</f>
        <v>#REF!</v>
      </c>
      <c r="G270" t="e">
        <f>AND(#REF!,"AAAAADve9QY=")</f>
        <v>#REF!</v>
      </c>
      <c r="H270" t="e">
        <f>AND(#REF!,"AAAAADve9Qc=")</f>
        <v>#REF!</v>
      </c>
      <c r="I270" t="e">
        <f>AND(#REF!,"AAAAADve9Qg=")</f>
        <v>#REF!</v>
      </c>
      <c r="J270" t="e">
        <f>AND(#REF!,"AAAAADve9Qk=")</f>
        <v>#REF!</v>
      </c>
      <c r="K270" t="e">
        <f>AND(#REF!,"AAAAADve9Qo=")</f>
        <v>#REF!</v>
      </c>
      <c r="L270" t="e">
        <f>AND(#REF!,"AAAAADve9Qs=")</f>
        <v>#REF!</v>
      </c>
      <c r="M270" t="e">
        <f>AND(#REF!,"AAAAADve9Qw=")</f>
        <v>#REF!</v>
      </c>
      <c r="N270" t="e">
        <f>AND(#REF!,"AAAAADve9Q0=")</f>
        <v>#REF!</v>
      </c>
      <c r="O270" t="e">
        <f>AND(#REF!,"AAAAADve9Q4=")</f>
        <v>#REF!</v>
      </c>
      <c r="P270" t="e">
        <f>AND(#REF!,"AAAAADve9Q8=")</f>
        <v>#REF!</v>
      </c>
      <c r="Q270" t="e">
        <f>AND(#REF!,"AAAAADve9RA=")</f>
        <v>#REF!</v>
      </c>
      <c r="R270" t="e">
        <f>AND(#REF!,"AAAAADve9RE=")</f>
        <v>#REF!</v>
      </c>
      <c r="S270" t="e">
        <f>AND(#REF!,"AAAAADve9RI=")</f>
        <v>#REF!</v>
      </c>
      <c r="T270" t="e">
        <f>AND(#REF!,"AAAAADve9RM=")</f>
        <v>#REF!</v>
      </c>
      <c r="U270" t="e">
        <f>AND(#REF!,"AAAAADve9RQ=")</f>
        <v>#REF!</v>
      </c>
      <c r="V270" t="e">
        <f>AND(#REF!,"AAAAADve9RU=")</f>
        <v>#REF!</v>
      </c>
      <c r="W270" t="e">
        <f>AND(#REF!,"AAAAADve9RY=")</f>
        <v>#REF!</v>
      </c>
      <c r="X270" t="e">
        <f>AND(#REF!,"AAAAADve9Rc=")</f>
        <v>#REF!</v>
      </c>
      <c r="Y270" t="e">
        <f>AND(#REF!,"AAAAADve9Rg=")</f>
        <v>#REF!</v>
      </c>
      <c r="Z270" t="e">
        <f>AND(#REF!,"AAAAADve9Rk=")</f>
        <v>#REF!</v>
      </c>
      <c r="AA270" t="e">
        <f>AND(#REF!,"AAAAADve9Ro=")</f>
        <v>#REF!</v>
      </c>
      <c r="AB270" t="e">
        <f>AND(#REF!,"AAAAADve9Rs=")</f>
        <v>#REF!</v>
      </c>
      <c r="AC270" t="e">
        <f>AND(#REF!,"AAAAADve9Rw=")</f>
        <v>#REF!</v>
      </c>
      <c r="AD270" t="e">
        <f>AND(#REF!,"AAAAADve9R0=")</f>
        <v>#REF!</v>
      </c>
      <c r="AE270" t="e">
        <f>AND(#REF!,"AAAAADve9R4=")</f>
        <v>#REF!</v>
      </c>
      <c r="AF270" t="e">
        <f>AND(#REF!,"AAAAADve9R8=")</f>
        <v>#REF!</v>
      </c>
      <c r="AG270" t="e">
        <f>AND(#REF!,"AAAAADve9SA=")</f>
        <v>#REF!</v>
      </c>
      <c r="AH270" t="e">
        <f>AND(#REF!,"AAAAADve9SE=")</f>
        <v>#REF!</v>
      </c>
      <c r="AI270" t="e">
        <f>AND(#REF!,"AAAAADve9SI=")</f>
        <v>#REF!</v>
      </c>
      <c r="AJ270" t="e">
        <f>AND(#REF!,"AAAAADve9SM=")</f>
        <v>#REF!</v>
      </c>
      <c r="AK270" t="e">
        <f>AND(#REF!,"AAAAADve9SQ=")</f>
        <v>#REF!</v>
      </c>
      <c r="AL270" t="e">
        <f>AND(#REF!,"AAAAADve9SU=")</f>
        <v>#REF!</v>
      </c>
      <c r="AM270" t="e">
        <f>AND(#REF!,"AAAAADve9SY=")</f>
        <v>#REF!</v>
      </c>
      <c r="AN270" t="e">
        <f>AND(#REF!,"AAAAADve9Sc=")</f>
        <v>#REF!</v>
      </c>
      <c r="AO270" t="e">
        <f>AND(#REF!,"AAAAADve9Sg=")</f>
        <v>#REF!</v>
      </c>
      <c r="AP270" t="e">
        <f>AND(#REF!,"AAAAADve9Sk=")</f>
        <v>#REF!</v>
      </c>
      <c r="AQ270" t="e">
        <f>AND(#REF!,"AAAAADve9So=")</f>
        <v>#REF!</v>
      </c>
      <c r="AR270" t="e">
        <f>AND(#REF!,"AAAAADve9Ss=")</f>
        <v>#REF!</v>
      </c>
      <c r="AS270" t="e">
        <f>AND(#REF!,"AAAAADve9Sw=")</f>
        <v>#REF!</v>
      </c>
      <c r="AT270" t="e">
        <f>AND(#REF!,"AAAAADve9S0=")</f>
        <v>#REF!</v>
      </c>
      <c r="AU270" t="e">
        <f>AND(#REF!,"AAAAADve9S4=")</f>
        <v>#REF!</v>
      </c>
      <c r="AV270" t="e">
        <f>AND(#REF!,"AAAAADve9S8=")</f>
        <v>#REF!</v>
      </c>
      <c r="AW270" t="e">
        <f>AND(#REF!,"AAAAADve9TA=")</f>
        <v>#REF!</v>
      </c>
      <c r="AX270" t="e">
        <f>AND(#REF!,"AAAAADve9TE=")</f>
        <v>#REF!</v>
      </c>
      <c r="AY270" t="e">
        <f>AND(#REF!,"AAAAADve9TI=")</f>
        <v>#REF!</v>
      </c>
      <c r="AZ270" t="e">
        <f>AND(#REF!,"AAAAADve9TM=")</f>
        <v>#REF!</v>
      </c>
      <c r="BA270" t="e">
        <f>AND(#REF!,"AAAAADve9TQ=")</f>
        <v>#REF!</v>
      </c>
      <c r="BB270" t="e">
        <f>AND(#REF!,"AAAAADve9TU=")</f>
        <v>#REF!</v>
      </c>
      <c r="BC270" t="e">
        <f>AND(#REF!,"AAAAADve9TY=")</f>
        <v>#REF!</v>
      </c>
      <c r="BD270" t="e">
        <f>AND(#REF!,"AAAAADve9Tc=")</f>
        <v>#REF!</v>
      </c>
      <c r="BE270" t="e">
        <f>AND(#REF!,"AAAAADve9Tg=")</f>
        <v>#REF!</v>
      </c>
      <c r="BF270" t="e">
        <f>AND(#REF!,"AAAAADve9Tk=")</f>
        <v>#REF!</v>
      </c>
      <c r="BG270" t="e">
        <f>AND(#REF!,"AAAAADve9To=")</f>
        <v>#REF!</v>
      </c>
      <c r="BH270" t="e">
        <f>AND(#REF!,"AAAAADve9Ts=")</f>
        <v>#REF!</v>
      </c>
      <c r="BI270" t="e">
        <f>AND(#REF!,"AAAAADve9Tw=")</f>
        <v>#REF!</v>
      </c>
      <c r="BJ270" t="e">
        <f>AND(#REF!,"AAAAADve9T0=")</f>
        <v>#REF!</v>
      </c>
      <c r="BK270" t="e">
        <f>AND(#REF!,"AAAAADve9T4=")</f>
        <v>#REF!</v>
      </c>
      <c r="BL270" t="e">
        <f>AND(#REF!,"AAAAADve9T8=")</f>
        <v>#REF!</v>
      </c>
      <c r="BM270" t="e">
        <f>AND(#REF!,"AAAAADve9UA=")</f>
        <v>#REF!</v>
      </c>
      <c r="BN270" t="e">
        <f>AND(#REF!,"AAAAADve9UE=")</f>
        <v>#REF!</v>
      </c>
      <c r="BO270" t="e">
        <f>AND(#REF!,"AAAAADve9UI=")</f>
        <v>#REF!</v>
      </c>
      <c r="BP270" t="e">
        <f>AND(#REF!,"AAAAADve9UM=")</f>
        <v>#REF!</v>
      </c>
      <c r="BQ270" t="e">
        <f>AND(#REF!,"AAAAADve9UQ=")</f>
        <v>#REF!</v>
      </c>
      <c r="BR270" t="e">
        <f>AND(#REF!,"AAAAADve9UU=")</f>
        <v>#REF!</v>
      </c>
      <c r="BS270" t="e">
        <f>AND(#REF!,"AAAAADve9UY=")</f>
        <v>#REF!</v>
      </c>
      <c r="BT270" t="e">
        <f>AND(#REF!,"AAAAADve9Uc=")</f>
        <v>#REF!</v>
      </c>
      <c r="BU270" t="e">
        <f>AND(#REF!,"AAAAADve9Ug=")</f>
        <v>#REF!</v>
      </c>
      <c r="BV270" t="e">
        <f>AND(#REF!,"AAAAADve9Uk=")</f>
        <v>#REF!</v>
      </c>
      <c r="BW270" t="e">
        <f>AND(#REF!,"AAAAADve9Uo=")</f>
        <v>#REF!</v>
      </c>
      <c r="BX270" t="e">
        <f>AND(#REF!,"AAAAADve9Us=")</f>
        <v>#REF!</v>
      </c>
      <c r="BY270" t="e">
        <f>AND(#REF!,"AAAAADve9Uw=")</f>
        <v>#REF!</v>
      </c>
      <c r="BZ270" t="e">
        <f>AND(#REF!,"AAAAADve9U0=")</f>
        <v>#REF!</v>
      </c>
      <c r="CA270" t="e">
        <f>AND(#REF!,"AAAAADve9U4=")</f>
        <v>#REF!</v>
      </c>
      <c r="CB270" t="e">
        <f>AND(#REF!,"AAAAADve9U8=")</f>
        <v>#REF!</v>
      </c>
      <c r="CC270" t="e">
        <f>AND(#REF!,"AAAAADve9VA=")</f>
        <v>#REF!</v>
      </c>
      <c r="CD270" t="e">
        <f>AND(#REF!,"AAAAADve9VE=")</f>
        <v>#REF!</v>
      </c>
      <c r="CE270" t="e">
        <f>AND(#REF!,"AAAAADve9VI=")</f>
        <v>#REF!</v>
      </c>
      <c r="CF270" t="e">
        <f>AND(#REF!,"AAAAADve9VM=")</f>
        <v>#REF!</v>
      </c>
      <c r="CG270" t="e">
        <f>AND(#REF!,"AAAAADve9VQ=")</f>
        <v>#REF!</v>
      </c>
      <c r="CH270" t="e">
        <f>AND(#REF!,"AAAAADve9VU=")</f>
        <v>#REF!</v>
      </c>
      <c r="CI270" t="e">
        <f>AND(#REF!,"AAAAADve9VY=")</f>
        <v>#REF!</v>
      </c>
      <c r="CJ270" t="e">
        <f>AND(#REF!,"AAAAADve9Vc=")</f>
        <v>#REF!</v>
      </c>
      <c r="CK270" t="e">
        <f>AND(#REF!,"AAAAADve9Vg=")</f>
        <v>#REF!</v>
      </c>
      <c r="CL270" t="e">
        <f>AND(#REF!,"AAAAADve9Vk=")</f>
        <v>#REF!</v>
      </c>
      <c r="CM270" t="e">
        <f>AND(#REF!,"AAAAADve9Vo=")</f>
        <v>#REF!</v>
      </c>
      <c r="CN270" t="e">
        <f>AND(#REF!,"AAAAADve9Vs=")</f>
        <v>#REF!</v>
      </c>
      <c r="CO270" t="e">
        <f>AND(#REF!,"AAAAADve9Vw=")</f>
        <v>#REF!</v>
      </c>
      <c r="CP270" t="e">
        <f>AND(#REF!,"AAAAADve9V0=")</f>
        <v>#REF!</v>
      </c>
      <c r="CQ270" t="e">
        <f>AND(#REF!,"AAAAADve9V4=")</f>
        <v>#REF!</v>
      </c>
      <c r="CR270" t="e">
        <f>AND(#REF!,"AAAAADve9V8=")</f>
        <v>#REF!</v>
      </c>
      <c r="CS270" t="e">
        <f>AND(#REF!,"AAAAADve9WA=")</f>
        <v>#REF!</v>
      </c>
      <c r="CT270" t="e">
        <f>AND(#REF!,"AAAAADve9WE=")</f>
        <v>#REF!</v>
      </c>
      <c r="CU270" t="e">
        <f>AND(#REF!,"AAAAADve9WI=")</f>
        <v>#REF!</v>
      </c>
      <c r="CV270" t="e">
        <f>AND(#REF!,"AAAAADve9WM=")</f>
        <v>#REF!</v>
      </c>
      <c r="CW270" t="e">
        <f>AND(#REF!,"AAAAADve9WQ=")</f>
        <v>#REF!</v>
      </c>
      <c r="CX270" t="e">
        <f>AND(#REF!,"AAAAADve9WU=")</f>
        <v>#REF!</v>
      </c>
      <c r="CY270" t="e">
        <f>AND(#REF!,"AAAAADve9WY=")</f>
        <v>#REF!</v>
      </c>
      <c r="CZ270" t="e">
        <f>AND(#REF!,"AAAAADve9Wc=")</f>
        <v>#REF!</v>
      </c>
      <c r="DA270" t="e">
        <f>AND(#REF!,"AAAAADve9Wg=")</f>
        <v>#REF!</v>
      </c>
      <c r="DB270" t="e">
        <f>AND(#REF!,"AAAAADve9Wk=")</f>
        <v>#REF!</v>
      </c>
      <c r="DC270" t="e">
        <f>AND(#REF!,"AAAAADve9Wo=")</f>
        <v>#REF!</v>
      </c>
      <c r="DD270" t="e">
        <f>AND(#REF!,"AAAAADve9Ws=")</f>
        <v>#REF!</v>
      </c>
      <c r="DE270" t="e">
        <f>AND(#REF!,"AAAAADve9Ww=")</f>
        <v>#REF!</v>
      </c>
      <c r="DF270" t="e">
        <f>AND(#REF!,"AAAAADve9W0=")</f>
        <v>#REF!</v>
      </c>
      <c r="DG270" t="e">
        <f>AND(#REF!,"AAAAADve9W4=")</f>
        <v>#REF!</v>
      </c>
      <c r="DH270" t="e">
        <f>AND(#REF!,"AAAAADve9W8=")</f>
        <v>#REF!</v>
      </c>
      <c r="DI270" t="e">
        <f>AND(#REF!,"AAAAADve9XA=")</f>
        <v>#REF!</v>
      </c>
      <c r="DJ270" t="e">
        <f>IF(#REF!,"AAAAADve9XE=",0)</f>
        <v>#REF!</v>
      </c>
      <c r="DK270" t="e">
        <f>AND(#REF!,"AAAAADve9XI=")</f>
        <v>#REF!</v>
      </c>
      <c r="DL270" t="e">
        <f>AND(#REF!,"AAAAADve9XM=")</f>
        <v>#REF!</v>
      </c>
      <c r="DM270" t="e">
        <f>AND(#REF!,"AAAAADve9XQ=")</f>
        <v>#REF!</v>
      </c>
      <c r="DN270" t="e">
        <f>AND(#REF!,"AAAAADve9XU=")</f>
        <v>#REF!</v>
      </c>
      <c r="DO270" t="e">
        <f>AND(#REF!,"AAAAADve9XY=")</f>
        <v>#REF!</v>
      </c>
      <c r="DP270" t="e">
        <f>AND(#REF!,"AAAAADve9Xc=")</f>
        <v>#REF!</v>
      </c>
      <c r="DQ270" t="e">
        <f>AND(#REF!,"AAAAADve9Xg=")</f>
        <v>#REF!</v>
      </c>
      <c r="DR270" t="e">
        <f>AND(#REF!,"AAAAADve9Xk=")</f>
        <v>#REF!</v>
      </c>
      <c r="DS270" t="e">
        <f>AND(#REF!,"AAAAADve9Xo=")</f>
        <v>#REF!</v>
      </c>
      <c r="DT270" t="e">
        <f>AND(#REF!,"AAAAADve9Xs=")</f>
        <v>#REF!</v>
      </c>
      <c r="DU270" t="e">
        <f>AND(#REF!,"AAAAADve9Xw=")</f>
        <v>#REF!</v>
      </c>
      <c r="DV270" t="e">
        <f>AND(#REF!,"AAAAADve9X0=")</f>
        <v>#REF!</v>
      </c>
      <c r="DW270" t="e">
        <f>AND(#REF!,"AAAAADve9X4=")</f>
        <v>#REF!</v>
      </c>
      <c r="DX270" t="e">
        <f>AND(#REF!,"AAAAADve9X8=")</f>
        <v>#REF!</v>
      </c>
      <c r="DY270" t="e">
        <f>AND(#REF!,"AAAAADve9YA=")</f>
        <v>#REF!</v>
      </c>
      <c r="DZ270" t="e">
        <f>AND(#REF!,"AAAAADve9YE=")</f>
        <v>#REF!</v>
      </c>
      <c r="EA270" t="e">
        <f>AND(#REF!,"AAAAADve9YI=")</f>
        <v>#REF!</v>
      </c>
      <c r="EB270" t="e">
        <f>AND(#REF!,"AAAAADve9YM=")</f>
        <v>#REF!</v>
      </c>
      <c r="EC270" t="e">
        <f>AND(#REF!,"AAAAADve9YQ=")</f>
        <v>#REF!</v>
      </c>
      <c r="ED270" t="e">
        <f>AND(#REF!,"AAAAADve9YU=")</f>
        <v>#REF!</v>
      </c>
      <c r="EE270" t="e">
        <f>AND(#REF!,"AAAAADve9YY=")</f>
        <v>#REF!</v>
      </c>
      <c r="EF270" t="e">
        <f>AND(#REF!,"AAAAADve9Yc=")</f>
        <v>#REF!</v>
      </c>
      <c r="EG270" t="e">
        <f>AND(#REF!,"AAAAADve9Yg=")</f>
        <v>#REF!</v>
      </c>
      <c r="EH270" t="e">
        <f>AND(#REF!,"AAAAADve9Yk=")</f>
        <v>#REF!</v>
      </c>
      <c r="EI270" t="e">
        <f>AND(#REF!,"AAAAADve9Yo=")</f>
        <v>#REF!</v>
      </c>
      <c r="EJ270" t="e">
        <f>AND(#REF!,"AAAAADve9Ys=")</f>
        <v>#REF!</v>
      </c>
      <c r="EK270" t="e">
        <f>AND(#REF!,"AAAAADve9Yw=")</f>
        <v>#REF!</v>
      </c>
      <c r="EL270" t="e">
        <f>AND(#REF!,"AAAAADve9Y0=")</f>
        <v>#REF!</v>
      </c>
      <c r="EM270" t="e">
        <f>AND(#REF!,"AAAAADve9Y4=")</f>
        <v>#REF!</v>
      </c>
      <c r="EN270" t="e">
        <f>AND(#REF!,"AAAAADve9Y8=")</f>
        <v>#REF!</v>
      </c>
      <c r="EO270" t="e">
        <f>AND(#REF!,"AAAAADve9ZA=")</f>
        <v>#REF!</v>
      </c>
      <c r="EP270" t="e">
        <f>AND(#REF!,"AAAAADve9ZE=")</f>
        <v>#REF!</v>
      </c>
      <c r="EQ270" t="e">
        <f>AND(#REF!,"AAAAADve9ZI=")</f>
        <v>#REF!</v>
      </c>
      <c r="ER270" t="e">
        <f>AND(#REF!,"AAAAADve9ZM=")</f>
        <v>#REF!</v>
      </c>
      <c r="ES270" t="e">
        <f>AND(#REF!,"AAAAADve9ZQ=")</f>
        <v>#REF!</v>
      </c>
      <c r="ET270" t="e">
        <f>AND(#REF!,"AAAAADve9ZU=")</f>
        <v>#REF!</v>
      </c>
      <c r="EU270" t="e">
        <f>AND(#REF!,"AAAAADve9ZY=")</f>
        <v>#REF!</v>
      </c>
      <c r="EV270" t="e">
        <f>AND(#REF!,"AAAAADve9Zc=")</f>
        <v>#REF!</v>
      </c>
      <c r="EW270" t="e">
        <f>AND(#REF!,"AAAAADve9Zg=")</f>
        <v>#REF!</v>
      </c>
      <c r="EX270" t="e">
        <f>AND(#REF!,"AAAAADve9Zk=")</f>
        <v>#REF!</v>
      </c>
      <c r="EY270" t="e">
        <f>AND(#REF!,"AAAAADve9Zo=")</f>
        <v>#REF!</v>
      </c>
      <c r="EZ270" t="e">
        <f>AND(#REF!,"AAAAADve9Zs=")</f>
        <v>#REF!</v>
      </c>
      <c r="FA270" t="e">
        <f>AND(#REF!,"AAAAADve9Zw=")</f>
        <v>#REF!</v>
      </c>
      <c r="FB270" t="e">
        <f>AND(#REF!,"AAAAADve9Z0=")</f>
        <v>#REF!</v>
      </c>
      <c r="FC270" t="e">
        <f>AND(#REF!,"AAAAADve9Z4=")</f>
        <v>#REF!</v>
      </c>
      <c r="FD270" t="e">
        <f>AND(#REF!,"AAAAADve9Z8=")</f>
        <v>#REF!</v>
      </c>
      <c r="FE270" t="e">
        <f>AND(#REF!,"AAAAADve9aA=")</f>
        <v>#REF!</v>
      </c>
      <c r="FF270" t="e">
        <f>AND(#REF!,"AAAAADve9aE=")</f>
        <v>#REF!</v>
      </c>
      <c r="FG270" t="e">
        <f>AND(#REF!,"AAAAADve9aI=")</f>
        <v>#REF!</v>
      </c>
      <c r="FH270" t="e">
        <f>AND(#REF!,"AAAAADve9aM=")</f>
        <v>#REF!</v>
      </c>
      <c r="FI270" t="e">
        <f>AND(#REF!,"AAAAADve9aQ=")</f>
        <v>#REF!</v>
      </c>
      <c r="FJ270" t="e">
        <f>AND(#REF!,"AAAAADve9aU=")</f>
        <v>#REF!</v>
      </c>
      <c r="FK270" t="e">
        <f>AND(#REF!,"AAAAADve9aY=")</f>
        <v>#REF!</v>
      </c>
      <c r="FL270" t="e">
        <f>AND(#REF!,"AAAAADve9ac=")</f>
        <v>#REF!</v>
      </c>
      <c r="FM270" t="e">
        <f>AND(#REF!,"AAAAADve9ag=")</f>
        <v>#REF!</v>
      </c>
      <c r="FN270" t="e">
        <f>AND(#REF!,"AAAAADve9ak=")</f>
        <v>#REF!</v>
      </c>
      <c r="FO270" t="e">
        <f>AND(#REF!,"AAAAADve9ao=")</f>
        <v>#REF!</v>
      </c>
      <c r="FP270" t="e">
        <f>AND(#REF!,"AAAAADve9as=")</f>
        <v>#REF!</v>
      </c>
      <c r="FQ270" t="e">
        <f>AND(#REF!,"AAAAADve9aw=")</f>
        <v>#REF!</v>
      </c>
      <c r="FR270" t="e">
        <f>AND(#REF!,"AAAAADve9a0=")</f>
        <v>#REF!</v>
      </c>
      <c r="FS270" t="e">
        <f>AND(#REF!,"AAAAADve9a4=")</f>
        <v>#REF!</v>
      </c>
      <c r="FT270" t="e">
        <f>AND(#REF!,"AAAAADve9a8=")</f>
        <v>#REF!</v>
      </c>
      <c r="FU270" t="e">
        <f>AND(#REF!,"AAAAADve9bA=")</f>
        <v>#REF!</v>
      </c>
      <c r="FV270" t="e">
        <f>AND(#REF!,"AAAAADve9bE=")</f>
        <v>#REF!</v>
      </c>
      <c r="FW270" t="e">
        <f>AND(#REF!,"AAAAADve9bI=")</f>
        <v>#REF!</v>
      </c>
      <c r="FX270" t="e">
        <f>AND(#REF!,"AAAAADve9bM=")</f>
        <v>#REF!</v>
      </c>
      <c r="FY270" t="e">
        <f>AND(#REF!,"AAAAADve9bQ=")</f>
        <v>#REF!</v>
      </c>
      <c r="FZ270" t="e">
        <f>AND(#REF!,"AAAAADve9bU=")</f>
        <v>#REF!</v>
      </c>
      <c r="GA270" t="e">
        <f>AND(#REF!,"AAAAADve9bY=")</f>
        <v>#REF!</v>
      </c>
      <c r="GB270" t="e">
        <f>AND(#REF!,"AAAAADve9bc=")</f>
        <v>#REF!</v>
      </c>
      <c r="GC270" t="e">
        <f>AND(#REF!,"AAAAADve9bg=")</f>
        <v>#REF!</v>
      </c>
      <c r="GD270" t="e">
        <f>AND(#REF!,"AAAAADve9bk=")</f>
        <v>#REF!</v>
      </c>
      <c r="GE270" t="e">
        <f>AND(#REF!,"AAAAADve9bo=")</f>
        <v>#REF!</v>
      </c>
      <c r="GF270" t="e">
        <f>AND(#REF!,"AAAAADve9bs=")</f>
        <v>#REF!</v>
      </c>
      <c r="GG270" t="e">
        <f>AND(#REF!,"AAAAADve9bw=")</f>
        <v>#REF!</v>
      </c>
      <c r="GH270" t="e">
        <f>AND(#REF!,"AAAAADve9b0=")</f>
        <v>#REF!</v>
      </c>
      <c r="GI270" t="e">
        <f>AND(#REF!,"AAAAADve9b4=")</f>
        <v>#REF!</v>
      </c>
      <c r="GJ270" t="e">
        <f>AND(#REF!,"AAAAADve9b8=")</f>
        <v>#REF!</v>
      </c>
      <c r="GK270" t="e">
        <f>AND(#REF!,"AAAAADve9cA=")</f>
        <v>#REF!</v>
      </c>
      <c r="GL270" t="e">
        <f>AND(#REF!,"AAAAADve9cE=")</f>
        <v>#REF!</v>
      </c>
      <c r="GM270" t="e">
        <f>AND(#REF!,"AAAAADve9cI=")</f>
        <v>#REF!</v>
      </c>
      <c r="GN270" t="e">
        <f>AND(#REF!,"AAAAADve9cM=")</f>
        <v>#REF!</v>
      </c>
      <c r="GO270" t="e">
        <f>AND(#REF!,"AAAAADve9cQ=")</f>
        <v>#REF!</v>
      </c>
      <c r="GP270" t="e">
        <f>AND(#REF!,"AAAAADve9cU=")</f>
        <v>#REF!</v>
      </c>
      <c r="GQ270" t="e">
        <f>AND(#REF!,"AAAAADve9cY=")</f>
        <v>#REF!</v>
      </c>
      <c r="GR270" t="e">
        <f>AND(#REF!,"AAAAADve9cc=")</f>
        <v>#REF!</v>
      </c>
      <c r="GS270" t="e">
        <f>AND(#REF!,"AAAAADve9cg=")</f>
        <v>#REF!</v>
      </c>
      <c r="GT270" t="e">
        <f>AND(#REF!,"AAAAADve9ck=")</f>
        <v>#REF!</v>
      </c>
      <c r="GU270" t="e">
        <f>AND(#REF!,"AAAAADve9co=")</f>
        <v>#REF!</v>
      </c>
      <c r="GV270" t="e">
        <f>AND(#REF!,"AAAAADve9cs=")</f>
        <v>#REF!</v>
      </c>
      <c r="GW270" t="e">
        <f>AND(#REF!,"AAAAADve9cw=")</f>
        <v>#REF!</v>
      </c>
      <c r="GX270" t="e">
        <f>AND(#REF!,"AAAAADve9c0=")</f>
        <v>#REF!</v>
      </c>
      <c r="GY270" t="e">
        <f>AND(#REF!,"AAAAADve9c4=")</f>
        <v>#REF!</v>
      </c>
      <c r="GZ270" t="e">
        <f>AND(#REF!,"AAAAADve9c8=")</f>
        <v>#REF!</v>
      </c>
      <c r="HA270" t="e">
        <f>AND(#REF!,"AAAAADve9dA=")</f>
        <v>#REF!</v>
      </c>
      <c r="HB270" t="e">
        <f>AND(#REF!,"AAAAADve9dE=")</f>
        <v>#REF!</v>
      </c>
      <c r="HC270" t="e">
        <f>AND(#REF!,"AAAAADve9dI=")</f>
        <v>#REF!</v>
      </c>
      <c r="HD270" t="e">
        <f>AND(#REF!,"AAAAADve9dM=")</f>
        <v>#REF!</v>
      </c>
      <c r="HE270" t="e">
        <f>AND(#REF!,"AAAAADve9dQ=")</f>
        <v>#REF!</v>
      </c>
      <c r="HF270" t="e">
        <f>AND(#REF!,"AAAAADve9dU=")</f>
        <v>#REF!</v>
      </c>
      <c r="HG270" t="e">
        <f>AND(#REF!,"AAAAADve9dY=")</f>
        <v>#REF!</v>
      </c>
      <c r="HH270" t="e">
        <f>AND(#REF!,"AAAAADve9dc=")</f>
        <v>#REF!</v>
      </c>
      <c r="HI270" t="e">
        <f>AND(#REF!,"AAAAADve9dg=")</f>
        <v>#REF!</v>
      </c>
      <c r="HJ270" t="e">
        <f>AND(#REF!,"AAAAADve9dk=")</f>
        <v>#REF!</v>
      </c>
      <c r="HK270" t="e">
        <f>AND(#REF!,"AAAAADve9do=")</f>
        <v>#REF!</v>
      </c>
      <c r="HL270" t="e">
        <f>AND(#REF!,"AAAAADve9ds=")</f>
        <v>#REF!</v>
      </c>
      <c r="HM270" t="e">
        <f>AND(#REF!,"AAAAADve9dw=")</f>
        <v>#REF!</v>
      </c>
      <c r="HN270" t="e">
        <f>AND(#REF!,"AAAAADve9d0=")</f>
        <v>#REF!</v>
      </c>
      <c r="HO270" t="e">
        <f>AND(#REF!,"AAAAADve9d4=")</f>
        <v>#REF!</v>
      </c>
      <c r="HP270" t="e">
        <f>AND(#REF!,"AAAAADve9d8=")</f>
        <v>#REF!</v>
      </c>
      <c r="HQ270" t="e">
        <f>AND(#REF!,"AAAAADve9eA=")</f>
        <v>#REF!</v>
      </c>
      <c r="HR270" t="e">
        <f>AND(#REF!,"AAAAADve9eE=")</f>
        <v>#REF!</v>
      </c>
      <c r="HS270" t="e">
        <f>AND(#REF!,"AAAAADve9eI=")</f>
        <v>#REF!</v>
      </c>
      <c r="HT270" t="e">
        <f>AND(#REF!,"AAAAADve9eM=")</f>
        <v>#REF!</v>
      </c>
      <c r="HU270" t="e">
        <f>AND(#REF!,"AAAAADve9eQ=")</f>
        <v>#REF!</v>
      </c>
      <c r="HV270" t="e">
        <f>AND(#REF!,"AAAAADve9eU=")</f>
        <v>#REF!</v>
      </c>
      <c r="HW270" t="e">
        <f>AND(#REF!,"AAAAADve9eY=")</f>
        <v>#REF!</v>
      </c>
      <c r="HX270" t="e">
        <f>AND(#REF!,"AAAAADve9ec=")</f>
        <v>#REF!</v>
      </c>
      <c r="HY270" t="e">
        <f>AND(#REF!,"AAAAADve9eg=")</f>
        <v>#REF!</v>
      </c>
      <c r="HZ270" t="e">
        <f>AND(#REF!,"AAAAADve9ek=")</f>
        <v>#REF!</v>
      </c>
      <c r="IA270" t="e">
        <f>AND(#REF!,"AAAAADve9eo=")</f>
        <v>#REF!</v>
      </c>
      <c r="IB270" t="e">
        <f>AND(#REF!,"AAAAADve9es=")</f>
        <v>#REF!</v>
      </c>
      <c r="IC270" t="e">
        <f>AND(#REF!,"AAAAADve9ew=")</f>
        <v>#REF!</v>
      </c>
      <c r="ID270" t="e">
        <f>AND(#REF!,"AAAAADve9e0=")</f>
        <v>#REF!</v>
      </c>
      <c r="IE270" t="e">
        <f>AND(#REF!,"AAAAADve9e4=")</f>
        <v>#REF!</v>
      </c>
      <c r="IF270" t="e">
        <f>AND(#REF!,"AAAAADve9e8=")</f>
        <v>#REF!</v>
      </c>
      <c r="IG270" t="e">
        <f>AND(#REF!,"AAAAADve9fA=")</f>
        <v>#REF!</v>
      </c>
      <c r="IH270" t="e">
        <f>AND(#REF!,"AAAAADve9fE=")</f>
        <v>#REF!</v>
      </c>
      <c r="II270" t="e">
        <f>AND(#REF!,"AAAAADve9fI=")</f>
        <v>#REF!</v>
      </c>
      <c r="IJ270" t="e">
        <f>AND(#REF!,"AAAAADve9fM=")</f>
        <v>#REF!</v>
      </c>
      <c r="IK270" t="e">
        <f>AND(#REF!,"AAAAADve9fQ=")</f>
        <v>#REF!</v>
      </c>
      <c r="IL270" t="e">
        <f>AND(#REF!,"AAAAADve9fU=")</f>
        <v>#REF!</v>
      </c>
      <c r="IM270" t="e">
        <f>AND(#REF!,"AAAAADve9fY=")</f>
        <v>#REF!</v>
      </c>
      <c r="IN270" t="e">
        <f>AND(#REF!,"AAAAADve9fc=")</f>
        <v>#REF!</v>
      </c>
      <c r="IO270" t="e">
        <f>AND(#REF!,"AAAAADve9fg=")</f>
        <v>#REF!</v>
      </c>
      <c r="IP270" t="e">
        <f>AND(#REF!,"AAAAADve9fk=")</f>
        <v>#REF!</v>
      </c>
      <c r="IQ270" t="e">
        <f>AND(#REF!,"AAAAADve9fo=")</f>
        <v>#REF!</v>
      </c>
      <c r="IR270" t="e">
        <f>AND(#REF!,"AAAAADve9fs=")</f>
        <v>#REF!</v>
      </c>
      <c r="IS270" t="e">
        <f>AND(#REF!,"AAAAADve9fw=")</f>
        <v>#REF!</v>
      </c>
      <c r="IT270" t="e">
        <f>AND(#REF!,"AAAAADve9f0=")</f>
        <v>#REF!</v>
      </c>
      <c r="IU270" t="e">
        <f>AND(#REF!,"AAAAADve9f4=")</f>
        <v>#REF!</v>
      </c>
      <c r="IV270" t="e">
        <f>AND(#REF!,"AAAAADve9f8=")</f>
        <v>#REF!</v>
      </c>
    </row>
    <row r="271" spans="1:256" x14ac:dyDescent="0.25">
      <c r="A271" t="e">
        <f>AND(#REF!,"AAAAAHtv/wA=")</f>
        <v>#REF!</v>
      </c>
      <c r="B271" t="e">
        <f>AND(#REF!,"AAAAAHtv/wE=")</f>
        <v>#REF!</v>
      </c>
      <c r="C271" t="e">
        <f>AND(#REF!,"AAAAAHtv/wI=")</f>
        <v>#REF!</v>
      </c>
      <c r="D271" t="e">
        <f>AND(#REF!,"AAAAAHtv/wM=")</f>
        <v>#REF!</v>
      </c>
      <c r="E271" t="e">
        <f>AND(#REF!,"AAAAAHtv/wQ=")</f>
        <v>#REF!</v>
      </c>
      <c r="F271" t="e">
        <f>AND(#REF!,"AAAAAHtv/wU=")</f>
        <v>#REF!</v>
      </c>
      <c r="G271" t="e">
        <f>AND(#REF!,"AAAAAHtv/wY=")</f>
        <v>#REF!</v>
      </c>
      <c r="H271" t="e">
        <f>AND(#REF!,"AAAAAHtv/wc=")</f>
        <v>#REF!</v>
      </c>
      <c r="I271" t="e">
        <f>AND(#REF!,"AAAAAHtv/wg=")</f>
        <v>#REF!</v>
      </c>
      <c r="J271" t="e">
        <f>AND(#REF!,"AAAAAHtv/wk=")</f>
        <v>#REF!</v>
      </c>
      <c r="K271" t="e">
        <f>AND(#REF!,"AAAAAHtv/wo=")</f>
        <v>#REF!</v>
      </c>
      <c r="L271" t="e">
        <f>AND(#REF!,"AAAAAHtv/ws=")</f>
        <v>#REF!</v>
      </c>
      <c r="M271" t="e">
        <f>AND(#REF!,"AAAAAHtv/ww=")</f>
        <v>#REF!</v>
      </c>
      <c r="N271" t="e">
        <f>AND(#REF!,"AAAAAHtv/w0=")</f>
        <v>#REF!</v>
      </c>
      <c r="O271" t="e">
        <f>AND(#REF!,"AAAAAHtv/w4=")</f>
        <v>#REF!</v>
      </c>
      <c r="P271" t="e">
        <f>AND(#REF!,"AAAAAHtv/w8=")</f>
        <v>#REF!</v>
      </c>
      <c r="Q271" t="e">
        <f>AND(#REF!,"AAAAAHtv/xA=")</f>
        <v>#REF!</v>
      </c>
      <c r="R271" t="e">
        <f>AND(#REF!,"AAAAAHtv/xE=")</f>
        <v>#REF!</v>
      </c>
      <c r="S271" t="e">
        <f>AND(#REF!,"AAAAAHtv/xI=")</f>
        <v>#REF!</v>
      </c>
      <c r="T271" t="e">
        <f>AND(#REF!,"AAAAAHtv/xM=")</f>
        <v>#REF!</v>
      </c>
      <c r="U271" t="e">
        <f>AND(#REF!,"AAAAAHtv/xQ=")</f>
        <v>#REF!</v>
      </c>
      <c r="V271" t="e">
        <f>AND(#REF!,"AAAAAHtv/xU=")</f>
        <v>#REF!</v>
      </c>
      <c r="W271" t="e">
        <f>AND(#REF!,"AAAAAHtv/xY=")</f>
        <v>#REF!</v>
      </c>
      <c r="X271" t="e">
        <f>AND(#REF!,"AAAAAHtv/xc=")</f>
        <v>#REF!</v>
      </c>
      <c r="Y271" t="e">
        <f>AND(#REF!,"AAAAAHtv/xg=")</f>
        <v>#REF!</v>
      </c>
      <c r="Z271" t="e">
        <f>AND(#REF!,"AAAAAHtv/xk=")</f>
        <v>#REF!</v>
      </c>
      <c r="AA271" t="e">
        <f>AND(#REF!,"AAAAAHtv/xo=")</f>
        <v>#REF!</v>
      </c>
      <c r="AB271" t="e">
        <f>AND(#REF!,"AAAAAHtv/xs=")</f>
        <v>#REF!</v>
      </c>
      <c r="AC271" t="e">
        <f>AND(#REF!,"AAAAAHtv/xw=")</f>
        <v>#REF!</v>
      </c>
      <c r="AD271" t="e">
        <f>AND(#REF!,"AAAAAHtv/x0=")</f>
        <v>#REF!</v>
      </c>
      <c r="AE271" t="e">
        <f>AND(#REF!,"AAAAAHtv/x4=")</f>
        <v>#REF!</v>
      </c>
      <c r="AF271" t="e">
        <f>AND(#REF!,"AAAAAHtv/x8=")</f>
        <v>#REF!</v>
      </c>
      <c r="AG271" t="e">
        <f>AND(#REF!,"AAAAAHtv/yA=")</f>
        <v>#REF!</v>
      </c>
      <c r="AH271" t="e">
        <f>AND(#REF!,"AAAAAHtv/yE=")</f>
        <v>#REF!</v>
      </c>
      <c r="AI271" t="e">
        <f>AND(#REF!,"AAAAAHtv/yI=")</f>
        <v>#REF!</v>
      </c>
      <c r="AJ271" t="e">
        <f>AND(#REF!,"AAAAAHtv/yM=")</f>
        <v>#REF!</v>
      </c>
      <c r="AK271" t="e">
        <f>AND(#REF!,"AAAAAHtv/yQ=")</f>
        <v>#REF!</v>
      </c>
      <c r="AL271" t="e">
        <f>AND(#REF!,"AAAAAHtv/yU=")</f>
        <v>#REF!</v>
      </c>
      <c r="AM271" t="e">
        <f>AND(#REF!,"AAAAAHtv/yY=")</f>
        <v>#REF!</v>
      </c>
      <c r="AN271" t="e">
        <f>AND(#REF!,"AAAAAHtv/yc=")</f>
        <v>#REF!</v>
      </c>
      <c r="AO271" t="e">
        <f>AND(#REF!,"AAAAAHtv/yg=")</f>
        <v>#REF!</v>
      </c>
      <c r="AP271" t="e">
        <f>AND(#REF!,"AAAAAHtv/yk=")</f>
        <v>#REF!</v>
      </c>
      <c r="AQ271" t="e">
        <f>AND(#REF!,"AAAAAHtv/yo=")</f>
        <v>#REF!</v>
      </c>
      <c r="AR271" t="e">
        <f>AND(#REF!,"AAAAAHtv/ys=")</f>
        <v>#REF!</v>
      </c>
      <c r="AS271" t="e">
        <f>AND(#REF!,"AAAAAHtv/yw=")</f>
        <v>#REF!</v>
      </c>
      <c r="AT271" t="e">
        <f>AND(#REF!,"AAAAAHtv/y0=")</f>
        <v>#REF!</v>
      </c>
      <c r="AU271" t="e">
        <f>IF(#REF!,"AAAAAHtv/y4=",0)</f>
        <v>#REF!</v>
      </c>
      <c r="AV271" t="e">
        <f>AND(#REF!,"AAAAAHtv/y8=")</f>
        <v>#REF!</v>
      </c>
      <c r="AW271" t="e">
        <f>AND(#REF!,"AAAAAHtv/zA=")</f>
        <v>#REF!</v>
      </c>
      <c r="AX271" t="e">
        <f>AND(#REF!,"AAAAAHtv/zE=")</f>
        <v>#REF!</v>
      </c>
      <c r="AY271" t="e">
        <f>AND(#REF!,"AAAAAHtv/zI=")</f>
        <v>#REF!</v>
      </c>
      <c r="AZ271" t="e">
        <f>AND(#REF!,"AAAAAHtv/zM=")</f>
        <v>#REF!</v>
      </c>
      <c r="BA271" t="e">
        <f>AND(#REF!,"AAAAAHtv/zQ=")</f>
        <v>#REF!</v>
      </c>
      <c r="BB271" t="e">
        <f>AND(#REF!,"AAAAAHtv/zU=")</f>
        <v>#REF!</v>
      </c>
      <c r="BC271" t="e">
        <f>AND(#REF!,"AAAAAHtv/zY=")</f>
        <v>#REF!</v>
      </c>
      <c r="BD271" t="e">
        <f>AND(#REF!,"AAAAAHtv/zc=")</f>
        <v>#REF!</v>
      </c>
      <c r="BE271" t="e">
        <f>AND(#REF!,"AAAAAHtv/zg=")</f>
        <v>#REF!</v>
      </c>
      <c r="BF271" t="e">
        <f>AND(#REF!,"AAAAAHtv/zk=")</f>
        <v>#REF!</v>
      </c>
      <c r="BG271" t="e">
        <f>AND(#REF!,"AAAAAHtv/zo=")</f>
        <v>#REF!</v>
      </c>
      <c r="BH271" t="e">
        <f>AND(#REF!,"AAAAAHtv/zs=")</f>
        <v>#REF!</v>
      </c>
      <c r="BI271" t="e">
        <f>AND(#REF!,"AAAAAHtv/zw=")</f>
        <v>#REF!</v>
      </c>
      <c r="BJ271" t="e">
        <f>AND(#REF!,"AAAAAHtv/z0=")</f>
        <v>#REF!</v>
      </c>
      <c r="BK271" t="e">
        <f>AND(#REF!,"AAAAAHtv/z4=")</f>
        <v>#REF!</v>
      </c>
      <c r="BL271" t="e">
        <f>AND(#REF!,"AAAAAHtv/z8=")</f>
        <v>#REF!</v>
      </c>
      <c r="BM271" t="e">
        <f>AND(#REF!,"AAAAAHtv/0A=")</f>
        <v>#REF!</v>
      </c>
      <c r="BN271" t="e">
        <f>AND(#REF!,"AAAAAHtv/0E=")</f>
        <v>#REF!</v>
      </c>
      <c r="BO271" t="e">
        <f>AND(#REF!,"AAAAAHtv/0I=")</f>
        <v>#REF!</v>
      </c>
      <c r="BP271" t="e">
        <f>AND(#REF!,"AAAAAHtv/0M=")</f>
        <v>#REF!</v>
      </c>
      <c r="BQ271" t="e">
        <f>AND(#REF!,"AAAAAHtv/0Q=")</f>
        <v>#REF!</v>
      </c>
      <c r="BR271" t="e">
        <f>AND(#REF!,"AAAAAHtv/0U=")</f>
        <v>#REF!</v>
      </c>
      <c r="BS271" t="e">
        <f>AND(#REF!,"AAAAAHtv/0Y=")</f>
        <v>#REF!</v>
      </c>
      <c r="BT271" t="e">
        <f>AND(#REF!,"AAAAAHtv/0c=")</f>
        <v>#REF!</v>
      </c>
      <c r="BU271" t="e">
        <f>AND(#REF!,"AAAAAHtv/0g=")</f>
        <v>#REF!</v>
      </c>
      <c r="BV271" t="e">
        <f>AND(#REF!,"AAAAAHtv/0k=")</f>
        <v>#REF!</v>
      </c>
      <c r="BW271" t="e">
        <f>AND(#REF!,"AAAAAHtv/0o=")</f>
        <v>#REF!</v>
      </c>
      <c r="BX271" t="e">
        <f>AND(#REF!,"AAAAAHtv/0s=")</f>
        <v>#REF!</v>
      </c>
      <c r="BY271" t="e">
        <f>AND(#REF!,"AAAAAHtv/0w=")</f>
        <v>#REF!</v>
      </c>
      <c r="BZ271" t="e">
        <f>AND(#REF!,"AAAAAHtv/00=")</f>
        <v>#REF!</v>
      </c>
      <c r="CA271" t="e">
        <f>AND(#REF!,"AAAAAHtv/04=")</f>
        <v>#REF!</v>
      </c>
      <c r="CB271" t="e">
        <f>AND(#REF!,"AAAAAHtv/08=")</f>
        <v>#REF!</v>
      </c>
      <c r="CC271" t="e">
        <f>AND(#REF!,"AAAAAHtv/1A=")</f>
        <v>#REF!</v>
      </c>
      <c r="CD271" t="e">
        <f>AND(#REF!,"AAAAAHtv/1E=")</f>
        <v>#REF!</v>
      </c>
      <c r="CE271" t="e">
        <f>AND(#REF!,"AAAAAHtv/1I=")</f>
        <v>#REF!</v>
      </c>
      <c r="CF271" t="e">
        <f>AND(#REF!,"AAAAAHtv/1M=")</f>
        <v>#REF!</v>
      </c>
      <c r="CG271" t="e">
        <f>AND(#REF!,"AAAAAHtv/1Q=")</f>
        <v>#REF!</v>
      </c>
      <c r="CH271" t="e">
        <f>AND(#REF!,"AAAAAHtv/1U=")</f>
        <v>#REF!</v>
      </c>
      <c r="CI271" t="e">
        <f>AND(#REF!,"AAAAAHtv/1Y=")</f>
        <v>#REF!</v>
      </c>
      <c r="CJ271" t="e">
        <f>AND(#REF!,"AAAAAHtv/1c=")</f>
        <v>#REF!</v>
      </c>
      <c r="CK271" t="e">
        <f>AND(#REF!,"AAAAAHtv/1g=")</f>
        <v>#REF!</v>
      </c>
      <c r="CL271" t="e">
        <f>AND(#REF!,"AAAAAHtv/1k=")</f>
        <v>#REF!</v>
      </c>
      <c r="CM271" t="e">
        <f>AND(#REF!,"AAAAAHtv/1o=")</f>
        <v>#REF!</v>
      </c>
      <c r="CN271" t="e">
        <f>AND(#REF!,"AAAAAHtv/1s=")</f>
        <v>#REF!</v>
      </c>
      <c r="CO271" t="e">
        <f>AND(#REF!,"AAAAAHtv/1w=")</f>
        <v>#REF!</v>
      </c>
      <c r="CP271" t="e">
        <f>AND(#REF!,"AAAAAHtv/10=")</f>
        <v>#REF!</v>
      </c>
      <c r="CQ271" t="e">
        <f>AND(#REF!,"AAAAAHtv/14=")</f>
        <v>#REF!</v>
      </c>
      <c r="CR271" t="e">
        <f>AND(#REF!,"AAAAAHtv/18=")</f>
        <v>#REF!</v>
      </c>
      <c r="CS271" t="e">
        <f>AND(#REF!,"AAAAAHtv/2A=")</f>
        <v>#REF!</v>
      </c>
      <c r="CT271" t="e">
        <f>AND(#REF!,"AAAAAHtv/2E=")</f>
        <v>#REF!</v>
      </c>
      <c r="CU271" t="e">
        <f>AND(#REF!,"AAAAAHtv/2I=")</f>
        <v>#REF!</v>
      </c>
      <c r="CV271" t="e">
        <f>AND(#REF!,"AAAAAHtv/2M=")</f>
        <v>#REF!</v>
      </c>
      <c r="CW271" t="e">
        <f>AND(#REF!,"AAAAAHtv/2Q=")</f>
        <v>#REF!</v>
      </c>
      <c r="CX271" t="e">
        <f>AND(#REF!,"AAAAAHtv/2U=")</f>
        <v>#REF!</v>
      </c>
      <c r="CY271" t="e">
        <f>AND(#REF!,"AAAAAHtv/2Y=")</f>
        <v>#REF!</v>
      </c>
      <c r="CZ271" t="e">
        <f>AND(#REF!,"AAAAAHtv/2c=")</f>
        <v>#REF!</v>
      </c>
      <c r="DA271" t="e">
        <f>AND(#REF!,"AAAAAHtv/2g=")</f>
        <v>#REF!</v>
      </c>
      <c r="DB271" t="e">
        <f>AND(#REF!,"AAAAAHtv/2k=")</f>
        <v>#REF!</v>
      </c>
      <c r="DC271" t="e">
        <f>AND(#REF!,"AAAAAHtv/2o=")</f>
        <v>#REF!</v>
      </c>
      <c r="DD271" t="e">
        <f>AND(#REF!,"AAAAAHtv/2s=")</f>
        <v>#REF!</v>
      </c>
      <c r="DE271" t="e">
        <f>AND(#REF!,"AAAAAHtv/2w=")</f>
        <v>#REF!</v>
      </c>
      <c r="DF271" t="e">
        <f>AND(#REF!,"AAAAAHtv/20=")</f>
        <v>#REF!</v>
      </c>
      <c r="DG271" t="e">
        <f>AND(#REF!,"AAAAAHtv/24=")</f>
        <v>#REF!</v>
      </c>
      <c r="DH271" t="e">
        <f>AND(#REF!,"AAAAAHtv/28=")</f>
        <v>#REF!</v>
      </c>
      <c r="DI271" t="e">
        <f>AND(#REF!,"AAAAAHtv/3A=")</f>
        <v>#REF!</v>
      </c>
      <c r="DJ271" t="e">
        <f>AND(#REF!,"AAAAAHtv/3E=")</f>
        <v>#REF!</v>
      </c>
      <c r="DK271" t="e">
        <f>AND(#REF!,"AAAAAHtv/3I=")</f>
        <v>#REF!</v>
      </c>
      <c r="DL271" t="e">
        <f>AND(#REF!,"AAAAAHtv/3M=")</f>
        <v>#REF!</v>
      </c>
      <c r="DM271" t="e">
        <f>AND(#REF!,"AAAAAHtv/3Q=")</f>
        <v>#REF!</v>
      </c>
      <c r="DN271" t="e">
        <f>AND(#REF!,"AAAAAHtv/3U=")</f>
        <v>#REF!</v>
      </c>
      <c r="DO271" t="e">
        <f>AND(#REF!,"AAAAAHtv/3Y=")</f>
        <v>#REF!</v>
      </c>
      <c r="DP271" t="e">
        <f>AND(#REF!,"AAAAAHtv/3c=")</f>
        <v>#REF!</v>
      </c>
      <c r="DQ271" t="e">
        <f>AND(#REF!,"AAAAAHtv/3g=")</f>
        <v>#REF!</v>
      </c>
      <c r="DR271" t="e">
        <f>AND(#REF!,"AAAAAHtv/3k=")</f>
        <v>#REF!</v>
      </c>
      <c r="DS271" t="e">
        <f>AND(#REF!,"AAAAAHtv/3o=")</f>
        <v>#REF!</v>
      </c>
      <c r="DT271" t="e">
        <f>AND(#REF!,"AAAAAHtv/3s=")</f>
        <v>#REF!</v>
      </c>
      <c r="DU271" t="e">
        <f>AND(#REF!,"AAAAAHtv/3w=")</f>
        <v>#REF!</v>
      </c>
      <c r="DV271" t="e">
        <f>AND(#REF!,"AAAAAHtv/30=")</f>
        <v>#REF!</v>
      </c>
      <c r="DW271" t="e">
        <f>AND(#REF!,"AAAAAHtv/34=")</f>
        <v>#REF!</v>
      </c>
      <c r="DX271" t="e">
        <f>AND(#REF!,"AAAAAHtv/38=")</f>
        <v>#REF!</v>
      </c>
      <c r="DY271" t="e">
        <f>AND(#REF!,"AAAAAHtv/4A=")</f>
        <v>#REF!</v>
      </c>
      <c r="DZ271" t="e">
        <f>AND(#REF!,"AAAAAHtv/4E=")</f>
        <v>#REF!</v>
      </c>
      <c r="EA271" t="e">
        <f>AND(#REF!,"AAAAAHtv/4I=")</f>
        <v>#REF!</v>
      </c>
      <c r="EB271" t="e">
        <f>AND(#REF!,"AAAAAHtv/4M=")</f>
        <v>#REF!</v>
      </c>
      <c r="EC271" t="e">
        <f>AND(#REF!,"AAAAAHtv/4Q=")</f>
        <v>#REF!</v>
      </c>
      <c r="ED271" t="e">
        <f>AND(#REF!,"AAAAAHtv/4U=")</f>
        <v>#REF!</v>
      </c>
      <c r="EE271" t="e">
        <f>AND(#REF!,"AAAAAHtv/4Y=")</f>
        <v>#REF!</v>
      </c>
      <c r="EF271" t="e">
        <f>AND(#REF!,"AAAAAHtv/4c=")</f>
        <v>#REF!</v>
      </c>
      <c r="EG271" t="e">
        <f>AND(#REF!,"AAAAAHtv/4g=")</f>
        <v>#REF!</v>
      </c>
      <c r="EH271" t="e">
        <f>AND(#REF!,"AAAAAHtv/4k=")</f>
        <v>#REF!</v>
      </c>
      <c r="EI271" t="e">
        <f>AND(#REF!,"AAAAAHtv/4o=")</f>
        <v>#REF!</v>
      </c>
      <c r="EJ271" t="e">
        <f>AND(#REF!,"AAAAAHtv/4s=")</f>
        <v>#REF!</v>
      </c>
      <c r="EK271" t="e">
        <f>AND(#REF!,"AAAAAHtv/4w=")</f>
        <v>#REF!</v>
      </c>
      <c r="EL271" t="e">
        <f>AND(#REF!,"AAAAAHtv/40=")</f>
        <v>#REF!</v>
      </c>
      <c r="EM271" t="e">
        <f>AND(#REF!,"AAAAAHtv/44=")</f>
        <v>#REF!</v>
      </c>
      <c r="EN271" t="e">
        <f>AND(#REF!,"AAAAAHtv/48=")</f>
        <v>#REF!</v>
      </c>
      <c r="EO271" t="e">
        <f>AND(#REF!,"AAAAAHtv/5A=")</f>
        <v>#REF!</v>
      </c>
      <c r="EP271" t="e">
        <f>AND(#REF!,"AAAAAHtv/5E=")</f>
        <v>#REF!</v>
      </c>
      <c r="EQ271" t="e">
        <f>AND(#REF!,"AAAAAHtv/5I=")</f>
        <v>#REF!</v>
      </c>
      <c r="ER271" t="e">
        <f>AND(#REF!,"AAAAAHtv/5M=")</f>
        <v>#REF!</v>
      </c>
      <c r="ES271" t="e">
        <f>AND(#REF!,"AAAAAHtv/5Q=")</f>
        <v>#REF!</v>
      </c>
      <c r="ET271" t="e">
        <f>AND(#REF!,"AAAAAHtv/5U=")</f>
        <v>#REF!</v>
      </c>
      <c r="EU271" t="e">
        <f>AND(#REF!,"AAAAAHtv/5Y=")</f>
        <v>#REF!</v>
      </c>
      <c r="EV271" t="e">
        <f>AND(#REF!,"AAAAAHtv/5c=")</f>
        <v>#REF!</v>
      </c>
      <c r="EW271" t="e">
        <f>AND(#REF!,"AAAAAHtv/5g=")</f>
        <v>#REF!</v>
      </c>
      <c r="EX271" t="e">
        <f>AND(#REF!,"AAAAAHtv/5k=")</f>
        <v>#REF!</v>
      </c>
      <c r="EY271" t="e">
        <f>AND(#REF!,"AAAAAHtv/5o=")</f>
        <v>#REF!</v>
      </c>
      <c r="EZ271" t="e">
        <f>AND(#REF!,"AAAAAHtv/5s=")</f>
        <v>#REF!</v>
      </c>
      <c r="FA271" t="e">
        <f>AND(#REF!,"AAAAAHtv/5w=")</f>
        <v>#REF!</v>
      </c>
      <c r="FB271" t="e">
        <f>AND(#REF!,"AAAAAHtv/50=")</f>
        <v>#REF!</v>
      </c>
      <c r="FC271" t="e">
        <f>AND(#REF!,"AAAAAHtv/54=")</f>
        <v>#REF!</v>
      </c>
      <c r="FD271" t="e">
        <f>AND(#REF!,"AAAAAHtv/58=")</f>
        <v>#REF!</v>
      </c>
      <c r="FE271" t="e">
        <f>AND(#REF!,"AAAAAHtv/6A=")</f>
        <v>#REF!</v>
      </c>
      <c r="FF271" t="e">
        <f>AND(#REF!,"AAAAAHtv/6E=")</f>
        <v>#REF!</v>
      </c>
      <c r="FG271" t="e">
        <f>AND(#REF!,"AAAAAHtv/6I=")</f>
        <v>#REF!</v>
      </c>
      <c r="FH271" t="e">
        <f>AND(#REF!,"AAAAAHtv/6M=")</f>
        <v>#REF!</v>
      </c>
      <c r="FI271" t="e">
        <f>AND(#REF!,"AAAAAHtv/6Q=")</f>
        <v>#REF!</v>
      </c>
      <c r="FJ271" t="e">
        <f>AND(#REF!,"AAAAAHtv/6U=")</f>
        <v>#REF!</v>
      </c>
      <c r="FK271" t="e">
        <f>AND(#REF!,"AAAAAHtv/6Y=")</f>
        <v>#REF!</v>
      </c>
      <c r="FL271" t="e">
        <f>AND(#REF!,"AAAAAHtv/6c=")</f>
        <v>#REF!</v>
      </c>
      <c r="FM271" t="e">
        <f>AND(#REF!,"AAAAAHtv/6g=")</f>
        <v>#REF!</v>
      </c>
      <c r="FN271" t="e">
        <f>AND(#REF!,"AAAAAHtv/6k=")</f>
        <v>#REF!</v>
      </c>
      <c r="FO271" t="e">
        <f>AND(#REF!,"AAAAAHtv/6o=")</f>
        <v>#REF!</v>
      </c>
      <c r="FP271" t="e">
        <f>AND(#REF!,"AAAAAHtv/6s=")</f>
        <v>#REF!</v>
      </c>
      <c r="FQ271" t="e">
        <f>AND(#REF!,"AAAAAHtv/6w=")</f>
        <v>#REF!</v>
      </c>
      <c r="FR271" t="e">
        <f>AND(#REF!,"AAAAAHtv/60=")</f>
        <v>#REF!</v>
      </c>
      <c r="FS271" t="e">
        <f>AND(#REF!,"AAAAAHtv/64=")</f>
        <v>#REF!</v>
      </c>
      <c r="FT271" t="e">
        <f>AND(#REF!,"AAAAAHtv/68=")</f>
        <v>#REF!</v>
      </c>
      <c r="FU271" t="e">
        <f>AND(#REF!,"AAAAAHtv/7A=")</f>
        <v>#REF!</v>
      </c>
      <c r="FV271" t="e">
        <f>AND(#REF!,"AAAAAHtv/7E=")</f>
        <v>#REF!</v>
      </c>
      <c r="FW271" t="e">
        <f>AND(#REF!,"AAAAAHtv/7I=")</f>
        <v>#REF!</v>
      </c>
      <c r="FX271" t="e">
        <f>AND(#REF!,"AAAAAHtv/7M=")</f>
        <v>#REF!</v>
      </c>
      <c r="FY271" t="e">
        <f>AND(#REF!,"AAAAAHtv/7Q=")</f>
        <v>#REF!</v>
      </c>
      <c r="FZ271" t="e">
        <f>AND(#REF!,"AAAAAHtv/7U=")</f>
        <v>#REF!</v>
      </c>
      <c r="GA271" t="e">
        <f>AND(#REF!,"AAAAAHtv/7Y=")</f>
        <v>#REF!</v>
      </c>
      <c r="GB271" t="e">
        <f>AND(#REF!,"AAAAAHtv/7c=")</f>
        <v>#REF!</v>
      </c>
      <c r="GC271" t="e">
        <f>AND(#REF!,"AAAAAHtv/7g=")</f>
        <v>#REF!</v>
      </c>
      <c r="GD271" t="e">
        <f>AND(#REF!,"AAAAAHtv/7k=")</f>
        <v>#REF!</v>
      </c>
      <c r="GE271" t="e">
        <f>AND(#REF!,"AAAAAHtv/7o=")</f>
        <v>#REF!</v>
      </c>
      <c r="GF271" t="e">
        <f>AND(#REF!,"AAAAAHtv/7s=")</f>
        <v>#REF!</v>
      </c>
      <c r="GG271" t="e">
        <f>AND(#REF!,"AAAAAHtv/7w=")</f>
        <v>#REF!</v>
      </c>
      <c r="GH271" t="e">
        <f>AND(#REF!,"AAAAAHtv/70=")</f>
        <v>#REF!</v>
      </c>
      <c r="GI271" t="e">
        <f>AND(#REF!,"AAAAAHtv/74=")</f>
        <v>#REF!</v>
      </c>
      <c r="GJ271" t="e">
        <f>AND(#REF!,"AAAAAHtv/78=")</f>
        <v>#REF!</v>
      </c>
      <c r="GK271" t="e">
        <f>AND(#REF!,"AAAAAHtv/8A=")</f>
        <v>#REF!</v>
      </c>
      <c r="GL271" t="e">
        <f>AND(#REF!,"AAAAAHtv/8E=")</f>
        <v>#REF!</v>
      </c>
      <c r="GM271" t="e">
        <f>AND(#REF!,"AAAAAHtv/8I=")</f>
        <v>#REF!</v>
      </c>
      <c r="GN271" t="e">
        <f>AND(#REF!,"AAAAAHtv/8M=")</f>
        <v>#REF!</v>
      </c>
      <c r="GO271" t="e">
        <f>AND(#REF!,"AAAAAHtv/8Q=")</f>
        <v>#REF!</v>
      </c>
      <c r="GP271" t="e">
        <f>AND(#REF!,"AAAAAHtv/8U=")</f>
        <v>#REF!</v>
      </c>
      <c r="GQ271" t="e">
        <f>AND(#REF!,"AAAAAHtv/8Y=")</f>
        <v>#REF!</v>
      </c>
      <c r="GR271" t="e">
        <f>AND(#REF!,"AAAAAHtv/8c=")</f>
        <v>#REF!</v>
      </c>
      <c r="GS271" t="e">
        <f>AND(#REF!,"AAAAAHtv/8g=")</f>
        <v>#REF!</v>
      </c>
      <c r="GT271" t="e">
        <f>AND(#REF!,"AAAAAHtv/8k=")</f>
        <v>#REF!</v>
      </c>
      <c r="GU271" t="e">
        <f>AND(#REF!,"AAAAAHtv/8o=")</f>
        <v>#REF!</v>
      </c>
      <c r="GV271" t="e">
        <f>AND(#REF!,"AAAAAHtv/8s=")</f>
        <v>#REF!</v>
      </c>
      <c r="GW271" t="e">
        <f>AND(#REF!,"AAAAAHtv/8w=")</f>
        <v>#REF!</v>
      </c>
      <c r="GX271" t="e">
        <f>AND(#REF!,"AAAAAHtv/80=")</f>
        <v>#REF!</v>
      </c>
      <c r="GY271" t="e">
        <f>AND(#REF!,"AAAAAHtv/84=")</f>
        <v>#REF!</v>
      </c>
      <c r="GZ271" t="e">
        <f>AND(#REF!,"AAAAAHtv/88=")</f>
        <v>#REF!</v>
      </c>
      <c r="HA271" t="e">
        <f>AND(#REF!,"AAAAAHtv/9A=")</f>
        <v>#REF!</v>
      </c>
      <c r="HB271" t="e">
        <f>AND(#REF!,"AAAAAHtv/9E=")</f>
        <v>#REF!</v>
      </c>
      <c r="HC271" t="e">
        <f>AND(#REF!,"AAAAAHtv/9I=")</f>
        <v>#REF!</v>
      </c>
      <c r="HD271" t="e">
        <f>AND(#REF!,"AAAAAHtv/9M=")</f>
        <v>#REF!</v>
      </c>
      <c r="HE271" t="e">
        <f>AND(#REF!,"AAAAAHtv/9Q=")</f>
        <v>#REF!</v>
      </c>
      <c r="HF271" t="e">
        <f>AND(#REF!,"AAAAAHtv/9U=")</f>
        <v>#REF!</v>
      </c>
      <c r="HG271" t="e">
        <f>AND(#REF!,"AAAAAHtv/9Y=")</f>
        <v>#REF!</v>
      </c>
      <c r="HH271" t="e">
        <f>AND(#REF!,"AAAAAHtv/9c=")</f>
        <v>#REF!</v>
      </c>
      <c r="HI271" t="e">
        <f>AND(#REF!,"AAAAAHtv/9g=")</f>
        <v>#REF!</v>
      </c>
      <c r="HJ271" t="e">
        <f>AND(#REF!,"AAAAAHtv/9k=")</f>
        <v>#REF!</v>
      </c>
      <c r="HK271" t="e">
        <f>AND(#REF!,"AAAAAHtv/9o=")</f>
        <v>#REF!</v>
      </c>
      <c r="HL271" t="e">
        <f>AND(#REF!,"AAAAAHtv/9s=")</f>
        <v>#REF!</v>
      </c>
      <c r="HM271" t="e">
        <f>AND(#REF!,"AAAAAHtv/9w=")</f>
        <v>#REF!</v>
      </c>
      <c r="HN271" t="e">
        <f>AND(#REF!,"AAAAAHtv/90=")</f>
        <v>#REF!</v>
      </c>
      <c r="HO271" t="e">
        <f>AND(#REF!,"AAAAAHtv/94=")</f>
        <v>#REF!</v>
      </c>
      <c r="HP271" t="e">
        <f>AND(#REF!,"AAAAAHtv/98=")</f>
        <v>#REF!</v>
      </c>
      <c r="HQ271" t="e">
        <f>AND(#REF!,"AAAAAHtv/+A=")</f>
        <v>#REF!</v>
      </c>
      <c r="HR271" t="e">
        <f>AND(#REF!,"AAAAAHtv/+E=")</f>
        <v>#REF!</v>
      </c>
      <c r="HS271" t="e">
        <f>AND(#REF!,"AAAAAHtv/+I=")</f>
        <v>#REF!</v>
      </c>
      <c r="HT271" t="e">
        <f>AND(#REF!,"AAAAAHtv/+M=")</f>
        <v>#REF!</v>
      </c>
      <c r="HU271" t="e">
        <f>AND(#REF!,"AAAAAHtv/+Q=")</f>
        <v>#REF!</v>
      </c>
      <c r="HV271" t="e">
        <f>AND(#REF!,"AAAAAHtv/+U=")</f>
        <v>#REF!</v>
      </c>
      <c r="HW271" t="e">
        <f>AND(#REF!,"AAAAAHtv/+Y=")</f>
        <v>#REF!</v>
      </c>
      <c r="HX271" t="e">
        <f>AND(#REF!,"AAAAAHtv/+c=")</f>
        <v>#REF!</v>
      </c>
      <c r="HY271" t="e">
        <f>AND(#REF!,"AAAAAHtv/+g=")</f>
        <v>#REF!</v>
      </c>
      <c r="HZ271" t="e">
        <f>AND(#REF!,"AAAAAHtv/+k=")</f>
        <v>#REF!</v>
      </c>
      <c r="IA271" t="e">
        <f>AND(#REF!,"AAAAAHtv/+o=")</f>
        <v>#REF!</v>
      </c>
      <c r="IB271" t="e">
        <f>IF(#REF!,"AAAAAHtv/+s=",0)</f>
        <v>#REF!</v>
      </c>
      <c r="IC271" t="e">
        <f>AND(#REF!,"AAAAAHtv/+w=")</f>
        <v>#REF!</v>
      </c>
      <c r="ID271" t="e">
        <f>AND(#REF!,"AAAAAHtv/+0=")</f>
        <v>#REF!</v>
      </c>
      <c r="IE271" t="e">
        <f>AND(#REF!,"AAAAAHtv/+4=")</f>
        <v>#REF!</v>
      </c>
      <c r="IF271" t="e">
        <f>AND(#REF!,"AAAAAHtv/+8=")</f>
        <v>#REF!</v>
      </c>
      <c r="IG271" t="e">
        <f>AND(#REF!,"AAAAAHtv//A=")</f>
        <v>#REF!</v>
      </c>
      <c r="IH271" t="e">
        <f>AND(#REF!,"AAAAAHtv//E=")</f>
        <v>#REF!</v>
      </c>
      <c r="II271" t="e">
        <f>AND(#REF!,"AAAAAHtv//I=")</f>
        <v>#REF!</v>
      </c>
      <c r="IJ271" t="e">
        <f>AND(#REF!,"AAAAAHtv//M=")</f>
        <v>#REF!</v>
      </c>
      <c r="IK271" t="e">
        <f>AND(#REF!,"AAAAAHtv//Q=")</f>
        <v>#REF!</v>
      </c>
      <c r="IL271" t="e">
        <f>AND(#REF!,"AAAAAHtv//U=")</f>
        <v>#REF!</v>
      </c>
      <c r="IM271" t="e">
        <f>AND(#REF!,"AAAAAHtv//Y=")</f>
        <v>#REF!</v>
      </c>
      <c r="IN271" t="e">
        <f>AND(#REF!,"AAAAAHtv//c=")</f>
        <v>#REF!</v>
      </c>
      <c r="IO271" t="e">
        <f>AND(#REF!,"AAAAAHtv//g=")</f>
        <v>#REF!</v>
      </c>
      <c r="IP271" t="e">
        <f>AND(#REF!,"AAAAAHtv//k=")</f>
        <v>#REF!</v>
      </c>
      <c r="IQ271" t="e">
        <f>AND(#REF!,"AAAAAHtv//o=")</f>
        <v>#REF!</v>
      </c>
      <c r="IR271" t="e">
        <f>AND(#REF!,"AAAAAHtv//s=")</f>
        <v>#REF!</v>
      </c>
      <c r="IS271" t="e">
        <f>AND(#REF!,"AAAAAHtv//w=")</f>
        <v>#REF!</v>
      </c>
      <c r="IT271" t="e">
        <f>AND(#REF!,"AAAAAHtv//0=")</f>
        <v>#REF!</v>
      </c>
      <c r="IU271" t="e">
        <f>AND(#REF!,"AAAAAHtv//4=")</f>
        <v>#REF!</v>
      </c>
      <c r="IV271" t="e">
        <f>AND(#REF!,"AAAAAHtv//8=")</f>
        <v>#REF!</v>
      </c>
    </row>
    <row r="272" spans="1:256" x14ac:dyDescent="0.25">
      <c r="A272" t="e">
        <f>AND(#REF!,"AAAAAB3S4QA=")</f>
        <v>#REF!</v>
      </c>
      <c r="B272" t="e">
        <f>AND(#REF!,"AAAAAB3S4QE=")</f>
        <v>#REF!</v>
      </c>
      <c r="C272" t="e">
        <f>AND(#REF!,"AAAAAB3S4QI=")</f>
        <v>#REF!</v>
      </c>
      <c r="D272" t="e">
        <f>AND(#REF!,"AAAAAB3S4QM=")</f>
        <v>#REF!</v>
      </c>
      <c r="E272" t="e">
        <f>AND(#REF!,"AAAAAB3S4QQ=")</f>
        <v>#REF!</v>
      </c>
      <c r="F272" t="e">
        <f>AND(#REF!,"AAAAAB3S4QU=")</f>
        <v>#REF!</v>
      </c>
      <c r="G272" t="e">
        <f>AND(#REF!,"AAAAAB3S4QY=")</f>
        <v>#REF!</v>
      </c>
      <c r="H272" t="e">
        <f>AND(#REF!,"AAAAAB3S4Qc=")</f>
        <v>#REF!</v>
      </c>
      <c r="I272" t="e">
        <f>AND(#REF!,"AAAAAB3S4Qg=")</f>
        <v>#REF!</v>
      </c>
      <c r="J272" t="e">
        <f>AND(#REF!,"AAAAAB3S4Qk=")</f>
        <v>#REF!</v>
      </c>
      <c r="K272" t="e">
        <f>AND(#REF!,"AAAAAB3S4Qo=")</f>
        <v>#REF!</v>
      </c>
      <c r="L272" t="e">
        <f>AND(#REF!,"AAAAAB3S4Qs=")</f>
        <v>#REF!</v>
      </c>
      <c r="M272" t="e">
        <f>AND(#REF!,"AAAAAB3S4Qw=")</f>
        <v>#REF!</v>
      </c>
      <c r="N272" t="e">
        <f>AND(#REF!,"AAAAAB3S4Q0=")</f>
        <v>#REF!</v>
      </c>
      <c r="O272" t="e">
        <f>AND(#REF!,"AAAAAB3S4Q4=")</f>
        <v>#REF!</v>
      </c>
      <c r="P272" t="e">
        <f>AND(#REF!,"AAAAAB3S4Q8=")</f>
        <v>#REF!</v>
      </c>
      <c r="Q272" t="e">
        <f>AND(#REF!,"AAAAAB3S4RA=")</f>
        <v>#REF!</v>
      </c>
      <c r="R272" t="e">
        <f>AND(#REF!,"AAAAAB3S4RE=")</f>
        <v>#REF!</v>
      </c>
      <c r="S272" t="e">
        <f>AND(#REF!,"AAAAAB3S4RI=")</f>
        <v>#REF!</v>
      </c>
      <c r="T272" t="e">
        <f>AND(#REF!,"AAAAAB3S4RM=")</f>
        <v>#REF!</v>
      </c>
      <c r="U272" t="e">
        <f>AND(#REF!,"AAAAAB3S4RQ=")</f>
        <v>#REF!</v>
      </c>
      <c r="V272" t="e">
        <f>AND(#REF!,"AAAAAB3S4RU=")</f>
        <v>#REF!</v>
      </c>
      <c r="W272" t="e">
        <f>AND(#REF!,"AAAAAB3S4RY=")</f>
        <v>#REF!</v>
      </c>
      <c r="X272" t="e">
        <f>AND(#REF!,"AAAAAB3S4Rc=")</f>
        <v>#REF!</v>
      </c>
      <c r="Y272" t="e">
        <f>AND(#REF!,"AAAAAB3S4Rg=")</f>
        <v>#REF!</v>
      </c>
      <c r="Z272" t="e">
        <f>AND(#REF!,"AAAAAB3S4Rk=")</f>
        <v>#REF!</v>
      </c>
      <c r="AA272" t="e">
        <f>AND(#REF!,"AAAAAB3S4Ro=")</f>
        <v>#REF!</v>
      </c>
      <c r="AB272" t="e">
        <f>AND(#REF!,"AAAAAB3S4Rs=")</f>
        <v>#REF!</v>
      </c>
      <c r="AC272" t="e">
        <f>AND(#REF!,"AAAAAB3S4Rw=")</f>
        <v>#REF!</v>
      </c>
      <c r="AD272" t="e">
        <f>AND(#REF!,"AAAAAB3S4R0=")</f>
        <v>#REF!</v>
      </c>
      <c r="AE272" t="e">
        <f>AND(#REF!,"AAAAAB3S4R4=")</f>
        <v>#REF!</v>
      </c>
      <c r="AF272" t="e">
        <f>AND(#REF!,"AAAAAB3S4R8=")</f>
        <v>#REF!</v>
      </c>
      <c r="AG272" t="e">
        <f>AND(#REF!,"AAAAAB3S4SA=")</f>
        <v>#REF!</v>
      </c>
      <c r="AH272" t="e">
        <f>AND(#REF!,"AAAAAB3S4SE=")</f>
        <v>#REF!</v>
      </c>
      <c r="AI272" t="e">
        <f>AND(#REF!,"AAAAAB3S4SI=")</f>
        <v>#REF!</v>
      </c>
      <c r="AJ272" t="e">
        <f>AND(#REF!,"AAAAAB3S4SM=")</f>
        <v>#REF!</v>
      </c>
      <c r="AK272" t="e">
        <f>AND(#REF!,"AAAAAB3S4SQ=")</f>
        <v>#REF!</v>
      </c>
      <c r="AL272" t="e">
        <f>AND(#REF!,"AAAAAB3S4SU=")</f>
        <v>#REF!</v>
      </c>
      <c r="AM272" t="e">
        <f>AND(#REF!,"AAAAAB3S4SY=")</f>
        <v>#REF!</v>
      </c>
      <c r="AN272" t="e">
        <f>AND(#REF!,"AAAAAB3S4Sc=")</f>
        <v>#REF!</v>
      </c>
      <c r="AO272" t="e">
        <f>AND(#REF!,"AAAAAB3S4Sg=")</f>
        <v>#REF!</v>
      </c>
      <c r="AP272" t="e">
        <f>AND(#REF!,"AAAAAB3S4Sk=")</f>
        <v>#REF!</v>
      </c>
      <c r="AQ272" t="e">
        <f>AND(#REF!,"AAAAAB3S4So=")</f>
        <v>#REF!</v>
      </c>
      <c r="AR272" t="e">
        <f>AND(#REF!,"AAAAAB3S4Ss=")</f>
        <v>#REF!</v>
      </c>
      <c r="AS272" t="e">
        <f>AND(#REF!,"AAAAAB3S4Sw=")</f>
        <v>#REF!</v>
      </c>
      <c r="AT272" t="e">
        <f>AND(#REF!,"AAAAAB3S4S0=")</f>
        <v>#REF!</v>
      </c>
      <c r="AU272" t="e">
        <f>AND(#REF!,"AAAAAB3S4S4=")</f>
        <v>#REF!</v>
      </c>
      <c r="AV272" t="e">
        <f>AND(#REF!,"AAAAAB3S4S8=")</f>
        <v>#REF!</v>
      </c>
      <c r="AW272" t="e">
        <f>AND(#REF!,"AAAAAB3S4TA=")</f>
        <v>#REF!</v>
      </c>
      <c r="AX272" t="e">
        <f>AND(#REF!,"AAAAAB3S4TE=")</f>
        <v>#REF!</v>
      </c>
      <c r="AY272" t="e">
        <f>AND(#REF!,"AAAAAB3S4TI=")</f>
        <v>#REF!</v>
      </c>
      <c r="AZ272" t="e">
        <f>AND(#REF!,"AAAAAB3S4TM=")</f>
        <v>#REF!</v>
      </c>
      <c r="BA272" t="e">
        <f>AND(#REF!,"AAAAAB3S4TQ=")</f>
        <v>#REF!</v>
      </c>
      <c r="BB272" t="e">
        <f>AND(#REF!,"AAAAAB3S4TU=")</f>
        <v>#REF!</v>
      </c>
      <c r="BC272" t="e">
        <f>AND(#REF!,"AAAAAB3S4TY=")</f>
        <v>#REF!</v>
      </c>
      <c r="BD272" t="e">
        <f>AND(#REF!,"AAAAAB3S4Tc=")</f>
        <v>#REF!</v>
      </c>
      <c r="BE272" t="e">
        <f>AND(#REF!,"AAAAAB3S4Tg=")</f>
        <v>#REF!</v>
      </c>
      <c r="BF272" t="e">
        <f>AND(#REF!,"AAAAAB3S4Tk=")</f>
        <v>#REF!</v>
      </c>
      <c r="BG272" t="e">
        <f>AND(#REF!,"AAAAAB3S4To=")</f>
        <v>#REF!</v>
      </c>
      <c r="BH272" t="e">
        <f>AND(#REF!,"AAAAAB3S4Ts=")</f>
        <v>#REF!</v>
      </c>
      <c r="BI272" t="e">
        <f>AND(#REF!,"AAAAAB3S4Tw=")</f>
        <v>#REF!</v>
      </c>
      <c r="BJ272" t="e">
        <f>AND(#REF!,"AAAAAB3S4T0=")</f>
        <v>#REF!</v>
      </c>
      <c r="BK272" t="e">
        <f>AND(#REF!,"AAAAAB3S4T4=")</f>
        <v>#REF!</v>
      </c>
      <c r="BL272" t="e">
        <f>AND(#REF!,"AAAAAB3S4T8=")</f>
        <v>#REF!</v>
      </c>
      <c r="BM272" t="e">
        <f>AND(#REF!,"AAAAAB3S4UA=")</f>
        <v>#REF!</v>
      </c>
      <c r="BN272" t="e">
        <f>AND(#REF!,"AAAAAB3S4UE=")</f>
        <v>#REF!</v>
      </c>
      <c r="BO272" t="e">
        <f>AND(#REF!,"AAAAAB3S4UI=")</f>
        <v>#REF!</v>
      </c>
      <c r="BP272" t="e">
        <f>AND(#REF!,"AAAAAB3S4UM=")</f>
        <v>#REF!</v>
      </c>
      <c r="BQ272" t="e">
        <f>AND(#REF!,"AAAAAB3S4UQ=")</f>
        <v>#REF!</v>
      </c>
      <c r="BR272" t="e">
        <f>AND(#REF!,"AAAAAB3S4UU=")</f>
        <v>#REF!</v>
      </c>
      <c r="BS272" t="e">
        <f>AND(#REF!,"AAAAAB3S4UY=")</f>
        <v>#REF!</v>
      </c>
      <c r="BT272" t="e">
        <f>AND(#REF!,"AAAAAB3S4Uc=")</f>
        <v>#REF!</v>
      </c>
      <c r="BU272" t="e">
        <f>AND(#REF!,"AAAAAB3S4Ug=")</f>
        <v>#REF!</v>
      </c>
      <c r="BV272" t="e">
        <f>AND(#REF!,"AAAAAB3S4Uk=")</f>
        <v>#REF!</v>
      </c>
      <c r="BW272" t="e">
        <f>AND(#REF!,"AAAAAB3S4Uo=")</f>
        <v>#REF!</v>
      </c>
      <c r="BX272" t="e">
        <f>AND(#REF!,"AAAAAB3S4Us=")</f>
        <v>#REF!</v>
      </c>
      <c r="BY272" t="e">
        <f>AND(#REF!,"AAAAAB3S4Uw=")</f>
        <v>#REF!</v>
      </c>
      <c r="BZ272" t="e">
        <f>AND(#REF!,"AAAAAB3S4U0=")</f>
        <v>#REF!</v>
      </c>
      <c r="CA272" t="e">
        <f>AND(#REF!,"AAAAAB3S4U4=")</f>
        <v>#REF!</v>
      </c>
      <c r="CB272" t="e">
        <f>AND(#REF!,"AAAAAB3S4U8=")</f>
        <v>#REF!</v>
      </c>
      <c r="CC272" t="e">
        <f>AND(#REF!,"AAAAAB3S4VA=")</f>
        <v>#REF!</v>
      </c>
      <c r="CD272" t="e">
        <f>AND(#REF!,"AAAAAB3S4VE=")</f>
        <v>#REF!</v>
      </c>
      <c r="CE272" t="e">
        <f>AND(#REF!,"AAAAAB3S4VI=")</f>
        <v>#REF!</v>
      </c>
      <c r="CF272" t="e">
        <f>AND(#REF!,"AAAAAB3S4VM=")</f>
        <v>#REF!</v>
      </c>
      <c r="CG272" t="e">
        <f>AND(#REF!,"AAAAAB3S4VQ=")</f>
        <v>#REF!</v>
      </c>
      <c r="CH272" t="e">
        <f>AND(#REF!,"AAAAAB3S4VU=")</f>
        <v>#REF!</v>
      </c>
      <c r="CI272" t="e">
        <f>AND(#REF!,"AAAAAB3S4VY=")</f>
        <v>#REF!</v>
      </c>
      <c r="CJ272" t="e">
        <f>AND(#REF!,"AAAAAB3S4Vc=")</f>
        <v>#REF!</v>
      </c>
      <c r="CK272" t="e">
        <f>AND(#REF!,"AAAAAB3S4Vg=")</f>
        <v>#REF!</v>
      </c>
      <c r="CL272" t="e">
        <f>AND(#REF!,"AAAAAB3S4Vk=")</f>
        <v>#REF!</v>
      </c>
      <c r="CM272" t="e">
        <f>AND(#REF!,"AAAAAB3S4Vo=")</f>
        <v>#REF!</v>
      </c>
      <c r="CN272" t="e">
        <f>AND(#REF!,"AAAAAB3S4Vs=")</f>
        <v>#REF!</v>
      </c>
      <c r="CO272" t="e">
        <f>AND(#REF!,"AAAAAB3S4Vw=")</f>
        <v>#REF!</v>
      </c>
      <c r="CP272" t="e">
        <f>AND(#REF!,"AAAAAB3S4V0=")</f>
        <v>#REF!</v>
      </c>
      <c r="CQ272" t="e">
        <f>AND(#REF!,"AAAAAB3S4V4=")</f>
        <v>#REF!</v>
      </c>
      <c r="CR272" t="e">
        <f>AND(#REF!,"AAAAAB3S4V8=")</f>
        <v>#REF!</v>
      </c>
      <c r="CS272" t="e">
        <f>AND(#REF!,"AAAAAB3S4WA=")</f>
        <v>#REF!</v>
      </c>
      <c r="CT272" t="e">
        <f>AND(#REF!,"AAAAAB3S4WE=")</f>
        <v>#REF!</v>
      </c>
      <c r="CU272" t="e">
        <f>AND(#REF!,"AAAAAB3S4WI=")</f>
        <v>#REF!</v>
      </c>
      <c r="CV272" t="e">
        <f>AND(#REF!,"AAAAAB3S4WM=")</f>
        <v>#REF!</v>
      </c>
      <c r="CW272" t="e">
        <f>AND(#REF!,"AAAAAB3S4WQ=")</f>
        <v>#REF!</v>
      </c>
      <c r="CX272" t="e">
        <f>AND(#REF!,"AAAAAB3S4WU=")</f>
        <v>#REF!</v>
      </c>
      <c r="CY272" t="e">
        <f>AND(#REF!,"AAAAAB3S4WY=")</f>
        <v>#REF!</v>
      </c>
      <c r="CZ272" t="e">
        <f>AND(#REF!,"AAAAAB3S4Wc=")</f>
        <v>#REF!</v>
      </c>
      <c r="DA272" t="e">
        <f>AND(#REF!,"AAAAAB3S4Wg=")</f>
        <v>#REF!</v>
      </c>
      <c r="DB272" t="e">
        <f>AND(#REF!,"AAAAAB3S4Wk=")</f>
        <v>#REF!</v>
      </c>
      <c r="DC272" t="e">
        <f>AND(#REF!,"AAAAAB3S4Wo=")</f>
        <v>#REF!</v>
      </c>
      <c r="DD272" t="e">
        <f>AND(#REF!,"AAAAAB3S4Ws=")</f>
        <v>#REF!</v>
      </c>
      <c r="DE272" t="e">
        <f>AND(#REF!,"AAAAAB3S4Ww=")</f>
        <v>#REF!</v>
      </c>
      <c r="DF272" t="e">
        <f>AND(#REF!,"AAAAAB3S4W0=")</f>
        <v>#REF!</v>
      </c>
      <c r="DG272" t="e">
        <f>AND(#REF!,"AAAAAB3S4W4=")</f>
        <v>#REF!</v>
      </c>
      <c r="DH272" t="e">
        <f>AND(#REF!,"AAAAAB3S4W8=")</f>
        <v>#REF!</v>
      </c>
      <c r="DI272" t="e">
        <f>AND(#REF!,"AAAAAB3S4XA=")</f>
        <v>#REF!</v>
      </c>
      <c r="DJ272" t="e">
        <f>AND(#REF!,"AAAAAB3S4XE=")</f>
        <v>#REF!</v>
      </c>
      <c r="DK272" t="e">
        <f>AND(#REF!,"AAAAAB3S4XI=")</f>
        <v>#REF!</v>
      </c>
      <c r="DL272" t="e">
        <f>AND(#REF!,"AAAAAB3S4XM=")</f>
        <v>#REF!</v>
      </c>
      <c r="DM272" t="e">
        <f>AND(#REF!,"AAAAAB3S4XQ=")</f>
        <v>#REF!</v>
      </c>
      <c r="DN272" t="e">
        <f>AND(#REF!,"AAAAAB3S4XU=")</f>
        <v>#REF!</v>
      </c>
      <c r="DO272" t="e">
        <f>AND(#REF!,"AAAAAB3S4XY=")</f>
        <v>#REF!</v>
      </c>
      <c r="DP272" t="e">
        <f>AND(#REF!,"AAAAAB3S4Xc=")</f>
        <v>#REF!</v>
      </c>
      <c r="DQ272" t="e">
        <f>AND(#REF!,"AAAAAB3S4Xg=")</f>
        <v>#REF!</v>
      </c>
      <c r="DR272" t="e">
        <f>AND(#REF!,"AAAAAB3S4Xk=")</f>
        <v>#REF!</v>
      </c>
      <c r="DS272" t="e">
        <f>AND(#REF!,"AAAAAB3S4Xo=")</f>
        <v>#REF!</v>
      </c>
      <c r="DT272" t="e">
        <f>AND(#REF!,"AAAAAB3S4Xs=")</f>
        <v>#REF!</v>
      </c>
      <c r="DU272" t="e">
        <f>AND(#REF!,"AAAAAB3S4Xw=")</f>
        <v>#REF!</v>
      </c>
      <c r="DV272" t="e">
        <f>AND(#REF!,"AAAAAB3S4X0=")</f>
        <v>#REF!</v>
      </c>
      <c r="DW272" t="e">
        <f>AND(#REF!,"AAAAAB3S4X4=")</f>
        <v>#REF!</v>
      </c>
      <c r="DX272" t="e">
        <f>AND(#REF!,"AAAAAB3S4X8=")</f>
        <v>#REF!</v>
      </c>
      <c r="DY272" t="e">
        <f>AND(#REF!,"AAAAAB3S4YA=")</f>
        <v>#REF!</v>
      </c>
      <c r="DZ272" t="e">
        <f>AND(#REF!,"AAAAAB3S4YE=")</f>
        <v>#REF!</v>
      </c>
      <c r="EA272" t="e">
        <f>AND(#REF!,"AAAAAB3S4YI=")</f>
        <v>#REF!</v>
      </c>
      <c r="EB272" t="e">
        <f>AND(#REF!,"AAAAAB3S4YM=")</f>
        <v>#REF!</v>
      </c>
      <c r="EC272" t="e">
        <f>AND(#REF!,"AAAAAB3S4YQ=")</f>
        <v>#REF!</v>
      </c>
      <c r="ED272" t="e">
        <f>AND(#REF!,"AAAAAB3S4YU=")</f>
        <v>#REF!</v>
      </c>
      <c r="EE272" t="e">
        <f>AND(#REF!,"AAAAAB3S4YY=")</f>
        <v>#REF!</v>
      </c>
      <c r="EF272" t="e">
        <f>AND(#REF!,"AAAAAB3S4Yc=")</f>
        <v>#REF!</v>
      </c>
      <c r="EG272" t="e">
        <f>AND(#REF!,"AAAAAB3S4Yg=")</f>
        <v>#REF!</v>
      </c>
      <c r="EH272" t="e">
        <f>AND(#REF!,"AAAAAB3S4Yk=")</f>
        <v>#REF!</v>
      </c>
      <c r="EI272" t="e">
        <f>AND(#REF!,"AAAAAB3S4Yo=")</f>
        <v>#REF!</v>
      </c>
      <c r="EJ272" t="e">
        <f>AND(#REF!,"AAAAAB3S4Ys=")</f>
        <v>#REF!</v>
      </c>
      <c r="EK272" t="e">
        <f>AND(#REF!,"AAAAAB3S4Yw=")</f>
        <v>#REF!</v>
      </c>
      <c r="EL272" t="e">
        <f>AND(#REF!,"AAAAAB3S4Y0=")</f>
        <v>#REF!</v>
      </c>
      <c r="EM272" t="e">
        <f>AND(#REF!,"AAAAAB3S4Y4=")</f>
        <v>#REF!</v>
      </c>
      <c r="EN272" t="e">
        <f>AND(#REF!,"AAAAAB3S4Y8=")</f>
        <v>#REF!</v>
      </c>
      <c r="EO272" t="e">
        <f>AND(#REF!,"AAAAAB3S4ZA=")</f>
        <v>#REF!</v>
      </c>
      <c r="EP272" t="e">
        <f>AND(#REF!,"AAAAAB3S4ZE=")</f>
        <v>#REF!</v>
      </c>
      <c r="EQ272" t="e">
        <f>AND(#REF!,"AAAAAB3S4ZI=")</f>
        <v>#REF!</v>
      </c>
      <c r="ER272" t="e">
        <f>AND(#REF!,"AAAAAB3S4ZM=")</f>
        <v>#REF!</v>
      </c>
      <c r="ES272" t="e">
        <f>AND(#REF!,"AAAAAB3S4ZQ=")</f>
        <v>#REF!</v>
      </c>
      <c r="ET272" t="e">
        <f>AND(#REF!,"AAAAAB3S4ZU=")</f>
        <v>#REF!</v>
      </c>
      <c r="EU272" t="e">
        <f>AND(#REF!,"AAAAAB3S4ZY=")</f>
        <v>#REF!</v>
      </c>
      <c r="EV272" t="e">
        <f>AND(#REF!,"AAAAAB3S4Zc=")</f>
        <v>#REF!</v>
      </c>
      <c r="EW272" t="e">
        <f>AND(#REF!,"AAAAAB3S4Zg=")</f>
        <v>#REF!</v>
      </c>
      <c r="EX272" t="e">
        <f>AND(#REF!,"AAAAAB3S4Zk=")</f>
        <v>#REF!</v>
      </c>
      <c r="EY272" t="e">
        <f>AND(#REF!,"AAAAAB3S4Zo=")</f>
        <v>#REF!</v>
      </c>
      <c r="EZ272" t="e">
        <f>AND(#REF!,"AAAAAB3S4Zs=")</f>
        <v>#REF!</v>
      </c>
      <c r="FA272" t="e">
        <f>AND(#REF!,"AAAAAB3S4Zw=")</f>
        <v>#REF!</v>
      </c>
      <c r="FB272" t="e">
        <f>AND(#REF!,"AAAAAB3S4Z0=")</f>
        <v>#REF!</v>
      </c>
      <c r="FC272" t="e">
        <f>AND(#REF!,"AAAAAB3S4Z4=")</f>
        <v>#REF!</v>
      </c>
      <c r="FD272" t="e">
        <f>AND(#REF!,"AAAAAB3S4Z8=")</f>
        <v>#REF!</v>
      </c>
      <c r="FE272" t="e">
        <f>AND(#REF!,"AAAAAB3S4aA=")</f>
        <v>#REF!</v>
      </c>
      <c r="FF272" t="e">
        <f>AND(#REF!,"AAAAAB3S4aE=")</f>
        <v>#REF!</v>
      </c>
      <c r="FG272" t="e">
        <f>AND(#REF!,"AAAAAB3S4aI=")</f>
        <v>#REF!</v>
      </c>
      <c r="FH272" t="e">
        <f>AND(#REF!,"AAAAAB3S4aM=")</f>
        <v>#REF!</v>
      </c>
      <c r="FI272" t="e">
        <f>AND(#REF!,"AAAAAB3S4aQ=")</f>
        <v>#REF!</v>
      </c>
      <c r="FJ272" t="e">
        <f>AND(#REF!,"AAAAAB3S4aU=")</f>
        <v>#REF!</v>
      </c>
      <c r="FK272" t="e">
        <f>AND(#REF!,"AAAAAB3S4aY=")</f>
        <v>#REF!</v>
      </c>
      <c r="FL272" t="e">
        <f>AND(#REF!,"AAAAAB3S4ac=")</f>
        <v>#REF!</v>
      </c>
      <c r="FM272" t="e">
        <f>IF(#REF!,"AAAAAB3S4ag=",0)</f>
        <v>#REF!</v>
      </c>
      <c r="FN272" t="e">
        <f>AND(#REF!,"AAAAAB3S4ak=")</f>
        <v>#REF!</v>
      </c>
      <c r="FO272" t="e">
        <f>AND(#REF!,"AAAAAB3S4ao=")</f>
        <v>#REF!</v>
      </c>
      <c r="FP272" t="e">
        <f>AND(#REF!,"AAAAAB3S4as=")</f>
        <v>#REF!</v>
      </c>
      <c r="FQ272" t="e">
        <f>AND(#REF!,"AAAAAB3S4aw=")</f>
        <v>#REF!</v>
      </c>
      <c r="FR272" t="e">
        <f>AND(#REF!,"AAAAAB3S4a0=")</f>
        <v>#REF!</v>
      </c>
      <c r="FS272" t="e">
        <f>AND(#REF!,"AAAAAB3S4a4=")</f>
        <v>#REF!</v>
      </c>
      <c r="FT272" t="e">
        <f>AND(#REF!,"AAAAAB3S4a8=")</f>
        <v>#REF!</v>
      </c>
      <c r="FU272" t="e">
        <f>AND(#REF!,"AAAAAB3S4bA=")</f>
        <v>#REF!</v>
      </c>
      <c r="FV272" t="e">
        <f>AND(#REF!,"AAAAAB3S4bE=")</f>
        <v>#REF!</v>
      </c>
      <c r="FW272" t="e">
        <f>AND(#REF!,"AAAAAB3S4bI=")</f>
        <v>#REF!</v>
      </c>
      <c r="FX272" t="e">
        <f>AND(#REF!,"AAAAAB3S4bM=")</f>
        <v>#REF!</v>
      </c>
      <c r="FY272" t="e">
        <f>AND(#REF!,"AAAAAB3S4bQ=")</f>
        <v>#REF!</v>
      </c>
      <c r="FZ272" t="e">
        <f>AND(#REF!,"AAAAAB3S4bU=")</f>
        <v>#REF!</v>
      </c>
      <c r="GA272" t="e">
        <f>AND(#REF!,"AAAAAB3S4bY=")</f>
        <v>#REF!</v>
      </c>
      <c r="GB272" t="e">
        <f>AND(#REF!,"AAAAAB3S4bc=")</f>
        <v>#REF!</v>
      </c>
      <c r="GC272" t="e">
        <f>AND(#REF!,"AAAAAB3S4bg=")</f>
        <v>#REF!</v>
      </c>
      <c r="GD272" t="e">
        <f>AND(#REF!,"AAAAAB3S4bk=")</f>
        <v>#REF!</v>
      </c>
      <c r="GE272" t="e">
        <f>AND(#REF!,"AAAAAB3S4bo=")</f>
        <v>#REF!</v>
      </c>
      <c r="GF272" t="e">
        <f>AND(#REF!,"AAAAAB3S4bs=")</f>
        <v>#REF!</v>
      </c>
      <c r="GG272" t="e">
        <f>AND(#REF!,"AAAAAB3S4bw=")</f>
        <v>#REF!</v>
      </c>
      <c r="GH272" t="e">
        <f>AND(#REF!,"AAAAAB3S4b0=")</f>
        <v>#REF!</v>
      </c>
      <c r="GI272" t="e">
        <f>AND(#REF!,"AAAAAB3S4b4=")</f>
        <v>#REF!</v>
      </c>
      <c r="GJ272" t="e">
        <f>AND(#REF!,"AAAAAB3S4b8=")</f>
        <v>#REF!</v>
      </c>
      <c r="GK272" t="e">
        <f>AND(#REF!,"AAAAAB3S4cA=")</f>
        <v>#REF!</v>
      </c>
      <c r="GL272" t="e">
        <f>AND(#REF!,"AAAAAB3S4cE=")</f>
        <v>#REF!</v>
      </c>
      <c r="GM272" t="e">
        <f>AND(#REF!,"AAAAAB3S4cI=")</f>
        <v>#REF!</v>
      </c>
      <c r="GN272" t="e">
        <f>AND(#REF!,"AAAAAB3S4cM=")</f>
        <v>#REF!</v>
      </c>
      <c r="GO272" t="e">
        <f>AND(#REF!,"AAAAAB3S4cQ=")</f>
        <v>#REF!</v>
      </c>
      <c r="GP272" t="e">
        <f>AND(#REF!,"AAAAAB3S4cU=")</f>
        <v>#REF!</v>
      </c>
      <c r="GQ272" t="e">
        <f>AND(#REF!,"AAAAAB3S4cY=")</f>
        <v>#REF!</v>
      </c>
      <c r="GR272" t="e">
        <f>AND(#REF!,"AAAAAB3S4cc=")</f>
        <v>#REF!</v>
      </c>
      <c r="GS272" t="e">
        <f>AND(#REF!,"AAAAAB3S4cg=")</f>
        <v>#REF!</v>
      </c>
      <c r="GT272" t="e">
        <f>AND(#REF!,"AAAAAB3S4ck=")</f>
        <v>#REF!</v>
      </c>
      <c r="GU272" t="e">
        <f>AND(#REF!,"AAAAAB3S4co=")</f>
        <v>#REF!</v>
      </c>
      <c r="GV272" t="e">
        <f>AND(#REF!,"AAAAAB3S4cs=")</f>
        <v>#REF!</v>
      </c>
      <c r="GW272" t="e">
        <f>AND(#REF!,"AAAAAB3S4cw=")</f>
        <v>#REF!</v>
      </c>
      <c r="GX272" t="e">
        <f>AND(#REF!,"AAAAAB3S4c0=")</f>
        <v>#REF!</v>
      </c>
      <c r="GY272" t="e">
        <f>AND(#REF!,"AAAAAB3S4c4=")</f>
        <v>#REF!</v>
      </c>
      <c r="GZ272" t="e">
        <f>AND(#REF!,"AAAAAB3S4c8=")</f>
        <v>#REF!</v>
      </c>
      <c r="HA272" t="e">
        <f>AND(#REF!,"AAAAAB3S4dA=")</f>
        <v>#REF!</v>
      </c>
      <c r="HB272" t="e">
        <f>AND(#REF!,"AAAAAB3S4dE=")</f>
        <v>#REF!</v>
      </c>
      <c r="HC272" t="e">
        <f>AND(#REF!,"AAAAAB3S4dI=")</f>
        <v>#REF!</v>
      </c>
      <c r="HD272" t="e">
        <f>AND(#REF!,"AAAAAB3S4dM=")</f>
        <v>#REF!</v>
      </c>
      <c r="HE272" t="e">
        <f>AND(#REF!,"AAAAAB3S4dQ=")</f>
        <v>#REF!</v>
      </c>
      <c r="HF272" t="e">
        <f>AND(#REF!,"AAAAAB3S4dU=")</f>
        <v>#REF!</v>
      </c>
      <c r="HG272" t="e">
        <f>AND(#REF!,"AAAAAB3S4dY=")</f>
        <v>#REF!</v>
      </c>
      <c r="HH272" t="e">
        <f>AND(#REF!,"AAAAAB3S4dc=")</f>
        <v>#REF!</v>
      </c>
      <c r="HI272" t="e">
        <f>AND(#REF!,"AAAAAB3S4dg=")</f>
        <v>#REF!</v>
      </c>
      <c r="HJ272" t="e">
        <f>AND(#REF!,"AAAAAB3S4dk=")</f>
        <v>#REF!</v>
      </c>
      <c r="HK272" t="e">
        <f>AND(#REF!,"AAAAAB3S4do=")</f>
        <v>#REF!</v>
      </c>
      <c r="HL272" t="e">
        <f>AND(#REF!,"AAAAAB3S4ds=")</f>
        <v>#REF!</v>
      </c>
      <c r="HM272" t="e">
        <f>AND(#REF!,"AAAAAB3S4dw=")</f>
        <v>#REF!</v>
      </c>
      <c r="HN272" t="e">
        <f>AND(#REF!,"AAAAAB3S4d0=")</f>
        <v>#REF!</v>
      </c>
      <c r="HO272" t="e">
        <f>AND(#REF!,"AAAAAB3S4d4=")</f>
        <v>#REF!</v>
      </c>
      <c r="HP272" t="e">
        <f>AND(#REF!,"AAAAAB3S4d8=")</f>
        <v>#REF!</v>
      </c>
      <c r="HQ272" t="e">
        <f>AND(#REF!,"AAAAAB3S4eA=")</f>
        <v>#REF!</v>
      </c>
      <c r="HR272" t="e">
        <f>AND(#REF!,"AAAAAB3S4eE=")</f>
        <v>#REF!</v>
      </c>
      <c r="HS272" t="e">
        <f>AND(#REF!,"AAAAAB3S4eI=")</f>
        <v>#REF!</v>
      </c>
      <c r="HT272" t="e">
        <f>AND(#REF!,"AAAAAB3S4eM=")</f>
        <v>#REF!</v>
      </c>
      <c r="HU272" t="e">
        <f>AND(#REF!,"AAAAAB3S4eQ=")</f>
        <v>#REF!</v>
      </c>
      <c r="HV272" t="e">
        <f>AND(#REF!,"AAAAAB3S4eU=")</f>
        <v>#REF!</v>
      </c>
      <c r="HW272" t="e">
        <f>AND(#REF!,"AAAAAB3S4eY=")</f>
        <v>#REF!</v>
      </c>
      <c r="HX272" t="e">
        <f>AND(#REF!,"AAAAAB3S4ec=")</f>
        <v>#REF!</v>
      </c>
      <c r="HY272" t="e">
        <f>AND(#REF!,"AAAAAB3S4eg=")</f>
        <v>#REF!</v>
      </c>
      <c r="HZ272" t="e">
        <f>AND(#REF!,"AAAAAB3S4ek=")</f>
        <v>#REF!</v>
      </c>
      <c r="IA272" t="e">
        <f>AND(#REF!,"AAAAAB3S4eo=")</f>
        <v>#REF!</v>
      </c>
      <c r="IB272" t="e">
        <f>AND(#REF!,"AAAAAB3S4es=")</f>
        <v>#REF!</v>
      </c>
      <c r="IC272" t="e">
        <f>AND(#REF!,"AAAAAB3S4ew=")</f>
        <v>#REF!</v>
      </c>
      <c r="ID272" t="e">
        <f>AND(#REF!,"AAAAAB3S4e0=")</f>
        <v>#REF!</v>
      </c>
      <c r="IE272" t="e">
        <f>AND(#REF!,"AAAAAB3S4e4=")</f>
        <v>#REF!</v>
      </c>
      <c r="IF272" t="e">
        <f>AND(#REF!,"AAAAAB3S4e8=")</f>
        <v>#REF!</v>
      </c>
      <c r="IG272" t="e">
        <f>AND(#REF!,"AAAAAB3S4fA=")</f>
        <v>#REF!</v>
      </c>
      <c r="IH272" t="e">
        <f>AND(#REF!,"AAAAAB3S4fE=")</f>
        <v>#REF!</v>
      </c>
      <c r="II272" t="e">
        <f>AND(#REF!,"AAAAAB3S4fI=")</f>
        <v>#REF!</v>
      </c>
      <c r="IJ272" t="e">
        <f>AND(#REF!,"AAAAAB3S4fM=")</f>
        <v>#REF!</v>
      </c>
      <c r="IK272" t="e">
        <f>AND(#REF!,"AAAAAB3S4fQ=")</f>
        <v>#REF!</v>
      </c>
      <c r="IL272" t="e">
        <f>AND(#REF!,"AAAAAB3S4fU=")</f>
        <v>#REF!</v>
      </c>
      <c r="IM272" t="e">
        <f>AND(#REF!,"AAAAAB3S4fY=")</f>
        <v>#REF!</v>
      </c>
      <c r="IN272" t="e">
        <f>AND(#REF!,"AAAAAB3S4fc=")</f>
        <v>#REF!</v>
      </c>
      <c r="IO272" t="e">
        <f>AND(#REF!,"AAAAAB3S4fg=")</f>
        <v>#REF!</v>
      </c>
      <c r="IP272" t="e">
        <f>AND(#REF!,"AAAAAB3S4fk=")</f>
        <v>#REF!</v>
      </c>
      <c r="IQ272" t="e">
        <f>AND(#REF!,"AAAAAB3S4fo=")</f>
        <v>#REF!</v>
      </c>
      <c r="IR272" t="e">
        <f>AND(#REF!,"AAAAAB3S4fs=")</f>
        <v>#REF!</v>
      </c>
      <c r="IS272" t="e">
        <f>AND(#REF!,"AAAAAB3S4fw=")</f>
        <v>#REF!</v>
      </c>
      <c r="IT272" t="e">
        <f>AND(#REF!,"AAAAAB3S4f0=")</f>
        <v>#REF!</v>
      </c>
      <c r="IU272" t="e">
        <f>AND(#REF!,"AAAAAB3S4f4=")</f>
        <v>#REF!</v>
      </c>
      <c r="IV272" t="e">
        <f>AND(#REF!,"AAAAAB3S4f8=")</f>
        <v>#REF!</v>
      </c>
    </row>
    <row r="273" spans="1:256" x14ac:dyDescent="0.25">
      <c r="A273" t="e">
        <f>AND(#REF!,"AAAAAHHc/QA=")</f>
        <v>#REF!</v>
      </c>
      <c r="B273" t="e">
        <f>AND(#REF!,"AAAAAHHc/QE=")</f>
        <v>#REF!</v>
      </c>
      <c r="C273" t="e">
        <f>AND(#REF!,"AAAAAHHc/QI=")</f>
        <v>#REF!</v>
      </c>
      <c r="D273" t="e">
        <f>AND(#REF!,"AAAAAHHc/QM=")</f>
        <v>#REF!</v>
      </c>
      <c r="E273" t="e">
        <f>AND(#REF!,"AAAAAHHc/QQ=")</f>
        <v>#REF!</v>
      </c>
      <c r="F273" t="e">
        <f>AND(#REF!,"AAAAAHHc/QU=")</f>
        <v>#REF!</v>
      </c>
      <c r="G273" t="e">
        <f>AND(#REF!,"AAAAAHHc/QY=")</f>
        <v>#REF!</v>
      </c>
      <c r="H273" t="e">
        <f>AND(#REF!,"AAAAAHHc/Qc=")</f>
        <v>#REF!</v>
      </c>
      <c r="I273" t="e">
        <f>AND(#REF!,"AAAAAHHc/Qg=")</f>
        <v>#REF!</v>
      </c>
      <c r="J273" t="e">
        <f>AND(#REF!,"AAAAAHHc/Qk=")</f>
        <v>#REF!</v>
      </c>
      <c r="K273" t="e">
        <f>AND(#REF!,"AAAAAHHc/Qo=")</f>
        <v>#REF!</v>
      </c>
      <c r="L273" t="e">
        <f>AND(#REF!,"AAAAAHHc/Qs=")</f>
        <v>#REF!</v>
      </c>
      <c r="M273" t="e">
        <f>AND(#REF!,"AAAAAHHc/Qw=")</f>
        <v>#REF!</v>
      </c>
      <c r="N273" t="e">
        <f>AND(#REF!,"AAAAAHHc/Q0=")</f>
        <v>#REF!</v>
      </c>
      <c r="O273" t="e">
        <f>AND(#REF!,"AAAAAHHc/Q4=")</f>
        <v>#REF!</v>
      </c>
      <c r="P273" t="e">
        <f>AND(#REF!,"AAAAAHHc/Q8=")</f>
        <v>#REF!</v>
      </c>
      <c r="Q273" t="e">
        <f>AND(#REF!,"AAAAAHHc/RA=")</f>
        <v>#REF!</v>
      </c>
      <c r="R273" t="e">
        <f>AND(#REF!,"AAAAAHHc/RE=")</f>
        <v>#REF!</v>
      </c>
      <c r="S273" t="e">
        <f>AND(#REF!,"AAAAAHHc/RI=")</f>
        <v>#REF!</v>
      </c>
      <c r="T273" t="e">
        <f>AND(#REF!,"AAAAAHHc/RM=")</f>
        <v>#REF!</v>
      </c>
      <c r="U273" t="e">
        <f>AND(#REF!,"AAAAAHHc/RQ=")</f>
        <v>#REF!</v>
      </c>
      <c r="V273" t="e">
        <f>AND(#REF!,"AAAAAHHc/RU=")</f>
        <v>#REF!</v>
      </c>
      <c r="W273" t="e">
        <f>AND(#REF!,"AAAAAHHc/RY=")</f>
        <v>#REF!</v>
      </c>
      <c r="X273" t="e">
        <f>AND(#REF!,"AAAAAHHc/Rc=")</f>
        <v>#REF!</v>
      </c>
      <c r="Y273" t="e">
        <f>AND(#REF!,"AAAAAHHc/Rg=")</f>
        <v>#REF!</v>
      </c>
      <c r="Z273" t="e">
        <f>AND(#REF!,"AAAAAHHc/Rk=")</f>
        <v>#REF!</v>
      </c>
      <c r="AA273" t="e">
        <f>AND(#REF!,"AAAAAHHc/Ro=")</f>
        <v>#REF!</v>
      </c>
      <c r="AB273" t="e">
        <f>AND(#REF!,"AAAAAHHc/Rs=")</f>
        <v>#REF!</v>
      </c>
      <c r="AC273" t="e">
        <f>AND(#REF!,"AAAAAHHc/Rw=")</f>
        <v>#REF!</v>
      </c>
      <c r="AD273" t="e">
        <f>AND(#REF!,"AAAAAHHc/R0=")</f>
        <v>#REF!</v>
      </c>
      <c r="AE273" t="e">
        <f>AND(#REF!,"AAAAAHHc/R4=")</f>
        <v>#REF!</v>
      </c>
      <c r="AF273" t="e">
        <f>AND(#REF!,"AAAAAHHc/R8=")</f>
        <v>#REF!</v>
      </c>
      <c r="AG273" t="e">
        <f>AND(#REF!,"AAAAAHHc/SA=")</f>
        <v>#REF!</v>
      </c>
      <c r="AH273" t="e">
        <f>AND(#REF!,"AAAAAHHc/SE=")</f>
        <v>#REF!</v>
      </c>
      <c r="AI273" t="e">
        <f>AND(#REF!,"AAAAAHHc/SI=")</f>
        <v>#REF!</v>
      </c>
      <c r="AJ273" t="e">
        <f>AND(#REF!,"AAAAAHHc/SM=")</f>
        <v>#REF!</v>
      </c>
      <c r="AK273" t="e">
        <f>AND(#REF!,"AAAAAHHc/SQ=")</f>
        <v>#REF!</v>
      </c>
      <c r="AL273" t="e">
        <f>AND(#REF!,"AAAAAHHc/SU=")</f>
        <v>#REF!</v>
      </c>
      <c r="AM273" t="e">
        <f>AND(#REF!,"AAAAAHHc/SY=")</f>
        <v>#REF!</v>
      </c>
      <c r="AN273" t="e">
        <f>AND(#REF!,"AAAAAHHc/Sc=")</f>
        <v>#REF!</v>
      </c>
      <c r="AO273" t="e">
        <f>AND(#REF!,"AAAAAHHc/Sg=")</f>
        <v>#REF!</v>
      </c>
      <c r="AP273" t="e">
        <f>AND(#REF!,"AAAAAHHc/Sk=")</f>
        <v>#REF!</v>
      </c>
      <c r="AQ273" t="e">
        <f>AND(#REF!,"AAAAAHHc/So=")</f>
        <v>#REF!</v>
      </c>
      <c r="AR273" t="e">
        <f>AND(#REF!,"AAAAAHHc/Ss=")</f>
        <v>#REF!</v>
      </c>
      <c r="AS273" t="e">
        <f>AND(#REF!,"AAAAAHHc/Sw=")</f>
        <v>#REF!</v>
      </c>
      <c r="AT273" t="e">
        <f>AND(#REF!,"AAAAAHHc/S0=")</f>
        <v>#REF!</v>
      </c>
      <c r="AU273" t="e">
        <f>AND(#REF!,"AAAAAHHc/S4=")</f>
        <v>#REF!</v>
      </c>
      <c r="AV273" t="e">
        <f>AND(#REF!,"AAAAAHHc/S8=")</f>
        <v>#REF!</v>
      </c>
      <c r="AW273" t="e">
        <f>AND(#REF!,"AAAAAHHc/TA=")</f>
        <v>#REF!</v>
      </c>
      <c r="AX273" t="e">
        <f>AND(#REF!,"AAAAAHHc/TE=")</f>
        <v>#REF!</v>
      </c>
      <c r="AY273" t="e">
        <f>AND(#REF!,"AAAAAHHc/TI=")</f>
        <v>#REF!</v>
      </c>
      <c r="AZ273" t="e">
        <f>AND(#REF!,"AAAAAHHc/TM=")</f>
        <v>#REF!</v>
      </c>
      <c r="BA273" t="e">
        <f>AND(#REF!,"AAAAAHHc/TQ=")</f>
        <v>#REF!</v>
      </c>
      <c r="BB273" t="e">
        <f>AND(#REF!,"AAAAAHHc/TU=")</f>
        <v>#REF!</v>
      </c>
      <c r="BC273" t="e">
        <f>AND(#REF!,"AAAAAHHc/TY=")</f>
        <v>#REF!</v>
      </c>
      <c r="BD273" t="e">
        <f>AND(#REF!,"AAAAAHHc/Tc=")</f>
        <v>#REF!</v>
      </c>
      <c r="BE273" t="e">
        <f>AND(#REF!,"AAAAAHHc/Tg=")</f>
        <v>#REF!</v>
      </c>
      <c r="BF273" t="e">
        <f>AND(#REF!,"AAAAAHHc/Tk=")</f>
        <v>#REF!</v>
      </c>
      <c r="BG273" t="e">
        <f>AND(#REF!,"AAAAAHHc/To=")</f>
        <v>#REF!</v>
      </c>
      <c r="BH273" t="e">
        <f>AND(#REF!,"AAAAAHHc/Ts=")</f>
        <v>#REF!</v>
      </c>
      <c r="BI273" t="e">
        <f>AND(#REF!,"AAAAAHHc/Tw=")</f>
        <v>#REF!</v>
      </c>
      <c r="BJ273" t="e">
        <f>AND(#REF!,"AAAAAHHc/T0=")</f>
        <v>#REF!</v>
      </c>
      <c r="BK273" t="e">
        <f>AND(#REF!,"AAAAAHHc/T4=")</f>
        <v>#REF!</v>
      </c>
      <c r="BL273" t="e">
        <f>AND(#REF!,"AAAAAHHc/T8=")</f>
        <v>#REF!</v>
      </c>
      <c r="BM273" t="e">
        <f>AND(#REF!,"AAAAAHHc/UA=")</f>
        <v>#REF!</v>
      </c>
      <c r="BN273" t="e">
        <f>AND(#REF!,"AAAAAHHc/UE=")</f>
        <v>#REF!</v>
      </c>
      <c r="BO273" t="e">
        <f>AND(#REF!,"AAAAAHHc/UI=")</f>
        <v>#REF!</v>
      </c>
      <c r="BP273" t="e">
        <f>AND(#REF!,"AAAAAHHc/UM=")</f>
        <v>#REF!</v>
      </c>
      <c r="BQ273" t="e">
        <f>AND(#REF!,"AAAAAHHc/UQ=")</f>
        <v>#REF!</v>
      </c>
      <c r="BR273" t="e">
        <f>AND(#REF!,"AAAAAHHc/UU=")</f>
        <v>#REF!</v>
      </c>
      <c r="BS273" t="e">
        <f>AND(#REF!,"AAAAAHHc/UY=")</f>
        <v>#REF!</v>
      </c>
      <c r="BT273" t="e">
        <f>AND(#REF!,"AAAAAHHc/Uc=")</f>
        <v>#REF!</v>
      </c>
      <c r="BU273" t="e">
        <f>AND(#REF!,"AAAAAHHc/Ug=")</f>
        <v>#REF!</v>
      </c>
      <c r="BV273" t="e">
        <f>AND(#REF!,"AAAAAHHc/Uk=")</f>
        <v>#REF!</v>
      </c>
      <c r="BW273" t="e">
        <f>AND(#REF!,"AAAAAHHc/Uo=")</f>
        <v>#REF!</v>
      </c>
      <c r="BX273" t="e">
        <f>AND(#REF!,"AAAAAHHc/Us=")</f>
        <v>#REF!</v>
      </c>
      <c r="BY273" t="e">
        <f>AND(#REF!,"AAAAAHHc/Uw=")</f>
        <v>#REF!</v>
      </c>
      <c r="BZ273" t="e">
        <f>AND(#REF!,"AAAAAHHc/U0=")</f>
        <v>#REF!</v>
      </c>
      <c r="CA273" t="e">
        <f>AND(#REF!,"AAAAAHHc/U4=")</f>
        <v>#REF!</v>
      </c>
      <c r="CB273" t="e">
        <f>AND(#REF!,"AAAAAHHc/U8=")</f>
        <v>#REF!</v>
      </c>
      <c r="CC273" t="e">
        <f>AND(#REF!,"AAAAAHHc/VA=")</f>
        <v>#REF!</v>
      </c>
      <c r="CD273" t="e">
        <f>AND(#REF!,"AAAAAHHc/VE=")</f>
        <v>#REF!</v>
      </c>
      <c r="CE273" t="e">
        <f>AND(#REF!,"AAAAAHHc/VI=")</f>
        <v>#REF!</v>
      </c>
      <c r="CF273" t="e">
        <f>AND(#REF!,"AAAAAHHc/VM=")</f>
        <v>#REF!</v>
      </c>
      <c r="CG273" t="e">
        <f>AND(#REF!,"AAAAAHHc/VQ=")</f>
        <v>#REF!</v>
      </c>
      <c r="CH273" t="e">
        <f>AND(#REF!,"AAAAAHHc/VU=")</f>
        <v>#REF!</v>
      </c>
      <c r="CI273" t="e">
        <f>AND(#REF!,"AAAAAHHc/VY=")</f>
        <v>#REF!</v>
      </c>
      <c r="CJ273" t="e">
        <f>AND(#REF!,"AAAAAHHc/Vc=")</f>
        <v>#REF!</v>
      </c>
      <c r="CK273" t="e">
        <f>AND(#REF!,"AAAAAHHc/Vg=")</f>
        <v>#REF!</v>
      </c>
      <c r="CL273" t="e">
        <f>AND(#REF!,"AAAAAHHc/Vk=")</f>
        <v>#REF!</v>
      </c>
      <c r="CM273" t="e">
        <f>AND(#REF!,"AAAAAHHc/Vo=")</f>
        <v>#REF!</v>
      </c>
      <c r="CN273" t="e">
        <f>AND(#REF!,"AAAAAHHc/Vs=")</f>
        <v>#REF!</v>
      </c>
      <c r="CO273" t="e">
        <f>AND(#REF!,"AAAAAHHc/Vw=")</f>
        <v>#REF!</v>
      </c>
      <c r="CP273" t="e">
        <f>AND(#REF!,"AAAAAHHc/V0=")</f>
        <v>#REF!</v>
      </c>
      <c r="CQ273" t="e">
        <f>AND(#REF!,"AAAAAHHc/V4=")</f>
        <v>#REF!</v>
      </c>
      <c r="CR273" t="e">
        <f>AND(#REF!,"AAAAAHHc/V8=")</f>
        <v>#REF!</v>
      </c>
      <c r="CS273" t="e">
        <f>AND(#REF!,"AAAAAHHc/WA=")</f>
        <v>#REF!</v>
      </c>
      <c r="CT273" t="e">
        <f>AND(#REF!,"AAAAAHHc/WE=")</f>
        <v>#REF!</v>
      </c>
      <c r="CU273" t="e">
        <f>AND(#REF!,"AAAAAHHc/WI=")</f>
        <v>#REF!</v>
      </c>
      <c r="CV273" t="e">
        <f>AND(#REF!,"AAAAAHHc/WM=")</f>
        <v>#REF!</v>
      </c>
      <c r="CW273" t="e">
        <f>AND(#REF!,"AAAAAHHc/WQ=")</f>
        <v>#REF!</v>
      </c>
      <c r="CX273" t="e">
        <f>IF(#REF!,"AAAAAHHc/WU=",0)</f>
        <v>#REF!</v>
      </c>
      <c r="CY273" t="e">
        <f>AND(#REF!,"AAAAAHHc/WY=")</f>
        <v>#REF!</v>
      </c>
      <c r="CZ273" t="e">
        <f>AND(#REF!,"AAAAAHHc/Wc=")</f>
        <v>#REF!</v>
      </c>
      <c r="DA273" t="e">
        <f>AND(#REF!,"AAAAAHHc/Wg=")</f>
        <v>#REF!</v>
      </c>
      <c r="DB273" t="e">
        <f>AND(#REF!,"AAAAAHHc/Wk=")</f>
        <v>#REF!</v>
      </c>
      <c r="DC273" t="e">
        <f>AND(#REF!,"AAAAAHHc/Wo=")</f>
        <v>#REF!</v>
      </c>
      <c r="DD273" t="e">
        <f>AND(#REF!,"AAAAAHHc/Ws=")</f>
        <v>#REF!</v>
      </c>
      <c r="DE273" t="e">
        <f>AND(#REF!,"AAAAAHHc/Ww=")</f>
        <v>#REF!</v>
      </c>
      <c r="DF273" t="e">
        <f>AND(#REF!,"AAAAAHHc/W0=")</f>
        <v>#REF!</v>
      </c>
      <c r="DG273" t="e">
        <f>AND(#REF!,"AAAAAHHc/W4=")</f>
        <v>#REF!</v>
      </c>
      <c r="DH273" t="e">
        <f>AND(#REF!,"AAAAAHHc/W8=")</f>
        <v>#REF!</v>
      </c>
      <c r="DI273" t="e">
        <f>AND(#REF!,"AAAAAHHc/XA=")</f>
        <v>#REF!</v>
      </c>
      <c r="DJ273" t="e">
        <f>AND(#REF!,"AAAAAHHc/XE=")</f>
        <v>#REF!</v>
      </c>
      <c r="DK273" t="e">
        <f>AND(#REF!,"AAAAAHHc/XI=")</f>
        <v>#REF!</v>
      </c>
      <c r="DL273" t="e">
        <f>AND(#REF!,"AAAAAHHc/XM=")</f>
        <v>#REF!</v>
      </c>
      <c r="DM273" t="e">
        <f>AND(#REF!,"AAAAAHHc/XQ=")</f>
        <v>#REF!</v>
      </c>
      <c r="DN273" t="e">
        <f>AND(#REF!,"AAAAAHHc/XU=")</f>
        <v>#REF!</v>
      </c>
      <c r="DO273" t="e">
        <f>AND(#REF!,"AAAAAHHc/XY=")</f>
        <v>#REF!</v>
      </c>
      <c r="DP273" t="e">
        <f>AND(#REF!,"AAAAAHHc/Xc=")</f>
        <v>#REF!</v>
      </c>
      <c r="DQ273" t="e">
        <f>AND(#REF!,"AAAAAHHc/Xg=")</f>
        <v>#REF!</v>
      </c>
      <c r="DR273" t="e">
        <f>AND(#REF!,"AAAAAHHc/Xk=")</f>
        <v>#REF!</v>
      </c>
      <c r="DS273" t="e">
        <f>AND(#REF!,"AAAAAHHc/Xo=")</f>
        <v>#REF!</v>
      </c>
      <c r="DT273" t="e">
        <f>AND(#REF!,"AAAAAHHc/Xs=")</f>
        <v>#REF!</v>
      </c>
      <c r="DU273" t="e">
        <f>AND(#REF!,"AAAAAHHc/Xw=")</f>
        <v>#REF!</v>
      </c>
      <c r="DV273" t="e">
        <f>AND(#REF!,"AAAAAHHc/X0=")</f>
        <v>#REF!</v>
      </c>
      <c r="DW273" t="e">
        <f>AND(#REF!,"AAAAAHHc/X4=")</f>
        <v>#REF!</v>
      </c>
      <c r="DX273" t="e">
        <f>AND(#REF!,"AAAAAHHc/X8=")</f>
        <v>#REF!</v>
      </c>
      <c r="DY273" t="e">
        <f>AND(#REF!,"AAAAAHHc/YA=")</f>
        <v>#REF!</v>
      </c>
      <c r="DZ273" t="e">
        <f>AND(#REF!,"AAAAAHHc/YE=")</f>
        <v>#REF!</v>
      </c>
      <c r="EA273" t="e">
        <f>AND(#REF!,"AAAAAHHc/YI=")</f>
        <v>#REF!</v>
      </c>
      <c r="EB273" t="e">
        <f>AND(#REF!,"AAAAAHHc/YM=")</f>
        <v>#REF!</v>
      </c>
      <c r="EC273" t="e">
        <f>AND(#REF!,"AAAAAHHc/YQ=")</f>
        <v>#REF!</v>
      </c>
      <c r="ED273" t="e">
        <f>AND(#REF!,"AAAAAHHc/YU=")</f>
        <v>#REF!</v>
      </c>
      <c r="EE273" t="e">
        <f>AND(#REF!,"AAAAAHHc/YY=")</f>
        <v>#REF!</v>
      </c>
      <c r="EF273" t="e">
        <f>AND(#REF!,"AAAAAHHc/Yc=")</f>
        <v>#REF!</v>
      </c>
      <c r="EG273" t="e">
        <f>AND(#REF!,"AAAAAHHc/Yg=")</f>
        <v>#REF!</v>
      </c>
      <c r="EH273" t="e">
        <f>AND(#REF!,"AAAAAHHc/Yk=")</f>
        <v>#REF!</v>
      </c>
      <c r="EI273" t="e">
        <f>AND(#REF!,"AAAAAHHc/Yo=")</f>
        <v>#REF!</v>
      </c>
      <c r="EJ273" t="e">
        <f>AND(#REF!,"AAAAAHHc/Ys=")</f>
        <v>#REF!</v>
      </c>
      <c r="EK273" t="e">
        <f>AND(#REF!,"AAAAAHHc/Yw=")</f>
        <v>#REF!</v>
      </c>
      <c r="EL273" t="e">
        <f>AND(#REF!,"AAAAAHHc/Y0=")</f>
        <v>#REF!</v>
      </c>
      <c r="EM273" t="e">
        <f>AND(#REF!,"AAAAAHHc/Y4=")</f>
        <v>#REF!</v>
      </c>
      <c r="EN273" t="e">
        <f>AND(#REF!,"AAAAAHHc/Y8=")</f>
        <v>#REF!</v>
      </c>
      <c r="EO273" t="e">
        <f>AND(#REF!,"AAAAAHHc/ZA=")</f>
        <v>#REF!</v>
      </c>
      <c r="EP273" t="e">
        <f>AND(#REF!,"AAAAAHHc/ZE=")</f>
        <v>#REF!</v>
      </c>
      <c r="EQ273" t="e">
        <f>AND(#REF!,"AAAAAHHc/ZI=")</f>
        <v>#REF!</v>
      </c>
      <c r="ER273" t="e">
        <f>AND(#REF!,"AAAAAHHc/ZM=")</f>
        <v>#REF!</v>
      </c>
      <c r="ES273" t="e">
        <f>AND(#REF!,"AAAAAHHc/ZQ=")</f>
        <v>#REF!</v>
      </c>
      <c r="ET273" t="e">
        <f>AND(#REF!,"AAAAAHHc/ZU=")</f>
        <v>#REF!</v>
      </c>
      <c r="EU273" t="e">
        <f>AND(#REF!,"AAAAAHHc/ZY=")</f>
        <v>#REF!</v>
      </c>
      <c r="EV273" t="e">
        <f>AND(#REF!,"AAAAAHHc/Zc=")</f>
        <v>#REF!</v>
      </c>
      <c r="EW273" t="e">
        <f>AND(#REF!,"AAAAAHHc/Zg=")</f>
        <v>#REF!</v>
      </c>
      <c r="EX273" t="e">
        <f>AND(#REF!,"AAAAAHHc/Zk=")</f>
        <v>#REF!</v>
      </c>
      <c r="EY273" t="e">
        <f>AND(#REF!,"AAAAAHHc/Zo=")</f>
        <v>#REF!</v>
      </c>
      <c r="EZ273" t="e">
        <f>AND(#REF!,"AAAAAHHc/Zs=")</f>
        <v>#REF!</v>
      </c>
      <c r="FA273" t="e">
        <f>AND(#REF!,"AAAAAHHc/Zw=")</f>
        <v>#REF!</v>
      </c>
      <c r="FB273" t="e">
        <f>AND(#REF!,"AAAAAHHc/Z0=")</f>
        <v>#REF!</v>
      </c>
      <c r="FC273" t="e">
        <f>AND(#REF!,"AAAAAHHc/Z4=")</f>
        <v>#REF!</v>
      </c>
      <c r="FD273" t="e">
        <f>AND(#REF!,"AAAAAHHc/Z8=")</f>
        <v>#REF!</v>
      </c>
      <c r="FE273" t="e">
        <f>AND(#REF!,"AAAAAHHc/aA=")</f>
        <v>#REF!</v>
      </c>
      <c r="FF273" t="e">
        <f>AND(#REF!,"AAAAAHHc/aE=")</f>
        <v>#REF!</v>
      </c>
      <c r="FG273" t="e">
        <f>AND(#REF!,"AAAAAHHc/aI=")</f>
        <v>#REF!</v>
      </c>
      <c r="FH273" t="e">
        <f>AND(#REF!,"AAAAAHHc/aM=")</f>
        <v>#REF!</v>
      </c>
      <c r="FI273" t="e">
        <f>AND(#REF!,"AAAAAHHc/aQ=")</f>
        <v>#REF!</v>
      </c>
      <c r="FJ273" t="e">
        <f>AND(#REF!,"AAAAAHHc/aU=")</f>
        <v>#REF!</v>
      </c>
      <c r="FK273" t="e">
        <f>AND(#REF!,"AAAAAHHc/aY=")</f>
        <v>#REF!</v>
      </c>
      <c r="FL273" t="e">
        <f>AND(#REF!,"AAAAAHHc/ac=")</f>
        <v>#REF!</v>
      </c>
      <c r="FM273" t="e">
        <f>AND(#REF!,"AAAAAHHc/ag=")</f>
        <v>#REF!</v>
      </c>
      <c r="FN273" t="e">
        <f>AND(#REF!,"AAAAAHHc/ak=")</f>
        <v>#REF!</v>
      </c>
      <c r="FO273" t="e">
        <f>AND(#REF!,"AAAAAHHc/ao=")</f>
        <v>#REF!</v>
      </c>
      <c r="FP273" t="e">
        <f>AND(#REF!,"AAAAAHHc/as=")</f>
        <v>#REF!</v>
      </c>
      <c r="FQ273" t="e">
        <f>AND(#REF!,"AAAAAHHc/aw=")</f>
        <v>#REF!</v>
      </c>
      <c r="FR273" t="e">
        <f>AND(#REF!,"AAAAAHHc/a0=")</f>
        <v>#REF!</v>
      </c>
      <c r="FS273" t="e">
        <f>AND(#REF!,"AAAAAHHc/a4=")</f>
        <v>#REF!</v>
      </c>
      <c r="FT273" t="e">
        <f>AND(#REF!,"AAAAAHHc/a8=")</f>
        <v>#REF!</v>
      </c>
      <c r="FU273" t="e">
        <f>AND(#REF!,"AAAAAHHc/bA=")</f>
        <v>#REF!</v>
      </c>
      <c r="FV273" t="e">
        <f>AND(#REF!,"AAAAAHHc/bE=")</f>
        <v>#REF!</v>
      </c>
      <c r="FW273" t="e">
        <f>AND(#REF!,"AAAAAHHc/bI=")</f>
        <v>#REF!</v>
      </c>
      <c r="FX273" t="e">
        <f>AND(#REF!,"AAAAAHHc/bM=")</f>
        <v>#REF!</v>
      </c>
      <c r="FY273" t="e">
        <f>AND(#REF!,"AAAAAHHc/bQ=")</f>
        <v>#REF!</v>
      </c>
      <c r="FZ273" t="e">
        <f>AND(#REF!,"AAAAAHHc/bU=")</f>
        <v>#REF!</v>
      </c>
      <c r="GA273" t="e">
        <f>AND(#REF!,"AAAAAHHc/bY=")</f>
        <v>#REF!</v>
      </c>
      <c r="GB273" t="e">
        <f>AND(#REF!,"AAAAAHHc/bc=")</f>
        <v>#REF!</v>
      </c>
      <c r="GC273" t="e">
        <f>AND(#REF!,"AAAAAHHc/bg=")</f>
        <v>#REF!</v>
      </c>
      <c r="GD273" t="e">
        <f>AND(#REF!,"AAAAAHHc/bk=")</f>
        <v>#REF!</v>
      </c>
      <c r="GE273" t="e">
        <f>AND(#REF!,"AAAAAHHc/bo=")</f>
        <v>#REF!</v>
      </c>
      <c r="GF273" t="e">
        <f>AND(#REF!,"AAAAAHHc/bs=")</f>
        <v>#REF!</v>
      </c>
      <c r="GG273" t="e">
        <f>AND(#REF!,"AAAAAHHc/bw=")</f>
        <v>#REF!</v>
      </c>
      <c r="GH273" t="e">
        <f>AND(#REF!,"AAAAAHHc/b0=")</f>
        <v>#REF!</v>
      </c>
      <c r="GI273" t="e">
        <f>AND(#REF!,"AAAAAHHc/b4=")</f>
        <v>#REF!</v>
      </c>
      <c r="GJ273" t="e">
        <f>AND(#REF!,"AAAAAHHc/b8=")</f>
        <v>#REF!</v>
      </c>
      <c r="GK273" t="e">
        <f>AND(#REF!,"AAAAAHHc/cA=")</f>
        <v>#REF!</v>
      </c>
      <c r="GL273" t="e">
        <f>AND(#REF!,"AAAAAHHc/cE=")</f>
        <v>#REF!</v>
      </c>
      <c r="GM273" t="e">
        <f>AND(#REF!,"AAAAAHHc/cI=")</f>
        <v>#REF!</v>
      </c>
      <c r="GN273" t="e">
        <f>AND(#REF!,"AAAAAHHc/cM=")</f>
        <v>#REF!</v>
      </c>
      <c r="GO273" t="e">
        <f>AND(#REF!,"AAAAAHHc/cQ=")</f>
        <v>#REF!</v>
      </c>
      <c r="GP273" t="e">
        <f>AND(#REF!,"AAAAAHHc/cU=")</f>
        <v>#REF!</v>
      </c>
      <c r="GQ273" t="e">
        <f>AND(#REF!,"AAAAAHHc/cY=")</f>
        <v>#REF!</v>
      </c>
      <c r="GR273" t="e">
        <f>AND(#REF!,"AAAAAHHc/cc=")</f>
        <v>#REF!</v>
      </c>
      <c r="GS273" t="e">
        <f>AND(#REF!,"AAAAAHHc/cg=")</f>
        <v>#REF!</v>
      </c>
      <c r="GT273" t="e">
        <f>AND(#REF!,"AAAAAHHc/ck=")</f>
        <v>#REF!</v>
      </c>
      <c r="GU273" t="e">
        <f>AND(#REF!,"AAAAAHHc/co=")</f>
        <v>#REF!</v>
      </c>
      <c r="GV273" t="e">
        <f>AND(#REF!,"AAAAAHHc/cs=")</f>
        <v>#REF!</v>
      </c>
      <c r="GW273" t="e">
        <f>AND(#REF!,"AAAAAHHc/cw=")</f>
        <v>#REF!</v>
      </c>
      <c r="GX273" t="e">
        <f>AND(#REF!,"AAAAAHHc/c0=")</f>
        <v>#REF!</v>
      </c>
      <c r="GY273" t="e">
        <f>AND(#REF!,"AAAAAHHc/c4=")</f>
        <v>#REF!</v>
      </c>
      <c r="GZ273" t="e">
        <f>AND(#REF!,"AAAAAHHc/c8=")</f>
        <v>#REF!</v>
      </c>
      <c r="HA273" t="e">
        <f>AND(#REF!,"AAAAAHHc/dA=")</f>
        <v>#REF!</v>
      </c>
      <c r="HB273" t="e">
        <f>AND(#REF!,"AAAAAHHc/dE=")</f>
        <v>#REF!</v>
      </c>
      <c r="HC273" t="e">
        <f>AND(#REF!,"AAAAAHHc/dI=")</f>
        <v>#REF!</v>
      </c>
      <c r="HD273" t="e">
        <f>AND(#REF!,"AAAAAHHc/dM=")</f>
        <v>#REF!</v>
      </c>
      <c r="HE273" t="e">
        <f>AND(#REF!,"AAAAAHHc/dQ=")</f>
        <v>#REF!</v>
      </c>
      <c r="HF273" t="e">
        <f>AND(#REF!,"AAAAAHHc/dU=")</f>
        <v>#REF!</v>
      </c>
      <c r="HG273" t="e">
        <f>AND(#REF!,"AAAAAHHc/dY=")</f>
        <v>#REF!</v>
      </c>
      <c r="HH273" t="e">
        <f>AND(#REF!,"AAAAAHHc/dc=")</f>
        <v>#REF!</v>
      </c>
      <c r="HI273" t="e">
        <f>AND(#REF!,"AAAAAHHc/dg=")</f>
        <v>#REF!</v>
      </c>
      <c r="HJ273" t="e">
        <f>AND(#REF!,"AAAAAHHc/dk=")</f>
        <v>#REF!</v>
      </c>
      <c r="HK273" t="e">
        <f>AND(#REF!,"AAAAAHHc/do=")</f>
        <v>#REF!</v>
      </c>
      <c r="HL273" t="e">
        <f>AND(#REF!,"AAAAAHHc/ds=")</f>
        <v>#REF!</v>
      </c>
      <c r="HM273" t="e">
        <f>AND(#REF!,"AAAAAHHc/dw=")</f>
        <v>#REF!</v>
      </c>
      <c r="HN273" t="e">
        <f>AND(#REF!,"AAAAAHHc/d0=")</f>
        <v>#REF!</v>
      </c>
      <c r="HO273" t="e">
        <f>AND(#REF!,"AAAAAHHc/d4=")</f>
        <v>#REF!</v>
      </c>
      <c r="HP273" t="e">
        <f>AND(#REF!,"AAAAAHHc/d8=")</f>
        <v>#REF!</v>
      </c>
      <c r="HQ273" t="e">
        <f>AND(#REF!,"AAAAAHHc/eA=")</f>
        <v>#REF!</v>
      </c>
      <c r="HR273" t="e">
        <f>AND(#REF!,"AAAAAHHc/eE=")</f>
        <v>#REF!</v>
      </c>
      <c r="HS273" t="e">
        <f>AND(#REF!,"AAAAAHHc/eI=")</f>
        <v>#REF!</v>
      </c>
      <c r="HT273" t="e">
        <f>AND(#REF!,"AAAAAHHc/eM=")</f>
        <v>#REF!</v>
      </c>
      <c r="HU273" t="e">
        <f>AND(#REF!,"AAAAAHHc/eQ=")</f>
        <v>#REF!</v>
      </c>
      <c r="HV273" t="e">
        <f>AND(#REF!,"AAAAAHHc/eU=")</f>
        <v>#REF!</v>
      </c>
      <c r="HW273" t="e">
        <f>AND(#REF!,"AAAAAHHc/eY=")</f>
        <v>#REF!</v>
      </c>
      <c r="HX273" t="e">
        <f>AND(#REF!,"AAAAAHHc/ec=")</f>
        <v>#REF!</v>
      </c>
      <c r="HY273" t="e">
        <f>AND(#REF!,"AAAAAHHc/eg=")</f>
        <v>#REF!</v>
      </c>
      <c r="HZ273" t="e">
        <f>AND(#REF!,"AAAAAHHc/ek=")</f>
        <v>#REF!</v>
      </c>
      <c r="IA273" t="e">
        <f>AND(#REF!,"AAAAAHHc/eo=")</f>
        <v>#REF!</v>
      </c>
      <c r="IB273" t="e">
        <f>AND(#REF!,"AAAAAHHc/es=")</f>
        <v>#REF!</v>
      </c>
      <c r="IC273" t="e">
        <f>AND(#REF!,"AAAAAHHc/ew=")</f>
        <v>#REF!</v>
      </c>
      <c r="ID273" t="e">
        <f>AND(#REF!,"AAAAAHHc/e0=")</f>
        <v>#REF!</v>
      </c>
      <c r="IE273" t="e">
        <f>AND(#REF!,"AAAAAHHc/e4=")</f>
        <v>#REF!</v>
      </c>
      <c r="IF273" t="e">
        <f>AND(#REF!,"AAAAAHHc/e8=")</f>
        <v>#REF!</v>
      </c>
      <c r="IG273" t="e">
        <f>AND(#REF!,"AAAAAHHc/fA=")</f>
        <v>#REF!</v>
      </c>
      <c r="IH273" t="e">
        <f>AND(#REF!,"AAAAAHHc/fE=")</f>
        <v>#REF!</v>
      </c>
      <c r="II273" t="e">
        <f>AND(#REF!,"AAAAAHHc/fI=")</f>
        <v>#REF!</v>
      </c>
      <c r="IJ273" t="e">
        <f>AND(#REF!,"AAAAAHHc/fM=")</f>
        <v>#REF!</v>
      </c>
      <c r="IK273" t="e">
        <f>AND(#REF!,"AAAAAHHc/fQ=")</f>
        <v>#REF!</v>
      </c>
      <c r="IL273" t="e">
        <f>AND(#REF!,"AAAAAHHc/fU=")</f>
        <v>#REF!</v>
      </c>
      <c r="IM273" t="e">
        <f>AND(#REF!,"AAAAAHHc/fY=")</f>
        <v>#REF!</v>
      </c>
      <c r="IN273" t="e">
        <f>AND(#REF!,"AAAAAHHc/fc=")</f>
        <v>#REF!</v>
      </c>
      <c r="IO273" t="e">
        <f>AND(#REF!,"AAAAAHHc/fg=")</f>
        <v>#REF!</v>
      </c>
      <c r="IP273" t="e">
        <f>AND(#REF!,"AAAAAHHc/fk=")</f>
        <v>#REF!</v>
      </c>
      <c r="IQ273" t="e">
        <f>AND(#REF!,"AAAAAHHc/fo=")</f>
        <v>#REF!</v>
      </c>
      <c r="IR273" t="e">
        <f>AND(#REF!,"AAAAAHHc/fs=")</f>
        <v>#REF!</v>
      </c>
      <c r="IS273" t="e">
        <f>AND(#REF!,"AAAAAHHc/fw=")</f>
        <v>#REF!</v>
      </c>
      <c r="IT273" t="e">
        <f>AND(#REF!,"AAAAAHHc/f0=")</f>
        <v>#REF!</v>
      </c>
      <c r="IU273" t="e">
        <f>AND(#REF!,"AAAAAHHc/f4=")</f>
        <v>#REF!</v>
      </c>
      <c r="IV273" t="e">
        <f>AND(#REF!,"AAAAAHHc/f8=")</f>
        <v>#REF!</v>
      </c>
    </row>
    <row r="274" spans="1:256" x14ac:dyDescent="0.25">
      <c r="A274" t="e">
        <f>AND(#REF!,"AAAAAF//7gA=")</f>
        <v>#REF!</v>
      </c>
      <c r="B274" t="e">
        <f>AND(#REF!,"AAAAAF//7gE=")</f>
        <v>#REF!</v>
      </c>
      <c r="C274" t="e">
        <f>AND(#REF!,"AAAAAF//7gI=")</f>
        <v>#REF!</v>
      </c>
      <c r="D274" t="e">
        <f>AND(#REF!,"AAAAAF//7gM=")</f>
        <v>#REF!</v>
      </c>
      <c r="E274" t="e">
        <f>AND(#REF!,"AAAAAF//7gQ=")</f>
        <v>#REF!</v>
      </c>
      <c r="F274" t="e">
        <f>AND(#REF!,"AAAAAF//7gU=")</f>
        <v>#REF!</v>
      </c>
      <c r="G274" t="e">
        <f>AND(#REF!,"AAAAAF//7gY=")</f>
        <v>#REF!</v>
      </c>
      <c r="H274" t="e">
        <f>AND(#REF!,"AAAAAF//7gc=")</f>
        <v>#REF!</v>
      </c>
      <c r="I274" t="e">
        <f>AND(#REF!,"AAAAAF//7gg=")</f>
        <v>#REF!</v>
      </c>
      <c r="J274" t="e">
        <f>AND(#REF!,"AAAAAF//7gk=")</f>
        <v>#REF!</v>
      </c>
      <c r="K274" t="e">
        <f>AND(#REF!,"AAAAAF//7go=")</f>
        <v>#REF!</v>
      </c>
      <c r="L274" t="e">
        <f>AND(#REF!,"AAAAAF//7gs=")</f>
        <v>#REF!</v>
      </c>
      <c r="M274" t="e">
        <f>AND(#REF!,"AAAAAF//7gw=")</f>
        <v>#REF!</v>
      </c>
      <c r="N274" t="e">
        <f>AND(#REF!,"AAAAAF//7g0=")</f>
        <v>#REF!</v>
      </c>
      <c r="O274" t="e">
        <f>AND(#REF!,"AAAAAF//7g4=")</f>
        <v>#REF!</v>
      </c>
      <c r="P274" t="e">
        <f>AND(#REF!,"AAAAAF//7g8=")</f>
        <v>#REF!</v>
      </c>
      <c r="Q274" t="e">
        <f>AND(#REF!,"AAAAAF//7hA=")</f>
        <v>#REF!</v>
      </c>
      <c r="R274" t="e">
        <f>AND(#REF!,"AAAAAF//7hE=")</f>
        <v>#REF!</v>
      </c>
      <c r="S274" t="e">
        <f>AND(#REF!,"AAAAAF//7hI=")</f>
        <v>#REF!</v>
      </c>
      <c r="T274" t="e">
        <f>AND(#REF!,"AAAAAF//7hM=")</f>
        <v>#REF!</v>
      </c>
      <c r="U274" t="e">
        <f>AND(#REF!,"AAAAAF//7hQ=")</f>
        <v>#REF!</v>
      </c>
      <c r="V274" t="e">
        <f>AND(#REF!,"AAAAAF//7hU=")</f>
        <v>#REF!</v>
      </c>
      <c r="W274" t="e">
        <f>AND(#REF!,"AAAAAF//7hY=")</f>
        <v>#REF!</v>
      </c>
      <c r="X274" t="e">
        <f>AND(#REF!,"AAAAAF//7hc=")</f>
        <v>#REF!</v>
      </c>
      <c r="Y274" t="e">
        <f>AND(#REF!,"AAAAAF//7hg=")</f>
        <v>#REF!</v>
      </c>
      <c r="Z274" t="e">
        <f>AND(#REF!,"AAAAAF//7hk=")</f>
        <v>#REF!</v>
      </c>
      <c r="AA274" t="e">
        <f>AND(#REF!,"AAAAAF//7ho=")</f>
        <v>#REF!</v>
      </c>
      <c r="AB274" t="e">
        <f>AND(#REF!,"AAAAAF//7hs=")</f>
        <v>#REF!</v>
      </c>
      <c r="AC274" t="e">
        <f>AND(#REF!,"AAAAAF//7hw=")</f>
        <v>#REF!</v>
      </c>
      <c r="AD274" t="e">
        <f>AND(#REF!,"AAAAAF//7h0=")</f>
        <v>#REF!</v>
      </c>
      <c r="AE274" t="e">
        <f>AND(#REF!,"AAAAAF//7h4=")</f>
        <v>#REF!</v>
      </c>
      <c r="AF274" t="e">
        <f>AND(#REF!,"AAAAAF//7h8=")</f>
        <v>#REF!</v>
      </c>
      <c r="AG274" t="e">
        <f>AND(#REF!,"AAAAAF//7iA=")</f>
        <v>#REF!</v>
      </c>
      <c r="AH274" t="e">
        <f>AND(#REF!,"AAAAAF//7iE=")</f>
        <v>#REF!</v>
      </c>
      <c r="AI274" t="e">
        <f>IF(#REF!,"AAAAAF//7iI=",0)</f>
        <v>#REF!</v>
      </c>
      <c r="AJ274" t="e">
        <f>AND(#REF!,"AAAAAF//7iM=")</f>
        <v>#REF!</v>
      </c>
      <c r="AK274" t="e">
        <f>AND(#REF!,"AAAAAF//7iQ=")</f>
        <v>#REF!</v>
      </c>
      <c r="AL274" t="e">
        <f>AND(#REF!,"AAAAAF//7iU=")</f>
        <v>#REF!</v>
      </c>
      <c r="AM274" t="e">
        <f>AND(#REF!,"AAAAAF//7iY=")</f>
        <v>#REF!</v>
      </c>
      <c r="AN274" t="e">
        <f>AND(#REF!,"AAAAAF//7ic=")</f>
        <v>#REF!</v>
      </c>
      <c r="AO274" t="e">
        <f>AND(#REF!,"AAAAAF//7ig=")</f>
        <v>#REF!</v>
      </c>
      <c r="AP274" t="e">
        <f>AND(#REF!,"AAAAAF//7ik=")</f>
        <v>#REF!</v>
      </c>
      <c r="AQ274" t="e">
        <f>AND(#REF!,"AAAAAF//7io=")</f>
        <v>#REF!</v>
      </c>
      <c r="AR274" t="e">
        <f>AND(#REF!,"AAAAAF//7is=")</f>
        <v>#REF!</v>
      </c>
      <c r="AS274" t="e">
        <f>AND(#REF!,"AAAAAF//7iw=")</f>
        <v>#REF!</v>
      </c>
      <c r="AT274" t="e">
        <f>AND(#REF!,"AAAAAF//7i0=")</f>
        <v>#REF!</v>
      </c>
      <c r="AU274" t="e">
        <f>AND(#REF!,"AAAAAF//7i4=")</f>
        <v>#REF!</v>
      </c>
      <c r="AV274" t="e">
        <f>AND(#REF!,"AAAAAF//7i8=")</f>
        <v>#REF!</v>
      </c>
      <c r="AW274" t="e">
        <f>AND(#REF!,"AAAAAF//7jA=")</f>
        <v>#REF!</v>
      </c>
      <c r="AX274" t="e">
        <f>AND(#REF!,"AAAAAF//7jE=")</f>
        <v>#REF!</v>
      </c>
      <c r="AY274" t="e">
        <f>AND(#REF!,"AAAAAF//7jI=")</f>
        <v>#REF!</v>
      </c>
      <c r="AZ274" t="e">
        <f>AND(#REF!,"AAAAAF//7jM=")</f>
        <v>#REF!</v>
      </c>
      <c r="BA274" t="e">
        <f>AND(#REF!,"AAAAAF//7jQ=")</f>
        <v>#REF!</v>
      </c>
      <c r="BB274" t="e">
        <f>AND(#REF!,"AAAAAF//7jU=")</f>
        <v>#REF!</v>
      </c>
      <c r="BC274" t="e">
        <f>AND(#REF!,"AAAAAF//7jY=")</f>
        <v>#REF!</v>
      </c>
      <c r="BD274" t="e">
        <f>AND(#REF!,"AAAAAF//7jc=")</f>
        <v>#REF!</v>
      </c>
      <c r="BE274" t="e">
        <f>AND(#REF!,"AAAAAF//7jg=")</f>
        <v>#REF!</v>
      </c>
      <c r="BF274" t="e">
        <f>AND(#REF!,"AAAAAF//7jk=")</f>
        <v>#REF!</v>
      </c>
      <c r="BG274" t="e">
        <f>AND(#REF!,"AAAAAF//7jo=")</f>
        <v>#REF!</v>
      </c>
      <c r="BH274" t="e">
        <f>AND(#REF!,"AAAAAF//7js=")</f>
        <v>#REF!</v>
      </c>
      <c r="BI274" t="e">
        <f>AND(#REF!,"AAAAAF//7jw=")</f>
        <v>#REF!</v>
      </c>
      <c r="BJ274" t="e">
        <f>AND(#REF!,"AAAAAF//7j0=")</f>
        <v>#REF!</v>
      </c>
      <c r="BK274" t="e">
        <f>AND(#REF!,"AAAAAF//7j4=")</f>
        <v>#REF!</v>
      </c>
      <c r="BL274" t="e">
        <f>AND(#REF!,"AAAAAF//7j8=")</f>
        <v>#REF!</v>
      </c>
      <c r="BM274" t="e">
        <f>AND(#REF!,"AAAAAF//7kA=")</f>
        <v>#REF!</v>
      </c>
      <c r="BN274" t="e">
        <f>AND(#REF!,"AAAAAF//7kE=")</f>
        <v>#REF!</v>
      </c>
      <c r="BO274" t="e">
        <f>AND(#REF!,"AAAAAF//7kI=")</f>
        <v>#REF!</v>
      </c>
      <c r="BP274" t="e">
        <f>AND(#REF!,"AAAAAF//7kM=")</f>
        <v>#REF!</v>
      </c>
      <c r="BQ274" t="e">
        <f>AND(#REF!,"AAAAAF//7kQ=")</f>
        <v>#REF!</v>
      </c>
      <c r="BR274" t="e">
        <f>AND(#REF!,"AAAAAF//7kU=")</f>
        <v>#REF!</v>
      </c>
      <c r="BS274" t="e">
        <f>AND(#REF!,"AAAAAF//7kY=")</f>
        <v>#REF!</v>
      </c>
      <c r="BT274" t="e">
        <f>AND(#REF!,"AAAAAF//7kc=")</f>
        <v>#REF!</v>
      </c>
      <c r="BU274" t="e">
        <f>AND(#REF!,"AAAAAF//7kg=")</f>
        <v>#REF!</v>
      </c>
      <c r="BV274" t="e">
        <f>AND(#REF!,"AAAAAF//7kk=")</f>
        <v>#REF!</v>
      </c>
      <c r="BW274" t="e">
        <f>AND(#REF!,"AAAAAF//7ko=")</f>
        <v>#REF!</v>
      </c>
      <c r="BX274" t="e">
        <f>AND(#REF!,"AAAAAF//7ks=")</f>
        <v>#REF!</v>
      </c>
      <c r="BY274" t="e">
        <f>AND(#REF!,"AAAAAF//7kw=")</f>
        <v>#REF!</v>
      </c>
      <c r="BZ274" t="e">
        <f>AND(#REF!,"AAAAAF//7k0=")</f>
        <v>#REF!</v>
      </c>
      <c r="CA274" t="e">
        <f>AND(#REF!,"AAAAAF//7k4=")</f>
        <v>#REF!</v>
      </c>
      <c r="CB274" t="e">
        <f>AND(#REF!,"AAAAAF//7k8=")</f>
        <v>#REF!</v>
      </c>
      <c r="CC274" t="e">
        <f>AND(#REF!,"AAAAAF//7lA=")</f>
        <v>#REF!</v>
      </c>
      <c r="CD274" t="e">
        <f>AND(#REF!,"AAAAAF//7lE=")</f>
        <v>#REF!</v>
      </c>
      <c r="CE274" t="e">
        <f>AND(#REF!,"AAAAAF//7lI=")</f>
        <v>#REF!</v>
      </c>
      <c r="CF274" t="e">
        <f>AND(#REF!,"AAAAAF//7lM=")</f>
        <v>#REF!</v>
      </c>
      <c r="CG274" t="e">
        <f>AND(#REF!,"AAAAAF//7lQ=")</f>
        <v>#REF!</v>
      </c>
      <c r="CH274" t="e">
        <f>AND(#REF!,"AAAAAF//7lU=")</f>
        <v>#REF!</v>
      </c>
      <c r="CI274" t="e">
        <f>AND(#REF!,"AAAAAF//7lY=")</f>
        <v>#REF!</v>
      </c>
      <c r="CJ274" t="e">
        <f>AND(#REF!,"AAAAAF//7lc=")</f>
        <v>#REF!</v>
      </c>
      <c r="CK274" t="e">
        <f>AND(#REF!,"AAAAAF//7lg=")</f>
        <v>#REF!</v>
      </c>
      <c r="CL274" t="e">
        <f>AND(#REF!,"AAAAAF//7lk=")</f>
        <v>#REF!</v>
      </c>
      <c r="CM274" t="e">
        <f>AND(#REF!,"AAAAAF//7lo=")</f>
        <v>#REF!</v>
      </c>
      <c r="CN274" t="e">
        <f>AND(#REF!,"AAAAAF//7ls=")</f>
        <v>#REF!</v>
      </c>
      <c r="CO274" t="e">
        <f>AND(#REF!,"AAAAAF//7lw=")</f>
        <v>#REF!</v>
      </c>
      <c r="CP274" t="e">
        <f>AND(#REF!,"AAAAAF//7l0=")</f>
        <v>#REF!</v>
      </c>
      <c r="CQ274" t="e">
        <f>AND(#REF!,"AAAAAF//7l4=")</f>
        <v>#REF!</v>
      </c>
      <c r="CR274" t="e">
        <f>AND(#REF!,"AAAAAF//7l8=")</f>
        <v>#REF!</v>
      </c>
      <c r="CS274" t="e">
        <f>AND(#REF!,"AAAAAF//7mA=")</f>
        <v>#REF!</v>
      </c>
      <c r="CT274" t="e">
        <f>AND(#REF!,"AAAAAF//7mE=")</f>
        <v>#REF!</v>
      </c>
      <c r="CU274" t="e">
        <f>AND(#REF!,"AAAAAF//7mI=")</f>
        <v>#REF!</v>
      </c>
      <c r="CV274" t="e">
        <f>AND(#REF!,"AAAAAF//7mM=")</f>
        <v>#REF!</v>
      </c>
      <c r="CW274" t="e">
        <f>AND(#REF!,"AAAAAF//7mQ=")</f>
        <v>#REF!</v>
      </c>
      <c r="CX274" t="e">
        <f>AND(#REF!,"AAAAAF//7mU=")</f>
        <v>#REF!</v>
      </c>
      <c r="CY274" t="e">
        <f>AND(#REF!,"AAAAAF//7mY=")</f>
        <v>#REF!</v>
      </c>
      <c r="CZ274" t="e">
        <f>AND(#REF!,"AAAAAF//7mc=")</f>
        <v>#REF!</v>
      </c>
      <c r="DA274" t="e">
        <f>AND(#REF!,"AAAAAF//7mg=")</f>
        <v>#REF!</v>
      </c>
      <c r="DB274" t="e">
        <f>AND(#REF!,"AAAAAF//7mk=")</f>
        <v>#REF!</v>
      </c>
      <c r="DC274" t="e">
        <f>AND(#REF!,"AAAAAF//7mo=")</f>
        <v>#REF!</v>
      </c>
      <c r="DD274" t="e">
        <f>AND(#REF!,"AAAAAF//7ms=")</f>
        <v>#REF!</v>
      </c>
      <c r="DE274" t="e">
        <f>AND(#REF!,"AAAAAF//7mw=")</f>
        <v>#REF!</v>
      </c>
      <c r="DF274" t="e">
        <f>AND(#REF!,"AAAAAF//7m0=")</f>
        <v>#REF!</v>
      </c>
      <c r="DG274" t="e">
        <f>AND(#REF!,"AAAAAF//7m4=")</f>
        <v>#REF!</v>
      </c>
      <c r="DH274" t="e">
        <f>AND(#REF!,"AAAAAF//7m8=")</f>
        <v>#REF!</v>
      </c>
      <c r="DI274" t="e">
        <f>AND(#REF!,"AAAAAF//7nA=")</f>
        <v>#REF!</v>
      </c>
      <c r="DJ274" t="e">
        <f>AND(#REF!,"AAAAAF//7nE=")</f>
        <v>#REF!</v>
      </c>
      <c r="DK274" t="e">
        <f>AND(#REF!,"AAAAAF//7nI=")</f>
        <v>#REF!</v>
      </c>
      <c r="DL274" t="e">
        <f>AND(#REF!,"AAAAAF//7nM=")</f>
        <v>#REF!</v>
      </c>
      <c r="DM274" t="e">
        <f>AND(#REF!,"AAAAAF//7nQ=")</f>
        <v>#REF!</v>
      </c>
      <c r="DN274" t="e">
        <f>AND(#REF!,"AAAAAF//7nU=")</f>
        <v>#REF!</v>
      </c>
      <c r="DO274" t="e">
        <f>AND(#REF!,"AAAAAF//7nY=")</f>
        <v>#REF!</v>
      </c>
      <c r="DP274" t="e">
        <f>AND(#REF!,"AAAAAF//7nc=")</f>
        <v>#REF!</v>
      </c>
      <c r="DQ274" t="e">
        <f>AND(#REF!,"AAAAAF//7ng=")</f>
        <v>#REF!</v>
      </c>
      <c r="DR274" t="e">
        <f>AND(#REF!,"AAAAAF//7nk=")</f>
        <v>#REF!</v>
      </c>
      <c r="DS274" t="e">
        <f>AND(#REF!,"AAAAAF//7no=")</f>
        <v>#REF!</v>
      </c>
      <c r="DT274" t="e">
        <f>AND(#REF!,"AAAAAF//7ns=")</f>
        <v>#REF!</v>
      </c>
      <c r="DU274" t="e">
        <f>AND(#REF!,"AAAAAF//7nw=")</f>
        <v>#REF!</v>
      </c>
      <c r="DV274" t="e">
        <f>AND(#REF!,"AAAAAF//7n0=")</f>
        <v>#REF!</v>
      </c>
      <c r="DW274" t="e">
        <f>AND(#REF!,"AAAAAF//7n4=")</f>
        <v>#REF!</v>
      </c>
      <c r="DX274" t="e">
        <f>AND(#REF!,"AAAAAF//7n8=")</f>
        <v>#REF!</v>
      </c>
      <c r="DY274" t="e">
        <f>AND(#REF!,"AAAAAF//7oA=")</f>
        <v>#REF!</v>
      </c>
      <c r="DZ274" t="e">
        <f>AND(#REF!,"AAAAAF//7oE=")</f>
        <v>#REF!</v>
      </c>
      <c r="EA274" t="e">
        <f>AND(#REF!,"AAAAAF//7oI=")</f>
        <v>#REF!</v>
      </c>
      <c r="EB274" t="e">
        <f>AND(#REF!,"AAAAAF//7oM=")</f>
        <v>#REF!</v>
      </c>
      <c r="EC274" t="e">
        <f>AND(#REF!,"AAAAAF//7oQ=")</f>
        <v>#REF!</v>
      </c>
      <c r="ED274" t="e">
        <f>AND(#REF!,"AAAAAF//7oU=")</f>
        <v>#REF!</v>
      </c>
      <c r="EE274" t="e">
        <f>AND(#REF!,"AAAAAF//7oY=")</f>
        <v>#REF!</v>
      </c>
      <c r="EF274" t="e">
        <f>AND(#REF!,"AAAAAF//7oc=")</f>
        <v>#REF!</v>
      </c>
      <c r="EG274" t="e">
        <f>AND(#REF!,"AAAAAF//7og=")</f>
        <v>#REF!</v>
      </c>
      <c r="EH274" t="e">
        <f>AND(#REF!,"AAAAAF//7ok=")</f>
        <v>#REF!</v>
      </c>
      <c r="EI274" t="e">
        <f>AND(#REF!,"AAAAAF//7oo=")</f>
        <v>#REF!</v>
      </c>
      <c r="EJ274" t="e">
        <f>AND(#REF!,"AAAAAF//7os=")</f>
        <v>#REF!</v>
      </c>
      <c r="EK274" t="e">
        <f>AND(#REF!,"AAAAAF//7ow=")</f>
        <v>#REF!</v>
      </c>
      <c r="EL274" t="e">
        <f>AND(#REF!,"AAAAAF//7o0=")</f>
        <v>#REF!</v>
      </c>
      <c r="EM274" t="e">
        <f>AND(#REF!,"AAAAAF//7o4=")</f>
        <v>#REF!</v>
      </c>
      <c r="EN274" t="e">
        <f>AND(#REF!,"AAAAAF//7o8=")</f>
        <v>#REF!</v>
      </c>
      <c r="EO274" t="e">
        <f>AND(#REF!,"AAAAAF//7pA=")</f>
        <v>#REF!</v>
      </c>
      <c r="EP274" t="e">
        <f>AND(#REF!,"AAAAAF//7pE=")</f>
        <v>#REF!</v>
      </c>
      <c r="EQ274" t="e">
        <f>AND(#REF!,"AAAAAF//7pI=")</f>
        <v>#REF!</v>
      </c>
      <c r="ER274" t="e">
        <f>AND(#REF!,"AAAAAF//7pM=")</f>
        <v>#REF!</v>
      </c>
      <c r="ES274" t="e">
        <f>AND(#REF!,"AAAAAF//7pQ=")</f>
        <v>#REF!</v>
      </c>
      <c r="ET274" t="e">
        <f>AND(#REF!,"AAAAAF//7pU=")</f>
        <v>#REF!</v>
      </c>
      <c r="EU274" t="e">
        <f>AND(#REF!,"AAAAAF//7pY=")</f>
        <v>#REF!</v>
      </c>
      <c r="EV274" t="e">
        <f>AND(#REF!,"AAAAAF//7pc=")</f>
        <v>#REF!</v>
      </c>
      <c r="EW274" t="e">
        <f>AND(#REF!,"AAAAAF//7pg=")</f>
        <v>#REF!</v>
      </c>
      <c r="EX274" t="e">
        <f>AND(#REF!,"AAAAAF//7pk=")</f>
        <v>#REF!</v>
      </c>
      <c r="EY274" t="e">
        <f>AND(#REF!,"AAAAAF//7po=")</f>
        <v>#REF!</v>
      </c>
      <c r="EZ274" t="e">
        <f>AND(#REF!,"AAAAAF//7ps=")</f>
        <v>#REF!</v>
      </c>
      <c r="FA274" t="e">
        <f>AND(#REF!,"AAAAAF//7pw=")</f>
        <v>#REF!</v>
      </c>
      <c r="FB274" t="e">
        <f>AND(#REF!,"AAAAAF//7p0=")</f>
        <v>#REF!</v>
      </c>
      <c r="FC274" t="e">
        <f>AND(#REF!,"AAAAAF//7p4=")</f>
        <v>#REF!</v>
      </c>
      <c r="FD274" t="e">
        <f>AND(#REF!,"AAAAAF//7p8=")</f>
        <v>#REF!</v>
      </c>
      <c r="FE274" t="e">
        <f>AND(#REF!,"AAAAAF//7qA=")</f>
        <v>#REF!</v>
      </c>
      <c r="FF274" t="e">
        <f>AND(#REF!,"AAAAAF//7qE=")</f>
        <v>#REF!</v>
      </c>
      <c r="FG274" t="e">
        <f>AND(#REF!,"AAAAAF//7qI=")</f>
        <v>#REF!</v>
      </c>
      <c r="FH274" t="e">
        <f>AND(#REF!,"AAAAAF//7qM=")</f>
        <v>#REF!</v>
      </c>
      <c r="FI274" t="e">
        <f>AND(#REF!,"AAAAAF//7qQ=")</f>
        <v>#REF!</v>
      </c>
      <c r="FJ274" t="e">
        <f>AND(#REF!,"AAAAAF//7qU=")</f>
        <v>#REF!</v>
      </c>
      <c r="FK274" t="e">
        <f>AND(#REF!,"AAAAAF//7qY=")</f>
        <v>#REF!</v>
      </c>
      <c r="FL274" t="e">
        <f>AND(#REF!,"AAAAAF//7qc=")</f>
        <v>#REF!</v>
      </c>
      <c r="FM274" t="e">
        <f>AND(#REF!,"AAAAAF//7qg=")</f>
        <v>#REF!</v>
      </c>
      <c r="FN274" t="e">
        <f>AND(#REF!,"AAAAAF//7qk=")</f>
        <v>#REF!</v>
      </c>
      <c r="FO274" t="e">
        <f>AND(#REF!,"AAAAAF//7qo=")</f>
        <v>#REF!</v>
      </c>
      <c r="FP274" t="e">
        <f>AND(#REF!,"AAAAAF//7qs=")</f>
        <v>#REF!</v>
      </c>
      <c r="FQ274" t="e">
        <f>AND(#REF!,"AAAAAF//7qw=")</f>
        <v>#REF!</v>
      </c>
      <c r="FR274" t="e">
        <f>AND(#REF!,"AAAAAF//7q0=")</f>
        <v>#REF!</v>
      </c>
      <c r="FS274" t="e">
        <f>AND(#REF!,"AAAAAF//7q4=")</f>
        <v>#REF!</v>
      </c>
      <c r="FT274" t="e">
        <f>AND(#REF!,"AAAAAF//7q8=")</f>
        <v>#REF!</v>
      </c>
      <c r="FU274" t="e">
        <f>AND(#REF!,"AAAAAF//7rA=")</f>
        <v>#REF!</v>
      </c>
      <c r="FV274" t="e">
        <f>AND(#REF!,"AAAAAF//7rE=")</f>
        <v>#REF!</v>
      </c>
      <c r="FW274" t="e">
        <f>AND(#REF!,"AAAAAF//7rI=")</f>
        <v>#REF!</v>
      </c>
      <c r="FX274" t="e">
        <f>AND(#REF!,"AAAAAF//7rM=")</f>
        <v>#REF!</v>
      </c>
      <c r="FY274" t="e">
        <f>AND(#REF!,"AAAAAF//7rQ=")</f>
        <v>#REF!</v>
      </c>
      <c r="FZ274" t="e">
        <f>AND(#REF!,"AAAAAF//7rU=")</f>
        <v>#REF!</v>
      </c>
      <c r="GA274" t="e">
        <f>AND(#REF!,"AAAAAF//7rY=")</f>
        <v>#REF!</v>
      </c>
      <c r="GB274" t="e">
        <f>AND(#REF!,"AAAAAF//7rc=")</f>
        <v>#REF!</v>
      </c>
      <c r="GC274" t="e">
        <f>AND(#REF!,"AAAAAF//7rg=")</f>
        <v>#REF!</v>
      </c>
      <c r="GD274" t="e">
        <f>AND(#REF!,"AAAAAF//7rk=")</f>
        <v>#REF!</v>
      </c>
      <c r="GE274" t="e">
        <f>AND(#REF!,"AAAAAF//7ro=")</f>
        <v>#REF!</v>
      </c>
      <c r="GF274" t="e">
        <f>AND(#REF!,"AAAAAF//7rs=")</f>
        <v>#REF!</v>
      </c>
      <c r="GG274" t="e">
        <f>AND(#REF!,"AAAAAF//7rw=")</f>
        <v>#REF!</v>
      </c>
      <c r="GH274" t="e">
        <f>AND(#REF!,"AAAAAF//7r0=")</f>
        <v>#REF!</v>
      </c>
      <c r="GI274" t="e">
        <f>AND(#REF!,"AAAAAF//7r4=")</f>
        <v>#REF!</v>
      </c>
      <c r="GJ274" t="e">
        <f>AND(#REF!,"AAAAAF//7r8=")</f>
        <v>#REF!</v>
      </c>
      <c r="GK274" t="e">
        <f>AND(#REF!,"AAAAAF//7sA=")</f>
        <v>#REF!</v>
      </c>
      <c r="GL274" t="e">
        <f>AND(#REF!,"AAAAAF//7sE=")</f>
        <v>#REF!</v>
      </c>
      <c r="GM274" t="e">
        <f>AND(#REF!,"AAAAAF//7sI=")</f>
        <v>#REF!</v>
      </c>
      <c r="GN274" t="e">
        <f>AND(#REF!,"AAAAAF//7sM=")</f>
        <v>#REF!</v>
      </c>
      <c r="GO274" t="e">
        <f>AND(#REF!,"AAAAAF//7sQ=")</f>
        <v>#REF!</v>
      </c>
      <c r="GP274" t="e">
        <f>AND(#REF!,"AAAAAF//7sU=")</f>
        <v>#REF!</v>
      </c>
      <c r="GQ274" t="e">
        <f>AND(#REF!,"AAAAAF//7sY=")</f>
        <v>#REF!</v>
      </c>
      <c r="GR274" t="e">
        <f>AND(#REF!,"AAAAAF//7sc=")</f>
        <v>#REF!</v>
      </c>
      <c r="GS274" t="e">
        <f>AND(#REF!,"AAAAAF//7sg=")</f>
        <v>#REF!</v>
      </c>
      <c r="GT274" t="e">
        <f>AND(#REF!,"AAAAAF//7sk=")</f>
        <v>#REF!</v>
      </c>
      <c r="GU274" t="e">
        <f>AND(#REF!,"AAAAAF//7so=")</f>
        <v>#REF!</v>
      </c>
      <c r="GV274" t="e">
        <f>AND(#REF!,"AAAAAF//7ss=")</f>
        <v>#REF!</v>
      </c>
      <c r="GW274" t="e">
        <f>AND(#REF!,"AAAAAF//7sw=")</f>
        <v>#REF!</v>
      </c>
      <c r="GX274" t="e">
        <f>AND(#REF!,"AAAAAF//7s0=")</f>
        <v>#REF!</v>
      </c>
      <c r="GY274" t="e">
        <f>AND(#REF!,"AAAAAF//7s4=")</f>
        <v>#REF!</v>
      </c>
      <c r="GZ274" t="e">
        <f>AND(#REF!,"AAAAAF//7s8=")</f>
        <v>#REF!</v>
      </c>
      <c r="HA274" t="e">
        <f>AND(#REF!,"AAAAAF//7tA=")</f>
        <v>#REF!</v>
      </c>
      <c r="HB274" t="e">
        <f>AND(#REF!,"AAAAAF//7tE=")</f>
        <v>#REF!</v>
      </c>
      <c r="HC274" t="e">
        <f>AND(#REF!,"AAAAAF//7tI=")</f>
        <v>#REF!</v>
      </c>
      <c r="HD274" t="e">
        <f>AND(#REF!,"AAAAAF//7tM=")</f>
        <v>#REF!</v>
      </c>
      <c r="HE274" t="e">
        <f>AND(#REF!,"AAAAAF//7tQ=")</f>
        <v>#REF!</v>
      </c>
      <c r="HF274" t="e">
        <f>AND(#REF!,"AAAAAF//7tU=")</f>
        <v>#REF!</v>
      </c>
      <c r="HG274" t="e">
        <f>AND(#REF!,"AAAAAF//7tY=")</f>
        <v>#REF!</v>
      </c>
      <c r="HH274" t="e">
        <f>AND(#REF!,"AAAAAF//7tc=")</f>
        <v>#REF!</v>
      </c>
      <c r="HI274" t="e">
        <f>AND(#REF!,"AAAAAF//7tg=")</f>
        <v>#REF!</v>
      </c>
      <c r="HJ274" t="e">
        <f>AND(#REF!,"AAAAAF//7tk=")</f>
        <v>#REF!</v>
      </c>
      <c r="HK274" t="e">
        <f>AND(#REF!,"AAAAAF//7to=")</f>
        <v>#REF!</v>
      </c>
      <c r="HL274" t="e">
        <f>AND(#REF!,"AAAAAF//7ts=")</f>
        <v>#REF!</v>
      </c>
      <c r="HM274" t="e">
        <f>AND(#REF!,"AAAAAF//7tw=")</f>
        <v>#REF!</v>
      </c>
      <c r="HN274" t="e">
        <f>AND(#REF!,"AAAAAF//7t0=")</f>
        <v>#REF!</v>
      </c>
      <c r="HO274" t="e">
        <f>AND(#REF!,"AAAAAF//7t4=")</f>
        <v>#REF!</v>
      </c>
      <c r="HP274" t="e">
        <f>IF(#REF!,"AAAAAF//7t8=",0)</f>
        <v>#REF!</v>
      </c>
      <c r="HQ274" t="e">
        <f>AND(#REF!,"AAAAAF//7uA=")</f>
        <v>#REF!</v>
      </c>
      <c r="HR274" t="e">
        <f>AND(#REF!,"AAAAAF//7uE=")</f>
        <v>#REF!</v>
      </c>
      <c r="HS274" t="e">
        <f>AND(#REF!,"AAAAAF//7uI=")</f>
        <v>#REF!</v>
      </c>
      <c r="HT274" t="e">
        <f>AND(#REF!,"AAAAAF//7uM=")</f>
        <v>#REF!</v>
      </c>
      <c r="HU274" t="e">
        <f>AND(#REF!,"AAAAAF//7uQ=")</f>
        <v>#REF!</v>
      </c>
      <c r="HV274" t="e">
        <f>AND(#REF!,"AAAAAF//7uU=")</f>
        <v>#REF!</v>
      </c>
      <c r="HW274" t="e">
        <f>AND(#REF!,"AAAAAF//7uY=")</f>
        <v>#REF!</v>
      </c>
      <c r="HX274" t="e">
        <f>AND(#REF!,"AAAAAF//7uc=")</f>
        <v>#REF!</v>
      </c>
      <c r="HY274" t="e">
        <f>AND(#REF!,"AAAAAF//7ug=")</f>
        <v>#REF!</v>
      </c>
      <c r="HZ274" t="e">
        <f>AND(#REF!,"AAAAAF//7uk=")</f>
        <v>#REF!</v>
      </c>
      <c r="IA274" t="e">
        <f>AND(#REF!,"AAAAAF//7uo=")</f>
        <v>#REF!</v>
      </c>
      <c r="IB274" t="e">
        <f>AND(#REF!,"AAAAAF//7us=")</f>
        <v>#REF!</v>
      </c>
      <c r="IC274" t="e">
        <f>AND(#REF!,"AAAAAF//7uw=")</f>
        <v>#REF!</v>
      </c>
      <c r="ID274" t="e">
        <f>AND(#REF!,"AAAAAF//7u0=")</f>
        <v>#REF!</v>
      </c>
      <c r="IE274" t="e">
        <f>AND(#REF!,"AAAAAF//7u4=")</f>
        <v>#REF!</v>
      </c>
      <c r="IF274" t="e">
        <f>AND(#REF!,"AAAAAF//7u8=")</f>
        <v>#REF!</v>
      </c>
      <c r="IG274" t="e">
        <f>AND(#REF!,"AAAAAF//7vA=")</f>
        <v>#REF!</v>
      </c>
      <c r="IH274" t="e">
        <f>AND(#REF!,"AAAAAF//7vE=")</f>
        <v>#REF!</v>
      </c>
      <c r="II274" t="e">
        <f>AND(#REF!,"AAAAAF//7vI=")</f>
        <v>#REF!</v>
      </c>
      <c r="IJ274" t="e">
        <f>AND(#REF!,"AAAAAF//7vM=")</f>
        <v>#REF!</v>
      </c>
      <c r="IK274" t="e">
        <f>AND(#REF!,"AAAAAF//7vQ=")</f>
        <v>#REF!</v>
      </c>
      <c r="IL274" t="e">
        <f>AND(#REF!,"AAAAAF//7vU=")</f>
        <v>#REF!</v>
      </c>
      <c r="IM274" t="e">
        <f>AND(#REF!,"AAAAAF//7vY=")</f>
        <v>#REF!</v>
      </c>
      <c r="IN274" t="e">
        <f>AND(#REF!,"AAAAAF//7vc=")</f>
        <v>#REF!</v>
      </c>
      <c r="IO274" t="e">
        <f>AND(#REF!,"AAAAAF//7vg=")</f>
        <v>#REF!</v>
      </c>
      <c r="IP274" t="e">
        <f>AND(#REF!,"AAAAAF//7vk=")</f>
        <v>#REF!</v>
      </c>
      <c r="IQ274" t="e">
        <f>AND(#REF!,"AAAAAF//7vo=")</f>
        <v>#REF!</v>
      </c>
      <c r="IR274" t="e">
        <f>AND(#REF!,"AAAAAF//7vs=")</f>
        <v>#REF!</v>
      </c>
      <c r="IS274" t="e">
        <f>AND(#REF!,"AAAAAF//7vw=")</f>
        <v>#REF!</v>
      </c>
      <c r="IT274" t="e">
        <f>AND(#REF!,"AAAAAF//7v0=")</f>
        <v>#REF!</v>
      </c>
      <c r="IU274" t="e">
        <f>AND(#REF!,"AAAAAF//7v4=")</f>
        <v>#REF!</v>
      </c>
      <c r="IV274" t="e">
        <f>AND(#REF!,"AAAAAF//7v8=")</f>
        <v>#REF!</v>
      </c>
    </row>
    <row r="275" spans="1:256" x14ac:dyDescent="0.25">
      <c r="A275" t="e">
        <f>AND(#REF!,"AAAAAHVLaQA=")</f>
        <v>#REF!</v>
      </c>
      <c r="B275" t="e">
        <f>AND(#REF!,"AAAAAHVLaQE=")</f>
        <v>#REF!</v>
      </c>
      <c r="C275" t="e">
        <f>AND(#REF!,"AAAAAHVLaQI=")</f>
        <v>#REF!</v>
      </c>
      <c r="D275" t="e">
        <f>AND(#REF!,"AAAAAHVLaQM=")</f>
        <v>#REF!</v>
      </c>
      <c r="E275" t="e">
        <f>AND(#REF!,"AAAAAHVLaQQ=")</f>
        <v>#REF!</v>
      </c>
      <c r="F275" t="e">
        <f>AND(#REF!,"AAAAAHVLaQU=")</f>
        <v>#REF!</v>
      </c>
      <c r="G275" t="e">
        <f>AND(#REF!,"AAAAAHVLaQY=")</f>
        <v>#REF!</v>
      </c>
      <c r="H275" t="e">
        <f>AND(#REF!,"AAAAAHVLaQc=")</f>
        <v>#REF!</v>
      </c>
      <c r="I275" t="e">
        <f>AND(#REF!,"AAAAAHVLaQg=")</f>
        <v>#REF!</v>
      </c>
      <c r="J275" t="e">
        <f>AND(#REF!,"AAAAAHVLaQk=")</f>
        <v>#REF!</v>
      </c>
      <c r="K275" t="e">
        <f>AND(#REF!,"AAAAAHVLaQo=")</f>
        <v>#REF!</v>
      </c>
      <c r="L275" t="e">
        <f>AND(#REF!,"AAAAAHVLaQs=")</f>
        <v>#REF!</v>
      </c>
      <c r="M275" t="e">
        <f>AND(#REF!,"AAAAAHVLaQw=")</f>
        <v>#REF!</v>
      </c>
      <c r="N275" t="e">
        <f>AND(#REF!,"AAAAAHVLaQ0=")</f>
        <v>#REF!</v>
      </c>
      <c r="O275" t="e">
        <f>AND(#REF!,"AAAAAHVLaQ4=")</f>
        <v>#REF!</v>
      </c>
      <c r="P275" t="e">
        <f>AND(#REF!,"AAAAAHVLaQ8=")</f>
        <v>#REF!</v>
      </c>
      <c r="Q275" t="e">
        <f>AND(#REF!,"AAAAAHVLaRA=")</f>
        <v>#REF!</v>
      </c>
      <c r="R275" t="e">
        <f>AND(#REF!,"AAAAAHVLaRE=")</f>
        <v>#REF!</v>
      </c>
      <c r="S275" t="e">
        <f>AND(#REF!,"AAAAAHVLaRI=")</f>
        <v>#REF!</v>
      </c>
      <c r="T275" t="e">
        <f>AND(#REF!,"AAAAAHVLaRM=")</f>
        <v>#REF!</v>
      </c>
      <c r="U275" t="e">
        <f>AND(#REF!,"AAAAAHVLaRQ=")</f>
        <v>#REF!</v>
      </c>
      <c r="V275" t="e">
        <f>AND(#REF!,"AAAAAHVLaRU=")</f>
        <v>#REF!</v>
      </c>
      <c r="W275" t="e">
        <f>AND(#REF!,"AAAAAHVLaRY=")</f>
        <v>#REF!</v>
      </c>
      <c r="X275" t="e">
        <f>AND(#REF!,"AAAAAHVLaRc=")</f>
        <v>#REF!</v>
      </c>
      <c r="Y275" t="e">
        <f>AND(#REF!,"AAAAAHVLaRg=")</f>
        <v>#REF!</v>
      </c>
      <c r="Z275" t="e">
        <f>AND(#REF!,"AAAAAHVLaRk=")</f>
        <v>#REF!</v>
      </c>
      <c r="AA275" t="e">
        <f>AND(#REF!,"AAAAAHVLaRo=")</f>
        <v>#REF!</v>
      </c>
      <c r="AB275" t="e">
        <f>AND(#REF!,"AAAAAHVLaRs=")</f>
        <v>#REF!</v>
      </c>
      <c r="AC275" t="e">
        <f>AND(#REF!,"AAAAAHVLaRw=")</f>
        <v>#REF!</v>
      </c>
      <c r="AD275" t="e">
        <f>AND(#REF!,"AAAAAHVLaR0=")</f>
        <v>#REF!</v>
      </c>
      <c r="AE275" t="e">
        <f>AND(#REF!,"AAAAAHVLaR4=")</f>
        <v>#REF!</v>
      </c>
      <c r="AF275" t="e">
        <f>AND(#REF!,"AAAAAHVLaR8=")</f>
        <v>#REF!</v>
      </c>
      <c r="AG275" t="e">
        <f>AND(#REF!,"AAAAAHVLaSA=")</f>
        <v>#REF!</v>
      </c>
      <c r="AH275" t="e">
        <f>AND(#REF!,"AAAAAHVLaSE=")</f>
        <v>#REF!</v>
      </c>
      <c r="AI275" t="e">
        <f>AND(#REF!,"AAAAAHVLaSI=")</f>
        <v>#REF!</v>
      </c>
      <c r="AJ275" t="e">
        <f>AND(#REF!,"AAAAAHVLaSM=")</f>
        <v>#REF!</v>
      </c>
      <c r="AK275" t="e">
        <f>AND(#REF!,"AAAAAHVLaSQ=")</f>
        <v>#REF!</v>
      </c>
      <c r="AL275" t="e">
        <f>AND(#REF!,"AAAAAHVLaSU=")</f>
        <v>#REF!</v>
      </c>
      <c r="AM275" t="e">
        <f>AND(#REF!,"AAAAAHVLaSY=")</f>
        <v>#REF!</v>
      </c>
      <c r="AN275" t="e">
        <f>AND(#REF!,"AAAAAHVLaSc=")</f>
        <v>#REF!</v>
      </c>
      <c r="AO275" t="e">
        <f>AND(#REF!,"AAAAAHVLaSg=")</f>
        <v>#REF!</v>
      </c>
      <c r="AP275" t="e">
        <f>AND(#REF!,"AAAAAHVLaSk=")</f>
        <v>#REF!</v>
      </c>
      <c r="AQ275" t="e">
        <f>AND(#REF!,"AAAAAHVLaSo=")</f>
        <v>#REF!</v>
      </c>
      <c r="AR275" t="e">
        <f>AND(#REF!,"AAAAAHVLaSs=")</f>
        <v>#REF!</v>
      </c>
      <c r="AS275" t="e">
        <f>AND(#REF!,"AAAAAHVLaSw=")</f>
        <v>#REF!</v>
      </c>
      <c r="AT275" t="e">
        <f>AND(#REF!,"AAAAAHVLaS0=")</f>
        <v>#REF!</v>
      </c>
      <c r="AU275" t="e">
        <f>AND(#REF!,"AAAAAHVLaS4=")</f>
        <v>#REF!</v>
      </c>
      <c r="AV275" t="e">
        <f>AND(#REF!,"AAAAAHVLaS8=")</f>
        <v>#REF!</v>
      </c>
      <c r="AW275" t="e">
        <f>AND(#REF!,"AAAAAHVLaTA=")</f>
        <v>#REF!</v>
      </c>
      <c r="AX275" t="e">
        <f>AND(#REF!,"AAAAAHVLaTE=")</f>
        <v>#REF!</v>
      </c>
      <c r="AY275" t="e">
        <f>AND(#REF!,"AAAAAHVLaTI=")</f>
        <v>#REF!</v>
      </c>
      <c r="AZ275" t="e">
        <f>AND(#REF!,"AAAAAHVLaTM=")</f>
        <v>#REF!</v>
      </c>
      <c r="BA275" t="e">
        <f>AND(#REF!,"AAAAAHVLaTQ=")</f>
        <v>#REF!</v>
      </c>
      <c r="BB275" t="e">
        <f>AND(#REF!,"AAAAAHVLaTU=")</f>
        <v>#REF!</v>
      </c>
      <c r="BC275" t="e">
        <f>AND(#REF!,"AAAAAHVLaTY=")</f>
        <v>#REF!</v>
      </c>
      <c r="BD275" t="e">
        <f>AND(#REF!,"AAAAAHVLaTc=")</f>
        <v>#REF!</v>
      </c>
      <c r="BE275" t="e">
        <f>AND(#REF!,"AAAAAHVLaTg=")</f>
        <v>#REF!</v>
      </c>
      <c r="BF275" t="e">
        <f>AND(#REF!,"AAAAAHVLaTk=")</f>
        <v>#REF!</v>
      </c>
      <c r="BG275" t="e">
        <f>AND(#REF!,"AAAAAHVLaTo=")</f>
        <v>#REF!</v>
      </c>
      <c r="BH275" t="e">
        <f>AND(#REF!,"AAAAAHVLaTs=")</f>
        <v>#REF!</v>
      </c>
      <c r="BI275" t="e">
        <f>AND(#REF!,"AAAAAHVLaTw=")</f>
        <v>#REF!</v>
      </c>
      <c r="BJ275" t="e">
        <f>AND(#REF!,"AAAAAHVLaT0=")</f>
        <v>#REF!</v>
      </c>
      <c r="BK275" t="e">
        <f>AND(#REF!,"AAAAAHVLaT4=")</f>
        <v>#REF!</v>
      </c>
      <c r="BL275" t="e">
        <f>AND(#REF!,"AAAAAHVLaT8=")</f>
        <v>#REF!</v>
      </c>
      <c r="BM275" t="e">
        <f>AND(#REF!,"AAAAAHVLaUA=")</f>
        <v>#REF!</v>
      </c>
      <c r="BN275" t="e">
        <f>AND(#REF!,"AAAAAHVLaUE=")</f>
        <v>#REF!</v>
      </c>
      <c r="BO275" t="e">
        <f>AND(#REF!,"AAAAAHVLaUI=")</f>
        <v>#REF!</v>
      </c>
      <c r="BP275" t="e">
        <f>AND(#REF!,"AAAAAHVLaUM=")</f>
        <v>#REF!</v>
      </c>
      <c r="BQ275" t="e">
        <f>AND(#REF!,"AAAAAHVLaUQ=")</f>
        <v>#REF!</v>
      </c>
      <c r="BR275" t="e">
        <f>AND(#REF!,"AAAAAHVLaUU=")</f>
        <v>#REF!</v>
      </c>
      <c r="BS275" t="e">
        <f>AND(#REF!,"AAAAAHVLaUY=")</f>
        <v>#REF!</v>
      </c>
      <c r="BT275" t="e">
        <f>AND(#REF!,"AAAAAHVLaUc=")</f>
        <v>#REF!</v>
      </c>
      <c r="BU275" t="e">
        <f>AND(#REF!,"AAAAAHVLaUg=")</f>
        <v>#REF!</v>
      </c>
      <c r="BV275" t="e">
        <f>AND(#REF!,"AAAAAHVLaUk=")</f>
        <v>#REF!</v>
      </c>
      <c r="BW275" t="e">
        <f>AND(#REF!,"AAAAAHVLaUo=")</f>
        <v>#REF!</v>
      </c>
      <c r="BX275" t="e">
        <f>AND(#REF!,"AAAAAHVLaUs=")</f>
        <v>#REF!</v>
      </c>
      <c r="BY275" t="e">
        <f>AND(#REF!,"AAAAAHVLaUw=")</f>
        <v>#REF!</v>
      </c>
      <c r="BZ275" t="e">
        <f>AND(#REF!,"AAAAAHVLaU0=")</f>
        <v>#REF!</v>
      </c>
      <c r="CA275" t="e">
        <f>AND(#REF!,"AAAAAHVLaU4=")</f>
        <v>#REF!</v>
      </c>
      <c r="CB275" t="e">
        <f>AND(#REF!,"AAAAAHVLaU8=")</f>
        <v>#REF!</v>
      </c>
      <c r="CC275" t="e">
        <f>AND(#REF!,"AAAAAHVLaVA=")</f>
        <v>#REF!</v>
      </c>
      <c r="CD275" t="e">
        <f>AND(#REF!,"AAAAAHVLaVE=")</f>
        <v>#REF!</v>
      </c>
      <c r="CE275" t="e">
        <f>AND(#REF!,"AAAAAHVLaVI=")</f>
        <v>#REF!</v>
      </c>
      <c r="CF275" t="e">
        <f>AND(#REF!,"AAAAAHVLaVM=")</f>
        <v>#REF!</v>
      </c>
      <c r="CG275" t="e">
        <f>AND(#REF!,"AAAAAHVLaVQ=")</f>
        <v>#REF!</v>
      </c>
      <c r="CH275" t="e">
        <f>AND(#REF!,"AAAAAHVLaVU=")</f>
        <v>#REF!</v>
      </c>
      <c r="CI275" t="e">
        <f>AND(#REF!,"AAAAAHVLaVY=")</f>
        <v>#REF!</v>
      </c>
      <c r="CJ275" t="e">
        <f>AND(#REF!,"AAAAAHVLaVc=")</f>
        <v>#REF!</v>
      </c>
      <c r="CK275" t="e">
        <f>AND(#REF!,"AAAAAHVLaVg=")</f>
        <v>#REF!</v>
      </c>
      <c r="CL275" t="e">
        <f>AND(#REF!,"AAAAAHVLaVk=")</f>
        <v>#REF!</v>
      </c>
      <c r="CM275" t="e">
        <f>AND(#REF!,"AAAAAHVLaVo=")</f>
        <v>#REF!</v>
      </c>
      <c r="CN275" t="e">
        <f>AND(#REF!,"AAAAAHVLaVs=")</f>
        <v>#REF!</v>
      </c>
      <c r="CO275" t="e">
        <f>AND(#REF!,"AAAAAHVLaVw=")</f>
        <v>#REF!</v>
      </c>
      <c r="CP275" t="e">
        <f>AND(#REF!,"AAAAAHVLaV0=")</f>
        <v>#REF!</v>
      </c>
      <c r="CQ275" t="e">
        <f>AND(#REF!,"AAAAAHVLaV4=")</f>
        <v>#REF!</v>
      </c>
      <c r="CR275" t="e">
        <f>AND(#REF!,"AAAAAHVLaV8=")</f>
        <v>#REF!</v>
      </c>
      <c r="CS275" t="e">
        <f>AND(#REF!,"AAAAAHVLaWA=")</f>
        <v>#REF!</v>
      </c>
      <c r="CT275" t="e">
        <f>AND(#REF!,"AAAAAHVLaWE=")</f>
        <v>#REF!</v>
      </c>
      <c r="CU275" t="e">
        <f>AND(#REF!,"AAAAAHVLaWI=")</f>
        <v>#REF!</v>
      </c>
      <c r="CV275" t="e">
        <f>AND(#REF!,"AAAAAHVLaWM=")</f>
        <v>#REF!</v>
      </c>
      <c r="CW275" t="e">
        <f>AND(#REF!,"AAAAAHVLaWQ=")</f>
        <v>#REF!</v>
      </c>
      <c r="CX275" t="e">
        <f>AND(#REF!,"AAAAAHVLaWU=")</f>
        <v>#REF!</v>
      </c>
      <c r="CY275" t="e">
        <f>AND(#REF!,"AAAAAHVLaWY=")</f>
        <v>#REF!</v>
      </c>
      <c r="CZ275" t="e">
        <f>AND(#REF!,"AAAAAHVLaWc=")</f>
        <v>#REF!</v>
      </c>
      <c r="DA275" t="e">
        <f>AND(#REF!,"AAAAAHVLaWg=")</f>
        <v>#REF!</v>
      </c>
      <c r="DB275" t="e">
        <f>AND(#REF!,"AAAAAHVLaWk=")</f>
        <v>#REF!</v>
      </c>
      <c r="DC275" t="e">
        <f>AND(#REF!,"AAAAAHVLaWo=")</f>
        <v>#REF!</v>
      </c>
      <c r="DD275" t="e">
        <f>AND(#REF!,"AAAAAHVLaWs=")</f>
        <v>#REF!</v>
      </c>
      <c r="DE275" t="e">
        <f>AND(#REF!,"AAAAAHVLaWw=")</f>
        <v>#REF!</v>
      </c>
      <c r="DF275" t="e">
        <f>AND(#REF!,"AAAAAHVLaW0=")</f>
        <v>#REF!</v>
      </c>
      <c r="DG275" t="e">
        <f>AND(#REF!,"AAAAAHVLaW4=")</f>
        <v>#REF!</v>
      </c>
      <c r="DH275" t="e">
        <f>AND(#REF!,"AAAAAHVLaW8=")</f>
        <v>#REF!</v>
      </c>
      <c r="DI275" t="e">
        <f>AND(#REF!,"AAAAAHVLaXA=")</f>
        <v>#REF!</v>
      </c>
      <c r="DJ275" t="e">
        <f>AND(#REF!,"AAAAAHVLaXE=")</f>
        <v>#REF!</v>
      </c>
      <c r="DK275" t="e">
        <f>AND(#REF!,"AAAAAHVLaXI=")</f>
        <v>#REF!</v>
      </c>
      <c r="DL275" t="e">
        <f>AND(#REF!,"AAAAAHVLaXM=")</f>
        <v>#REF!</v>
      </c>
      <c r="DM275" t="e">
        <f>AND(#REF!,"AAAAAHVLaXQ=")</f>
        <v>#REF!</v>
      </c>
      <c r="DN275" t="e">
        <f>AND(#REF!,"AAAAAHVLaXU=")</f>
        <v>#REF!</v>
      </c>
      <c r="DO275" t="e">
        <f>AND(#REF!,"AAAAAHVLaXY=")</f>
        <v>#REF!</v>
      </c>
      <c r="DP275" t="e">
        <f>AND(#REF!,"AAAAAHVLaXc=")</f>
        <v>#REF!</v>
      </c>
      <c r="DQ275" t="e">
        <f>AND(#REF!,"AAAAAHVLaXg=")</f>
        <v>#REF!</v>
      </c>
      <c r="DR275" t="e">
        <f>AND(#REF!,"AAAAAHVLaXk=")</f>
        <v>#REF!</v>
      </c>
      <c r="DS275" t="e">
        <f>AND(#REF!,"AAAAAHVLaXo=")</f>
        <v>#REF!</v>
      </c>
      <c r="DT275" t="e">
        <f>AND(#REF!,"AAAAAHVLaXs=")</f>
        <v>#REF!</v>
      </c>
      <c r="DU275" t="e">
        <f>AND(#REF!,"AAAAAHVLaXw=")</f>
        <v>#REF!</v>
      </c>
      <c r="DV275" t="e">
        <f>AND(#REF!,"AAAAAHVLaX0=")</f>
        <v>#REF!</v>
      </c>
      <c r="DW275" t="e">
        <f>AND(#REF!,"AAAAAHVLaX4=")</f>
        <v>#REF!</v>
      </c>
      <c r="DX275" t="e">
        <f>AND(#REF!,"AAAAAHVLaX8=")</f>
        <v>#REF!</v>
      </c>
      <c r="DY275" t="e">
        <f>AND(#REF!,"AAAAAHVLaYA=")</f>
        <v>#REF!</v>
      </c>
      <c r="DZ275" t="e">
        <f>AND(#REF!,"AAAAAHVLaYE=")</f>
        <v>#REF!</v>
      </c>
      <c r="EA275" t="e">
        <f>AND(#REF!,"AAAAAHVLaYI=")</f>
        <v>#REF!</v>
      </c>
      <c r="EB275" t="e">
        <f>AND(#REF!,"AAAAAHVLaYM=")</f>
        <v>#REF!</v>
      </c>
      <c r="EC275" t="e">
        <f>AND(#REF!,"AAAAAHVLaYQ=")</f>
        <v>#REF!</v>
      </c>
      <c r="ED275" t="e">
        <f>AND(#REF!,"AAAAAHVLaYU=")</f>
        <v>#REF!</v>
      </c>
      <c r="EE275" t="e">
        <f>AND(#REF!,"AAAAAHVLaYY=")</f>
        <v>#REF!</v>
      </c>
      <c r="EF275" t="e">
        <f>AND(#REF!,"AAAAAHVLaYc=")</f>
        <v>#REF!</v>
      </c>
      <c r="EG275" t="e">
        <f>AND(#REF!,"AAAAAHVLaYg=")</f>
        <v>#REF!</v>
      </c>
      <c r="EH275" t="e">
        <f>AND(#REF!,"AAAAAHVLaYk=")</f>
        <v>#REF!</v>
      </c>
      <c r="EI275" t="e">
        <f>AND(#REF!,"AAAAAHVLaYo=")</f>
        <v>#REF!</v>
      </c>
      <c r="EJ275" t="e">
        <f>AND(#REF!,"AAAAAHVLaYs=")</f>
        <v>#REF!</v>
      </c>
      <c r="EK275" t="e">
        <f>AND(#REF!,"AAAAAHVLaYw=")</f>
        <v>#REF!</v>
      </c>
      <c r="EL275" t="e">
        <f>AND(#REF!,"AAAAAHVLaY0=")</f>
        <v>#REF!</v>
      </c>
      <c r="EM275" t="e">
        <f>AND(#REF!,"AAAAAHVLaY4=")</f>
        <v>#REF!</v>
      </c>
      <c r="EN275" t="e">
        <f>AND(#REF!,"AAAAAHVLaY8=")</f>
        <v>#REF!</v>
      </c>
      <c r="EO275" t="e">
        <f>AND(#REF!,"AAAAAHVLaZA=")</f>
        <v>#REF!</v>
      </c>
      <c r="EP275" t="e">
        <f>AND(#REF!,"AAAAAHVLaZE=")</f>
        <v>#REF!</v>
      </c>
      <c r="EQ275" t="e">
        <f>AND(#REF!,"AAAAAHVLaZI=")</f>
        <v>#REF!</v>
      </c>
      <c r="ER275" t="e">
        <f>AND(#REF!,"AAAAAHVLaZM=")</f>
        <v>#REF!</v>
      </c>
      <c r="ES275" t="e">
        <f>AND(#REF!,"AAAAAHVLaZQ=")</f>
        <v>#REF!</v>
      </c>
      <c r="ET275" t="e">
        <f>AND(#REF!,"AAAAAHVLaZU=")</f>
        <v>#REF!</v>
      </c>
      <c r="EU275" t="e">
        <f>AND(#REF!,"AAAAAHVLaZY=")</f>
        <v>#REF!</v>
      </c>
      <c r="EV275" t="e">
        <f>AND(#REF!,"AAAAAHVLaZc=")</f>
        <v>#REF!</v>
      </c>
      <c r="EW275" t="e">
        <f>AND(#REF!,"AAAAAHVLaZg=")</f>
        <v>#REF!</v>
      </c>
      <c r="EX275" t="e">
        <f>AND(#REF!,"AAAAAHVLaZk=")</f>
        <v>#REF!</v>
      </c>
      <c r="EY275" t="e">
        <f>AND(#REF!,"AAAAAHVLaZo=")</f>
        <v>#REF!</v>
      </c>
      <c r="EZ275" t="e">
        <f>AND(#REF!,"AAAAAHVLaZs=")</f>
        <v>#REF!</v>
      </c>
      <c r="FA275" t="e">
        <f>IF(#REF!,"AAAAAHVLaZw=",0)</f>
        <v>#REF!</v>
      </c>
      <c r="FB275" t="e">
        <f>AND(#REF!,"AAAAAHVLaZ0=")</f>
        <v>#REF!</v>
      </c>
      <c r="FC275" t="e">
        <f>AND(#REF!,"AAAAAHVLaZ4=")</f>
        <v>#REF!</v>
      </c>
      <c r="FD275" t="e">
        <f>AND(#REF!,"AAAAAHVLaZ8=")</f>
        <v>#REF!</v>
      </c>
      <c r="FE275" t="e">
        <f>AND(#REF!,"AAAAAHVLaaA=")</f>
        <v>#REF!</v>
      </c>
      <c r="FF275" t="e">
        <f>AND(#REF!,"AAAAAHVLaaE=")</f>
        <v>#REF!</v>
      </c>
      <c r="FG275" t="e">
        <f>AND(#REF!,"AAAAAHVLaaI=")</f>
        <v>#REF!</v>
      </c>
      <c r="FH275" t="e">
        <f>AND(#REF!,"AAAAAHVLaaM=")</f>
        <v>#REF!</v>
      </c>
      <c r="FI275" t="e">
        <f>AND(#REF!,"AAAAAHVLaaQ=")</f>
        <v>#REF!</v>
      </c>
      <c r="FJ275" t="e">
        <f>AND(#REF!,"AAAAAHVLaaU=")</f>
        <v>#REF!</v>
      </c>
      <c r="FK275" t="e">
        <f>AND(#REF!,"AAAAAHVLaaY=")</f>
        <v>#REF!</v>
      </c>
      <c r="FL275" t="e">
        <f>AND(#REF!,"AAAAAHVLaac=")</f>
        <v>#REF!</v>
      </c>
      <c r="FM275" t="e">
        <f>AND(#REF!,"AAAAAHVLaag=")</f>
        <v>#REF!</v>
      </c>
      <c r="FN275" t="e">
        <f>AND(#REF!,"AAAAAHVLaak=")</f>
        <v>#REF!</v>
      </c>
      <c r="FO275" t="e">
        <f>AND(#REF!,"AAAAAHVLaao=")</f>
        <v>#REF!</v>
      </c>
      <c r="FP275" t="e">
        <f>AND(#REF!,"AAAAAHVLaas=")</f>
        <v>#REF!</v>
      </c>
      <c r="FQ275" t="e">
        <f>AND(#REF!,"AAAAAHVLaaw=")</f>
        <v>#REF!</v>
      </c>
      <c r="FR275" t="e">
        <f>AND(#REF!,"AAAAAHVLaa0=")</f>
        <v>#REF!</v>
      </c>
      <c r="FS275" t="e">
        <f>AND(#REF!,"AAAAAHVLaa4=")</f>
        <v>#REF!</v>
      </c>
      <c r="FT275" t="e">
        <f>AND(#REF!,"AAAAAHVLaa8=")</f>
        <v>#REF!</v>
      </c>
      <c r="FU275" t="e">
        <f>AND(#REF!,"AAAAAHVLabA=")</f>
        <v>#REF!</v>
      </c>
      <c r="FV275" t="e">
        <f>AND(#REF!,"AAAAAHVLabE=")</f>
        <v>#REF!</v>
      </c>
      <c r="FW275" t="e">
        <f>AND(#REF!,"AAAAAHVLabI=")</f>
        <v>#REF!</v>
      </c>
      <c r="FX275" t="e">
        <f>AND(#REF!,"AAAAAHVLabM=")</f>
        <v>#REF!</v>
      </c>
      <c r="FY275" t="e">
        <f>AND(#REF!,"AAAAAHVLabQ=")</f>
        <v>#REF!</v>
      </c>
      <c r="FZ275" t="e">
        <f>AND(#REF!,"AAAAAHVLabU=")</f>
        <v>#REF!</v>
      </c>
      <c r="GA275" t="e">
        <f>AND(#REF!,"AAAAAHVLabY=")</f>
        <v>#REF!</v>
      </c>
      <c r="GB275" t="e">
        <f>AND(#REF!,"AAAAAHVLabc=")</f>
        <v>#REF!</v>
      </c>
      <c r="GC275" t="e">
        <f>AND(#REF!,"AAAAAHVLabg=")</f>
        <v>#REF!</v>
      </c>
      <c r="GD275" t="e">
        <f>AND(#REF!,"AAAAAHVLabk=")</f>
        <v>#REF!</v>
      </c>
      <c r="GE275" t="e">
        <f>AND(#REF!,"AAAAAHVLabo=")</f>
        <v>#REF!</v>
      </c>
      <c r="GF275" t="e">
        <f>AND(#REF!,"AAAAAHVLabs=")</f>
        <v>#REF!</v>
      </c>
      <c r="GG275" t="e">
        <f>AND(#REF!,"AAAAAHVLabw=")</f>
        <v>#REF!</v>
      </c>
      <c r="GH275" t="e">
        <f>AND(#REF!,"AAAAAHVLab0=")</f>
        <v>#REF!</v>
      </c>
      <c r="GI275" t="e">
        <f>AND(#REF!,"AAAAAHVLab4=")</f>
        <v>#REF!</v>
      </c>
      <c r="GJ275" t="e">
        <f>AND(#REF!,"AAAAAHVLab8=")</f>
        <v>#REF!</v>
      </c>
      <c r="GK275" t="e">
        <f>AND(#REF!,"AAAAAHVLacA=")</f>
        <v>#REF!</v>
      </c>
      <c r="GL275" t="e">
        <f>AND(#REF!,"AAAAAHVLacE=")</f>
        <v>#REF!</v>
      </c>
      <c r="GM275" t="e">
        <f>AND(#REF!,"AAAAAHVLacI=")</f>
        <v>#REF!</v>
      </c>
      <c r="GN275" t="e">
        <f>AND(#REF!,"AAAAAHVLacM=")</f>
        <v>#REF!</v>
      </c>
      <c r="GO275" t="e">
        <f>AND(#REF!,"AAAAAHVLacQ=")</f>
        <v>#REF!</v>
      </c>
      <c r="GP275" t="e">
        <f>AND(#REF!,"AAAAAHVLacU=")</f>
        <v>#REF!</v>
      </c>
      <c r="GQ275" t="e">
        <f>AND(#REF!,"AAAAAHVLacY=")</f>
        <v>#REF!</v>
      </c>
      <c r="GR275" t="e">
        <f>AND(#REF!,"AAAAAHVLacc=")</f>
        <v>#REF!</v>
      </c>
      <c r="GS275" t="e">
        <f>AND(#REF!,"AAAAAHVLacg=")</f>
        <v>#REF!</v>
      </c>
      <c r="GT275" t="e">
        <f>AND(#REF!,"AAAAAHVLack=")</f>
        <v>#REF!</v>
      </c>
      <c r="GU275" t="e">
        <f>AND(#REF!,"AAAAAHVLaco=")</f>
        <v>#REF!</v>
      </c>
      <c r="GV275" t="e">
        <f>AND(#REF!,"AAAAAHVLacs=")</f>
        <v>#REF!</v>
      </c>
      <c r="GW275" t="e">
        <f>AND(#REF!,"AAAAAHVLacw=")</f>
        <v>#REF!</v>
      </c>
      <c r="GX275" t="e">
        <f>AND(#REF!,"AAAAAHVLac0=")</f>
        <v>#REF!</v>
      </c>
      <c r="GY275" t="e">
        <f>AND(#REF!,"AAAAAHVLac4=")</f>
        <v>#REF!</v>
      </c>
      <c r="GZ275" t="e">
        <f>AND(#REF!,"AAAAAHVLac8=")</f>
        <v>#REF!</v>
      </c>
      <c r="HA275" t="e">
        <f>AND(#REF!,"AAAAAHVLadA=")</f>
        <v>#REF!</v>
      </c>
      <c r="HB275" t="e">
        <f>AND(#REF!,"AAAAAHVLadE=")</f>
        <v>#REF!</v>
      </c>
      <c r="HC275" t="e">
        <f>AND(#REF!,"AAAAAHVLadI=")</f>
        <v>#REF!</v>
      </c>
      <c r="HD275" t="e">
        <f>AND(#REF!,"AAAAAHVLadM=")</f>
        <v>#REF!</v>
      </c>
      <c r="HE275" t="e">
        <f>AND(#REF!,"AAAAAHVLadQ=")</f>
        <v>#REF!</v>
      </c>
      <c r="HF275" t="e">
        <f>AND(#REF!,"AAAAAHVLadU=")</f>
        <v>#REF!</v>
      </c>
      <c r="HG275" t="e">
        <f>AND(#REF!,"AAAAAHVLadY=")</f>
        <v>#REF!</v>
      </c>
      <c r="HH275" t="e">
        <f>AND(#REF!,"AAAAAHVLadc=")</f>
        <v>#REF!</v>
      </c>
      <c r="HI275" t="e">
        <f>AND(#REF!,"AAAAAHVLadg=")</f>
        <v>#REF!</v>
      </c>
      <c r="HJ275" t="e">
        <f>AND(#REF!,"AAAAAHVLadk=")</f>
        <v>#REF!</v>
      </c>
      <c r="HK275" t="e">
        <f>AND(#REF!,"AAAAAHVLado=")</f>
        <v>#REF!</v>
      </c>
      <c r="HL275" t="e">
        <f>AND(#REF!,"AAAAAHVLads=")</f>
        <v>#REF!</v>
      </c>
      <c r="HM275" t="e">
        <f>AND(#REF!,"AAAAAHVLadw=")</f>
        <v>#REF!</v>
      </c>
      <c r="HN275" t="e">
        <f>AND(#REF!,"AAAAAHVLad0=")</f>
        <v>#REF!</v>
      </c>
      <c r="HO275" t="e">
        <f>AND(#REF!,"AAAAAHVLad4=")</f>
        <v>#REF!</v>
      </c>
      <c r="HP275" t="e">
        <f>AND(#REF!,"AAAAAHVLad8=")</f>
        <v>#REF!</v>
      </c>
      <c r="HQ275" t="e">
        <f>AND(#REF!,"AAAAAHVLaeA=")</f>
        <v>#REF!</v>
      </c>
      <c r="HR275" t="e">
        <f>AND(#REF!,"AAAAAHVLaeE=")</f>
        <v>#REF!</v>
      </c>
      <c r="HS275" t="e">
        <f>AND(#REF!,"AAAAAHVLaeI=")</f>
        <v>#REF!</v>
      </c>
      <c r="HT275" t="e">
        <f>AND(#REF!,"AAAAAHVLaeM=")</f>
        <v>#REF!</v>
      </c>
      <c r="HU275" t="e">
        <f>AND(#REF!,"AAAAAHVLaeQ=")</f>
        <v>#REF!</v>
      </c>
      <c r="HV275" t="e">
        <f>AND(#REF!,"AAAAAHVLaeU=")</f>
        <v>#REF!</v>
      </c>
      <c r="HW275" t="e">
        <f>AND(#REF!,"AAAAAHVLaeY=")</f>
        <v>#REF!</v>
      </c>
      <c r="HX275" t="e">
        <f>AND(#REF!,"AAAAAHVLaec=")</f>
        <v>#REF!</v>
      </c>
      <c r="HY275" t="e">
        <f>AND(#REF!,"AAAAAHVLaeg=")</f>
        <v>#REF!</v>
      </c>
      <c r="HZ275" t="e">
        <f>AND(#REF!,"AAAAAHVLaek=")</f>
        <v>#REF!</v>
      </c>
      <c r="IA275" t="e">
        <f>AND(#REF!,"AAAAAHVLaeo=")</f>
        <v>#REF!</v>
      </c>
      <c r="IB275" t="e">
        <f>AND(#REF!,"AAAAAHVLaes=")</f>
        <v>#REF!</v>
      </c>
      <c r="IC275" t="e">
        <f>AND(#REF!,"AAAAAHVLaew=")</f>
        <v>#REF!</v>
      </c>
      <c r="ID275" t="e">
        <f>AND(#REF!,"AAAAAHVLae0=")</f>
        <v>#REF!</v>
      </c>
      <c r="IE275" t="e">
        <f>AND(#REF!,"AAAAAHVLae4=")</f>
        <v>#REF!</v>
      </c>
      <c r="IF275" t="e">
        <f>AND(#REF!,"AAAAAHVLae8=")</f>
        <v>#REF!</v>
      </c>
      <c r="IG275" t="e">
        <f>AND(#REF!,"AAAAAHVLafA=")</f>
        <v>#REF!</v>
      </c>
      <c r="IH275" t="e">
        <f>AND(#REF!,"AAAAAHVLafE=")</f>
        <v>#REF!</v>
      </c>
      <c r="II275" t="e">
        <f>AND(#REF!,"AAAAAHVLafI=")</f>
        <v>#REF!</v>
      </c>
      <c r="IJ275" t="e">
        <f>AND(#REF!,"AAAAAHVLafM=")</f>
        <v>#REF!</v>
      </c>
      <c r="IK275" t="e">
        <f>AND(#REF!,"AAAAAHVLafQ=")</f>
        <v>#REF!</v>
      </c>
      <c r="IL275" t="e">
        <f>AND(#REF!,"AAAAAHVLafU=")</f>
        <v>#REF!</v>
      </c>
      <c r="IM275" t="e">
        <f>AND(#REF!,"AAAAAHVLafY=")</f>
        <v>#REF!</v>
      </c>
      <c r="IN275" t="e">
        <f>AND(#REF!,"AAAAAHVLafc=")</f>
        <v>#REF!</v>
      </c>
      <c r="IO275" t="e">
        <f>AND(#REF!,"AAAAAHVLafg=")</f>
        <v>#REF!</v>
      </c>
      <c r="IP275" t="e">
        <f>AND(#REF!,"AAAAAHVLafk=")</f>
        <v>#REF!</v>
      </c>
      <c r="IQ275" t="e">
        <f>AND(#REF!,"AAAAAHVLafo=")</f>
        <v>#REF!</v>
      </c>
      <c r="IR275" t="e">
        <f>AND(#REF!,"AAAAAHVLafs=")</f>
        <v>#REF!</v>
      </c>
      <c r="IS275" t="e">
        <f>AND(#REF!,"AAAAAHVLafw=")</f>
        <v>#REF!</v>
      </c>
      <c r="IT275" t="e">
        <f>AND(#REF!,"AAAAAHVLaf0=")</f>
        <v>#REF!</v>
      </c>
      <c r="IU275" t="e">
        <f>AND(#REF!,"AAAAAHVLaf4=")</f>
        <v>#REF!</v>
      </c>
      <c r="IV275" t="e">
        <f>AND(#REF!,"AAAAAHVLaf8=")</f>
        <v>#REF!</v>
      </c>
    </row>
    <row r="276" spans="1:256" x14ac:dyDescent="0.25">
      <c r="A276" t="e">
        <f>AND(#REF!,"AAAAAH90tQA=")</f>
        <v>#REF!</v>
      </c>
      <c r="B276" t="e">
        <f>AND(#REF!,"AAAAAH90tQE=")</f>
        <v>#REF!</v>
      </c>
      <c r="C276" t="e">
        <f>AND(#REF!,"AAAAAH90tQI=")</f>
        <v>#REF!</v>
      </c>
      <c r="D276" t="e">
        <f>AND(#REF!,"AAAAAH90tQM=")</f>
        <v>#REF!</v>
      </c>
      <c r="E276" t="e">
        <f>AND(#REF!,"AAAAAH90tQQ=")</f>
        <v>#REF!</v>
      </c>
      <c r="F276" t="e">
        <f>AND(#REF!,"AAAAAH90tQU=")</f>
        <v>#REF!</v>
      </c>
      <c r="G276" t="e">
        <f>AND(#REF!,"AAAAAH90tQY=")</f>
        <v>#REF!</v>
      </c>
      <c r="H276" t="e">
        <f>AND(#REF!,"AAAAAH90tQc=")</f>
        <v>#REF!</v>
      </c>
      <c r="I276" t="e">
        <f>AND(#REF!,"AAAAAH90tQg=")</f>
        <v>#REF!</v>
      </c>
      <c r="J276" t="e">
        <f>AND(#REF!,"AAAAAH90tQk=")</f>
        <v>#REF!</v>
      </c>
      <c r="K276" t="e">
        <f>AND(#REF!,"AAAAAH90tQo=")</f>
        <v>#REF!</v>
      </c>
      <c r="L276" t="e">
        <f>AND(#REF!,"AAAAAH90tQs=")</f>
        <v>#REF!</v>
      </c>
      <c r="M276" t="e">
        <f>AND(#REF!,"AAAAAH90tQw=")</f>
        <v>#REF!</v>
      </c>
      <c r="N276" t="e">
        <f>AND(#REF!,"AAAAAH90tQ0=")</f>
        <v>#REF!</v>
      </c>
      <c r="O276" t="e">
        <f>AND(#REF!,"AAAAAH90tQ4=")</f>
        <v>#REF!</v>
      </c>
      <c r="P276" t="e">
        <f>AND(#REF!,"AAAAAH90tQ8=")</f>
        <v>#REF!</v>
      </c>
      <c r="Q276" t="e">
        <f>AND(#REF!,"AAAAAH90tRA=")</f>
        <v>#REF!</v>
      </c>
      <c r="R276" t="e">
        <f>AND(#REF!,"AAAAAH90tRE=")</f>
        <v>#REF!</v>
      </c>
      <c r="S276" t="e">
        <f>AND(#REF!,"AAAAAH90tRI=")</f>
        <v>#REF!</v>
      </c>
      <c r="T276" t="e">
        <f>AND(#REF!,"AAAAAH90tRM=")</f>
        <v>#REF!</v>
      </c>
      <c r="U276" t="e">
        <f>AND(#REF!,"AAAAAH90tRQ=")</f>
        <v>#REF!</v>
      </c>
      <c r="V276" t="e">
        <f>AND(#REF!,"AAAAAH90tRU=")</f>
        <v>#REF!</v>
      </c>
      <c r="W276" t="e">
        <f>AND(#REF!,"AAAAAH90tRY=")</f>
        <v>#REF!</v>
      </c>
      <c r="X276" t="e">
        <f>AND(#REF!,"AAAAAH90tRc=")</f>
        <v>#REF!</v>
      </c>
      <c r="Y276" t="e">
        <f>AND(#REF!,"AAAAAH90tRg=")</f>
        <v>#REF!</v>
      </c>
      <c r="Z276" t="e">
        <f>AND(#REF!,"AAAAAH90tRk=")</f>
        <v>#REF!</v>
      </c>
      <c r="AA276" t="e">
        <f>AND(#REF!,"AAAAAH90tRo=")</f>
        <v>#REF!</v>
      </c>
      <c r="AB276" t="e">
        <f>AND(#REF!,"AAAAAH90tRs=")</f>
        <v>#REF!</v>
      </c>
      <c r="AC276" t="e">
        <f>AND(#REF!,"AAAAAH90tRw=")</f>
        <v>#REF!</v>
      </c>
      <c r="AD276" t="e">
        <f>AND(#REF!,"AAAAAH90tR0=")</f>
        <v>#REF!</v>
      </c>
      <c r="AE276" t="e">
        <f>AND(#REF!,"AAAAAH90tR4=")</f>
        <v>#REF!</v>
      </c>
      <c r="AF276" t="e">
        <f>AND(#REF!,"AAAAAH90tR8=")</f>
        <v>#REF!</v>
      </c>
      <c r="AG276" t="e">
        <f>AND(#REF!,"AAAAAH90tSA=")</f>
        <v>#REF!</v>
      </c>
      <c r="AH276" t="e">
        <f>AND(#REF!,"AAAAAH90tSE=")</f>
        <v>#REF!</v>
      </c>
      <c r="AI276" t="e">
        <f>AND(#REF!,"AAAAAH90tSI=")</f>
        <v>#REF!</v>
      </c>
      <c r="AJ276" t="e">
        <f>AND(#REF!,"AAAAAH90tSM=")</f>
        <v>#REF!</v>
      </c>
      <c r="AK276" t="e">
        <f>AND(#REF!,"AAAAAH90tSQ=")</f>
        <v>#REF!</v>
      </c>
      <c r="AL276" t="e">
        <f>AND(#REF!,"AAAAAH90tSU=")</f>
        <v>#REF!</v>
      </c>
      <c r="AM276" t="e">
        <f>AND(#REF!,"AAAAAH90tSY=")</f>
        <v>#REF!</v>
      </c>
      <c r="AN276" t="e">
        <f>AND(#REF!,"AAAAAH90tSc=")</f>
        <v>#REF!</v>
      </c>
      <c r="AO276" t="e">
        <f>AND(#REF!,"AAAAAH90tSg=")</f>
        <v>#REF!</v>
      </c>
      <c r="AP276" t="e">
        <f>AND(#REF!,"AAAAAH90tSk=")</f>
        <v>#REF!</v>
      </c>
      <c r="AQ276" t="e">
        <f>AND(#REF!,"AAAAAH90tSo=")</f>
        <v>#REF!</v>
      </c>
      <c r="AR276" t="e">
        <f>AND(#REF!,"AAAAAH90tSs=")</f>
        <v>#REF!</v>
      </c>
      <c r="AS276" t="e">
        <f>AND(#REF!,"AAAAAH90tSw=")</f>
        <v>#REF!</v>
      </c>
      <c r="AT276" t="e">
        <f>AND(#REF!,"AAAAAH90tS0=")</f>
        <v>#REF!</v>
      </c>
      <c r="AU276" t="e">
        <f>AND(#REF!,"AAAAAH90tS4=")</f>
        <v>#REF!</v>
      </c>
      <c r="AV276" t="e">
        <f>AND(#REF!,"AAAAAH90tS8=")</f>
        <v>#REF!</v>
      </c>
      <c r="AW276" t="e">
        <f>AND(#REF!,"AAAAAH90tTA=")</f>
        <v>#REF!</v>
      </c>
      <c r="AX276" t="e">
        <f>AND(#REF!,"AAAAAH90tTE=")</f>
        <v>#REF!</v>
      </c>
      <c r="AY276" t="e">
        <f>AND(#REF!,"AAAAAH90tTI=")</f>
        <v>#REF!</v>
      </c>
      <c r="AZ276" t="e">
        <f>AND(#REF!,"AAAAAH90tTM=")</f>
        <v>#REF!</v>
      </c>
      <c r="BA276" t="e">
        <f>AND(#REF!,"AAAAAH90tTQ=")</f>
        <v>#REF!</v>
      </c>
      <c r="BB276" t="e">
        <f>AND(#REF!,"AAAAAH90tTU=")</f>
        <v>#REF!</v>
      </c>
      <c r="BC276" t="e">
        <f>AND(#REF!,"AAAAAH90tTY=")</f>
        <v>#REF!</v>
      </c>
      <c r="BD276" t="e">
        <f>AND(#REF!,"AAAAAH90tTc=")</f>
        <v>#REF!</v>
      </c>
      <c r="BE276" t="e">
        <f>AND(#REF!,"AAAAAH90tTg=")</f>
        <v>#REF!</v>
      </c>
      <c r="BF276" t="e">
        <f>AND(#REF!,"AAAAAH90tTk=")</f>
        <v>#REF!</v>
      </c>
      <c r="BG276" t="e">
        <f>AND(#REF!,"AAAAAH90tTo=")</f>
        <v>#REF!</v>
      </c>
      <c r="BH276" t="e">
        <f>AND(#REF!,"AAAAAH90tTs=")</f>
        <v>#REF!</v>
      </c>
      <c r="BI276" t="e">
        <f>AND(#REF!,"AAAAAH90tTw=")</f>
        <v>#REF!</v>
      </c>
      <c r="BJ276" t="e">
        <f>AND(#REF!,"AAAAAH90tT0=")</f>
        <v>#REF!</v>
      </c>
      <c r="BK276" t="e">
        <f>AND(#REF!,"AAAAAH90tT4=")</f>
        <v>#REF!</v>
      </c>
      <c r="BL276" t="e">
        <f>AND(#REF!,"AAAAAH90tT8=")</f>
        <v>#REF!</v>
      </c>
      <c r="BM276" t="e">
        <f>AND(#REF!,"AAAAAH90tUA=")</f>
        <v>#REF!</v>
      </c>
      <c r="BN276" t="e">
        <f>AND(#REF!,"AAAAAH90tUE=")</f>
        <v>#REF!</v>
      </c>
      <c r="BO276" t="e">
        <f>AND(#REF!,"AAAAAH90tUI=")</f>
        <v>#REF!</v>
      </c>
      <c r="BP276" t="e">
        <f>AND(#REF!,"AAAAAH90tUM=")</f>
        <v>#REF!</v>
      </c>
      <c r="BQ276" t="e">
        <f>AND(#REF!,"AAAAAH90tUQ=")</f>
        <v>#REF!</v>
      </c>
      <c r="BR276" t="e">
        <f>AND(#REF!,"AAAAAH90tUU=")</f>
        <v>#REF!</v>
      </c>
      <c r="BS276" t="e">
        <f>AND(#REF!,"AAAAAH90tUY=")</f>
        <v>#REF!</v>
      </c>
      <c r="BT276" t="e">
        <f>AND(#REF!,"AAAAAH90tUc=")</f>
        <v>#REF!</v>
      </c>
      <c r="BU276" t="e">
        <f>AND(#REF!,"AAAAAH90tUg=")</f>
        <v>#REF!</v>
      </c>
      <c r="BV276" t="e">
        <f>AND(#REF!,"AAAAAH90tUk=")</f>
        <v>#REF!</v>
      </c>
      <c r="BW276" t="e">
        <f>AND(#REF!,"AAAAAH90tUo=")</f>
        <v>#REF!</v>
      </c>
      <c r="BX276" t="e">
        <f>AND(#REF!,"AAAAAH90tUs=")</f>
        <v>#REF!</v>
      </c>
      <c r="BY276" t="e">
        <f>AND(#REF!,"AAAAAH90tUw=")</f>
        <v>#REF!</v>
      </c>
      <c r="BZ276" t="e">
        <f>AND(#REF!,"AAAAAH90tU0=")</f>
        <v>#REF!</v>
      </c>
      <c r="CA276" t="e">
        <f>AND(#REF!,"AAAAAH90tU4=")</f>
        <v>#REF!</v>
      </c>
      <c r="CB276" t="e">
        <f>AND(#REF!,"AAAAAH90tU8=")</f>
        <v>#REF!</v>
      </c>
      <c r="CC276" t="e">
        <f>AND(#REF!,"AAAAAH90tVA=")</f>
        <v>#REF!</v>
      </c>
      <c r="CD276" t="e">
        <f>AND(#REF!,"AAAAAH90tVE=")</f>
        <v>#REF!</v>
      </c>
      <c r="CE276" t="e">
        <f>AND(#REF!,"AAAAAH90tVI=")</f>
        <v>#REF!</v>
      </c>
      <c r="CF276" t="e">
        <f>AND(#REF!,"AAAAAH90tVM=")</f>
        <v>#REF!</v>
      </c>
      <c r="CG276" t="e">
        <f>AND(#REF!,"AAAAAH90tVQ=")</f>
        <v>#REF!</v>
      </c>
      <c r="CH276" t="e">
        <f>AND(#REF!,"AAAAAH90tVU=")</f>
        <v>#REF!</v>
      </c>
      <c r="CI276" t="e">
        <f>AND(#REF!,"AAAAAH90tVY=")</f>
        <v>#REF!</v>
      </c>
      <c r="CJ276" t="e">
        <f>AND(#REF!,"AAAAAH90tVc=")</f>
        <v>#REF!</v>
      </c>
      <c r="CK276" t="e">
        <f>AND(#REF!,"AAAAAH90tVg=")</f>
        <v>#REF!</v>
      </c>
      <c r="CL276" t="e">
        <f>IF(#REF!,"AAAAAH90tVk=",0)</f>
        <v>#REF!</v>
      </c>
      <c r="CM276" t="e">
        <f>AND(#REF!,"AAAAAH90tVo=")</f>
        <v>#REF!</v>
      </c>
      <c r="CN276" t="e">
        <f>AND(#REF!,"AAAAAH90tVs=")</f>
        <v>#REF!</v>
      </c>
      <c r="CO276" t="e">
        <f>AND(#REF!,"AAAAAH90tVw=")</f>
        <v>#REF!</v>
      </c>
      <c r="CP276" t="e">
        <f>AND(#REF!,"AAAAAH90tV0=")</f>
        <v>#REF!</v>
      </c>
      <c r="CQ276" t="e">
        <f>AND(#REF!,"AAAAAH90tV4=")</f>
        <v>#REF!</v>
      </c>
      <c r="CR276" t="e">
        <f>AND(#REF!,"AAAAAH90tV8=")</f>
        <v>#REF!</v>
      </c>
      <c r="CS276" t="e">
        <f>AND(#REF!,"AAAAAH90tWA=")</f>
        <v>#REF!</v>
      </c>
      <c r="CT276" t="e">
        <f>AND(#REF!,"AAAAAH90tWE=")</f>
        <v>#REF!</v>
      </c>
      <c r="CU276" t="e">
        <f>AND(#REF!,"AAAAAH90tWI=")</f>
        <v>#REF!</v>
      </c>
      <c r="CV276" t="e">
        <f>AND(#REF!,"AAAAAH90tWM=")</f>
        <v>#REF!</v>
      </c>
      <c r="CW276" t="e">
        <f>AND(#REF!,"AAAAAH90tWQ=")</f>
        <v>#REF!</v>
      </c>
      <c r="CX276" t="e">
        <f>AND(#REF!,"AAAAAH90tWU=")</f>
        <v>#REF!</v>
      </c>
      <c r="CY276" t="e">
        <f>AND(#REF!,"AAAAAH90tWY=")</f>
        <v>#REF!</v>
      </c>
      <c r="CZ276" t="e">
        <f>AND(#REF!,"AAAAAH90tWc=")</f>
        <v>#REF!</v>
      </c>
      <c r="DA276" t="e">
        <f>AND(#REF!,"AAAAAH90tWg=")</f>
        <v>#REF!</v>
      </c>
      <c r="DB276" t="e">
        <f>AND(#REF!,"AAAAAH90tWk=")</f>
        <v>#REF!</v>
      </c>
      <c r="DC276" t="e">
        <f>AND(#REF!,"AAAAAH90tWo=")</f>
        <v>#REF!</v>
      </c>
      <c r="DD276" t="e">
        <f>AND(#REF!,"AAAAAH90tWs=")</f>
        <v>#REF!</v>
      </c>
      <c r="DE276" t="e">
        <f>AND(#REF!,"AAAAAH90tWw=")</f>
        <v>#REF!</v>
      </c>
      <c r="DF276" t="e">
        <f>AND(#REF!,"AAAAAH90tW0=")</f>
        <v>#REF!</v>
      </c>
      <c r="DG276" t="e">
        <f>AND(#REF!,"AAAAAH90tW4=")</f>
        <v>#REF!</v>
      </c>
      <c r="DH276" t="e">
        <f>AND(#REF!,"AAAAAH90tW8=")</f>
        <v>#REF!</v>
      </c>
      <c r="DI276" t="e">
        <f>AND(#REF!,"AAAAAH90tXA=")</f>
        <v>#REF!</v>
      </c>
      <c r="DJ276" t="e">
        <f>AND(#REF!,"AAAAAH90tXE=")</f>
        <v>#REF!</v>
      </c>
      <c r="DK276" t="e">
        <f>AND(#REF!,"AAAAAH90tXI=")</f>
        <v>#REF!</v>
      </c>
      <c r="DL276" t="e">
        <f>AND(#REF!,"AAAAAH90tXM=")</f>
        <v>#REF!</v>
      </c>
      <c r="DM276" t="e">
        <f>AND(#REF!,"AAAAAH90tXQ=")</f>
        <v>#REF!</v>
      </c>
      <c r="DN276" t="e">
        <f>AND(#REF!,"AAAAAH90tXU=")</f>
        <v>#REF!</v>
      </c>
      <c r="DO276" t="e">
        <f>AND(#REF!,"AAAAAH90tXY=")</f>
        <v>#REF!</v>
      </c>
      <c r="DP276" t="e">
        <f>AND(#REF!,"AAAAAH90tXc=")</f>
        <v>#REF!</v>
      </c>
      <c r="DQ276" t="e">
        <f>AND(#REF!,"AAAAAH90tXg=")</f>
        <v>#REF!</v>
      </c>
      <c r="DR276" t="e">
        <f>AND(#REF!,"AAAAAH90tXk=")</f>
        <v>#REF!</v>
      </c>
      <c r="DS276" t="e">
        <f>AND(#REF!,"AAAAAH90tXo=")</f>
        <v>#REF!</v>
      </c>
      <c r="DT276" t="e">
        <f>AND(#REF!,"AAAAAH90tXs=")</f>
        <v>#REF!</v>
      </c>
      <c r="DU276" t="e">
        <f>AND(#REF!,"AAAAAH90tXw=")</f>
        <v>#REF!</v>
      </c>
      <c r="DV276" t="e">
        <f>AND(#REF!,"AAAAAH90tX0=")</f>
        <v>#REF!</v>
      </c>
      <c r="DW276" t="e">
        <f>AND(#REF!,"AAAAAH90tX4=")</f>
        <v>#REF!</v>
      </c>
      <c r="DX276" t="e">
        <f>AND(#REF!,"AAAAAH90tX8=")</f>
        <v>#REF!</v>
      </c>
      <c r="DY276" t="e">
        <f>AND(#REF!,"AAAAAH90tYA=")</f>
        <v>#REF!</v>
      </c>
      <c r="DZ276" t="e">
        <f>AND(#REF!,"AAAAAH90tYE=")</f>
        <v>#REF!</v>
      </c>
      <c r="EA276" t="e">
        <f>AND(#REF!,"AAAAAH90tYI=")</f>
        <v>#REF!</v>
      </c>
      <c r="EB276" t="e">
        <f>AND(#REF!,"AAAAAH90tYM=")</f>
        <v>#REF!</v>
      </c>
      <c r="EC276" t="e">
        <f>AND(#REF!,"AAAAAH90tYQ=")</f>
        <v>#REF!</v>
      </c>
      <c r="ED276" t="e">
        <f>AND(#REF!,"AAAAAH90tYU=")</f>
        <v>#REF!</v>
      </c>
      <c r="EE276" t="e">
        <f>AND(#REF!,"AAAAAH90tYY=")</f>
        <v>#REF!</v>
      </c>
      <c r="EF276" t="e">
        <f>AND(#REF!,"AAAAAH90tYc=")</f>
        <v>#REF!</v>
      </c>
      <c r="EG276" t="e">
        <f>AND(#REF!,"AAAAAH90tYg=")</f>
        <v>#REF!</v>
      </c>
      <c r="EH276" t="e">
        <f>AND(#REF!,"AAAAAH90tYk=")</f>
        <v>#REF!</v>
      </c>
      <c r="EI276" t="e">
        <f>AND(#REF!,"AAAAAH90tYo=")</f>
        <v>#REF!</v>
      </c>
      <c r="EJ276" t="e">
        <f>AND(#REF!,"AAAAAH90tYs=")</f>
        <v>#REF!</v>
      </c>
      <c r="EK276" t="e">
        <f>AND(#REF!,"AAAAAH90tYw=")</f>
        <v>#REF!</v>
      </c>
      <c r="EL276" t="e">
        <f>AND(#REF!,"AAAAAH90tY0=")</f>
        <v>#REF!</v>
      </c>
      <c r="EM276" t="e">
        <f>AND(#REF!,"AAAAAH90tY4=")</f>
        <v>#REF!</v>
      </c>
      <c r="EN276" t="e">
        <f>AND(#REF!,"AAAAAH90tY8=")</f>
        <v>#REF!</v>
      </c>
      <c r="EO276" t="e">
        <f>AND(#REF!,"AAAAAH90tZA=")</f>
        <v>#REF!</v>
      </c>
      <c r="EP276" t="e">
        <f>AND(#REF!,"AAAAAH90tZE=")</f>
        <v>#REF!</v>
      </c>
      <c r="EQ276" t="e">
        <f>AND(#REF!,"AAAAAH90tZI=")</f>
        <v>#REF!</v>
      </c>
      <c r="ER276" t="e">
        <f>AND(#REF!,"AAAAAH90tZM=")</f>
        <v>#REF!</v>
      </c>
      <c r="ES276" t="e">
        <f>AND(#REF!,"AAAAAH90tZQ=")</f>
        <v>#REF!</v>
      </c>
      <c r="ET276" t="e">
        <f>AND(#REF!,"AAAAAH90tZU=")</f>
        <v>#REF!</v>
      </c>
      <c r="EU276" t="e">
        <f>AND(#REF!,"AAAAAH90tZY=")</f>
        <v>#REF!</v>
      </c>
      <c r="EV276" t="e">
        <f>AND(#REF!,"AAAAAH90tZc=")</f>
        <v>#REF!</v>
      </c>
      <c r="EW276" t="e">
        <f>AND(#REF!,"AAAAAH90tZg=")</f>
        <v>#REF!</v>
      </c>
      <c r="EX276" t="e">
        <f>AND(#REF!,"AAAAAH90tZk=")</f>
        <v>#REF!</v>
      </c>
      <c r="EY276" t="e">
        <f>AND(#REF!,"AAAAAH90tZo=")</f>
        <v>#REF!</v>
      </c>
      <c r="EZ276" t="e">
        <f>AND(#REF!,"AAAAAH90tZs=")</f>
        <v>#REF!</v>
      </c>
      <c r="FA276" t="e">
        <f>AND(#REF!,"AAAAAH90tZw=")</f>
        <v>#REF!</v>
      </c>
      <c r="FB276" t="e">
        <f>AND(#REF!,"AAAAAH90tZ0=")</f>
        <v>#REF!</v>
      </c>
      <c r="FC276" t="e">
        <f>AND(#REF!,"AAAAAH90tZ4=")</f>
        <v>#REF!</v>
      </c>
      <c r="FD276" t="e">
        <f>AND(#REF!,"AAAAAH90tZ8=")</f>
        <v>#REF!</v>
      </c>
      <c r="FE276" t="e">
        <f>AND(#REF!,"AAAAAH90taA=")</f>
        <v>#REF!</v>
      </c>
      <c r="FF276" t="e">
        <f>AND(#REF!,"AAAAAH90taE=")</f>
        <v>#REF!</v>
      </c>
      <c r="FG276" t="e">
        <f>AND(#REF!,"AAAAAH90taI=")</f>
        <v>#REF!</v>
      </c>
      <c r="FH276" t="e">
        <f>AND(#REF!,"AAAAAH90taM=")</f>
        <v>#REF!</v>
      </c>
      <c r="FI276" t="e">
        <f>AND(#REF!,"AAAAAH90taQ=")</f>
        <v>#REF!</v>
      </c>
      <c r="FJ276" t="e">
        <f>AND(#REF!,"AAAAAH90taU=")</f>
        <v>#REF!</v>
      </c>
      <c r="FK276" t="e">
        <f>AND(#REF!,"AAAAAH90taY=")</f>
        <v>#REF!</v>
      </c>
      <c r="FL276" t="e">
        <f>AND(#REF!,"AAAAAH90tac=")</f>
        <v>#REF!</v>
      </c>
      <c r="FM276" t="e">
        <f>AND(#REF!,"AAAAAH90tag=")</f>
        <v>#REF!</v>
      </c>
      <c r="FN276" t="e">
        <f>AND(#REF!,"AAAAAH90tak=")</f>
        <v>#REF!</v>
      </c>
      <c r="FO276" t="e">
        <f>AND(#REF!,"AAAAAH90tao=")</f>
        <v>#REF!</v>
      </c>
      <c r="FP276" t="e">
        <f>AND(#REF!,"AAAAAH90tas=")</f>
        <v>#REF!</v>
      </c>
      <c r="FQ276" t="e">
        <f>AND(#REF!,"AAAAAH90taw=")</f>
        <v>#REF!</v>
      </c>
      <c r="FR276" t="e">
        <f>AND(#REF!,"AAAAAH90ta0=")</f>
        <v>#REF!</v>
      </c>
      <c r="FS276" t="e">
        <f>AND(#REF!,"AAAAAH90ta4=")</f>
        <v>#REF!</v>
      </c>
      <c r="FT276" t="e">
        <f>AND(#REF!,"AAAAAH90ta8=")</f>
        <v>#REF!</v>
      </c>
      <c r="FU276" t="e">
        <f>AND(#REF!,"AAAAAH90tbA=")</f>
        <v>#REF!</v>
      </c>
      <c r="FV276" t="e">
        <f>AND(#REF!,"AAAAAH90tbE=")</f>
        <v>#REF!</v>
      </c>
      <c r="FW276" t="e">
        <f>AND(#REF!,"AAAAAH90tbI=")</f>
        <v>#REF!</v>
      </c>
      <c r="FX276" t="e">
        <f>AND(#REF!,"AAAAAH90tbM=")</f>
        <v>#REF!</v>
      </c>
      <c r="FY276" t="e">
        <f>AND(#REF!,"AAAAAH90tbQ=")</f>
        <v>#REF!</v>
      </c>
      <c r="FZ276" t="e">
        <f>AND(#REF!,"AAAAAH90tbU=")</f>
        <v>#REF!</v>
      </c>
      <c r="GA276" t="e">
        <f>AND(#REF!,"AAAAAH90tbY=")</f>
        <v>#REF!</v>
      </c>
      <c r="GB276" t="e">
        <f>AND(#REF!,"AAAAAH90tbc=")</f>
        <v>#REF!</v>
      </c>
      <c r="GC276" t="e">
        <f>AND(#REF!,"AAAAAH90tbg=")</f>
        <v>#REF!</v>
      </c>
      <c r="GD276" t="e">
        <f>AND(#REF!,"AAAAAH90tbk=")</f>
        <v>#REF!</v>
      </c>
      <c r="GE276" t="e">
        <f>AND(#REF!,"AAAAAH90tbo=")</f>
        <v>#REF!</v>
      </c>
      <c r="GF276" t="e">
        <f>AND(#REF!,"AAAAAH90tbs=")</f>
        <v>#REF!</v>
      </c>
      <c r="GG276" t="e">
        <f>AND(#REF!,"AAAAAH90tbw=")</f>
        <v>#REF!</v>
      </c>
      <c r="GH276" t="e">
        <f>AND(#REF!,"AAAAAH90tb0=")</f>
        <v>#REF!</v>
      </c>
      <c r="GI276" t="e">
        <f>AND(#REF!,"AAAAAH90tb4=")</f>
        <v>#REF!</v>
      </c>
      <c r="GJ276" t="e">
        <f>AND(#REF!,"AAAAAH90tb8=")</f>
        <v>#REF!</v>
      </c>
      <c r="GK276" t="e">
        <f>AND(#REF!,"AAAAAH90tcA=")</f>
        <v>#REF!</v>
      </c>
      <c r="GL276" t="e">
        <f>AND(#REF!,"AAAAAH90tcE=")</f>
        <v>#REF!</v>
      </c>
      <c r="GM276" t="e">
        <f>AND(#REF!,"AAAAAH90tcI=")</f>
        <v>#REF!</v>
      </c>
      <c r="GN276" t="e">
        <f>AND(#REF!,"AAAAAH90tcM=")</f>
        <v>#REF!</v>
      </c>
      <c r="GO276" t="e">
        <f>AND(#REF!,"AAAAAH90tcQ=")</f>
        <v>#REF!</v>
      </c>
      <c r="GP276" t="e">
        <f>AND(#REF!,"AAAAAH90tcU=")</f>
        <v>#REF!</v>
      </c>
      <c r="GQ276" t="e">
        <f>AND(#REF!,"AAAAAH90tcY=")</f>
        <v>#REF!</v>
      </c>
      <c r="GR276" t="e">
        <f>AND(#REF!,"AAAAAH90tcc=")</f>
        <v>#REF!</v>
      </c>
      <c r="GS276" t="e">
        <f>AND(#REF!,"AAAAAH90tcg=")</f>
        <v>#REF!</v>
      </c>
      <c r="GT276" t="e">
        <f>AND(#REF!,"AAAAAH90tck=")</f>
        <v>#REF!</v>
      </c>
      <c r="GU276" t="e">
        <f>AND(#REF!,"AAAAAH90tco=")</f>
        <v>#REF!</v>
      </c>
      <c r="GV276" t="e">
        <f>AND(#REF!,"AAAAAH90tcs=")</f>
        <v>#REF!</v>
      </c>
      <c r="GW276" t="e">
        <f>AND(#REF!,"AAAAAH90tcw=")</f>
        <v>#REF!</v>
      </c>
      <c r="GX276" t="e">
        <f>AND(#REF!,"AAAAAH90tc0=")</f>
        <v>#REF!</v>
      </c>
      <c r="GY276" t="e">
        <f>AND(#REF!,"AAAAAH90tc4=")</f>
        <v>#REF!</v>
      </c>
      <c r="GZ276" t="e">
        <f>AND(#REF!,"AAAAAH90tc8=")</f>
        <v>#REF!</v>
      </c>
      <c r="HA276" t="e">
        <f>AND(#REF!,"AAAAAH90tdA=")</f>
        <v>#REF!</v>
      </c>
      <c r="HB276" t="e">
        <f>AND(#REF!,"AAAAAH90tdE=")</f>
        <v>#REF!</v>
      </c>
      <c r="HC276" t="e">
        <f>AND(#REF!,"AAAAAH90tdI=")</f>
        <v>#REF!</v>
      </c>
      <c r="HD276" t="e">
        <f>AND(#REF!,"AAAAAH90tdM=")</f>
        <v>#REF!</v>
      </c>
      <c r="HE276" t="e">
        <f>AND(#REF!,"AAAAAH90tdQ=")</f>
        <v>#REF!</v>
      </c>
      <c r="HF276" t="e">
        <f>AND(#REF!,"AAAAAH90tdU=")</f>
        <v>#REF!</v>
      </c>
      <c r="HG276" t="e">
        <f>AND(#REF!,"AAAAAH90tdY=")</f>
        <v>#REF!</v>
      </c>
      <c r="HH276" t="e">
        <f>AND(#REF!,"AAAAAH90tdc=")</f>
        <v>#REF!</v>
      </c>
      <c r="HI276" t="e">
        <f>AND(#REF!,"AAAAAH90tdg=")</f>
        <v>#REF!</v>
      </c>
      <c r="HJ276" t="e">
        <f>AND(#REF!,"AAAAAH90tdk=")</f>
        <v>#REF!</v>
      </c>
      <c r="HK276" t="e">
        <f>AND(#REF!,"AAAAAH90tdo=")</f>
        <v>#REF!</v>
      </c>
      <c r="HL276" t="e">
        <f>AND(#REF!,"AAAAAH90tds=")</f>
        <v>#REF!</v>
      </c>
      <c r="HM276" t="e">
        <f>AND(#REF!,"AAAAAH90tdw=")</f>
        <v>#REF!</v>
      </c>
      <c r="HN276" t="e">
        <f>AND(#REF!,"AAAAAH90td0=")</f>
        <v>#REF!</v>
      </c>
      <c r="HO276" t="e">
        <f>AND(#REF!,"AAAAAH90td4=")</f>
        <v>#REF!</v>
      </c>
      <c r="HP276" t="e">
        <f>AND(#REF!,"AAAAAH90td8=")</f>
        <v>#REF!</v>
      </c>
      <c r="HQ276" t="e">
        <f>AND(#REF!,"AAAAAH90teA=")</f>
        <v>#REF!</v>
      </c>
      <c r="HR276" t="e">
        <f>AND(#REF!,"AAAAAH90teE=")</f>
        <v>#REF!</v>
      </c>
      <c r="HS276" t="e">
        <f>AND(#REF!,"AAAAAH90teI=")</f>
        <v>#REF!</v>
      </c>
      <c r="HT276" t="e">
        <f>AND(#REF!,"AAAAAH90teM=")</f>
        <v>#REF!</v>
      </c>
      <c r="HU276" t="e">
        <f>AND(#REF!,"AAAAAH90teQ=")</f>
        <v>#REF!</v>
      </c>
      <c r="HV276" t="e">
        <f>AND(#REF!,"AAAAAH90teU=")</f>
        <v>#REF!</v>
      </c>
      <c r="HW276" t="e">
        <f>AND(#REF!,"AAAAAH90teY=")</f>
        <v>#REF!</v>
      </c>
      <c r="HX276" t="e">
        <f>AND(#REF!,"AAAAAH90tec=")</f>
        <v>#REF!</v>
      </c>
      <c r="HY276" t="e">
        <f>AND(#REF!,"AAAAAH90teg=")</f>
        <v>#REF!</v>
      </c>
      <c r="HZ276" t="e">
        <f>AND(#REF!,"AAAAAH90tek=")</f>
        <v>#REF!</v>
      </c>
      <c r="IA276" t="e">
        <f>AND(#REF!,"AAAAAH90teo=")</f>
        <v>#REF!</v>
      </c>
      <c r="IB276" t="e">
        <f>AND(#REF!,"AAAAAH90tes=")</f>
        <v>#REF!</v>
      </c>
      <c r="IC276" t="e">
        <f>AND(#REF!,"AAAAAH90tew=")</f>
        <v>#REF!</v>
      </c>
      <c r="ID276" t="e">
        <f>AND(#REF!,"AAAAAH90te0=")</f>
        <v>#REF!</v>
      </c>
      <c r="IE276" t="e">
        <f>AND(#REF!,"AAAAAH90te4=")</f>
        <v>#REF!</v>
      </c>
      <c r="IF276" t="e">
        <f>AND(#REF!,"AAAAAH90te8=")</f>
        <v>#REF!</v>
      </c>
      <c r="IG276" t="e">
        <f>AND(#REF!,"AAAAAH90tfA=")</f>
        <v>#REF!</v>
      </c>
      <c r="IH276" t="e">
        <f>AND(#REF!,"AAAAAH90tfE=")</f>
        <v>#REF!</v>
      </c>
      <c r="II276" t="e">
        <f>AND(#REF!,"AAAAAH90tfI=")</f>
        <v>#REF!</v>
      </c>
      <c r="IJ276" t="e">
        <f>AND(#REF!,"AAAAAH90tfM=")</f>
        <v>#REF!</v>
      </c>
      <c r="IK276" t="e">
        <f>AND(#REF!,"AAAAAH90tfQ=")</f>
        <v>#REF!</v>
      </c>
      <c r="IL276" t="e">
        <f>AND(#REF!,"AAAAAH90tfU=")</f>
        <v>#REF!</v>
      </c>
      <c r="IM276" t="e">
        <f>AND(#REF!,"AAAAAH90tfY=")</f>
        <v>#REF!</v>
      </c>
      <c r="IN276" t="e">
        <f>AND(#REF!,"AAAAAH90tfc=")</f>
        <v>#REF!</v>
      </c>
      <c r="IO276" t="e">
        <f>AND(#REF!,"AAAAAH90tfg=")</f>
        <v>#REF!</v>
      </c>
      <c r="IP276" t="e">
        <f>AND(#REF!,"AAAAAH90tfk=")</f>
        <v>#REF!</v>
      </c>
      <c r="IQ276" t="e">
        <f>AND(#REF!,"AAAAAH90tfo=")</f>
        <v>#REF!</v>
      </c>
      <c r="IR276" t="e">
        <f>AND(#REF!,"AAAAAH90tfs=")</f>
        <v>#REF!</v>
      </c>
      <c r="IS276" t="e">
        <f>AND(#REF!,"AAAAAH90tfw=")</f>
        <v>#REF!</v>
      </c>
      <c r="IT276" t="e">
        <f>AND(#REF!,"AAAAAH90tf0=")</f>
        <v>#REF!</v>
      </c>
      <c r="IU276" t="e">
        <f>AND(#REF!,"AAAAAH90tf4=")</f>
        <v>#REF!</v>
      </c>
      <c r="IV276" t="e">
        <f>AND(#REF!,"AAAAAH90tf8=")</f>
        <v>#REF!</v>
      </c>
    </row>
    <row r="277" spans="1:256" x14ac:dyDescent="0.25">
      <c r="A277" t="e">
        <f>AND(#REF!,"AAAAAG931wA=")</f>
        <v>#REF!</v>
      </c>
      <c r="B277" t="e">
        <f>AND(#REF!,"AAAAAG931wE=")</f>
        <v>#REF!</v>
      </c>
      <c r="C277" t="e">
        <f>AND(#REF!,"AAAAAG931wI=")</f>
        <v>#REF!</v>
      </c>
      <c r="D277" t="e">
        <f>AND(#REF!,"AAAAAG931wM=")</f>
        <v>#REF!</v>
      </c>
      <c r="E277" t="e">
        <f>AND(#REF!,"AAAAAG931wQ=")</f>
        <v>#REF!</v>
      </c>
      <c r="F277" t="e">
        <f>AND(#REF!,"AAAAAG931wU=")</f>
        <v>#REF!</v>
      </c>
      <c r="G277" t="e">
        <f>AND(#REF!,"AAAAAG931wY=")</f>
        <v>#REF!</v>
      </c>
      <c r="H277" t="e">
        <f>AND(#REF!,"AAAAAG931wc=")</f>
        <v>#REF!</v>
      </c>
      <c r="I277" t="e">
        <f>AND(#REF!,"AAAAAG931wg=")</f>
        <v>#REF!</v>
      </c>
      <c r="J277" t="e">
        <f>AND(#REF!,"AAAAAG931wk=")</f>
        <v>#REF!</v>
      </c>
      <c r="K277" t="e">
        <f>AND(#REF!,"AAAAAG931wo=")</f>
        <v>#REF!</v>
      </c>
      <c r="L277" t="e">
        <f>AND(#REF!,"AAAAAG931ws=")</f>
        <v>#REF!</v>
      </c>
      <c r="M277" t="e">
        <f>AND(#REF!,"AAAAAG931ww=")</f>
        <v>#REF!</v>
      </c>
      <c r="N277" t="e">
        <f>AND(#REF!,"AAAAAG931w0=")</f>
        <v>#REF!</v>
      </c>
      <c r="O277" t="e">
        <f>AND(#REF!,"AAAAAG931w4=")</f>
        <v>#REF!</v>
      </c>
      <c r="P277" t="e">
        <f>AND(#REF!,"AAAAAG931w8=")</f>
        <v>#REF!</v>
      </c>
      <c r="Q277" t="e">
        <f>AND(#REF!,"AAAAAG931xA=")</f>
        <v>#REF!</v>
      </c>
      <c r="R277" t="e">
        <f>AND(#REF!,"AAAAAG931xE=")</f>
        <v>#REF!</v>
      </c>
      <c r="S277" t="e">
        <f>AND(#REF!,"AAAAAG931xI=")</f>
        <v>#REF!</v>
      </c>
      <c r="T277" t="e">
        <f>AND(#REF!,"AAAAAG931xM=")</f>
        <v>#REF!</v>
      </c>
      <c r="U277" t="e">
        <f>AND(#REF!,"AAAAAG931xQ=")</f>
        <v>#REF!</v>
      </c>
      <c r="V277" t="e">
        <f>AND(#REF!,"AAAAAG931xU=")</f>
        <v>#REF!</v>
      </c>
      <c r="W277" t="e">
        <f>IF(#REF!,"AAAAAG931xY=",0)</f>
        <v>#REF!</v>
      </c>
      <c r="X277" t="e">
        <f>AND(#REF!,"AAAAAG931xc=")</f>
        <v>#REF!</v>
      </c>
      <c r="Y277" t="e">
        <f>AND(#REF!,"AAAAAG931xg=")</f>
        <v>#REF!</v>
      </c>
      <c r="Z277" t="e">
        <f>AND(#REF!,"AAAAAG931xk=")</f>
        <v>#REF!</v>
      </c>
      <c r="AA277" t="e">
        <f>AND(#REF!,"AAAAAG931xo=")</f>
        <v>#REF!</v>
      </c>
      <c r="AB277" t="e">
        <f>AND(#REF!,"AAAAAG931xs=")</f>
        <v>#REF!</v>
      </c>
      <c r="AC277" t="e">
        <f>AND(#REF!,"AAAAAG931xw=")</f>
        <v>#REF!</v>
      </c>
      <c r="AD277" t="e">
        <f>AND(#REF!,"AAAAAG931x0=")</f>
        <v>#REF!</v>
      </c>
      <c r="AE277" t="e">
        <f>AND(#REF!,"AAAAAG931x4=")</f>
        <v>#REF!</v>
      </c>
      <c r="AF277" t="e">
        <f>AND(#REF!,"AAAAAG931x8=")</f>
        <v>#REF!</v>
      </c>
      <c r="AG277" t="e">
        <f>AND(#REF!,"AAAAAG931yA=")</f>
        <v>#REF!</v>
      </c>
      <c r="AH277" t="e">
        <f>AND(#REF!,"AAAAAG931yE=")</f>
        <v>#REF!</v>
      </c>
      <c r="AI277" t="e">
        <f>AND(#REF!,"AAAAAG931yI=")</f>
        <v>#REF!</v>
      </c>
      <c r="AJ277" t="e">
        <f>AND(#REF!,"AAAAAG931yM=")</f>
        <v>#REF!</v>
      </c>
      <c r="AK277" t="e">
        <f>AND(#REF!,"AAAAAG931yQ=")</f>
        <v>#REF!</v>
      </c>
      <c r="AL277" t="e">
        <f>AND(#REF!,"AAAAAG931yU=")</f>
        <v>#REF!</v>
      </c>
      <c r="AM277" t="e">
        <f>AND(#REF!,"AAAAAG931yY=")</f>
        <v>#REF!</v>
      </c>
      <c r="AN277" t="e">
        <f>AND(#REF!,"AAAAAG931yc=")</f>
        <v>#REF!</v>
      </c>
      <c r="AO277" t="e">
        <f>AND(#REF!,"AAAAAG931yg=")</f>
        <v>#REF!</v>
      </c>
      <c r="AP277" t="e">
        <f>AND(#REF!,"AAAAAG931yk=")</f>
        <v>#REF!</v>
      </c>
      <c r="AQ277" t="e">
        <f>AND(#REF!,"AAAAAG931yo=")</f>
        <v>#REF!</v>
      </c>
      <c r="AR277" t="e">
        <f>AND(#REF!,"AAAAAG931ys=")</f>
        <v>#REF!</v>
      </c>
      <c r="AS277" t="e">
        <f>AND(#REF!,"AAAAAG931yw=")</f>
        <v>#REF!</v>
      </c>
      <c r="AT277" t="e">
        <f>AND(#REF!,"AAAAAG931y0=")</f>
        <v>#REF!</v>
      </c>
      <c r="AU277" t="e">
        <f>AND(#REF!,"AAAAAG931y4=")</f>
        <v>#REF!</v>
      </c>
      <c r="AV277" t="e">
        <f>AND(#REF!,"AAAAAG931y8=")</f>
        <v>#REF!</v>
      </c>
      <c r="AW277" t="e">
        <f>AND(#REF!,"AAAAAG931zA=")</f>
        <v>#REF!</v>
      </c>
      <c r="AX277" t="e">
        <f>AND(#REF!,"AAAAAG931zE=")</f>
        <v>#REF!</v>
      </c>
      <c r="AY277" t="e">
        <f>AND(#REF!,"AAAAAG931zI=")</f>
        <v>#REF!</v>
      </c>
      <c r="AZ277" t="e">
        <f>AND(#REF!,"AAAAAG931zM=")</f>
        <v>#REF!</v>
      </c>
      <c r="BA277" t="e">
        <f>AND(#REF!,"AAAAAG931zQ=")</f>
        <v>#REF!</v>
      </c>
      <c r="BB277" t="e">
        <f>AND(#REF!,"AAAAAG931zU=")</f>
        <v>#REF!</v>
      </c>
      <c r="BC277" t="e">
        <f>AND(#REF!,"AAAAAG931zY=")</f>
        <v>#REF!</v>
      </c>
      <c r="BD277" t="e">
        <f>AND(#REF!,"AAAAAG931zc=")</f>
        <v>#REF!</v>
      </c>
      <c r="BE277" t="e">
        <f>AND(#REF!,"AAAAAG931zg=")</f>
        <v>#REF!</v>
      </c>
      <c r="BF277" t="e">
        <f>AND(#REF!,"AAAAAG931zk=")</f>
        <v>#REF!</v>
      </c>
      <c r="BG277" t="e">
        <f>AND(#REF!,"AAAAAG931zo=")</f>
        <v>#REF!</v>
      </c>
      <c r="BH277" t="e">
        <f>AND(#REF!,"AAAAAG931zs=")</f>
        <v>#REF!</v>
      </c>
      <c r="BI277" t="e">
        <f>AND(#REF!,"AAAAAG931zw=")</f>
        <v>#REF!</v>
      </c>
      <c r="BJ277" t="e">
        <f>AND(#REF!,"AAAAAG931z0=")</f>
        <v>#REF!</v>
      </c>
      <c r="BK277" t="e">
        <f>AND(#REF!,"AAAAAG931z4=")</f>
        <v>#REF!</v>
      </c>
      <c r="BL277" t="e">
        <f>AND(#REF!,"AAAAAG931z8=")</f>
        <v>#REF!</v>
      </c>
      <c r="BM277" t="e">
        <f>AND(#REF!,"AAAAAG9310A=")</f>
        <v>#REF!</v>
      </c>
      <c r="BN277" t="e">
        <f>AND(#REF!,"AAAAAG9310E=")</f>
        <v>#REF!</v>
      </c>
      <c r="BO277" t="e">
        <f>AND(#REF!,"AAAAAG9310I=")</f>
        <v>#REF!</v>
      </c>
      <c r="BP277" t="e">
        <f>AND(#REF!,"AAAAAG9310M=")</f>
        <v>#REF!</v>
      </c>
      <c r="BQ277" t="e">
        <f>AND(#REF!,"AAAAAG9310Q=")</f>
        <v>#REF!</v>
      </c>
      <c r="BR277" t="e">
        <f>AND(#REF!,"AAAAAG9310U=")</f>
        <v>#REF!</v>
      </c>
      <c r="BS277" t="e">
        <f>AND(#REF!,"AAAAAG9310Y=")</f>
        <v>#REF!</v>
      </c>
      <c r="BT277" t="e">
        <f>AND(#REF!,"AAAAAG9310c=")</f>
        <v>#REF!</v>
      </c>
      <c r="BU277" t="e">
        <f>AND(#REF!,"AAAAAG9310g=")</f>
        <v>#REF!</v>
      </c>
      <c r="BV277" t="e">
        <f>AND(#REF!,"AAAAAG9310k=")</f>
        <v>#REF!</v>
      </c>
      <c r="BW277" t="e">
        <f>AND(#REF!,"AAAAAG9310o=")</f>
        <v>#REF!</v>
      </c>
      <c r="BX277" t="e">
        <f>AND(#REF!,"AAAAAG9310s=")</f>
        <v>#REF!</v>
      </c>
      <c r="BY277" t="e">
        <f>AND(#REF!,"AAAAAG9310w=")</f>
        <v>#REF!</v>
      </c>
      <c r="BZ277" t="e">
        <f>AND(#REF!,"AAAAAG93100=")</f>
        <v>#REF!</v>
      </c>
      <c r="CA277" t="e">
        <f>AND(#REF!,"AAAAAG93104=")</f>
        <v>#REF!</v>
      </c>
      <c r="CB277" t="e">
        <f>AND(#REF!,"AAAAAG93108=")</f>
        <v>#REF!</v>
      </c>
      <c r="CC277" t="e">
        <f>AND(#REF!,"AAAAAG9311A=")</f>
        <v>#REF!</v>
      </c>
      <c r="CD277" t="e">
        <f>AND(#REF!,"AAAAAG9311E=")</f>
        <v>#REF!</v>
      </c>
      <c r="CE277" t="e">
        <f>AND(#REF!,"AAAAAG9311I=")</f>
        <v>#REF!</v>
      </c>
      <c r="CF277" t="e">
        <f>AND(#REF!,"AAAAAG9311M=")</f>
        <v>#REF!</v>
      </c>
      <c r="CG277" t="e">
        <f>AND(#REF!,"AAAAAG9311Q=")</f>
        <v>#REF!</v>
      </c>
      <c r="CH277" t="e">
        <f>AND(#REF!,"AAAAAG9311U=")</f>
        <v>#REF!</v>
      </c>
      <c r="CI277" t="e">
        <f>AND(#REF!,"AAAAAG9311Y=")</f>
        <v>#REF!</v>
      </c>
      <c r="CJ277" t="e">
        <f>AND(#REF!,"AAAAAG9311c=")</f>
        <v>#REF!</v>
      </c>
      <c r="CK277" t="e">
        <f>AND(#REF!,"AAAAAG9311g=")</f>
        <v>#REF!</v>
      </c>
      <c r="CL277" t="e">
        <f>AND(#REF!,"AAAAAG9311k=")</f>
        <v>#REF!</v>
      </c>
      <c r="CM277" t="e">
        <f>AND(#REF!,"AAAAAG9311o=")</f>
        <v>#REF!</v>
      </c>
      <c r="CN277" t="e">
        <f>AND(#REF!,"AAAAAG9311s=")</f>
        <v>#REF!</v>
      </c>
      <c r="CO277" t="e">
        <f>AND(#REF!,"AAAAAG9311w=")</f>
        <v>#REF!</v>
      </c>
      <c r="CP277" t="e">
        <f>AND(#REF!,"AAAAAG93110=")</f>
        <v>#REF!</v>
      </c>
      <c r="CQ277" t="e">
        <f>AND(#REF!,"AAAAAG93114=")</f>
        <v>#REF!</v>
      </c>
      <c r="CR277" t="e">
        <f>AND(#REF!,"AAAAAG93118=")</f>
        <v>#REF!</v>
      </c>
      <c r="CS277" t="e">
        <f>AND(#REF!,"AAAAAG9312A=")</f>
        <v>#REF!</v>
      </c>
      <c r="CT277" t="e">
        <f>AND(#REF!,"AAAAAG9312E=")</f>
        <v>#REF!</v>
      </c>
      <c r="CU277" t="e">
        <f>AND(#REF!,"AAAAAG9312I=")</f>
        <v>#REF!</v>
      </c>
      <c r="CV277" t="e">
        <f>AND(#REF!,"AAAAAG9312M=")</f>
        <v>#REF!</v>
      </c>
      <c r="CW277" t="e">
        <f>AND(#REF!,"AAAAAG9312Q=")</f>
        <v>#REF!</v>
      </c>
      <c r="CX277" t="e">
        <f>AND(#REF!,"AAAAAG9312U=")</f>
        <v>#REF!</v>
      </c>
      <c r="CY277" t="e">
        <f>AND(#REF!,"AAAAAG9312Y=")</f>
        <v>#REF!</v>
      </c>
      <c r="CZ277" t="e">
        <f>AND(#REF!,"AAAAAG9312c=")</f>
        <v>#REF!</v>
      </c>
      <c r="DA277" t="e">
        <f>AND(#REF!,"AAAAAG9312g=")</f>
        <v>#REF!</v>
      </c>
      <c r="DB277" t="e">
        <f>AND(#REF!,"AAAAAG9312k=")</f>
        <v>#REF!</v>
      </c>
      <c r="DC277" t="e">
        <f>AND(#REF!,"AAAAAG9312o=")</f>
        <v>#REF!</v>
      </c>
      <c r="DD277" t="e">
        <f>AND(#REF!,"AAAAAG9312s=")</f>
        <v>#REF!</v>
      </c>
      <c r="DE277" t="e">
        <f>AND(#REF!,"AAAAAG9312w=")</f>
        <v>#REF!</v>
      </c>
      <c r="DF277" t="e">
        <f>AND(#REF!,"AAAAAG93120=")</f>
        <v>#REF!</v>
      </c>
      <c r="DG277" t="e">
        <f>AND(#REF!,"AAAAAG93124=")</f>
        <v>#REF!</v>
      </c>
      <c r="DH277" t="e">
        <f>AND(#REF!,"AAAAAG93128=")</f>
        <v>#REF!</v>
      </c>
      <c r="DI277" t="e">
        <f>AND(#REF!,"AAAAAG9313A=")</f>
        <v>#REF!</v>
      </c>
      <c r="DJ277" t="e">
        <f>AND(#REF!,"AAAAAG9313E=")</f>
        <v>#REF!</v>
      </c>
      <c r="DK277" t="e">
        <f>AND(#REF!,"AAAAAG9313I=")</f>
        <v>#REF!</v>
      </c>
      <c r="DL277" t="e">
        <f>AND(#REF!,"AAAAAG9313M=")</f>
        <v>#REF!</v>
      </c>
      <c r="DM277" t="e">
        <f>AND(#REF!,"AAAAAG9313Q=")</f>
        <v>#REF!</v>
      </c>
      <c r="DN277" t="e">
        <f>AND(#REF!,"AAAAAG9313U=")</f>
        <v>#REF!</v>
      </c>
      <c r="DO277" t="e">
        <f>AND(#REF!,"AAAAAG9313Y=")</f>
        <v>#REF!</v>
      </c>
      <c r="DP277" t="e">
        <f>AND(#REF!,"AAAAAG9313c=")</f>
        <v>#REF!</v>
      </c>
      <c r="DQ277" t="e">
        <f>AND(#REF!,"AAAAAG9313g=")</f>
        <v>#REF!</v>
      </c>
      <c r="DR277" t="e">
        <f>AND(#REF!,"AAAAAG9313k=")</f>
        <v>#REF!</v>
      </c>
      <c r="DS277" t="e">
        <f>AND(#REF!,"AAAAAG9313o=")</f>
        <v>#REF!</v>
      </c>
      <c r="DT277" t="e">
        <f>AND(#REF!,"AAAAAG9313s=")</f>
        <v>#REF!</v>
      </c>
      <c r="DU277" t="e">
        <f>AND(#REF!,"AAAAAG9313w=")</f>
        <v>#REF!</v>
      </c>
      <c r="DV277" t="e">
        <f>AND(#REF!,"AAAAAG93130=")</f>
        <v>#REF!</v>
      </c>
      <c r="DW277" t="e">
        <f>AND(#REF!,"AAAAAG93134=")</f>
        <v>#REF!</v>
      </c>
      <c r="DX277" t="e">
        <f>AND(#REF!,"AAAAAG93138=")</f>
        <v>#REF!</v>
      </c>
      <c r="DY277" t="e">
        <f>AND(#REF!,"AAAAAG9314A=")</f>
        <v>#REF!</v>
      </c>
      <c r="DZ277" t="e">
        <f>AND(#REF!,"AAAAAG9314E=")</f>
        <v>#REF!</v>
      </c>
      <c r="EA277" t="e">
        <f>AND(#REF!,"AAAAAG9314I=")</f>
        <v>#REF!</v>
      </c>
      <c r="EB277" t="e">
        <f>AND(#REF!,"AAAAAG9314M=")</f>
        <v>#REF!</v>
      </c>
      <c r="EC277" t="e">
        <f>AND(#REF!,"AAAAAG9314Q=")</f>
        <v>#REF!</v>
      </c>
      <c r="ED277" t="e">
        <f>AND(#REF!,"AAAAAG9314U=")</f>
        <v>#REF!</v>
      </c>
      <c r="EE277" t="e">
        <f>AND(#REF!,"AAAAAG9314Y=")</f>
        <v>#REF!</v>
      </c>
      <c r="EF277" t="e">
        <f>AND(#REF!,"AAAAAG9314c=")</f>
        <v>#REF!</v>
      </c>
      <c r="EG277" t="e">
        <f>AND(#REF!,"AAAAAG9314g=")</f>
        <v>#REF!</v>
      </c>
      <c r="EH277" t="e">
        <f>AND(#REF!,"AAAAAG9314k=")</f>
        <v>#REF!</v>
      </c>
      <c r="EI277" t="e">
        <f>AND(#REF!,"AAAAAG9314o=")</f>
        <v>#REF!</v>
      </c>
      <c r="EJ277" t="e">
        <f>AND(#REF!,"AAAAAG9314s=")</f>
        <v>#REF!</v>
      </c>
      <c r="EK277" t="e">
        <f>AND(#REF!,"AAAAAG9314w=")</f>
        <v>#REF!</v>
      </c>
      <c r="EL277" t="e">
        <f>AND(#REF!,"AAAAAG93140=")</f>
        <v>#REF!</v>
      </c>
      <c r="EM277" t="e">
        <f>AND(#REF!,"AAAAAG93144=")</f>
        <v>#REF!</v>
      </c>
      <c r="EN277" t="e">
        <f>AND(#REF!,"AAAAAG93148=")</f>
        <v>#REF!</v>
      </c>
      <c r="EO277" t="e">
        <f>AND(#REF!,"AAAAAG9315A=")</f>
        <v>#REF!</v>
      </c>
      <c r="EP277" t="e">
        <f>AND(#REF!,"AAAAAG9315E=")</f>
        <v>#REF!</v>
      </c>
      <c r="EQ277" t="e">
        <f>AND(#REF!,"AAAAAG9315I=")</f>
        <v>#REF!</v>
      </c>
      <c r="ER277" t="e">
        <f>AND(#REF!,"AAAAAG9315M=")</f>
        <v>#REF!</v>
      </c>
      <c r="ES277" t="e">
        <f>AND(#REF!,"AAAAAG9315Q=")</f>
        <v>#REF!</v>
      </c>
      <c r="ET277" t="e">
        <f>AND(#REF!,"AAAAAG9315U=")</f>
        <v>#REF!</v>
      </c>
      <c r="EU277" t="e">
        <f>AND(#REF!,"AAAAAG9315Y=")</f>
        <v>#REF!</v>
      </c>
      <c r="EV277" t="e">
        <f>AND(#REF!,"AAAAAG9315c=")</f>
        <v>#REF!</v>
      </c>
      <c r="EW277" t="e">
        <f>AND(#REF!,"AAAAAG9315g=")</f>
        <v>#REF!</v>
      </c>
      <c r="EX277" t="e">
        <f>AND(#REF!,"AAAAAG9315k=")</f>
        <v>#REF!</v>
      </c>
      <c r="EY277" t="e">
        <f>AND(#REF!,"AAAAAG9315o=")</f>
        <v>#REF!</v>
      </c>
      <c r="EZ277" t="e">
        <f>AND(#REF!,"AAAAAG9315s=")</f>
        <v>#REF!</v>
      </c>
      <c r="FA277" t="e">
        <f>AND(#REF!,"AAAAAG9315w=")</f>
        <v>#REF!</v>
      </c>
      <c r="FB277" t="e">
        <f>AND(#REF!,"AAAAAG93150=")</f>
        <v>#REF!</v>
      </c>
      <c r="FC277" t="e">
        <f>AND(#REF!,"AAAAAG93154=")</f>
        <v>#REF!</v>
      </c>
      <c r="FD277" t="e">
        <f>AND(#REF!,"AAAAAG93158=")</f>
        <v>#REF!</v>
      </c>
      <c r="FE277" t="e">
        <f>AND(#REF!,"AAAAAG9316A=")</f>
        <v>#REF!</v>
      </c>
      <c r="FF277" t="e">
        <f>AND(#REF!,"AAAAAG9316E=")</f>
        <v>#REF!</v>
      </c>
      <c r="FG277" t="e">
        <f>AND(#REF!,"AAAAAG9316I=")</f>
        <v>#REF!</v>
      </c>
      <c r="FH277" t="e">
        <f>AND(#REF!,"AAAAAG9316M=")</f>
        <v>#REF!</v>
      </c>
      <c r="FI277" t="e">
        <f>AND(#REF!,"AAAAAG9316Q=")</f>
        <v>#REF!</v>
      </c>
      <c r="FJ277" t="e">
        <f>AND(#REF!,"AAAAAG9316U=")</f>
        <v>#REF!</v>
      </c>
      <c r="FK277" t="e">
        <f>AND(#REF!,"AAAAAG9316Y=")</f>
        <v>#REF!</v>
      </c>
      <c r="FL277" t="e">
        <f>AND(#REF!,"AAAAAG9316c=")</f>
        <v>#REF!</v>
      </c>
      <c r="FM277" t="e">
        <f>AND(#REF!,"AAAAAG9316g=")</f>
        <v>#REF!</v>
      </c>
      <c r="FN277" t="e">
        <f>AND(#REF!,"AAAAAG9316k=")</f>
        <v>#REF!</v>
      </c>
      <c r="FO277" t="e">
        <f>AND(#REF!,"AAAAAG9316o=")</f>
        <v>#REF!</v>
      </c>
      <c r="FP277" t="e">
        <f>AND(#REF!,"AAAAAG9316s=")</f>
        <v>#REF!</v>
      </c>
      <c r="FQ277" t="e">
        <f>AND(#REF!,"AAAAAG9316w=")</f>
        <v>#REF!</v>
      </c>
      <c r="FR277" t="e">
        <f>AND(#REF!,"AAAAAG93160=")</f>
        <v>#REF!</v>
      </c>
      <c r="FS277" t="e">
        <f>AND(#REF!,"AAAAAG93164=")</f>
        <v>#REF!</v>
      </c>
      <c r="FT277" t="e">
        <f>AND(#REF!,"AAAAAG93168=")</f>
        <v>#REF!</v>
      </c>
      <c r="FU277" t="e">
        <f>AND(#REF!,"AAAAAG9317A=")</f>
        <v>#REF!</v>
      </c>
      <c r="FV277" t="e">
        <f>AND(#REF!,"AAAAAG9317E=")</f>
        <v>#REF!</v>
      </c>
      <c r="FW277" t="e">
        <f>AND(#REF!,"AAAAAG9317I=")</f>
        <v>#REF!</v>
      </c>
      <c r="FX277" t="e">
        <f>AND(#REF!,"AAAAAG9317M=")</f>
        <v>#REF!</v>
      </c>
      <c r="FY277" t="e">
        <f>AND(#REF!,"AAAAAG9317Q=")</f>
        <v>#REF!</v>
      </c>
      <c r="FZ277" t="e">
        <f>AND(#REF!,"AAAAAG9317U=")</f>
        <v>#REF!</v>
      </c>
      <c r="GA277" t="e">
        <f>AND(#REF!,"AAAAAG9317Y=")</f>
        <v>#REF!</v>
      </c>
      <c r="GB277" t="e">
        <f>AND(#REF!,"AAAAAG9317c=")</f>
        <v>#REF!</v>
      </c>
      <c r="GC277" t="e">
        <f>AND(#REF!,"AAAAAG9317g=")</f>
        <v>#REF!</v>
      </c>
      <c r="GD277" t="e">
        <f>AND(#REF!,"AAAAAG9317k=")</f>
        <v>#REF!</v>
      </c>
      <c r="GE277" t="e">
        <f>AND(#REF!,"AAAAAG9317o=")</f>
        <v>#REF!</v>
      </c>
      <c r="GF277" t="e">
        <f>AND(#REF!,"AAAAAG9317s=")</f>
        <v>#REF!</v>
      </c>
      <c r="GG277" t="e">
        <f>AND(#REF!,"AAAAAG9317w=")</f>
        <v>#REF!</v>
      </c>
      <c r="GH277" t="e">
        <f>AND(#REF!,"AAAAAG93170=")</f>
        <v>#REF!</v>
      </c>
      <c r="GI277" t="e">
        <f>AND(#REF!,"AAAAAG93174=")</f>
        <v>#REF!</v>
      </c>
      <c r="GJ277" t="e">
        <f>AND(#REF!,"AAAAAG93178=")</f>
        <v>#REF!</v>
      </c>
      <c r="GK277" t="e">
        <f>AND(#REF!,"AAAAAG9318A=")</f>
        <v>#REF!</v>
      </c>
      <c r="GL277" t="e">
        <f>AND(#REF!,"AAAAAG9318E=")</f>
        <v>#REF!</v>
      </c>
      <c r="GM277" t="e">
        <f>AND(#REF!,"AAAAAG9318I=")</f>
        <v>#REF!</v>
      </c>
      <c r="GN277" t="e">
        <f>AND(#REF!,"AAAAAG9318M=")</f>
        <v>#REF!</v>
      </c>
      <c r="GO277" t="e">
        <f>AND(#REF!,"AAAAAG9318Q=")</f>
        <v>#REF!</v>
      </c>
      <c r="GP277" t="e">
        <f>AND(#REF!,"AAAAAG9318U=")</f>
        <v>#REF!</v>
      </c>
      <c r="GQ277" t="e">
        <f>AND(#REF!,"AAAAAG9318Y=")</f>
        <v>#REF!</v>
      </c>
      <c r="GR277" t="e">
        <f>AND(#REF!,"AAAAAG9318c=")</f>
        <v>#REF!</v>
      </c>
      <c r="GS277" t="e">
        <f>AND(#REF!,"AAAAAG9318g=")</f>
        <v>#REF!</v>
      </c>
      <c r="GT277" t="e">
        <f>AND(#REF!,"AAAAAG9318k=")</f>
        <v>#REF!</v>
      </c>
      <c r="GU277" t="e">
        <f>AND(#REF!,"AAAAAG9318o=")</f>
        <v>#REF!</v>
      </c>
      <c r="GV277" t="e">
        <f>AND(#REF!,"AAAAAG9318s=")</f>
        <v>#REF!</v>
      </c>
      <c r="GW277" t="e">
        <f>AND(#REF!,"AAAAAG9318w=")</f>
        <v>#REF!</v>
      </c>
      <c r="GX277" t="e">
        <f>AND(#REF!,"AAAAAG93180=")</f>
        <v>#REF!</v>
      </c>
      <c r="GY277" t="e">
        <f>AND(#REF!,"AAAAAG93184=")</f>
        <v>#REF!</v>
      </c>
      <c r="GZ277" t="e">
        <f>AND(#REF!,"AAAAAG93188=")</f>
        <v>#REF!</v>
      </c>
      <c r="HA277" t="e">
        <f>AND(#REF!,"AAAAAG9319A=")</f>
        <v>#REF!</v>
      </c>
      <c r="HB277" t="e">
        <f>AND(#REF!,"AAAAAG9319E=")</f>
        <v>#REF!</v>
      </c>
      <c r="HC277" t="e">
        <f>AND(#REF!,"AAAAAG9319I=")</f>
        <v>#REF!</v>
      </c>
      <c r="HD277" t="e">
        <f>IF(#REF!,"AAAAAG9319M=",0)</f>
        <v>#REF!</v>
      </c>
      <c r="HE277" t="e">
        <f>AND(#REF!,"AAAAAG9319Q=")</f>
        <v>#REF!</v>
      </c>
      <c r="HF277" t="e">
        <f>AND(#REF!,"AAAAAG9319U=")</f>
        <v>#REF!</v>
      </c>
      <c r="HG277" t="e">
        <f>AND(#REF!,"AAAAAG9319Y=")</f>
        <v>#REF!</v>
      </c>
      <c r="HH277" t="e">
        <f>AND(#REF!,"AAAAAG9319c=")</f>
        <v>#REF!</v>
      </c>
      <c r="HI277" t="e">
        <f>AND(#REF!,"AAAAAG9319g=")</f>
        <v>#REF!</v>
      </c>
      <c r="HJ277" t="e">
        <f>AND(#REF!,"AAAAAG9319k=")</f>
        <v>#REF!</v>
      </c>
      <c r="HK277" t="e">
        <f>AND(#REF!,"AAAAAG9319o=")</f>
        <v>#REF!</v>
      </c>
      <c r="HL277" t="e">
        <f>AND(#REF!,"AAAAAG9319s=")</f>
        <v>#REF!</v>
      </c>
      <c r="HM277" t="e">
        <f>AND(#REF!,"AAAAAG9319w=")</f>
        <v>#REF!</v>
      </c>
      <c r="HN277" t="e">
        <f>AND(#REF!,"AAAAAG93190=")</f>
        <v>#REF!</v>
      </c>
      <c r="HO277" t="e">
        <f>AND(#REF!,"AAAAAG93194=")</f>
        <v>#REF!</v>
      </c>
      <c r="HP277" t="e">
        <f>AND(#REF!,"AAAAAG93198=")</f>
        <v>#REF!</v>
      </c>
      <c r="HQ277" t="e">
        <f>AND(#REF!,"AAAAAG931+A=")</f>
        <v>#REF!</v>
      </c>
      <c r="HR277" t="e">
        <f>AND(#REF!,"AAAAAG931+E=")</f>
        <v>#REF!</v>
      </c>
      <c r="HS277" t="e">
        <f>AND(#REF!,"AAAAAG931+I=")</f>
        <v>#REF!</v>
      </c>
      <c r="HT277" t="e">
        <f>AND(#REF!,"AAAAAG931+M=")</f>
        <v>#REF!</v>
      </c>
      <c r="HU277" t="e">
        <f>AND(#REF!,"AAAAAG931+Q=")</f>
        <v>#REF!</v>
      </c>
      <c r="HV277" t="e">
        <f>AND(#REF!,"AAAAAG931+U=")</f>
        <v>#REF!</v>
      </c>
      <c r="HW277" t="e">
        <f>AND(#REF!,"AAAAAG931+Y=")</f>
        <v>#REF!</v>
      </c>
      <c r="HX277" t="e">
        <f>AND(#REF!,"AAAAAG931+c=")</f>
        <v>#REF!</v>
      </c>
      <c r="HY277" t="e">
        <f>AND(#REF!,"AAAAAG931+g=")</f>
        <v>#REF!</v>
      </c>
      <c r="HZ277" t="e">
        <f>AND(#REF!,"AAAAAG931+k=")</f>
        <v>#REF!</v>
      </c>
      <c r="IA277" t="e">
        <f>AND(#REF!,"AAAAAG931+o=")</f>
        <v>#REF!</v>
      </c>
      <c r="IB277" t="e">
        <f>AND(#REF!,"AAAAAG931+s=")</f>
        <v>#REF!</v>
      </c>
      <c r="IC277" t="e">
        <f>AND(#REF!,"AAAAAG931+w=")</f>
        <v>#REF!</v>
      </c>
      <c r="ID277" t="e">
        <f>AND(#REF!,"AAAAAG931+0=")</f>
        <v>#REF!</v>
      </c>
      <c r="IE277" t="e">
        <f>AND(#REF!,"AAAAAG931+4=")</f>
        <v>#REF!</v>
      </c>
      <c r="IF277" t="e">
        <f>AND(#REF!,"AAAAAG931+8=")</f>
        <v>#REF!</v>
      </c>
      <c r="IG277" t="e">
        <f>AND(#REF!,"AAAAAG931/A=")</f>
        <v>#REF!</v>
      </c>
      <c r="IH277" t="e">
        <f>AND(#REF!,"AAAAAG931/E=")</f>
        <v>#REF!</v>
      </c>
      <c r="II277" t="e">
        <f>AND(#REF!,"AAAAAG931/I=")</f>
        <v>#REF!</v>
      </c>
      <c r="IJ277" t="e">
        <f>AND(#REF!,"AAAAAG931/M=")</f>
        <v>#REF!</v>
      </c>
      <c r="IK277" t="e">
        <f>AND(#REF!,"AAAAAG931/Q=")</f>
        <v>#REF!</v>
      </c>
      <c r="IL277" t="e">
        <f>AND(#REF!,"AAAAAG931/U=")</f>
        <v>#REF!</v>
      </c>
      <c r="IM277" t="e">
        <f>AND(#REF!,"AAAAAG931/Y=")</f>
        <v>#REF!</v>
      </c>
      <c r="IN277" t="e">
        <f>AND(#REF!,"AAAAAG931/c=")</f>
        <v>#REF!</v>
      </c>
      <c r="IO277" t="e">
        <f>AND(#REF!,"AAAAAG931/g=")</f>
        <v>#REF!</v>
      </c>
      <c r="IP277" t="e">
        <f>AND(#REF!,"AAAAAG931/k=")</f>
        <v>#REF!</v>
      </c>
      <c r="IQ277" t="e">
        <f>AND(#REF!,"AAAAAG931/o=")</f>
        <v>#REF!</v>
      </c>
      <c r="IR277" t="e">
        <f>AND(#REF!,"AAAAAG931/s=")</f>
        <v>#REF!</v>
      </c>
      <c r="IS277" t="e">
        <f>AND(#REF!,"AAAAAG931/w=")</f>
        <v>#REF!</v>
      </c>
      <c r="IT277" t="e">
        <f>AND(#REF!,"AAAAAG931/0=")</f>
        <v>#REF!</v>
      </c>
      <c r="IU277" t="e">
        <f>AND(#REF!,"AAAAAG931/4=")</f>
        <v>#REF!</v>
      </c>
      <c r="IV277" t="e">
        <f>AND(#REF!,"AAAAAG931/8=")</f>
        <v>#REF!</v>
      </c>
    </row>
    <row r="278" spans="1:256" x14ac:dyDescent="0.25">
      <c r="A278" t="e">
        <f>AND(#REF!,"AAAAAHu/+wA=")</f>
        <v>#REF!</v>
      </c>
      <c r="B278" t="e">
        <f>AND(#REF!,"AAAAAHu/+wE=")</f>
        <v>#REF!</v>
      </c>
      <c r="C278" t="e">
        <f>AND(#REF!,"AAAAAHu/+wI=")</f>
        <v>#REF!</v>
      </c>
      <c r="D278" t="e">
        <f>AND(#REF!,"AAAAAHu/+wM=")</f>
        <v>#REF!</v>
      </c>
      <c r="E278" t="e">
        <f>AND(#REF!,"AAAAAHu/+wQ=")</f>
        <v>#REF!</v>
      </c>
      <c r="F278" t="e">
        <f>AND(#REF!,"AAAAAHu/+wU=")</f>
        <v>#REF!</v>
      </c>
      <c r="G278" t="e">
        <f>AND(#REF!,"AAAAAHu/+wY=")</f>
        <v>#REF!</v>
      </c>
      <c r="H278" t="e">
        <f>AND(#REF!,"AAAAAHu/+wc=")</f>
        <v>#REF!</v>
      </c>
      <c r="I278" t="e">
        <f>AND(#REF!,"AAAAAHu/+wg=")</f>
        <v>#REF!</v>
      </c>
      <c r="J278" t="e">
        <f>AND(#REF!,"AAAAAHu/+wk=")</f>
        <v>#REF!</v>
      </c>
      <c r="K278" t="e">
        <f>AND(#REF!,"AAAAAHu/+wo=")</f>
        <v>#REF!</v>
      </c>
      <c r="L278" t="e">
        <f>AND(#REF!,"AAAAAHu/+ws=")</f>
        <v>#REF!</v>
      </c>
      <c r="M278" t="e">
        <f>AND(#REF!,"AAAAAHu/+ww=")</f>
        <v>#REF!</v>
      </c>
      <c r="N278" t="e">
        <f>AND(#REF!,"AAAAAHu/+w0=")</f>
        <v>#REF!</v>
      </c>
      <c r="O278" t="e">
        <f>AND(#REF!,"AAAAAHu/+w4=")</f>
        <v>#REF!</v>
      </c>
      <c r="P278" t="e">
        <f>AND(#REF!,"AAAAAHu/+w8=")</f>
        <v>#REF!</v>
      </c>
      <c r="Q278" t="e">
        <f>AND(#REF!,"AAAAAHu/+xA=")</f>
        <v>#REF!</v>
      </c>
      <c r="R278" t="e">
        <f>AND(#REF!,"AAAAAHu/+xE=")</f>
        <v>#REF!</v>
      </c>
      <c r="S278" t="e">
        <f>AND(#REF!,"AAAAAHu/+xI=")</f>
        <v>#REF!</v>
      </c>
      <c r="T278" t="e">
        <f>AND(#REF!,"AAAAAHu/+xM=")</f>
        <v>#REF!</v>
      </c>
      <c r="U278" t="e">
        <f>AND(#REF!,"AAAAAHu/+xQ=")</f>
        <v>#REF!</v>
      </c>
      <c r="V278" t="e">
        <f>AND(#REF!,"AAAAAHu/+xU=")</f>
        <v>#REF!</v>
      </c>
      <c r="W278" t="e">
        <f>AND(#REF!,"AAAAAHu/+xY=")</f>
        <v>#REF!</v>
      </c>
      <c r="X278" t="e">
        <f>AND(#REF!,"AAAAAHu/+xc=")</f>
        <v>#REF!</v>
      </c>
      <c r="Y278" t="e">
        <f>AND(#REF!,"AAAAAHu/+xg=")</f>
        <v>#REF!</v>
      </c>
      <c r="Z278" t="e">
        <f>AND(#REF!,"AAAAAHu/+xk=")</f>
        <v>#REF!</v>
      </c>
      <c r="AA278" t="e">
        <f>AND(#REF!,"AAAAAHu/+xo=")</f>
        <v>#REF!</v>
      </c>
      <c r="AB278" t="e">
        <f>AND(#REF!,"AAAAAHu/+xs=")</f>
        <v>#REF!</v>
      </c>
      <c r="AC278" t="e">
        <f>AND(#REF!,"AAAAAHu/+xw=")</f>
        <v>#REF!</v>
      </c>
      <c r="AD278" t="e">
        <f>AND(#REF!,"AAAAAHu/+x0=")</f>
        <v>#REF!</v>
      </c>
      <c r="AE278" t="e">
        <f>AND(#REF!,"AAAAAHu/+x4=")</f>
        <v>#REF!</v>
      </c>
      <c r="AF278" t="e">
        <f>AND(#REF!,"AAAAAHu/+x8=")</f>
        <v>#REF!</v>
      </c>
      <c r="AG278" t="e">
        <f>AND(#REF!,"AAAAAHu/+yA=")</f>
        <v>#REF!</v>
      </c>
      <c r="AH278" t="e">
        <f>AND(#REF!,"AAAAAHu/+yE=")</f>
        <v>#REF!</v>
      </c>
      <c r="AI278" t="e">
        <f>AND(#REF!,"AAAAAHu/+yI=")</f>
        <v>#REF!</v>
      </c>
      <c r="AJ278" t="e">
        <f>AND(#REF!,"AAAAAHu/+yM=")</f>
        <v>#REF!</v>
      </c>
      <c r="AK278" t="e">
        <f>AND(#REF!,"AAAAAHu/+yQ=")</f>
        <v>#REF!</v>
      </c>
      <c r="AL278" t="e">
        <f>AND(#REF!,"AAAAAHu/+yU=")</f>
        <v>#REF!</v>
      </c>
      <c r="AM278" t="e">
        <f>AND(#REF!,"AAAAAHu/+yY=")</f>
        <v>#REF!</v>
      </c>
      <c r="AN278" t="e">
        <f>AND(#REF!,"AAAAAHu/+yc=")</f>
        <v>#REF!</v>
      </c>
      <c r="AO278" t="e">
        <f>AND(#REF!,"AAAAAHu/+yg=")</f>
        <v>#REF!</v>
      </c>
      <c r="AP278" t="e">
        <f>AND(#REF!,"AAAAAHu/+yk=")</f>
        <v>#REF!</v>
      </c>
      <c r="AQ278" t="e">
        <f>AND(#REF!,"AAAAAHu/+yo=")</f>
        <v>#REF!</v>
      </c>
      <c r="AR278" t="e">
        <f>AND(#REF!,"AAAAAHu/+ys=")</f>
        <v>#REF!</v>
      </c>
      <c r="AS278" t="e">
        <f>AND(#REF!,"AAAAAHu/+yw=")</f>
        <v>#REF!</v>
      </c>
      <c r="AT278" t="e">
        <f>AND(#REF!,"AAAAAHu/+y0=")</f>
        <v>#REF!</v>
      </c>
      <c r="AU278" t="e">
        <f>AND(#REF!,"AAAAAHu/+y4=")</f>
        <v>#REF!</v>
      </c>
      <c r="AV278" t="e">
        <f>AND(#REF!,"AAAAAHu/+y8=")</f>
        <v>#REF!</v>
      </c>
      <c r="AW278" t="e">
        <f>AND(#REF!,"AAAAAHu/+zA=")</f>
        <v>#REF!</v>
      </c>
      <c r="AX278" t="e">
        <f>AND(#REF!,"AAAAAHu/+zE=")</f>
        <v>#REF!</v>
      </c>
      <c r="AY278" t="e">
        <f>AND(#REF!,"AAAAAHu/+zI=")</f>
        <v>#REF!</v>
      </c>
      <c r="AZ278" t="e">
        <f>AND(#REF!,"AAAAAHu/+zM=")</f>
        <v>#REF!</v>
      </c>
      <c r="BA278" t="e">
        <f>AND(#REF!,"AAAAAHu/+zQ=")</f>
        <v>#REF!</v>
      </c>
      <c r="BB278" t="e">
        <f>AND(#REF!,"AAAAAHu/+zU=")</f>
        <v>#REF!</v>
      </c>
      <c r="BC278" t="e">
        <f>AND(#REF!,"AAAAAHu/+zY=")</f>
        <v>#REF!</v>
      </c>
      <c r="BD278" t="e">
        <f>AND(#REF!,"AAAAAHu/+zc=")</f>
        <v>#REF!</v>
      </c>
      <c r="BE278" t="e">
        <f>AND(#REF!,"AAAAAHu/+zg=")</f>
        <v>#REF!</v>
      </c>
      <c r="BF278" t="e">
        <f>AND(#REF!,"AAAAAHu/+zk=")</f>
        <v>#REF!</v>
      </c>
      <c r="BG278" t="e">
        <f>AND(#REF!,"AAAAAHu/+zo=")</f>
        <v>#REF!</v>
      </c>
      <c r="BH278" t="e">
        <f>AND(#REF!,"AAAAAHu/+zs=")</f>
        <v>#REF!</v>
      </c>
      <c r="BI278" t="e">
        <f>AND(#REF!,"AAAAAHu/+zw=")</f>
        <v>#REF!</v>
      </c>
      <c r="BJ278" t="e">
        <f>AND(#REF!,"AAAAAHu/+z0=")</f>
        <v>#REF!</v>
      </c>
      <c r="BK278" t="e">
        <f>AND(#REF!,"AAAAAHu/+z4=")</f>
        <v>#REF!</v>
      </c>
      <c r="BL278" t="e">
        <f>AND(#REF!,"AAAAAHu/+z8=")</f>
        <v>#REF!</v>
      </c>
      <c r="BM278" t="e">
        <f>AND(#REF!,"AAAAAHu/+0A=")</f>
        <v>#REF!</v>
      </c>
      <c r="BN278" t="e">
        <f>AND(#REF!,"AAAAAHu/+0E=")</f>
        <v>#REF!</v>
      </c>
      <c r="BO278" t="e">
        <f>AND(#REF!,"AAAAAHu/+0I=")</f>
        <v>#REF!</v>
      </c>
      <c r="BP278" t="e">
        <f>AND(#REF!,"AAAAAHu/+0M=")</f>
        <v>#REF!</v>
      </c>
      <c r="BQ278" t="e">
        <f>AND(#REF!,"AAAAAHu/+0Q=")</f>
        <v>#REF!</v>
      </c>
      <c r="BR278" t="e">
        <f>AND(#REF!,"AAAAAHu/+0U=")</f>
        <v>#REF!</v>
      </c>
      <c r="BS278" t="e">
        <f>AND(#REF!,"AAAAAHu/+0Y=")</f>
        <v>#REF!</v>
      </c>
      <c r="BT278" t="e">
        <f>AND(#REF!,"AAAAAHu/+0c=")</f>
        <v>#REF!</v>
      </c>
      <c r="BU278" t="e">
        <f>AND(#REF!,"AAAAAHu/+0g=")</f>
        <v>#REF!</v>
      </c>
      <c r="BV278" t="e">
        <f>AND(#REF!,"AAAAAHu/+0k=")</f>
        <v>#REF!</v>
      </c>
      <c r="BW278" t="e">
        <f>AND(#REF!,"AAAAAHu/+0o=")</f>
        <v>#REF!</v>
      </c>
      <c r="BX278" t="e">
        <f>AND(#REF!,"AAAAAHu/+0s=")</f>
        <v>#REF!</v>
      </c>
      <c r="BY278" t="e">
        <f>AND(#REF!,"AAAAAHu/+0w=")</f>
        <v>#REF!</v>
      </c>
      <c r="BZ278" t="e">
        <f>AND(#REF!,"AAAAAHu/+00=")</f>
        <v>#REF!</v>
      </c>
      <c r="CA278" t="e">
        <f>AND(#REF!,"AAAAAHu/+04=")</f>
        <v>#REF!</v>
      </c>
      <c r="CB278" t="e">
        <f>AND(#REF!,"AAAAAHu/+08=")</f>
        <v>#REF!</v>
      </c>
      <c r="CC278" t="e">
        <f>AND(#REF!,"AAAAAHu/+1A=")</f>
        <v>#REF!</v>
      </c>
      <c r="CD278" t="e">
        <f>AND(#REF!,"AAAAAHu/+1E=")</f>
        <v>#REF!</v>
      </c>
      <c r="CE278" t="e">
        <f>AND(#REF!,"AAAAAHu/+1I=")</f>
        <v>#REF!</v>
      </c>
      <c r="CF278" t="e">
        <f>AND(#REF!,"AAAAAHu/+1M=")</f>
        <v>#REF!</v>
      </c>
      <c r="CG278" t="e">
        <f>AND(#REF!,"AAAAAHu/+1Q=")</f>
        <v>#REF!</v>
      </c>
      <c r="CH278" t="e">
        <f>AND(#REF!,"AAAAAHu/+1U=")</f>
        <v>#REF!</v>
      </c>
      <c r="CI278" t="e">
        <f>AND(#REF!,"AAAAAHu/+1Y=")</f>
        <v>#REF!</v>
      </c>
      <c r="CJ278" t="e">
        <f>AND(#REF!,"AAAAAHu/+1c=")</f>
        <v>#REF!</v>
      </c>
      <c r="CK278" t="e">
        <f>AND(#REF!,"AAAAAHu/+1g=")</f>
        <v>#REF!</v>
      </c>
      <c r="CL278" t="e">
        <f>AND(#REF!,"AAAAAHu/+1k=")</f>
        <v>#REF!</v>
      </c>
      <c r="CM278" t="e">
        <f>AND(#REF!,"AAAAAHu/+1o=")</f>
        <v>#REF!</v>
      </c>
      <c r="CN278" t="e">
        <f>AND(#REF!,"AAAAAHu/+1s=")</f>
        <v>#REF!</v>
      </c>
      <c r="CO278" t="e">
        <f>AND(#REF!,"AAAAAHu/+1w=")</f>
        <v>#REF!</v>
      </c>
      <c r="CP278" t="e">
        <f>AND(#REF!,"AAAAAHu/+10=")</f>
        <v>#REF!</v>
      </c>
      <c r="CQ278" t="e">
        <f>AND(#REF!,"AAAAAHu/+14=")</f>
        <v>#REF!</v>
      </c>
      <c r="CR278" t="e">
        <f>AND(#REF!,"AAAAAHu/+18=")</f>
        <v>#REF!</v>
      </c>
      <c r="CS278" t="e">
        <f>AND(#REF!,"AAAAAHu/+2A=")</f>
        <v>#REF!</v>
      </c>
      <c r="CT278" t="e">
        <f>AND(#REF!,"AAAAAHu/+2E=")</f>
        <v>#REF!</v>
      </c>
      <c r="CU278" t="e">
        <f>AND(#REF!,"AAAAAHu/+2I=")</f>
        <v>#REF!</v>
      </c>
      <c r="CV278" t="e">
        <f>AND(#REF!,"AAAAAHu/+2M=")</f>
        <v>#REF!</v>
      </c>
      <c r="CW278" t="e">
        <f>AND(#REF!,"AAAAAHu/+2Q=")</f>
        <v>#REF!</v>
      </c>
      <c r="CX278" t="e">
        <f>AND(#REF!,"AAAAAHu/+2U=")</f>
        <v>#REF!</v>
      </c>
      <c r="CY278" t="e">
        <f>AND(#REF!,"AAAAAHu/+2Y=")</f>
        <v>#REF!</v>
      </c>
      <c r="CZ278" t="e">
        <f>AND(#REF!,"AAAAAHu/+2c=")</f>
        <v>#REF!</v>
      </c>
      <c r="DA278" t="e">
        <f>AND(#REF!,"AAAAAHu/+2g=")</f>
        <v>#REF!</v>
      </c>
      <c r="DB278" t="e">
        <f>AND(#REF!,"AAAAAHu/+2k=")</f>
        <v>#REF!</v>
      </c>
      <c r="DC278" t="e">
        <f>AND(#REF!,"AAAAAHu/+2o=")</f>
        <v>#REF!</v>
      </c>
      <c r="DD278" t="e">
        <f>AND(#REF!,"AAAAAHu/+2s=")</f>
        <v>#REF!</v>
      </c>
      <c r="DE278" t="e">
        <f>AND(#REF!,"AAAAAHu/+2w=")</f>
        <v>#REF!</v>
      </c>
      <c r="DF278" t="e">
        <f>AND(#REF!,"AAAAAHu/+20=")</f>
        <v>#REF!</v>
      </c>
      <c r="DG278" t="e">
        <f>AND(#REF!,"AAAAAHu/+24=")</f>
        <v>#REF!</v>
      </c>
      <c r="DH278" t="e">
        <f>AND(#REF!,"AAAAAHu/+28=")</f>
        <v>#REF!</v>
      </c>
      <c r="DI278" t="e">
        <f>AND(#REF!,"AAAAAHu/+3A=")</f>
        <v>#REF!</v>
      </c>
      <c r="DJ278" t="e">
        <f>AND(#REF!,"AAAAAHu/+3E=")</f>
        <v>#REF!</v>
      </c>
      <c r="DK278" t="e">
        <f>AND(#REF!,"AAAAAHu/+3I=")</f>
        <v>#REF!</v>
      </c>
      <c r="DL278" t="e">
        <f>AND(#REF!,"AAAAAHu/+3M=")</f>
        <v>#REF!</v>
      </c>
      <c r="DM278" t="e">
        <f>AND(#REF!,"AAAAAHu/+3Q=")</f>
        <v>#REF!</v>
      </c>
      <c r="DN278" t="e">
        <f>AND(#REF!,"AAAAAHu/+3U=")</f>
        <v>#REF!</v>
      </c>
      <c r="DO278" t="e">
        <f>AND(#REF!,"AAAAAHu/+3Y=")</f>
        <v>#REF!</v>
      </c>
      <c r="DP278" t="e">
        <f>AND(#REF!,"AAAAAHu/+3c=")</f>
        <v>#REF!</v>
      </c>
      <c r="DQ278" t="e">
        <f>AND(#REF!,"AAAAAHu/+3g=")</f>
        <v>#REF!</v>
      </c>
      <c r="DR278" t="e">
        <f>AND(#REF!,"AAAAAHu/+3k=")</f>
        <v>#REF!</v>
      </c>
      <c r="DS278" t="e">
        <f>AND(#REF!,"AAAAAHu/+3o=")</f>
        <v>#REF!</v>
      </c>
      <c r="DT278" t="e">
        <f>AND(#REF!,"AAAAAHu/+3s=")</f>
        <v>#REF!</v>
      </c>
      <c r="DU278" t="e">
        <f>AND(#REF!,"AAAAAHu/+3w=")</f>
        <v>#REF!</v>
      </c>
      <c r="DV278" t="e">
        <f>AND(#REF!,"AAAAAHu/+30=")</f>
        <v>#REF!</v>
      </c>
      <c r="DW278" t="e">
        <f>AND(#REF!,"AAAAAHu/+34=")</f>
        <v>#REF!</v>
      </c>
      <c r="DX278" t="e">
        <f>AND(#REF!,"AAAAAHu/+38=")</f>
        <v>#REF!</v>
      </c>
      <c r="DY278" t="e">
        <f>AND(#REF!,"AAAAAHu/+4A=")</f>
        <v>#REF!</v>
      </c>
      <c r="DZ278" t="e">
        <f>AND(#REF!,"AAAAAHu/+4E=")</f>
        <v>#REF!</v>
      </c>
      <c r="EA278" t="e">
        <f>AND(#REF!,"AAAAAHu/+4I=")</f>
        <v>#REF!</v>
      </c>
      <c r="EB278" t="e">
        <f>AND(#REF!,"AAAAAHu/+4M=")</f>
        <v>#REF!</v>
      </c>
      <c r="EC278" t="e">
        <f>AND(#REF!,"AAAAAHu/+4Q=")</f>
        <v>#REF!</v>
      </c>
      <c r="ED278" t="e">
        <f>AND(#REF!,"AAAAAHu/+4U=")</f>
        <v>#REF!</v>
      </c>
      <c r="EE278" t="e">
        <f>AND(#REF!,"AAAAAHu/+4Y=")</f>
        <v>#REF!</v>
      </c>
      <c r="EF278" t="e">
        <f>AND(#REF!,"AAAAAHu/+4c=")</f>
        <v>#REF!</v>
      </c>
      <c r="EG278" t="e">
        <f>AND(#REF!,"AAAAAHu/+4g=")</f>
        <v>#REF!</v>
      </c>
      <c r="EH278" t="e">
        <f>AND(#REF!,"AAAAAHu/+4k=")</f>
        <v>#REF!</v>
      </c>
      <c r="EI278" t="e">
        <f>AND(#REF!,"AAAAAHu/+4o=")</f>
        <v>#REF!</v>
      </c>
      <c r="EJ278" t="e">
        <f>AND(#REF!,"AAAAAHu/+4s=")</f>
        <v>#REF!</v>
      </c>
      <c r="EK278" t="e">
        <f>AND(#REF!,"AAAAAHu/+4w=")</f>
        <v>#REF!</v>
      </c>
      <c r="EL278" t="e">
        <f>AND(#REF!,"AAAAAHu/+40=")</f>
        <v>#REF!</v>
      </c>
      <c r="EM278" t="e">
        <f>AND(#REF!,"AAAAAHu/+44=")</f>
        <v>#REF!</v>
      </c>
      <c r="EN278" t="e">
        <f>AND(#REF!,"AAAAAHu/+48=")</f>
        <v>#REF!</v>
      </c>
      <c r="EO278" t="e">
        <f>IF(#REF!,"AAAAAHu/+5A=",0)</f>
        <v>#REF!</v>
      </c>
      <c r="EP278" t="e">
        <f>AND(#REF!,"AAAAAHu/+5E=")</f>
        <v>#REF!</v>
      </c>
      <c r="EQ278" t="e">
        <f>AND(#REF!,"AAAAAHu/+5I=")</f>
        <v>#REF!</v>
      </c>
      <c r="ER278" t="e">
        <f>AND(#REF!,"AAAAAHu/+5M=")</f>
        <v>#REF!</v>
      </c>
      <c r="ES278" t="e">
        <f>AND(#REF!,"AAAAAHu/+5Q=")</f>
        <v>#REF!</v>
      </c>
      <c r="ET278" t="e">
        <f>AND(#REF!,"AAAAAHu/+5U=")</f>
        <v>#REF!</v>
      </c>
      <c r="EU278" t="e">
        <f>AND(#REF!,"AAAAAHu/+5Y=")</f>
        <v>#REF!</v>
      </c>
      <c r="EV278" t="e">
        <f>AND(#REF!,"AAAAAHu/+5c=")</f>
        <v>#REF!</v>
      </c>
      <c r="EW278" t="e">
        <f>AND(#REF!,"AAAAAHu/+5g=")</f>
        <v>#REF!</v>
      </c>
      <c r="EX278" t="e">
        <f>AND(#REF!,"AAAAAHu/+5k=")</f>
        <v>#REF!</v>
      </c>
      <c r="EY278" t="e">
        <f>AND(#REF!,"AAAAAHu/+5o=")</f>
        <v>#REF!</v>
      </c>
      <c r="EZ278" t="e">
        <f>AND(#REF!,"AAAAAHu/+5s=")</f>
        <v>#REF!</v>
      </c>
      <c r="FA278" t="e">
        <f>AND(#REF!,"AAAAAHu/+5w=")</f>
        <v>#REF!</v>
      </c>
      <c r="FB278" t="e">
        <f>AND(#REF!,"AAAAAHu/+50=")</f>
        <v>#REF!</v>
      </c>
      <c r="FC278" t="e">
        <f>AND(#REF!,"AAAAAHu/+54=")</f>
        <v>#REF!</v>
      </c>
      <c r="FD278" t="e">
        <f>AND(#REF!,"AAAAAHu/+58=")</f>
        <v>#REF!</v>
      </c>
      <c r="FE278" t="e">
        <f>AND(#REF!,"AAAAAHu/+6A=")</f>
        <v>#REF!</v>
      </c>
      <c r="FF278" t="e">
        <f>AND(#REF!,"AAAAAHu/+6E=")</f>
        <v>#REF!</v>
      </c>
      <c r="FG278" t="e">
        <f>AND(#REF!,"AAAAAHu/+6I=")</f>
        <v>#REF!</v>
      </c>
      <c r="FH278" t="e">
        <f>AND(#REF!,"AAAAAHu/+6M=")</f>
        <v>#REF!</v>
      </c>
      <c r="FI278" t="e">
        <f>AND(#REF!,"AAAAAHu/+6Q=")</f>
        <v>#REF!</v>
      </c>
      <c r="FJ278" t="e">
        <f>AND(#REF!,"AAAAAHu/+6U=")</f>
        <v>#REF!</v>
      </c>
      <c r="FK278" t="e">
        <f>AND(#REF!,"AAAAAHu/+6Y=")</f>
        <v>#REF!</v>
      </c>
      <c r="FL278" t="e">
        <f>AND(#REF!,"AAAAAHu/+6c=")</f>
        <v>#REF!</v>
      </c>
      <c r="FM278" t="e">
        <f>AND(#REF!,"AAAAAHu/+6g=")</f>
        <v>#REF!</v>
      </c>
      <c r="FN278" t="e">
        <f>AND(#REF!,"AAAAAHu/+6k=")</f>
        <v>#REF!</v>
      </c>
      <c r="FO278" t="e">
        <f>AND(#REF!,"AAAAAHu/+6o=")</f>
        <v>#REF!</v>
      </c>
      <c r="FP278" t="e">
        <f>AND(#REF!,"AAAAAHu/+6s=")</f>
        <v>#REF!</v>
      </c>
      <c r="FQ278" t="e">
        <f>AND(#REF!,"AAAAAHu/+6w=")</f>
        <v>#REF!</v>
      </c>
      <c r="FR278" t="e">
        <f>AND(#REF!,"AAAAAHu/+60=")</f>
        <v>#REF!</v>
      </c>
      <c r="FS278" t="e">
        <f>AND(#REF!,"AAAAAHu/+64=")</f>
        <v>#REF!</v>
      </c>
      <c r="FT278" t="e">
        <f>AND(#REF!,"AAAAAHu/+68=")</f>
        <v>#REF!</v>
      </c>
      <c r="FU278" t="e">
        <f>AND(#REF!,"AAAAAHu/+7A=")</f>
        <v>#REF!</v>
      </c>
      <c r="FV278" t="e">
        <f>AND(#REF!,"AAAAAHu/+7E=")</f>
        <v>#REF!</v>
      </c>
      <c r="FW278" t="e">
        <f>AND(#REF!,"AAAAAHu/+7I=")</f>
        <v>#REF!</v>
      </c>
      <c r="FX278" t="e">
        <f>AND(#REF!,"AAAAAHu/+7M=")</f>
        <v>#REF!</v>
      </c>
      <c r="FY278" t="e">
        <f>AND(#REF!,"AAAAAHu/+7Q=")</f>
        <v>#REF!</v>
      </c>
      <c r="FZ278" t="e">
        <f>AND(#REF!,"AAAAAHu/+7U=")</f>
        <v>#REF!</v>
      </c>
      <c r="GA278" t="e">
        <f>AND(#REF!,"AAAAAHu/+7Y=")</f>
        <v>#REF!</v>
      </c>
      <c r="GB278" t="e">
        <f>AND(#REF!,"AAAAAHu/+7c=")</f>
        <v>#REF!</v>
      </c>
      <c r="GC278" t="e">
        <f>AND(#REF!,"AAAAAHu/+7g=")</f>
        <v>#REF!</v>
      </c>
      <c r="GD278" t="e">
        <f>AND(#REF!,"AAAAAHu/+7k=")</f>
        <v>#REF!</v>
      </c>
      <c r="GE278" t="e">
        <f>AND(#REF!,"AAAAAHu/+7o=")</f>
        <v>#REF!</v>
      </c>
      <c r="GF278" t="e">
        <f>AND(#REF!,"AAAAAHu/+7s=")</f>
        <v>#REF!</v>
      </c>
      <c r="GG278" t="e">
        <f>AND(#REF!,"AAAAAHu/+7w=")</f>
        <v>#REF!</v>
      </c>
      <c r="GH278" t="e">
        <f>AND(#REF!,"AAAAAHu/+70=")</f>
        <v>#REF!</v>
      </c>
      <c r="GI278" t="e">
        <f>AND(#REF!,"AAAAAHu/+74=")</f>
        <v>#REF!</v>
      </c>
      <c r="GJ278" t="e">
        <f>AND(#REF!,"AAAAAHu/+78=")</f>
        <v>#REF!</v>
      </c>
      <c r="GK278" t="e">
        <f>AND(#REF!,"AAAAAHu/+8A=")</f>
        <v>#REF!</v>
      </c>
      <c r="GL278" t="e">
        <f>AND(#REF!,"AAAAAHu/+8E=")</f>
        <v>#REF!</v>
      </c>
      <c r="GM278" t="e">
        <f>AND(#REF!,"AAAAAHu/+8I=")</f>
        <v>#REF!</v>
      </c>
      <c r="GN278" t="e">
        <f>AND(#REF!,"AAAAAHu/+8M=")</f>
        <v>#REF!</v>
      </c>
      <c r="GO278" t="e">
        <f>AND(#REF!,"AAAAAHu/+8Q=")</f>
        <v>#REF!</v>
      </c>
      <c r="GP278" t="e">
        <f>AND(#REF!,"AAAAAHu/+8U=")</f>
        <v>#REF!</v>
      </c>
      <c r="GQ278" t="e">
        <f>AND(#REF!,"AAAAAHu/+8Y=")</f>
        <v>#REF!</v>
      </c>
      <c r="GR278" t="e">
        <f>AND(#REF!,"AAAAAHu/+8c=")</f>
        <v>#REF!</v>
      </c>
      <c r="GS278" t="e">
        <f>AND(#REF!,"AAAAAHu/+8g=")</f>
        <v>#REF!</v>
      </c>
      <c r="GT278" t="e">
        <f>AND(#REF!,"AAAAAHu/+8k=")</f>
        <v>#REF!</v>
      </c>
      <c r="GU278" t="e">
        <f>AND(#REF!,"AAAAAHu/+8o=")</f>
        <v>#REF!</v>
      </c>
      <c r="GV278" t="e">
        <f>AND(#REF!,"AAAAAHu/+8s=")</f>
        <v>#REF!</v>
      </c>
      <c r="GW278" t="e">
        <f>AND(#REF!,"AAAAAHu/+8w=")</f>
        <v>#REF!</v>
      </c>
      <c r="GX278" t="e">
        <f>AND(#REF!,"AAAAAHu/+80=")</f>
        <v>#REF!</v>
      </c>
      <c r="GY278" t="e">
        <f>AND(#REF!,"AAAAAHu/+84=")</f>
        <v>#REF!</v>
      </c>
      <c r="GZ278" t="e">
        <f>AND(#REF!,"AAAAAHu/+88=")</f>
        <v>#REF!</v>
      </c>
      <c r="HA278" t="e">
        <f>AND(#REF!,"AAAAAHu/+9A=")</f>
        <v>#REF!</v>
      </c>
      <c r="HB278" t="e">
        <f>AND(#REF!,"AAAAAHu/+9E=")</f>
        <v>#REF!</v>
      </c>
      <c r="HC278" t="e">
        <f>AND(#REF!,"AAAAAHu/+9I=")</f>
        <v>#REF!</v>
      </c>
      <c r="HD278" t="e">
        <f>AND(#REF!,"AAAAAHu/+9M=")</f>
        <v>#REF!</v>
      </c>
      <c r="HE278" t="e">
        <f>AND(#REF!,"AAAAAHu/+9Q=")</f>
        <v>#REF!</v>
      </c>
      <c r="HF278" t="e">
        <f>AND(#REF!,"AAAAAHu/+9U=")</f>
        <v>#REF!</v>
      </c>
      <c r="HG278" t="e">
        <f>AND(#REF!,"AAAAAHu/+9Y=")</f>
        <v>#REF!</v>
      </c>
      <c r="HH278" t="e">
        <f>AND(#REF!,"AAAAAHu/+9c=")</f>
        <v>#REF!</v>
      </c>
      <c r="HI278" t="e">
        <f>AND(#REF!,"AAAAAHu/+9g=")</f>
        <v>#REF!</v>
      </c>
      <c r="HJ278" t="e">
        <f>AND(#REF!,"AAAAAHu/+9k=")</f>
        <v>#REF!</v>
      </c>
      <c r="HK278" t="e">
        <f>AND(#REF!,"AAAAAHu/+9o=")</f>
        <v>#REF!</v>
      </c>
      <c r="HL278" t="e">
        <f>AND(#REF!,"AAAAAHu/+9s=")</f>
        <v>#REF!</v>
      </c>
      <c r="HM278" t="e">
        <f>AND(#REF!,"AAAAAHu/+9w=")</f>
        <v>#REF!</v>
      </c>
      <c r="HN278" t="e">
        <f>AND(#REF!,"AAAAAHu/+90=")</f>
        <v>#REF!</v>
      </c>
      <c r="HO278" t="e">
        <f>AND(#REF!,"AAAAAHu/+94=")</f>
        <v>#REF!</v>
      </c>
      <c r="HP278" t="e">
        <f>AND(#REF!,"AAAAAHu/+98=")</f>
        <v>#REF!</v>
      </c>
      <c r="HQ278" t="e">
        <f>AND(#REF!,"AAAAAHu/++A=")</f>
        <v>#REF!</v>
      </c>
      <c r="HR278" t="e">
        <f>AND(#REF!,"AAAAAHu/++E=")</f>
        <v>#REF!</v>
      </c>
      <c r="HS278" t="e">
        <f>AND(#REF!,"AAAAAHu/++I=")</f>
        <v>#REF!</v>
      </c>
      <c r="HT278" t="e">
        <f>AND(#REF!,"AAAAAHu/++M=")</f>
        <v>#REF!</v>
      </c>
      <c r="HU278" t="e">
        <f>AND(#REF!,"AAAAAHu/++Q=")</f>
        <v>#REF!</v>
      </c>
      <c r="HV278" t="e">
        <f>AND(#REF!,"AAAAAHu/++U=")</f>
        <v>#REF!</v>
      </c>
      <c r="HW278" t="e">
        <f>AND(#REF!,"AAAAAHu/++Y=")</f>
        <v>#REF!</v>
      </c>
      <c r="HX278" t="e">
        <f>AND(#REF!,"AAAAAHu/++c=")</f>
        <v>#REF!</v>
      </c>
      <c r="HY278" t="e">
        <f>AND(#REF!,"AAAAAHu/++g=")</f>
        <v>#REF!</v>
      </c>
      <c r="HZ278" t="e">
        <f>AND(#REF!,"AAAAAHu/++k=")</f>
        <v>#REF!</v>
      </c>
      <c r="IA278" t="e">
        <f>AND(#REF!,"AAAAAHu/++o=")</f>
        <v>#REF!</v>
      </c>
      <c r="IB278" t="e">
        <f>AND(#REF!,"AAAAAHu/++s=")</f>
        <v>#REF!</v>
      </c>
      <c r="IC278" t="e">
        <f>AND(#REF!,"AAAAAHu/++w=")</f>
        <v>#REF!</v>
      </c>
      <c r="ID278" t="e">
        <f>AND(#REF!,"AAAAAHu/++0=")</f>
        <v>#REF!</v>
      </c>
      <c r="IE278" t="e">
        <f>AND(#REF!,"AAAAAHu/++4=")</f>
        <v>#REF!</v>
      </c>
      <c r="IF278" t="e">
        <f>AND(#REF!,"AAAAAHu/++8=")</f>
        <v>#REF!</v>
      </c>
      <c r="IG278" t="e">
        <f>AND(#REF!,"AAAAAHu/+/A=")</f>
        <v>#REF!</v>
      </c>
      <c r="IH278" t="e">
        <f>AND(#REF!,"AAAAAHu/+/E=")</f>
        <v>#REF!</v>
      </c>
      <c r="II278" t="e">
        <f>AND(#REF!,"AAAAAHu/+/I=")</f>
        <v>#REF!</v>
      </c>
      <c r="IJ278" t="e">
        <f>AND(#REF!,"AAAAAHu/+/M=")</f>
        <v>#REF!</v>
      </c>
      <c r="IK278" t="e">
        <f>AND(#REF!,"AAAAAHu/+/Q=")</f>
        <v>#REF!</v>
      </c>
      <c r="IL278" t="e">
        <f>AND(#REF!,"AAAAAHu/+/U=")</f>
        <v>#REF!</v>
      </c>
      <c r="IM278" t="e">
        <f>AND(#REF!,"AAAAAHu/+/Y=")</f>
        <v>#REF!</v>
      </c>
      <c r="IN278" t="e">
        <f>AND(#REF!,"AAAAAHu/+/c=")</f>
        <v>#REF!</v>
      </c>
      <c r="IO278" t="e">
        <f>AND(#REF!,"AAAAAHu/+/g=")</f>
        <v>#REF!</v>
      </c>
      <c r="IP278" t="e">
        <f>AND(#REF!,"AAAAAHu/+/k=")</f>
        <v>#REF!</v>
      </c>
      <c r="IQ278" t="e">
        <f>AND(#REF!,"AAAAAHu/+/o=")</f>
        <v>#REF!</v>
      </c>
      <c r="IR278" t="e">
        <f>AND(#REF!,"AAAAAHu/+/s=")</f>
        <v>#REF!</v>
      </c>
      <c r="IS278" t="e">
        <f>AND(#REF!,"AAAAAHu/+/w=")</f>
        <v>#REF!</v>
      </c>
      <c r="IT278" t="e">
        <f>AND(#REF!,"AAAAAHu/+/0=")</f>
        <v>#REF!</v>
      </c>
      <c r="IU278" t="e">
        <f>AND(#REF!,"AAAAAHu/+/4=")</f>
        <v>#REF!</v>
      </c>
      <c r="IV278" t="e">
        <f>AND(#REF!,"AAAAAHu/+/8=")</f>
        <v>#REF!</v>
      </c>
    </row>
    <row r="279" spans="1:256" x14ac:dyDescent="0.25">
      <c r="A279" t="e">
        <f>AND(#REF!,"AAAAAD2+7wA=")</f>
        <v>#REF!</v>
      </c>
      <c r="B279" t="e">
        <f>AND(#REF!,"AAAAAD2+7wE=")</f>
        <v>#REF!</v>
      </c>
      <c r="C279" t="e">
        <f>AND(#REF!,"AAAAAD2+7wI=")</f>
        <v>#REF!</v>
      </c>
      <c r="D279" t="e">
        <f>AND(#REF!,"AAAAAD2+7wM=")</f>
        <v>#REF!</v>
      </c>
      <c r="E279" t="e">
        <f>AND(#REF!,"AAAAAD2+7wQ=")</f>
        <v>#REF!</v>
      </c>
      <c r="F279" t="e">
        <f>AND(#REF!,"AAAAAD2+7wU=")</f>
        <v>#REF!</v>
      </c>
      <c r="G279" t="e">
        <f>AND(#REF!,"AAAAAD2+7wY=")</f>
        <v>#REF!</v>
      </c>
      <c r="H279" t="e">
        <f>AND(#REF!,"AAAAAD2+7wc=")</f>
        <v>#REF!</v>
      </c>
      <c r="I279" t="e">
        <f>AND(#REF!,"AAAAAD2+7wg=")</f>
        <v>#REF!</v>
      </c>
      <c r="J279" t="e">
        <f>AND(#REF!,"AAAAAD2+7wk=")</f>
        <v>#REF!</v>
      </c>
      <c r="K279" t="e">
        <f>AND(#REF!,"AAAAAD2+7wo=")</f>
        <v>#REF!</v>
      </c>
      <c r="L279" t="e">
        <f>AND(#REF!,"AAAAAD2+7ws=")</f>
        <v>#REF!</v>
      </c>
      <c r="M279" t="e">
        <f>AND(#REF!,"AAAAAD2+7ww=")</f>
        <v>#REF!</v>
      </c>
      <c r="N279" t="e">
        <f>AND(#REF!,"AAAAAD2+7w0=")</f>
        <v>#REF!</v>
      </c>
      <c r="O279" t="e">
        <f>AND(#REF!,"AAAAAD2+7w4=")</f>
        <v>#REF!</v>
      </c>
      <c r="P279" t="e">
        <f>AND(#REF!,"AAAAAD2+7w8=")</f>
        <v>#REF!</v>
      </c>
      <c r="Q279" t="e">
        <f>AND(#REF!,"AAAAAD2+7xA=")</f>
        <v>#REF!</v>
      </c>
      <c r="R279" t="e">
        <f>AND(#REF!,"AAAAAD2+7xE=")</f>
        <v>#REF!</v>
      </c>
      <c r="S279" t="e">
        <f>AND(#REF!,"AAAAAD2+7xI=")</f>
        <v>#REF!</v>
      </c>
      <c r="T279" t="e">
        <f>AND(#REF!,"AAAAAD2+7xM=")</f>
        <v>#REF!</v>
      </c>
      <c r="U279" t="e">
        <f>AND(#REF!,"AAAAAD2+7xQ=")</f>
        <v>#REF!</v>
      </c>
      <c r="V279" t="e">
        <f>AND(#REF!,"AAAAAD2+7xU=")</f>
        <v>#REF!</v>
      </c>
      <c r="W279" t="e">
        <f>AND(#REF!,"AAAAAD2+7xY=")</f>
        <v>#REF!</v>
      </c>
      <c r="X279" t="e">
        <f>AND(#REF!,"AAAAAD2+7xc=")</f>
        <v>#REF!</v>
      </c>
      <c r="Y279" t="e">
        <f>AND(#REF!,"AAAAAD2+7xg=")</f>
        <v>#REF!</v>
      </c>
      <c r="Z279" t="e">
        <f>AND(#REF!,"AAAAAD2+7xk=")</f>
        <v>#REF!</v>
      </c>
      <c r="AA279" t="e">
        <f>AND(#REF!,"AAAAAD2+7xo=")</f>
        <v>#REF!</v>
      </c>
      <c r="AB279" t="e">
        <f>AND(#REF!,"AAAAAD2+7xs=")</f>
        <v>#REF!</v>
      </c>
      <c r="AC279" t="e">
        <f>AND(#REF!,"AAAAAD2+7xw=")</f>
        <v>#REF!</v>
      </c>
      <c r="AD279" t="e">
        <f>AND(#REF!,"AAAAAD2+7x0=")</f>
        <v>#REF!</v>
      </c>
      <c r="AE279" t="e">
        <f>AND(#REF!,"AAAAAD2+7x4=")</f>
        <v>#REF!</v>
      </c>
      <c r="AF279" t="e">
        <f>AND(#REF!,"AAAAAD2+7x8=")</f>
        <v>#REF!</v>
      </c>
      <c r="AG279" t="e">
        <f>AND(#REF!,"AAAAAD2+7yA=")</f>
        <v>#REF!</v>
      </c>
      <c r="AH279" t="e">
        <f>AND(#REF!,"AAAAAD2+7yE=")</f>
        <v>#REF!</v>
      </c>
      <c r="AI279" t="e">
        <f>AND(#REF!,"AAAAAD2+7yI=")</f>
        <v>#REF!</v>
      </c>
      <c r="AJ279" t="e">
        <f>AND(#REF!,"AAAAAD2+7yM=")</f>
        <v>#REF!</v>
      </c>
      <c r="AK279" t="e">
        <f>AND(#REF!,"AAAAAD2+7yQ=")</f>
        <v>#REF!</v>
      </c>
      <c r="AL279" t="e">
        <f>AND(#REF!,"AAAAAD2+7yU=")</f>
        <v>#REF!</v>
      </c>
      <c r="AM279" t="e">
        <f>AND(#REF!,"AAAAAD2+7yY=")</f>
        <v>#REF!</v>
      </c>
      <c r="AN279" t="e">
        <f>AND(#REF!,"AAAAAD2+7yc=")</f>
        <v>#REF!</v>
      </c>
      <c r="AO279" t="e">
        <f>AND(#REF!,"AAAAAD2+7yg=")</f>
        <v>#REF!</v>
      </c>
      <c r="AP279" t="e">
        <f>AND(#REF!,"AAAAAD2+7yk=")</f>
        <v>#REF!</v>
      </c>
      <c r="AQ279" t="e">
        <f>AND(#REF!,"AAAAAD2+7yo=")</f>
        <v>#REF!</v>
      </c>
      <c r="AR279" t="e">
        <f>AND(#REF!,"AAAAAD2+7ys=")</f>
        <v>#REF!</v>
      </c>
      <c r="AS279" t="e">
        <f>AND(#REF!,"AAAAAD2+7yw=")</f>
        <v>#REF!</v>
      </c>
      <c r="AT279" t="e">
        <f>AND(#REF!,"AAAAAD2+7y0=")</f>
        <v>#REF!</v>
      </c>
      <c r="AU279" t="e">
        <f>AND(#REF!,"AAAAAD2+7y4=")</f>
        <v>#REF!</v>
      </c>
      <c r="AV279" t="e">
        <f>AND(#REF!,"AAAAAD2+7y8=")</f>
        <v>#REF!</v>
      </c>
      <c r="AW279" t="e">
        <f>AND(#REF!,"AAAAAD2+7zA=")</f>
        <v>#REF!</v>
      </c>
      <c r="AX279" t="e">
        <f>AND(#REF!,"AAAAAD2+7zE=")</f>
        <v>#REF!</v>
      </c>
      <c r="AY279" t="e">
        <f>AND(#REF!,"AAAAAD2+7zI=")</f>
        <v>#REF!</v>
      </c>
      <c r="AZ279" t="e">
        <f>AND(#REF!,"AAAAAD2+7zM=")</f>
        <v>#REF!</v>
      </c>
      <c r="BA279" t="e">
        <f>AND(#REF!,"AAAAAD2+7zQ=")</f>
        <v>#REF!</v>
      </c>
      <c r="BB279" t="e">
        <f>AND(#REF!,"AAAAAD2+7zU=")</f>
        <v>#REF!</v>
      </c>
      <c r="BC279" t="e">
        <f>AND(#REF!,"AAAAAD2+7zY=")</f>
        <v>#REF!</v>
      </c>
      <c r="BD279" t="e">
        <f>AND(#REF!,"AAAAAD2+7zc=")</f>
        <v>#REF!</v>
      </c>
      <c r="BE279" t="e">
        <f>AND(#REF!,"AAAAAD2+7zg=")</f>
        <v>#REF!</v>
      </c>
      <c r="BF279" t="e">
        <f>AND(#REF!,"AAAAAD2+7zk=")</f>
        <v>#REF!</v>
      </c>
      <c r="BG279" t="e">
        <f>AND(#REF!,"AAAAAD2+7zo=")</f>
        <v>#REF!</v>
      </c>
      <c r="BH279" t="e">
        <f>AND(#REF!,"AAAAAD2+7zs=")</f>
        <v>#REF!</v>
      </c>
      <c r="BI279" t="e">
        <f>AND(#REF!,"AAAAAD2+7zw=")</f>
        <v>#REF!</v>
      </c>
      <c r="BJ279" t="e">
        <f>AND(#REF!,"AAAAAD2+7z0=")</f>
        <v>#REF!</v>
      </c>
      <c r="BK279" t="e">
        <f>AND(#REF!,"AAAAAD2+7z4=")</f>
        <v>#REF!</v>
      </c>
      <c r="BL279" t="e">
        <f>AND(#REF!,"AAAAAD2+7z8=")</f>
        <v>#REF!</v>
      </c>
      <c r="BM279" t="e">
        <f>AND(#REF!,"AAAAAD2+70A=")</f>
        <v>#REF!</v>
      </c>
      <c r="BN279" t="e">
        <f>AND(#REF!,"AAAAAD2+70E=")</f>
        <v>#REF!</v>
      </c>
      <c r="BO279" t="e">
        <f>AND(#REF!,"AAAAAD2+70I=")</f>
        <v>#REF!</v>
      </c>
      <c r="BP279" t="e">
        <f>AND(#REF!,"AAAAAD2+70M=")</f>
        <v>#REF!</v>
      </c>
      <c r="BQ279" t="e">
        <f>AND(#REF!,"AAAAAD2+70Q=")</f>
        <v>#REF!</v>
      </c>
      <c r="BR279" t="e">
        <f>AND(#REF!,"AAAAAD2+70U=")</f>
        <v>#REF!</v>
      </c>
      <c r="BS279" t="e">
        <f>AND(#REF!,"AAAAAD2+70Y=")</f>
        <v>#REF!</v>
      </c>
      <c r="BT279" t="e">
        <f>AND(#REF!,"AAAAAD2+70c=")</f>
        <v>#REF!</v>
      </c>
      <c r="BU279" t="e">
        <f>AND(#REF!,"AAAAAD2+70g=")</f>
        <v>#REF!</v>
      </c>
      <c r="BV279" t="e">
        <f>AND(#REF!,"AAAAAD2+70k=")</f>
        <v>#REF!</v>
      </c>
      <c r="BW279" t="e">
        <f>AND(#REF!,"AAAAAD2+70o=")</f>
        <v>#REF!</v>
      </c>
      <c r="BX279" t="e">
        <f>AND(#REF!,"AAAAAD2+70s=")</f>
        <v>#REF!</v>
      </c>
      <c r="BY279" t="e">
        <f>AND(#REF!,"AAAAAD2+70w=")</f>
        <v>#REF!</v>
      </c>
      <c r="BZ279" t="e">
        <f>IF(#REF!,"AAAAAD2+700=",0)</f>
        <v>#REF!</v>
      </c>
      <c r="CA279" t="e">
        <f>AND(#REF!,"AAAAAD2+704=")</f>
        <v>#REF!</v>
      </c>
      <c r="CB279" t="e">
        <f>AND(#REF!,"AAAAAD2+708=")</f>
        <v>#REF!</v>
      </c>
      <c r="CC279" t="e">
        <f>AND(#REF!,"AAAAAD2+71A=")</f>
        <v>#REF!</v>
      </c>
      <c r="CD279" t="e">
        <f>AND(#REF!,"AAAAAD2+71E=")</f>
        <v>#REF!</v>
      </c>
      <c r="CE279" t="e">
        <f>AND(#REF!,"AAAAAD2+71I=")</f>
        <v>#REF!</v>
      </c>
      <c r="CF279" t="e">
        <f>AND(#REF!,"AAAAAD2+71M=")</f>
        <v>#REF!</v>
      </c>
      <c r="CG279" t="e">
        <f>AND(#REF!,"AAAAAD2+71Q=")</f>
        <v>#REF!</v>
      </c>
      <c r="CH279" t="e">
        <f>AND(#REF!,"AAAAAD2+71U=")</f>
        <v>#REF!</v>
      </c>
      <c r="CI279" t="e">
        <f>AND(#REF!,"AAAAAD2+71Y=")</f>
        <v>#REF!</v>
      </c>
      <c r="CJ279" t="e">
        <f>AND(#REF!,"AAAAAD2+71c=")</f>
        <v>#REF!</v>
      </c>
      <c r="CK279" t="e">
        <f>AND(#REF!,"AAAAAD2+71g=")</f>
        <v>#REF!</v>
      </c>
      <c r="CL279" t="e">
        <f>AND(#REF!,"AAAAAD2+71k=")</f>
        <v>#REF!</v>
      </c>
      <c r="CM279" t="e">
        <f>AND(#REF!,"AAAAAD2+71o=")</f>
        <v>#REF!</v>
      </c>
      <c r="CN279" t="e">
        <f>AND(#REF!,"AAAAAD2+71s=")</f>
        <v>#REF!</v>
      </c>
      <c r="CO279" t="e">
        <f>AND(#REF!,"AAAAAD2+71w=")</f>
        <v>#REF!</v>
      </c>
      <c r="CP279" t="e">
        <f>AND(#REF!,"AAAAAD2+710=")</f>
        <v>#REF!</v>
      </c>
      <c r="CQ279" t="e">
        <f>AND(#REF!,"AAAAAD2+714=")</f>
        <v>#REF!</v>
      </c>
      <c r="CR279" t="e">
        <f>AND(#REF!,"AAAAAD2+718=")</f>
        <v>#REF!</v>
      </c>
      <c r="CS279" t="e">
        <f>AND(#REF!,"AAAAAD2+72A=")</f>
        <v>#REF!</v>
      </c>
      <c r="CT279" t="e">
        <f>AND(#REF!,"AAAAAD2+72E=")</f>
        <v>#REF!</v>
      </c>
      <c r="CU279" t="e">
        <f>AND(#REF!,"AAAAAD2+72I=")</f>
        <v>#REF!</v>
      </c>
      <c r="CV279" t="e">
        <f>AND(#REF!,"AAAAAD2+72M=")</f>
        <v>#REF!</v>
      </c>
      <c r="CW279" t="e">
        <f>AND(#REF!,"AAAAAD2+72Q=")</f>
        <v>#REF!</v>
      </c>
      <c r="CX279" t="e">
        <f>AND(#REF!,"AAAAAD2+72U=")</f>
        <v>#REF!</v>
      </c>
      <c r="CY279" t="e">
        <f>AND(#REF!,"AAAAAD2+72Y=")</f>
        <v>#REF!</v>
      </c>
      <c r="CZ279" t="e">
        <f>AND(#REF!,"AAAAAD2+72c=")</f>
        <v>#REF!</v>
      </c>
      <c r="DA279" t="e">
        <f>AND(#REF!,"AAAAAD2+72g=")</f>
        <v>#REF!</v>
      </c>
      <c r="DB279" t="e">
        <f>AND(#REF!,"AAAAAD2+72k=")</f>
        <v>#REF!</v>
      </c>
      <c r="DC279" t="e">
        <f>AND(#REF!,"AAAAAD2+72o=")</f>
        <v>#REF!</v>
      </c>
      <c r="DD279" t="e">
        <f>AND(#REF!,"AAAAAD2+72s=")</f>
        <v>#REF!</v>
      </c>
      <c r="DE279" t="e">
        <f>AND(#REF!,"AAAAAD2+72w=")</f>
        <v>#REF!</v>
      </c>
      <c r="DF279" t="e">
        <f>AND(#REF!,"AAAAAD2+720=")</f>
        <v>#REF!</v>
      </c>
      <c r="DG279" t="e">
        <f>AND(#REF!,"AAAAAD2+724=")</f>
        <v>#REF!</v>
      </c>
      <c r="DH279" t="e">
        <f>AND(#REF!,"AAAAAD2+728=")</f>
        <v>#REF!</v>
      </c>
      <c r="DI279" t="e">
        <f>AND(#REF!,"AAAAAD2+73A=")</f>
        <v>#REF!</v>
      </c>
      <c r="DJ279" t="e">
        <f>AND(#REF!,"AAAAAD2+73E=")</f>
        <v>#REF!</v>
      </c>
      <c r="DK279" t="e">
        <f>AND(#REF!,"AAAAAD2+73I=")</f>
        <v>#REF!</v>
      </c>
      <c r="DL279" t="e">
        <f>AND(#REF!,"AAAAAD2+73M=")</f>
        <v>#REF!</v>
      </c>
      <c r="DM279" t="e">
        <f>AND(#REF!,"AAAAAD2+73Q=")</f>
        <v>#REF!</v>
      </c>
      <c r="DN279" t="e">
        <f>AND(#REF!,"AAAAAD2+73U=")</f>
        <v>#REF!</v>
      </c>
      <c r="DO279" t="e">
        <f>AND(#REF!,"AAAAAD2+73Y=")</f>
        <v>#REF!</v>
      </c>
      <c r="DP279" t="e">
        <f>AND(#REF!,"AAAAAD2+73c=")</f>
        <v>#REF!</v>
      </c>
      <c r="DQ279" t="e">
        <f>AND(#REF!,"AAAAAD2+73g=")</f>
        <v>#REF!</v>
      </c>
      <c r="DR279" t="e">
        <f>AND(#REF!,"AAAAAD2+73k=")</f>
        <v>#REF!</v>
      </c>
      <c r="DS279" t="e">
        <f>AND(#REF!,"AAAAAD2+73o=")</f>
        <v>#REF!</v>
      </c>
      <c r="DT279" t="e">
        <f>AND(#REF!,"AAAAAD2+73s=")</f>
        <v>#REF!</v>
      </c>
      <c r="DU279" t="e">
        <f>AND(#REF!,"AAAAAD2+73w=")</f>
        <v>#REF!</v>
      </c>
      <c r="DV279" t="e">
        <f>AND(#REF!,"AAAAAD2+730=")</f>
        <v>#REF!</v>
      </c>
      <c r="DW279" t="e">
        <f>AND(#REF!,"AAAAAD2+734=")</f>
        <v>#REF!</v>
      </c>
      <c r="DX279" t="e">
        <f>AND(#REF!,"AAAAAD2+738=")</f>
        <v>#REF!</v>
      </c>
      <c r="DY279" t="e">
        <f>AND(#REF!,"AAAAAD2+74A=")</f>
        <v>#REF!</v>
      </c>
      <c r="DZ279" t="e">
        <f>AND(#REF!,"AAAAAD2+74E=")</f>
        <v>#REF!</v>
      </c>
      <c r="EA279" t="e">
        <f>AND(#REF!,"AAAAAD2+74I=")</f>
        <v>#REF!</v>
      </c>
      <c r="EB279" t="e">
        <f>AND(#REF!,"AAAAAD2+74M=")</f>
        <v>#REF!</v>
      </c>
      <c r="EC279" t="e">
        <f>AND(#REF!,"AAAAAD2+74Q=")</f>
        <v>#REF!</v>
      </c>
      <c r="ED279" t="e">
        <f>AND(#REF!,"AAAAAD2+74U=")</f>
        <v>#REF!</v>
      </c>
      <c r="EE279" t="e">
        <f>AND(#REF!,"AAAAAD2+74Y=")</f>
        <v>#REF!</v>
      </c>
      <c r="EF279" t="e">
        <f>AND(#REF!,"AAAAAD2+74c=")</f>
        <v>#REF!</v>
      </c>
      <c r="EG279" t="e">
        <f>AND(#REF!,"AAAAAD2+74g=")</f>
        <v>#REF!</v>
      </c>
      <c r="EH279" t="e">
        <f>AND(#REF!,"AAAAAD2+74k=")</f>
        <v>#REF!</v>
      </c>
      <c r="EI279" t="e">
        <f>AND(#REF!,"AAAAAD2+74o=")</f>
        <v>#REF!</v>
      </c>
      <c r="EJ279" t="e">
        <f>AND(#REF!,"AAAAAD2+74s=")</f>
        <v>#REF!</v>
      </c>
      <c r="EK279" t="e">
        <f>AND(#REF!,"AAAAAD2+74w=")</f>
        <v>#REF!</v>
      </c>
      <c r="EL279" t="e">
        <f>AND(#REF!,"AAAAAD2+740=")</f>
        <v>#REF!</v>
      </c>
      <c r="EM279" t="e">
        <f>AND(#REF!,"AAAAAD2+744=")</f>
        <v>#REF!</v>
      </c>
      <c r="EN279" t="e">
        <f>AND(#REF!,"AAAAAD2+748=")</f>
        <v>#REF!</v>
      </c>
      <c r="EO279" t="e">
        <f>AND(#REF!,"AAAAAD2+75A=")</f>
        <v>#REF!</v>
      </c>
      <c r="EP279" t="e">
        <f>AND(#REF!,"AAAAAD2+75E=")</f>
        <v>#REF!</v>
      </c>
      <c r="EQ279" t="e">
        <f>AND(#REF!,"AAAAAD2+75I=")</f>
        <v>#REF!</v>
      </c>
      <c r="ER279" t="e">
        <f>AND(#REF!,"AAAAAD2+75M=")</f>
        <v>#REF!</v>
      </c>
      <c r="ES279" t="e">
        <f>AND(#REF!,"AAAAAD2+75Q=")</f>
        <v>#REF!</v>
      </c>
      <c r="ET279" t="e">
        <f>AND(#REF!,"AAAAAD2+75U=")</f>
        <v>#REF!</v>
      </c>
      <c r="EU279" t="e">
        <f>AND(#REF!,"AAAAAD2+75Y=")</f>
        <v>#REF!</v>
      </c>
      <c r="EV279" t="e">
        <f>AND(#REF!,"AAAAAD2+75c=")</f>
        <v>#REF!</v>
      </c>
      <c r="EW279" t="e">
        <f>AND(#REF!,"AAAAAD2+75g=")</f>
        <v>#REF!</v>
      </c>
      <c r="EX279" t="e">
        <f>AND(#REF!,"AAAAAD2+75k=")</f>
        <v>#REF!</v>
      </c>
      <c r="EY279" t="e">
        <f>AND(#REF!,"AAAAAD2+75o=")</f>
        <v>#REF!</v>
      </c>
      <c r="EZ279" t="e">
        <f>AND(#REF!,"AAAAAD2+75s=")</f>
        <v>#REF!</v>
      </c>
      <c r="FA279" t="e">
        <f>AND(#REF!,"AAAAAD2+75w=")</f>
        <v>#REF!</v>
      </c>
      <c r="FB279" t="e">
        <f>AND(#REF!,"AAAAAD2+750=")</f>
        <v>#REF!</v>
      </c>
      <c r="FC279" t="e">
        <f>AND(#REF!,"AAAAAD2+754=")</f>
        <v>#REF!</v>
      </c>
      <c r="FD279" t="e">
        <f>AND(#REF!,"AAAAAD2+758=")</f>
        <v>#REF!</v>
      </c>
      <c r="FE279" t="e">
        <f>AND(#REF!,"AAAAAD2+76A=")</f>
        <v>#REF!</v>
      </c>
      <c r="FF279" t="e">
        <f>AND(#REF!,"AAAAAD2+76E=")</f>
        <v>#REF!</v>
      </c>
      <c r="FG279" t="e">
        <f>AND(#REF!,"AAAAAD2+76I=")</f>
        <v>#REF!</v>
      </c>
      <c r="FH279" t="e">
        <f>AND(#REF!,"AAAAAD2+76M=")</f>
        <v>#REF!</v>
      </c>
      <c r="FI279" t="e">
        <f>AND(#REF!,"AAAAAD2+76Q=")</f>
        <v>#REF!</v>
      </c>
      <c r="FJ279" t="e">
        <f>AND(#REF!,"AAAAAD2+76U=")</f>
        <v>#REF!</v>
      </c>
      <c r="FK279" t="e">
        <f>AND(#REF!,"AAAAAD2+76Y=")</f>
        <v>#REF!</v>
      </c>
      <c r="FL279" t="e">
        <f>AND(#REF!,"AAAAAD2+76c=")</f>
        <v>#REF!</v>
      </c>
      <c r="FM279" t="e">
        <f>AND(#REF!,"AAAAAD2+76g=")</f>
        <v>#REF!</v>
      </c>
      <c r="FN279" t="e">
        <f>AND(#REF!,"AAAAAD2+76k=")</f>
        <v>#REF!</v>
      </c>
      <c r="FO279" t="e">
        <f>AND(#REF!,"AAAAAD2+76o=")</f>
        <v>#REF!</v>
      </c>
      <c r="FP279" t="e">
        <f>AND(#REF!,"AAAAAD2+76s=")</f>
        <v>#REF!</v>
      </c>
      <c r="FQ279" t="e">
        <f>AND(#REF!,"AAAAAD2+76w=")</f>
        <v>#REF!</v>
      </c>
      <c r="FR279" t="e">
        <f>AND(#REF!,"AAAAAD2+760=")</f>
        <v>#REF!</v>
      </c>
      <c r="FS279" t="e">
        <f>AND(#REF!,"AAAAAD2+764=")</f>
        <v>#REF!</v>
      </c>
      <c r="FT279" t="e">
        <f>AND(#REF!,"AAAAAD2+768=")</f>
        <v>#REF!</v>
      </c>
      <c r="FU279" t="e">
        <f>AND(#REF!,"AAAAAD2+77A=")</f>
        <v>#REF!</v>
      </c>
      <c r="FV279" t="e">
        <f>AND(#REF!,"AAAAAD2+77E=")</f>
        <v>#REF!</v>
      </c>
      <c r="FW279" t="e">
        <f>AND(#REF!,"AAAAAD2+77I=")</f>
        <v>#REF!</v>
      </c>
      <c r="FX279" t="e">
        <f>AND(#REF!,"AAAAAD2+77M=")</f>
        <v>#REF!</v>
      </c>
      <c r="FY279" t="e">
        <f>AND(#REF!,"AAAAAD2+77Q=")</f>
        <v>#REF!</v>
      </c>
      <c r="FZ279" t="e">
        <f>AND(#REF!,"AAAAAD2+77U=")</f>
        <v>#REF!</v>
      </c>
      <c r="GA279" t="e">
        <f>AND(#REF!,"AAAAAD2+77Y=")</f>
        <v>#REF!</v>
      </c>
      <c r="GB279" t="e">
        <f>AND(#REF!,"AAAAAD2+77c=")</f>
        <v>#REF!</v>
      </c>
      <c r="GC279" t="e">
        <f>AND(#REF!,"AAAAAD2+77g=")</f>
        <v>#REF!</v>
      </c>
      <c r="GD279" t="e">
        <f>AND(#REF!,"AAAAAD2+77k=")</f>
        <v>#REF!</v>
      </c>
      <c r="GE279" t="e">
        <f>AND(#REF!,"AAAAAD2+77o=")</f>
        <v>#REF!</v>
      </c>
      <c r="GF279" t="e">
        <f>AND(#REF!,"AAAAAD2+77s=")</f>
        <v>#REF!</v>
      </c>
      <c r="GG279" t="e">
        <f>AND(#REF!,"AAAAAD2+77w=")</f>
        <v>#REF!</v>
      </c>
      <c r="GH279" t="e">
        <f>AND(#REF!,"AAAAAD2+770=")</f>
        <v>#REF!</v>
      </c>
      <c r="GI279" t="e">
        <f>AND(#REF!,"AAAAAD2+774=")</f>
        <v>#REF!</v>
      </c>
      <c r="GJ279" t="e">
        <f>AND(#REF!,"AAAAAD2+778=")</f>
        <v>#REF!</v>
      </c>
      <c r="GK279" t="e">
        <f>AND(#REF!,"AAAAAD2+78A=")</f>
        <v>#REF!</v>
      </c>
      <c r="GL279" t="e">
        <f>AND(#REF!,"AAAAAD2+78E=")</f>
        <v>#REF!</v>
      </c>
      <c r="GM279" t="e">
        <f>AND(#REF!,"AAAAAD2+78I=")</f>
        <v>#REF!</v>
      </c>
      <c r="GN279" t="e">
        <f>AND(#REF!,"AAAAAD2+78M=")</f>
        <v>#REF!</v>
      </c>
      <c r="GO279" t="e">
        <f>AND(#REF!,"AAAAAD2+78Q=")</f>
        <v>#REF!</v>
      </c>
      <c r="GP279" t="e">
        <f>AND(#REF!,"AAAAAD2+78U=")</f>
        <v>#REF!</v>
      </c>
      <c r="GQ279" t="e">
        <f>AND(#REF!,"AAAAAD2+78Y=")</f>
        <v>#REF!</v>
      </c>
      <c r="GR279" t="e">
        <f>AND(#REF!,"AAAAAD2+78c=")</f>
        <v>#REF!</v>
      </c>
      <c r="GS279" t="e">
        <f>AND(#REF!,"AAAAAD2+78g=")</f>
        <v>#REF!</v>
      </c>
      <c r="GT279" t="e">
        <f>AND(#REF!,"AAAAAD2+78k=")</f>
        <v>#REF!</v>
      </c>
      <c r="GU279" t="e">
        <f>AND(#REF!,"AAAAAD2+78o=")</f>
        <v>#REF!</v>
      </c>
      <c r="GV279" t="e">
        <f>AND(#REF!,"AAAAAD2+78s=")</f>
        <v>#REF!</v>
      </c>
      <c r="GW279" t="e">
        <f>AND(#REF!,"AAAAAD2+78w=")</f>
        <v>#REF!</v>
      </c>
      <c r="GX279" t="e">
        <f>AND(#REF!,"AAAAAD2+780=")</f>
        <v>#REF!</v>
      </c>
      <c r="GY279" t="e">
        <f>AND(#REF!,"AAAAAD2+784=")</f>
        <v>#REF!</v>
      </c>
      <c r="GZ279" t="e">
        <f>AND(#REF!,"AAAAAD2+788=")</f>
        <v>#REF!</v>
      </c>
      <c r="HA279" t="e">
        <f>AND(#REF!,"AAAAAD2+79A=")</f>
        <v>#REF!</v>
      </c>
      <c r="HB279" t="e">
        <f>AND(#REF!,"AAAAAD2+79E=")</f>
        <v>#REF!</v>
      </c>
      <c r="HC279" t="e">
        <f>AND(#REF!,"AAAAAD2+79I=")</f>
        <v>#REF!</v>
      </c>
      <c r="HD279" t="e">
        <f>AND(#REF!,"AAAAAD2+79M=")</f>
        <v>#REF!</v>
      </c>
      <c r="HE279" t="e">
        <f>AND(#REF!,"AAAAAD2+79Q=")</f>
        <v>#REF!</v>
      </c>
      <c r="HF279" t="e">
        <f>AND(#REF!,"AAAAAD2+79U=")</f>
        <v>#REF!</v>
      </c>
      <c r="HG279" t="e">
        <f>AND(#REF!,"AAAAAD2+79Y=")</f>
        <v>#REF!</v>
      </c>
      <c r="HH279" t="e">
        <f>AND(#REF!,"AAAAAD2+79c=")</f>
        <v>#REF!</v>
      </c>
      <c r="HI279" t="e">
        <f>AND(#REF!,"AAAAAD2+79g=")</f>
        <v>#REF!</v>
      </c>
      <c r="HJ279" t="e">
        <f>AND(#REF!,"AAAAAD2+79k=")</f>
        <v>#REF!</v>
      </c>
      <c r="HK279" t="e">
        <f>AND(#REF!,"AAAAAD2+79o=")</f>
        <v>#REF!</v>
      </c>
      <c r="HL279" t="e">
        <f>AND(#REF!,"AAAAAD2+79s=")</f>
        <v>#REF!</v>
      </c>
      <c r="HM279" t="e">
        <f>AND(#REF!,"AAAAAD2+79w=")</f>
        <v>#REF!</v>
      </c>
      <c r="HN279" t="e">
        <f>AND(#REF!,"AAAAAD2+790=")</f>
        <v>#REF!</v>
      </c>
      <c r="HO279" t="e">
        <f>AND(#REF!,"AAAAAD2+794=")</f>
        <v>#REF!</v>
      </c>
      <c r="HP279" t="e">
        <f>AND(#REF!,"AAAAAD2+798=")</f>
        <v>#REF!</v>
      </c>
      <c r="HQ279" t="e">
        <f>AND(#REF!,"AAAAAD2+7+A=")</f>
        <v>#REF!</v>
      </c>
      <c r="HR279" t="e">
        <f>AND(#REF!,"AAAAAD2+7+E=")</f>
        <v>#REF!</v>
      </c>
      <c r="HS279" t="e">
        <f>AND(#REF!,"AAAAAD2+7+I=")</f>
        <v>#REF!</v>
      </c>
      <c r="HT279" t="e">
        <f>AND(#REF!,"AAAAAD2+7+M=")</f>
        <v>#REF!</v>
      </c>
      <c r="HU279" t="e">
        <f>AND(#REF!,"AAAAAD2+7+Q=")</f>
        <v>#REF!</v>
      </c>
      <c r="HV279" t="e">
        <f>AND(#REF!,"AAAAAD2+7+U=")</f>
        <v>#REF!</v>
      </c>
      <c r="HW279" t="e">
        <f>AND(#REF!,"AAAAAD2+7+Y=")</f>
        <v>#REF!</v>
      </c>
      <c r="HX279" t="e">
        <f>AND(#REF!,"AAAAAD2+7+c=")</f>
        <v>#REF!</v>
      </c>
      <c r="HY279" t="e">
        <f>AND(#REF!,"AAAAAD2+7+g=")</f>
        <v>#REF!</v>
      </c>
      <c r="HZ279" t="e">
        <f>AND(#REF!,"AAAAAD2+7+k=")</f>
        <v>#REF!</v>
      </c>
      <c r="IA279" t="e">
        <f>AND(#REF!,"AAAAAD2+7+o=")</f>
        <v>#REF!</v>
      </c>
      <c r="IB279" t="e">
        <f>AND(#REF!,"AAAAAD2+7+s=")</f>
        <v>#REF!</v>
      </c>
      <c r="IC279" t="e">
        <f>AND(#REF!,"AAAAAD2+7+w=")</f>
        <v>#REF!</v>
      </c>
      <c r="ID279" t="e">
        <f>AND(#REF!,"AAAAAD2+7+0=")</f>
        <v>#REF!</v>
      </c>
      <c r="IE279" t="e">
        <f>AND(#REF!,"AAAAAD2+7+4=")</f>
        <v>#REF!</v>
      </c>
      <c r="IF279" t="e">
        <f>AND(#REF!,"AAAAAD2+7+8=")</f>
        <v>#REF!</v>
      </c>
      <c r="IG279" t="e">
        <f>AND(#REF!,"AAAAAD2+7/A=")</f>
        <v>#REF!</v>
      </c>
      <c r="IH279" t="e">
        <f>AND(#REF!,"AAAAAD2+7/E=")</f>
        <v>#REF!</v>
      </c>
      <c r="II279" t="e">
        <f>AND(#REF!,"AAAAAD2+7/I=")</f>
        <v>#REF!</v>
      </c>
      <c r="IJ279" t="e">
        <f>AND(#REF!,"AAAAAD2+7/M=")</f>
        <v>#REF!</v>
      </c>
      <c r="IK279" t="e">
        <f>AND(#REF!,"AAAAAD2+7/Q=")</f>
        <v>#REF!</v>
      </c>
      <c r="IL279" t="e">
        <f>AND(#REF!,"AAAAAD2+7/U=")</f>
        <v>#REF!</v>
      </c>
      <c r="IM279" t="e">
        <f>AND(#REF!,"AAAAAD2+7/Y=")</f>
        <v>#REF!</v>
      </c>
      <c r="IN279" t="e">
        <f>AND(#REF!,"AAAAAD2+7/c=")</f>
        <v>#REF!</v>
      </c>
      <c r="IO279" t="e">
        <f>AND(#REF!,"AAAAAD2+7/g=")</f>
        <v>#REF!</v>
      </c>
      <c r="IP279" t="e">
        <f>AND(#REF!,"AAAAAD2+7/k=")</f>
        <v>#REF!</v>
      </c>
      <c r="IQ279" t="e">
        <f>AND(#REF!,"AAAAAD2+7/o=")</f>
        <v>#REF!</v>
      </c>
      <c r="IR279" t="e">
        <f>AND(#REF!,"AAAAAD2+7/s=")</f>
        <v>#REF!</v>
      </c>
      <c r="IS279" t="e">
        <f>AND(#REF!,"AAAAAD2+7/w=")</f>
        <v>#REF!</v>
      </c>
      <c r="IT279" t="e">
        <f>AND(#REF!,"AAAAAD2+7/0=")</f>
        <v>#REF!</v>
      </c>
      <c r="IU279" t="e">
        <f>AND(#REF!,"AAAAAD2+7/4=")</f>
        <v>#REF!</v>
      </c>
      <c r="IV279" t="e">
        <f>AND(#REF!,"AAAAAD2+7/8=")</f>
        <v>#REF!</v>
      </c>
    </row>
    <row r="280" spans="1:256" x14ac:dyDescent="0.25">
      <c r="A280" t="e">
        <f>AND(#REF!,"AAAAAH7v0wA=")</f>
        <v>#REF!</v>
      </c>
      <c r="B280" t="e">
        <f>AND(#REF!,"AAAAAH7v0wE=")</f>
        <v>#REF!</v>
      </c>
      <c r="C280" t="e">
        <f>AND(#REF!,"AAAAAH7v0wI=")</f>
        <v>#REF!</v>
      </c>
      <c r="D280" t="e">
        <f>AND(#REF!,"AAAAAH7v0wM=")</f>
        <v>#REF!</v>
      </c>
      <c r="E280" t="e">
        <f>AND(#REF!,"AAAAAH7v0wQ=")</f>
        <v>#REF!</v>
      </c>
      <c r="F280" t="e">
        <f>AND(#REF!,"AAAAAH7v0wU=")</f>
        <v>#REF!</v>
      </c>
      <c r="G280" t="e">
        <f>AND(#REF!,"AAAAAH7v0wY=")</f>
        <v>#REF!</v>
      </c>
      <c r="H280" t="e">
        <f>AND(#REF!,"AAAAAH7v0wc=")</f>
        <v>#REF!</v>
      </c>
      <c r="I280" t="e">
        <f>AND(#REF!,"AAAAAH7v0wg=")</f>
        <v>#REF!</v>
      </c>
      <c r="J280" t="e">
        <f>AND(#REF!,"AAAAAH7v0wk=")</f>
        <v>#REF!</v>
      </c>
      <c r="K280" t="e">
        <f>IF(#REF!,"AAAAAH7v0wo=",0)</f>
        <v>#REF!</v>
      </c>
      <c r="L280" t="e">
        <f>AND(#REF!,"AAAAAH7v0ws=")</f>
        <v>#REF!</v>
      </c>
      <c r="M280" t="e">
        <f>AND(#REF!,"AAAAAH7v0ww=")</f>
        <v>#REF!</v>
      </c>
      <c r="N280" t="e">
        <f>AND(#REF!,"AAAAAH7v0w0=")</f>
        <v>#REF!</v>
      </c>
      <c r="O280" t="e">
        <f>AND(#REF!,"AAAAAH7v0w4=")</f>
        <v>#REF!</v>
      </c>
      <c r="P280" t="e">
        <f>AND(#REF!,"AAAAAH7v0w8=")</f>
        <v>#REF!</v>
      </c>
      <c r="Q280" t="e">
        <f>AND(#REF!,"AAAAAH7v0xA=")</f>
        <v>#REF!</v>
      </c>
      <c r="R280" t="e">
        <f>AND(#REF!,"AAAAAH7v0xE=")</f>
        <v>#REF!</v>
      </c>
      <c r="S280" t="e">
        <f>AND(#REF!,"AAAAAH7v0xI=")</f>
        <v>#REF!</v>
      </c>
      <c r="T280" t="e">
        <f>AND(#REF!,"AAAAAH7v0xM=")</f>
        <v>#REF!</v>
      </c>
      <c r="U280" t="e">
        <f>AND(#REF!,"AAAAAH7v0xQ=")</f>
        <v>#REF!</v>
      </c>
      <c r="V280" t="e">
        <f>AND(#REF!,"AAAAAH7v0xU=")</f>
        <v>#REF!</v>
      </c>
      <c r="W280" t="e">
        <f>AND(#REF!,"AAAAAH7v0xY=")</f>
        <v>#REF!</v>
      </c>
      <c r="X280" t="e">
        <f>AND(#REF!,"AAAAAH7v0xc=")</f>
        <v>#REF!</v>
      </c>
      <c r="Y280" t="e">
        <f>AND(#REF!,"AAAAAH7v0xg=")</f>
        <v>#REF!</v>
      </c>
      <c r="Z280" t="e">
        <f>AND(#REF!,"AAAAAH7v0xk=")</f>
        <v>#REF!</v>
      </c>
      <c r="AA280" t="e">
        <f>AND(#REF!,"AAAAAH7v0xo=")</f>
        <v>#REF!</v>
      </c>
      <c r="AB280" t="e">
        <f>AND(#REF!,"AAAAAH7v0xs=")</f>
        <v>#REF!</v>
      </c>
      <c r="AC280" t="e">
        <f>AND(#REF!,"AAAAAH7v0xw=")</f>
        <v>#REF!</v>
      </c>
      <c r="AD280" t="e">
        <f>AND(#REF!,"AAAAAH7v0x0=")</f>
        <v>#REF!</v>
      </c>
      <c r="AE280" t="e">
        <f>AND(#REF!,"AAAAAH7v0x4=")</f>
        <v>#REF!</v>
      </c>
      <c r="AF280" t="e">
        <f>AND(#REF!,"AAAAAH7v0x8=")</f>
        <v>#REF!</v>
      </c>
      <c r="AG280" t="e">
        <f>AND(#REF!,"AAAAAH7v0yA=")</f>
        <v>#REF!</v>
      </c>
      <c r="AH280" t="e">
        <f>AND(#REF!,"AAAAAH7v0yE=")</f>
        <v>#REF!</v>
      </c>
      <c r="AI280" t="e">
        <f>AND(#REF!,"AAAAAH7v0yI=")</f>
        <v>#REF!</v>
      </c>
      <c r="AJ280" t="e">
        <f>AND(#REF!,"AAAAAH7v0yM=")</f>
        <v>#REF!</v>
      </c>
      <c r="AK280" t="e">
        <f>AND(#REF!,"AAAAAH7v0yQ=")</f>
        <v>#REF!</v>
      </c>
      <c r="AL280" t="e">
        <f>AND(#REF!,"AAAAAH7v0yU=")</f>
        <v>#REF!</v>
      </c>
      <c r="AM280" t="e">
        <f>AND(#REF!,"AAAAAH7v0yY=")</f>
        <v>#REF!</v>
      </c>
      <c r="AN280" t="e">
        <f>AND(#REF!,"AAAAAH7v0yc=")</f>
        <v>#REF!</v>
      </c>
      <c r="AO280" t="e">
        <f>AND(#REF!,"AAAAAH7v0yg=")</f>
        <v>#REF!</v>
      </c>
      <c r="AP280" t="e">
        <f>AND(#REF!,"AAAAAH7v0yk=")</f>
        <v>#REF!</v>
      </c>
      <c r="AQ280" t="e">
        <f>AND(#REF!,"AAAAAH7v0yo=")</f>
        <v>#REF!</v>
      </c>
      <c r="AR280" t="e">
        <f>AND(#REF!,"AAAAAH7v0ys=")</f>
        <v>#REF!</v>
      </c>
      <c r="AS280" t="e">
        <f>AND(#REF!,"AAAAAH7v0yw=")</f>
        <v>#REF!</v>
      </c>
      <c r="AT280" t="e">
        <f>AND(#REF!,"AAAAAH7v0y0=")</f>
        <v>#REF!</v>
      </c>
      <c r="AU280" t="e">
        <f>AND(#REF!,"AAAAAH7v0y4=")</f>
        <v>#REF!</v>
      </c>
      <c r="AV280" t="e">
        <f>AND(#REF!,"AAAAAH7v0y8=")</f>
        <v>#REF!</v>
      </c>
      <c r="AW280" t="e">
        <f>AND(#REF!,"AAAAAH7v0zA=")</f>
        <v>#REF!</v>
      </c>
      <c r="AX280" t="e">
        <f>AND(#REF!,"AAAAAH7v0zE=")</f>
        <v>#REF!</v>
      </c>
      <c r="AY280" t="e">
        <f>AND(#REF!,"AAAAAH7v0zI=")</f>
        <v>#REF!</v>
      </c>
      <c r="AZ280" t="e">
        <f>AND(#REF!,"AAAAAH7v0zM=")</f>
        <v>#REF!</v>
      </c>
      <c r="BA280" t="e">
        <f>AND(#REF!,"AAAAAH7v0zQ=")</f>
        <v>#REF!</v>
      </c>
      <c r="BB280" t="e">
        <f>AND(#REF!,"AAAAAH7v0zU=")</f>
        <v>#REF!</v>
      </c>
      <c r="BC280" t="e">
        <f>AND(#REF!,"AAAAAH7v0zY=")</f>
        <v>#REF!</v>
      </c>
      <c r="BD280" t="e">
        <f>AND(#REF!,"AAAAAH7v0zc=")</f>
        <v>#REF!</v>
      </c>
      <c r="BE280" t="e">
        <f>AND(#REF!,"AAAAAH7v0zg=")</f>
        <v>#REF!</v>
      </c>
      <c r="BF280" t="e">
        <f>AND(#REF!,"AAAAAH7v0zk=")</f>
        <v>#REF!</v>
      </c>
      <c r="BG280" t="e">
        <f>AND(#REF!,"AAAAAH7v0zo=")</f>
        <v>#REF!</v>
      </c>
      <c r="BH280" t="e">
        <f>AND(#REF!,"AAAAAH7v0zs=")</f>
        <v>#REF!</v>
      </c>
      <c r="BI280" t="e">
        <f>AND(#REF!,"AAAAAH7v0zw=")</f>
        <v>#REF!</v>
      </c>
      <c r="BJ280" t="e">
        <f>AND(#REF!,"AAAAAH7v0z0=")</f>
        <v>#REF!</v>
      </c>
      <c r="BK280" t="e">
        <f>AND(#REF!,"AAAAAH7v0z4=")</f>
        <v>#REF!</v>
      </c>
      <c r="BL280" t="e">
        <f>AND(#REF!,"AAAAAH7v0z8=")</f>
        <v>#REF!</v>
      </c>
      <c r="BM280" t="e">
        <f>AND(#REF!,"AAAAAH7v00A=")</f>
        <v>#REF!</v>
      </c>
      <c r="BN280" t="e">
        <f>AND(#REF!,"AAAAAH7v00E=")</f>
        <v>#REF!</v>
      </c>
      <c r="BO280" t="e">
        <f>AND(#REF!,"AAAAAH7v00I=")</f>
        <v>#REF!</v>
      </c>
      <c r="BP280" t="e">
        <f>AND(#REF!,"AAAAAH7v00M=")</f>
        <v>#REF!</v>
      </c>
      <c r="BQ280" t="e">
        <f>AND(#REF!,"AAAAAH7v00Q=")</f>
        <v>#REF!</v>
      </c>
      <c r="BR280" t="e">
        <f>AND(#REF!,"AAAAAH7v00U=")</f>
        <v>#REF!</v>
      </c>
      <c r="BS280" t="e">
        <f>AND(#REF!,"AAAAAH7v00Y=")</f>
        <v>#REF!</v>
      </c>
      <c r="BT280" t="e">
        <f>AND(#REF!,"AAAAAH7v00c=")</f>
        <v>#REF!</v>
      </c>
      <c r="BU280" t="e">
        <f>AND(#REF!,"AAAAAH7v00g=")</f>
        <v>#REF!</v>
      </c>
      <c r="BV280" t="e">
        <f>AND(#REF!,"AAAAAH7v00k=")</f>
        <v>#REF!</v>
      </c>
      <c r="BW280" t="e">
        <f>AND(#REF!,"AAAAAH7v00o=")</f>
        <v>#REF!</v>
      </c>
      <c r="BX280" t="e">
        <f>AND(#REF!,"AAAAAH7v00s=")</f>
        <v>#REF!</v>
      </c>
      <c r="BY280" t="e">
        <f>AND(#REF!,"AAAAAH7v00w=")</f>
        <v>#REF!</v>
      </c>
      <c r="BZ280" t="e">
        <f>AND(#REF!,"AAAAAH7v000=")</f>
        <v>#REF!</v>
      </c>
      <c r="CA280" t="e">
        <f>AND(#REF!,"AAAAAH7v004=")</f>
        <v>#REF!</v>
      </c>
      <c r="CB280" t="e">
        <f>AND(#REF!,"AAAAAH7v008=")</f>
        <v>#REF!</v>
      </c>
      <c r="CC280" t="e">
        <f>AND(#REF!,"AAAAAH7v01A=")</f>
        <v>#REF!</v>
      </c>
      <c r="CD280" t="e">
        <f>AND(#REF!,"AAAAAH7v01E=")</f>
        <v>#REF!</v>
      </c>
      <c r="CE280" t="e">
        <f>AND(#REF!,"AAAAAH7v01I=")</f>
        <v>#REF!</v>
      </c>
      <c r="CF280" t="e">
        <f>AND(#REF!,"AAAAAH7v01M=")</f>
        <v>#REF!</v>
      </c>
      <c r="CG280" t="e">
        <f>AND(#REF!,"AAAAAH7v01Q=")</f>
        <v>#REF!</v>
      </c>
      <c r="CH280" t="e">
        <f>AND(#REF!,"AAAAAH7v01U=")</f>
        <v>#REF!</v>
      </c>
      <c r="CI280" t="e">
        <f>AND(#REF!,"AAAAAH7v01Y=")</f>
        <v>#REF!</v>
      </c>
      <c r="CJ280" t="e">
        <f>AND(#REF!,"AAAAAH7v01c=")</f>
        <v>#REF!</v>
      </c>
      <c r="CK280" t="e">
        <f>AND(#REF!,"AAAAAH7v01g=")</f>
        <v>#REF!</v>
      </c>
      <c r="CL280" t="e">
        <f>AND(#REF!,"AAAAAH7v01k=")</f>
        <v>#REF!</v>
      </c>
      <c r="CM280" t="e">
        <f>AND(#REF!,"AAAAAH7v01o=")</f>
        <v>#REF!</v>
      </c>
      <c r="CN280" t="e">
        <f>AND(#REF!,"AAAAAH7v01s=")</f>
        <v>#REF!</v>
      </c>
      <c r="CO280" t="e">
        <f>AND(#REF!,"AAAAAH7v01w=")</f>
        <v>#REF!</v>
      </c>
      <c r="CP280" t="e">
        <f>AND(#REF!,"AAAAAH7v010=")</f>
        <v>#REF!</v>
      </c>
      <c r="CQ280" t="e">
        <f>AND(#REF!,"AAAAAH7v014=")</f>
        <v>#REF!</v>
      </c>
      <c r="CR280" t="e">
        <f>AND(#REF!,"AAAAAH7v018=")</f>
        <v>#REF!</v>
      </c>
      <c r="CS280" t="e">
        <f>AND(#REF!,"AAAAAH7v02A=")</f>
        <v>#REF!</v>
      </c>
      <c r="CT280" t="e">
        <f>AND(#REF!,"AAAAAH7v02E=")</f>
        <v>#REF!</v>
      </c>
      <c r="CU280" t="e">
        <f>AND(#REF!,"AAAAAH7v02I=")</f>
        <v>#REF!</v>
      </c>
      <c r="CV280" t="e">
        <f>AND(#REF!,"AAAAAH7v02M=")</f>
        <v>#REF!</v>
      </c>
      <c r="CW280" t="e">
        <f>AND(#REF!,"AAAAAH7v02Q=")</f>
        <v>#REF!</v>
      </c>
      <c r="CX280" t="e">
        <f>AND(#REF!,"AAAAAH7v02U=")</f>
        <v>#REF!</v>
      </c>
      <c r="CY280" t="e">
        <f>AND(#REF!,"AAAAAH7v02Y=")</f>
        <v>#REF!</v>
      </c>
      <c r="CZ280" t="e">
        <f>AND(#REF!,"AAAAAH7v02c=")</f>
        <v>#REF!</v>
      </c>
      <c r="DA280" t="e">
        <f>AND(#REF!,"AAAAAH7v02g=")</f>
        <v>#REF!</v>
      </c>
      <c r="DB280" t="e">
        <f>AND(#REF!,"AAAAAH7v02k=")</f>
        <v>#REF!</v>
      </c>
      <c r="DC280" t="e">
        <f>AND(#REF!,"AAAAAH7v02o=")</f>
        <v>#REF!</v>
      </c>
      <c r="DD280" t="e">
        <f>AND(#REF!,"AAAAAH7v02s=")</f>
        <v>#REF!</v>
      </c>
      <c r="DE280" t="e">
        <f>AND(#REF!,"AAAAAH7v02w=")</f>
        <v>#REF!</v>
      </c>
      <c r="DF280" t="e">
        <f>AND(#REF!,"AAAAAH7v020=")</f>
        <v>#REF!</v>
      </c>
      <c r="DG280" t="e">
        <f>AND(#REF!,"AAAAAH7v024=")</f>
        <v>#REF!</v>
      </c>
      <c r="DH280" t="e">
        <f>AND(#REF!,"AAAAAH7v028=")</f>
        <v>#REF!</v>
      </c>
      <c r="DI280" t="e">
        <f>AND(#REF!,"AAAAAH7v03A=")</f>
        <v>#REF!</v>
      </c>
      <c r="DJ280" t="e">
        <f>AND(#REF!,"AAAAAH7v03E=")</f>
        <v>#REF!</v>
      </c>
      <c r="DK280" t="e">
        <f>AND(#REF!,"AAAAAH7v03I=")</f>
        <v>#REF!</v>
      </c>
      <c r="DL280" t="e">
        <f>AND(#REF!,"AAAAAH7v03M=")</f>
        <v>#REF!</v>
      </c>
      <c r="DM280" t="e">
        <f>AND(#REF!,"AAAAAH7v03Q=")</f>
        <v>#REF!</v>
      </c>
      <c r="DN280" t="e">
        <f>AND(#REF!,"AAAAAH7v03U=")</f>
        <v>#REF!</v>
      </c>
      <c r="DO280" t="e">
        <f>AND(#REF!,"AAAAAH7v03Y=")</f>
        <v>#REF!</v>
      </c>
      <c r="DP280" t="e">
        <f>AND(#REF!,"AAAAAH7v03c=")</f>
        <v>#REF!</v>
      </c>
      <c r="DQ280" t="e">
        <f>AND(#REF!,"AAAAAH7v03g=")</f>
        <v>#REF!</v>
      </c>
      <c r="DR280" t="e">
        <f>AND(#REF!,"AAAAAH7v03k=")</f>
        <v>#REF!</v>
      </c>
      <c r="DS280" t="e">
        <f>AND(#REF!,"AAAAAH7v03o=")</f>
        <v>#REF!</v>
      </c>
      <c r="DT280" t="e">
        <f>AND(#REF!,"AAAAAH7v03s=")</f>
        <v>#REF!</v>
      </c>
      <c r="DU280" t="e">
        <f>AND(#REF!,"AAAAAH7v03w=")</f>
        <v>#REF!</v>
      </c>
      <c r="DV280" t="e">
        <f>AND(#REF!,"AAAAAH7v030=")</f>
        <v>#REF!</v>
      </c>
      <c r="DW280" t="e">
        <f>AND(#REF!,"AAAAAH7v034=")</f>
        <v>#REF!</v>
      </c>
      <c r="DX280" t="e">
        <f>AND(#REF!,"AAAAAH7v038=")</f>
        <v>#REF!</v>
      </c>
      <c r="DY280" t="e">
        <f>AND(#REF!,"AAAAAH7v04A=")</f>
        <v>#REF!</v>
      </c>
      <c r="DZ280" t="e">
        <f>AND(#REF!,"AAAAAH7v04E=")</f>
        <v>#REF!</v>
      </c>
      <c r="EA280" t="e">
        <f>AND(#REF!,"AAAAAH7v04I=")</f>
        <v>#REF!</v>
      </c>
      <c r="EB280" t="e">
        <f>AND(#REF!,"AAAAAH7v04M=")</f>
        <v>#REF!</v>
      </c>
      <c r="EC280" t="e">
        <f>AND(#REF!,"AAAAAH7v04Q=")</f>
        <v>#REF!</v>
      </c>
      <c r="ED280" t="e">
        <f>AND(#REF!,"AAAAAH7v04U=")</f>
        <v>#REF!</v>
      </c>
      <c r="EE280" t="e">
        <f>AND(#REF!,"AAAAAH7v04Y=")</f>
        <v>#REF!</v>
      </c>
      <c r="EF280" t="e">
        <f>AND(#REF!,"AAAAAH7v04c=")</f>
        <v>#REF!</v>
      </c>
      <c r="EG280" t="e">
        <f>AND(#REF!,"AAAAAH7v04g=")</f>
        <v>#REF!</v>
      </c>
      <c r="EH280" t="e">
        <f>AND(#REF!,"AAAAAH7v04k=")</f>
        <v>#REF!</v>
      </c>
      <c r="EI280" t="e">
        <f>AND(#REF!,"AAAAAH7v04o=")</f>
        <v>#REF!</v>
      </c>
      <c r="EJ280" t="e">
        <f>AND(#REF!,"AAAAAH7v04s=")</f>
        <v>#REF!</v>
      </c>
      <c r="EK280" t="e">
        <f>AND(#REF!,"AAAAAH7v04w=")</f>
        <v>#REF!</v>
      </c>
      <c r="EL280" t="e">
        <f>AND(#REF!,"AAAAAH7v040=")</f>
        <v>#REF!</v>
      </c>
      <c r="EM280" t="e">
        <f>AND(#REF!,"AAAAAH7v044=")</f>
        <v>#REF!</v>
      </c>
      <c r="EN280" t="e">
        <f>AND(#REF!,"AAAAAH7v048=")</f>
        <v>#REF!</v>
      </c>
      <c r="EO280" t="e">
        <f>AND(#REF!,"AAAAAH7v05A=")</f>
        <v>#REF!</v>
      </c>
      <c r="EP280" t="e">
        <f>AND(#REF!,"AAAAAH7v05E=")</f>
        <v>#REF!</v>
      </c>
      <c r="EQ280" t="e">
        <f>AND(#REF!,"AAAAAH7v05I=")</f>
        <v>#REF!</v>
      </c>
      <c r="ER280" t="e">
        <f>AND(#REF!,"AAAAAH7v05M=")</f>
        <v>#REF!</v>
      </c>
      <c r="ES280" t="e">
        <f>AND(#REF!,"AAAAAH7v05Q=")</f>
        <v>#REF!</v>
      </c>
      <c r="ET280" t="e">
        <f>AND(#REF!,"AAAAAH7v05U=")</f>
        <v>#REF!</v>
      </c>
      <c r="EU280" t="e">
        <f>AND(#REF!,"AAAAAH7v05Y=")</f>
        <v>#REF!</v>
      </c>
      <c r="EV280" t="e">
        <f>AND(#REF!,"AAAAAH7v05c=")</f>
        <v>#REF!</v>
      </c>
      <c r="EW280" t="e">
        <f>AND(#REF!,"AAAAAH7v05g=")</f>
        <v>#REF!</v>
      </c>
      <c r="EX280" t="e">
        <f>AND(#REF!,"AAAAAH7v05k=")</f>
        <v>#REF!</v>
      </c>
      <c r="EY280" t="e">
        <f>AND(#REF!,"AAAAAH7v05o=")</f>
        <v>#REF!</v>
      </c>
      <c r="EZ280" t="e">
        <f>AND(#REF!,"AAAAAH7v05s=")</f>
        <v>#REF!</v>
      </c>
      <c r="FA280" t="e">
        <f>AND(#REF!,"AAAAAH7v05w=")</f>
        <v>#REF!</v>
      </c>
      <c r="FB280" t="e">
        <f>AND(#REF!,"AAAAAH7v050=")</f>
        <v>#REF!</v>
      </c>
      <c r="FC280" t="e">
        <f>AND(#REF!,"AAAAAH7v054=")</f>
        <v>#REF!</v>
      </c>
      <c r="FD280" t="e">
        <f>AND(#REF!,"AAAAAH7v058=")</f>
        <v>#REF!</v>
      </c>
      <c r="FE280" t="e">
        <f>AND(#REF!,"AAAAAH7v06A=")</f>
        <v>#REF!</v>
      </c>
      <c r="FF280" t="e">
        <f>AND(#REF!,"AAAAAH7v06E=")</f>
        <v>#REF!</v>
      </c>
      <c r="FG280" t="e">
        <f>AND(#REF!,"AAAAAH7v06I=")</f>
        <v>#REF!</v>
      </c>
      <c r="FH280" t="e">
        <f>AND(#REF!,"AAAAAH7v06M=")</f>
        <v>#REF!</v>
      </c>
      <c r="FI280" t="e">
        <f>AND(#REF!,"AAAAAH7v06Q=")</f>
        <v>#REF!</v>
      </c>
      <c r="FJ280" t="e">
        <f>AND(#REF!,"AAAAAH7v06U=")</f>
        <v>#REF!</v>
      </c>
      <c r="FK280" t="e">
        <f>AND(#REF!,"AAAAAH7v06Y=")</f>
        <v>#REF!</v>
      </c>
      <c r="FL280" t="e">
        <f>AND(#REF!,"AAAAAH7v06c=")</f>
        <v>#REF!</v>
      </c>
      <c r="FM280" t="e">
        <f>AND(#REF!,"AAAAAH7v06g=")</f>
        <v>#REF!</v>
      </c>
      <c r="FN280" t="e">
        <f>AND(#REF!,"AAAAAH7v06k=")</f>
        <v>#REF!</v>
      </c>
      <c r="FO280" t="e">
        <f>AND(#REF!,"AAAAAH7v06o=")</f>
        <v>#REF!</v>
      </c>
      <c r="FP280" t="e">
        <f>AND(#REF!,"AAAAAH7v06s=")</f>
        <v>#REF!</v>
      </c>
      <c r="FQ280" t="e">
        <f>AND(#REF!,"AAAAAH7v06w=")</f>
        <v>#REF!</v>
      </c>
      <c r="FR280" t="e">
        <f>AND(#REF!,"AAAAAH7v060=")</f>
        <v>#REF!</v>
      </c>
      <c r="FS280" t="e">
        <f>AND(#REF!,"AAAAAH7v064=")</f>
        <v>#REF!</v>
      </c>
      <c r="FT280" t="e">
        <f>AND(#REF!,"AAAAAH7v068=")</f>
        <v>#REF!</v>
      </c>
      <c r="FU280" t="e">
        <f>AND(#REF!,"AAAAAH7v07A=")</f>
        <v>#REF!</v>
      </c>
      <c r="FV280" t="e">
        <f>AND(#REF!,"AAAAAH7v07E=")</f>
        <v>#REF!</v>
      </c>
      <c r="FW280" t="e">
        <f>AND(#REF!,"AAAAAH7v07I=")</f>
        <v>#REF!</v>
      </c>
      <c r="FX280" t="e">
        <f>AND(#REF!,"AAAAAH7v07M=")</f>
        <v>#REF!</v>
      </c>
      <c r="FY280" t="e">
        <f>AND(#REF!,"AAAAAH7v07Q=")</f>
        <v>#REF!</v>
      </c>
      <c r="FZ280" t="e">
        <f>AND(#REF!,"AAAAAH7v07U=")</f>
        <v>#REF!</v>
      </c>
      <c r="GA280" t="e">
        <f>AND(#REF!,"AAAAAH7v07Y=")</f>
        <v>#REF!</v>
      </c>
      <c r="GB280" t="e">
        <f>AND(#REF!,"AAAAAH7v07c=")</f>
        <v>#REF!</v>
      </c>
      <c r="GC280" t="e">
        <f>AND(#REF!,"AAAAAH7v07g=")</f>
        <v>#REF!</v>
      </c>
      <c r="GD280" t="e">
        <f>AND(#REF!,"AAAAAH7v07k=")</f>
        <v>#REF!</v>
      </c>
      <c r="GE280" t="e">
        <f>AND(#REF!,"AAAAAH7v07o=")</f>
        <v>#REF!</v>
      </c>
      <c r="GF280" t="e">
        <f>AND(#REF!,"AAAAAH7v07s=")</f>
        <v>#REF!</v>
      </c>
      <c r="GG280" t="e">
        <f>AND(#REF!,"AAAAAH7v07w=")</f>
        <v>#REF!</v>
      </c>
      <c r="GH280" t="e">
        <f>AND(#REF!,"AAAAAH7v070=")</f>
        <v>#REF!</v>
      </c>
      <c r="GI280" t="e">
        <f>AND(#REF!,"AAAAAH7v074=")</f>
        <v>#REF!</v>
      </c>
      <c r="GJ280" t="e">
        <f>AND(#REF!,"AAAAAH7v078=")</f>
        <v>#REF!</v>
      </c>
      <c r="GK280" t="e">
        <f>AND(#REF!,"AAAAAH7v08A=")</f>
        <v>#REF!</v>
      </c>
      <c r="GL280" t="e">
        <f>AND(#REF!,"AAAAAH7v08E=")</f>
        <v>#REF!</v>
      </c>
      <c r="GM280" t="e">
        <f>AND(#REF!,"AAAAAH7v08I=")</f>
        <v>#REF!</v>
      </c>
      <c r="GN280" t="e">
        <f>AND(#REF!,"AAAAAH7v08M=")</f>
        <v>#REF!</v>
      </c>
      <c r="GO280" t="e">
        <f>AND(#REF!,"AAAAAH7v08Q=")</f>
        <v>#REF!</v>
      </c>
      <c r="GP280" t="e">
        <f>AND(#REF!,"AAAAAH7v08U=")</f>
        <v>#REF!</v>
      </c>
      <c r="GQ280" t="e">
        <f>AND(#REF!,"AAAAAH7v08Y=")</f>
        <v>#REF!</v>
      </c>
      <c r="GR280" t="e">
        <f>IF(#REF!,"AAAAAH7v08c=",0)</f>
        <v>#REF!</v>
      </c>
      <c r="GS280" t="e">
        <f>AND(#REF!,"AAAAAH7v08g=")</f>
        <v>#REF!</v>
      </c>
      <c r="GT280" t="e">
        <f>AND(#REF!,"AAAAAH7v08k=")</f>
        <v>#REF!</v>
      </c>
      <c r="GU280" t="e">
        <f>AND(#REF!,"AAAAAH7v08o=")</f>
        <v>#REF!</v>
      </c>
      <c r="GV280" t="e">
        <f>AND(#REF!,"AAAAAH7v08s=")</f>
        <v>#REF!</v>
      </c>
      <c r="GW280" t="e">
        <f>AND(#REF!,"AAAAAH7v08w=")</f>
        <v>#REF!</v>
      </c>
      <c r="GX280" t="e">
        <f>AND(#REF!,"AAAAAH7v080=")</f>
        <v>#REF!</v>
      </c>
      <c r="GY280" t="e">
        <f>AND(#REF!,"AAAAAH7v084=")</f>
        <v>#REF!</v>
      </c>
      <c r="GZ280" t="e">
        <f>AND(#REF!,"AAAAAH7v088=")</f>
        <v>#REF!</v>
      </c>
      <c r="HA280" t="e">
        <f>AND(#REF!,"AAAAAH7v09A=")</f>
        <v>#REF!</v>
      </c>
      <c r="HB280" t="e">
        <f>AND(#REF!,"AAAAAH7v09E=")</f>
        <v>#REF!</v>
      </c>
      <c r="HC280" t="e">
        <f>AND(#REF!,"AAAAAH7v09I=")</f>
        <v>#REF!</v>
      </c>
      <c r="HD280" t="e">
        <f>AND(#REF!,"AAAAAH7v09M=")</f>
        <v>#REF!</v>
      </c>
      <c r="HE280" t="e">
        <f>AND(#REF!,"AAAAAH7v09Q=")</f>
        <v>#REF!</v>
      </c>
      <c r="HF280" t="e">
        <f>AND(#REF!,"AAAAAH7v09U=")</f>
        <v>#REF!</v>
      </c>
      <c r="HG280" t="e">
        <f>AND(#REF!,"AAAAAH7v09Y=")</f>
        <v>#REF!</v>
      </c>
      <c r="HH280" t="e">
        <f>AND(#REF!,"AAAAAH7v09c=")</f>
        <v>#REF!</v>
      </c>
      <c r="HI280" t="e">
        <f>AND(#REF!,"AAAAAH7v09g=")</f>
        <v>#REF!</v>
      </c>
      <c r="HJ280" t="e">
        <f>AND(#REF!,"AAAAAH7v09k=")</f>
        <v>#REF!</v>
      </c>
      <c r="HK280" t="e">
        <f>AND(#REF!,"AAAAAH7v09o=")</f>
        <v>#REF!</v>
      </c>
      <c r="HL280" t="e">
        <f>AND(#REF!,"AAAAAH7v09s=")</f>
        <v>#REF!</v>
      </c>
      <c r="HM280" t="e">
        <f>AND(#REF!,"AAAAAH7v09w=")</f>
        <v>#REF!</v>
      </c>
      <c r="HN280" t="e">
        <f>AND(#REF!,"AAAAAH7v090=")</f>
        <v>#REF!</v>
      </c>
      <c r="HO280" t="e">
        <f>AND(#REF!,"AAAAAH7v094=")</f>
        <v>#REF!</v>
      </c>
      <c r="HP280" t="e">
        <f>AND(#REF!,"AAAAAH7v098=")</f>
        <v>#REF!</v>
      </c>
      <c r="HQ280" t="e">
        <f>AND(#REF!,"AAAAAH7v0+A=")</f>
        <v>#REF!</v>
      </c>
      <c r="HR280" t="e">
        <f>AND(#REF!,"AAAAAH7v0+E=")</f>
        <v>#REF!</v>
      </c>
      <c r="HS280" t="e">
        <f>AND(#REF!,"AAAAAH7v0+I=")</f>
        <v>#REF!</v>
      </c>
      <c r="HT280" t="e">
        <f>AND(#REF!,"AAAAAH7v0+M=")</f>
        <v>#REF!</v>
      </c>
      <c r="HU280" t="e">
        <f>AND(#REF!,"AAAAAH7v0+Q=")</f>
        <v>#REF!</v>
      </c>
      <c r="HV280" t="e">
        <f>AND(#REF!,"AAAAAH7v0+U=")</f>
        <v>#REF!</v>
      </c>
      <c r="HW280" t="e">
        <f>AND(#REF!,"AAAAAH7v0+Y=")</f>
        <v>#REF!</v>
      </c>
      <c r="HX280" t="e">
        <f>AND(#REF!,"AAAAAH7v0+c=")</f>
        <v>#REF!</v>
      </c>
      <c r="HY280" t="e">
        <f>AND(#REF!,"AAAAAH7v0+g=")</f>
        <v>#REF!</v>
      </c>
      <c r="HZ280" t="e">
        <f>AND(#REF!,"AAAAAH7v0+k=")</f>
        <v>#REF!</v>
      </c>
      <c r="IA280" t="e">
        <f>AND(#REF!,"AAAAAH7v0+o=")</f>
        <v>#REF!</v>
      </c>
      <c r="IB280" t="e">
        <f>AND(#REF!,"AAAAAH7v0+s=")</f>
        <v>#REF!</v>
      </c>
      <c r="IC280" t="e">
        <f>AND(#REF!,"AAAAAH7v0+w=")</f>
        <v>#REF!</v>
      </c>
      <c r="ID280" t="e">
        <f>AND(#REF!,"AAAAAH7v0+0=")</f>
        <v>#REF!</v>
      </c>
      <c r="IE280" t="e">
        <f>AND(#REF!,"AAAAAH7v0+4=")</f>
        <v>#REF!</v>
      </c>
      <c r="IF280" t="e">
        <f>AND(#REF!,"AAAAAH7v0+8=")</f>
        <v>#REF!</v>
      </c>
      <c r="IG280" t="e">
        <f>AND(#REF!,"AAAAAH7v0/A=")</f>
        <v>#REF!</v>
      </c>
      <c r="IH280" t="e">
        <f>AND(#REF!,"AAAAAH7v0/E=")</f>
        <v>#REF!</v>
      </c>
      <c r="II280" t="e">
        <f>AND(#REF!,"AAAAAH7v0/I=")</f>
        <v>#REF!</v>
      </c>
      <c r="IJ280" t="e">
        <f>AND(#REF!,"AAAAAH7v0/M=")</f>
        <v>#REF!</v>
      </c>
      <c r="IK280" t="e">
        <f>AND(#REF!,"AAAAAH7v0/Q=")</f>
        <v>#REF!</v>
      </c>
      <c r="IL280" t="e">
        <f>AND(#REF!,"AAAAAH7v0/U=")</f>
        <v>#REF!</v>
      </c>
      <c r="IM280" t="e">
        <f>AND(#REF!,"AAAAAH7v0/Y=")</f>
        <v>#REF!</v>
      </c>
      <c r="IN280" t="e">
        <f>AND(#REF!,"AAAAAH7v0/c=")</f>
        <v>#REF!</v>
      </c>
      <c r="IO280" t="e">
        <f>AND(#REF!,"AAAAAH7v0/g=")</f>
        <v>#REF!</v>
      </c>
      <c r="IP280" t="e">
        <f>AND(#REF!,"AAAAAH7v0/k=")</f>
        <v>#REF!</v>
      </c>
      <c r="IQ280" t="e">
        <f>AND(#REF!,"AAAAAH7v0/o=")</f>
        <v>#REF!</v>
      </c>
      <c r="IR280" t="e">
        <f>AND(#REF!,"AAAAAH7v0/s=")</f>
        <v>#REF!</v>
      </c>
      <c r="IS280" t="e">
        <f>AND(#REF!,"AAAAAH7v0/w=")</f>
        <v>#REF!</v>
      </c>
      <c r="IT280" t="e">
        <f>AND(#REF!,"AAAAAH7v0/0=")</f>
        <v>#REF!</v>
      </c>
      <c r="IU280" t="e">
        <f>AND(#REF!,"AAAAAH7v0/4=")</f>
        <v>#REF!</v>
      </c>
      <c r="IV280" t="e">
        <f>AND(#REF!,"AAAAAH7v0/8=")</f>
        <v>#REF!</v>
      </c>
    </row>
    <row r="281" spans="1:256" x14ac:dyDescent="0.25">
      <c r="A281" t="e">
        <f>AND(#REF!,"AAAAAHnHcQA=")</f>
        <v>#REF!</v>
      </c>
      <c r="B281" t="e">
        <f>AND(#REF!,"AAAAAHnHcQE=")</f>
        <v>#REF!</v>
      </c>
      <c r="C281" t="e">
        <f>AND(#REF!,"AAAAAHnHcQI=")</f>
        <v>#REF!</v>
      </c>
      <c r="D281" t="e">
        <f>AND(#REF!,"AAAAAHnHcQM=")</f>
        <v>#REF!</v>
      </c>
      <c r="E281" t="e">
        <f>AND(#REF!,"AAAAAHnHcQQ=")</f>
        <v>#REF!</v>
      </c>
      <c r="F281" t="e">
        <f>AND(#REF!,"AAAAAHnHcQU=")</f>
        <v>#REF!</v>
      </c>
      <c r="G281" t="e">
        <f>AND(#REF!,"AAAAAHnHcQY=")</f>
        <v>#REF!</v>
      </c>
      <c r="H281" t="e">
        <f>AND(#REF!,"AAAAAHnHcQc=")</f>
        <v>#REF!</v>
      </c>
      <c r="I281" t="e">
        <f>AND(#REF!,"AAAAAHnHcQg=")</f>
        <v>#REF!</v>
      </c>
      <c r="J281" t="e">
        <f>AND(#REF!,"AAAAAHnHcQk=")</f>
        <v>#REF!</v>
      </c>
      <c r="K281" t="e">
        <f>AND(#REF!,"AAAAAHnHcQo=")</f>
        <v>#REF!</v>
      </c>
      <c r="L281" t="e">
        <f>AND(#REF!,"AAAAAHnHcQs=")</f>
        <v>#REF!</v>
      </c>
      <c r="M281" t="e">
        <f>AND(#REF!,"AAAAAHnHcQw=")</f>
        <v>#REF!</v>
      </c>
      <c r="N281" t="e">
        <f>AND(#REF!,"AAAAAHnHcQ0=")</f>
        <v>#REF!</v>
      </c>
      <c r="O281" t="e">
        <f>AND(#REF!,"AAAAAHnHcQ4=")</f>
        <v>#REF!</v>
      </c>
      <c r="P281" t="e">
        <f>AND(#REF!,"AAAAAHnHcQ8=")</f>
        <v>#REF!</v>
      </c>
      <c r="Q281" t="e">
        <f>AND(#REF!,"AAAAAHnHcRA=")</f>
        <v>#REF!</v>
      </c>
      <c r="R281" t="e">
        <f>AND(#REF!,"AAAAAHnHcRE=")</f>
        <v>#REF!</v>
      </c>
      <c r="S281" t="e">
        <f>AND(#REF!,"AAAAAHnHcRI=")</f>
        <v>#REF!</v>
      </c>
      <c r="T281" t="e">
        <f>AND(#REF!,"AAAAAHnHcRM=")</f>
        <v>#REF!</v>
      </c>
      <c r="U281" t="e">
        <f>AND(#REF!,"AAAAAHnHcRQ=")</f>
        <v>#REF!</v>
      </c>
      <c r="V281" t="e">
        <f>AND(#REF!,"AAAAAHnHcRU=")</f>
        <v>#REF!</v>
      </c>
      <c r="W281" t="e">
        <f>AND(#REF!,"AAAAAHnHcRY=")</f>
        <v>#REF!</v>
      </c>
      <c r="X281" t="e">
        <f>AND(#REF!,"AAAAAHnHcRc=")</f>
        <v>#REF!</v>
      </c>
      <c r="Y281" t="e">
        <f>AND(#REF!,"AAAAAHnHcRg=")</f>
        <v>#REF!</v>
      </c>
      <c r="Z281" t="e">
        <f>AND(#REF!,"AAAAAHnHcRk=")</f>
        <v>#REF!</v>
      </c>
      <c r="AA281" t="e">
        <f>AND(#REF!,"AAAAAHnHcRo=")</f>
        <v>#REF!</v>
      </c>
      <c r="AB281" t="e">
        <f>AND(#REF!,"AAAAAHnHcRs=")</f>
        <v>#REF!</v>
      </c>
      <c r="AC281" t="e">
        <f>AND(#REF!,"AAAAAHnHcRw=")</f>
        <v>#REF!</v>
      </c>
      <c r="AD281" t="e">
        <f>AND(#REF!,"AAAAAHnHcR0=")</f>
        <v>#REF!</v>
      </c>
      <c r="AE281" t="e">
        <f>AND(#REF!,"AAAAAHnHcR4=")</f>
        <v>#REF!</v>
      </c>
      <c r="AF281" t="e">
        <f>AND(#REF!,"AAAAAHnHcR8=")</f>
        <v>#REF!</v>
      </c>
      <c r="AG281" t="e">
        <f>AND(#REF!,"AAAAAHnHcSA=")</f>
        <v>#REF!</v>
      </c>
      <c r="AH281" t="e">
        <f>AND(#REF!,"AAAAAHnHcSE=")</f>
        <v>#REF!</v>
      </c>
      <c r="AI281" t="e">
        <f>AND(#REF!,"AAAAAHnHcSI=")</f>
        <v>#REF!</v>
      </c>
      <c r="AJ281" t="e">
        <f>AND(#REF!,"AAAAAHnHcSM=")</f>
        <v>#REF!</v>
      </c>
      <c r="AK281" t="e">
        <f>AND(#REF!,"AAAAAHnHcSQ=")</f>
        <v>#REF!</v>
      </c>
      <c r="AL281" t="e">
        <f>AND(#REF!,"AAAAAHnHcSU=")</f>
        <v>#REF!</v>
      </c>
      <c r="AM281" t="e">
        <f>AND(#REF!,"AAAAAHnHcSY=")</f>
        <v>#REF!</v>
      </c>
      <c r="AN281" t="e">
        <f>AND(#REF!,"AAAAAHnHcSc=")</f>
        <v>#REF!</v>
      </c>
      <c r="AO281" t="e">
        <f>AND(#REF!,"AAAAAHnHcSg=")</f>
        <v>#REF!</v>
      </c>
      <c r="AP281" t="e">
        <f>AND(#REF!,"AAAAAHnHcSk=")</f>
        <v>#REF!</v>
      </c>
      <c r="AQ281" t="e">
        <f>AND(#REF!,"AAAAAHnHcSo=")</f>
        <v>#REF!</v>
      </c>
      <c r="AR281" t="e">
        <f>AND(#REF!,"AAAAAHnHcSs=")</f>
        <v>#REF!</v>
      </c>
      <c r="AS281" t="e">
        <f>AND(#REF!,"AAAAAHnHcSw=")</f>
        <v>#REF!</v>
      </c>
      <c r="AT281" t="e">
        <f>AND(#REF!,"AAAAAHnHcS0=")</f>
        <v>#REF!</v>
      </c>
      <c r="AU281" t="e">
        <f>AND(#REF!,"AAAAAHnHcS4=")</f>
        <v>#REF!</v>
      </c>
      <c r="AV281" t="e">
        <f>AND(#REF!,"AAAAAHnHcS8=")</f>
        <v>#REF!</v>
      </c>
      <c r="AW281" t="e">
        <f>AND(#REF!,"AAAAAHnHcTA=")</f>
        <v>#REF!</v>
      </c>
      <c r="AX281" t="e">
        <f>AND(#REF!,"AAAAAHnHcTE=")</f>
        <v>#REF!</v>
      </c>
      <c r="AY281" t="e">
        <f>AND(#REF!,"AAAAAHnHcTI=")</f>
        <v>#REF!</v>
      </c>
      <c r="AZ281" t="e">
        <f>AND(#REF!,"AAAAAHnHcTM=")</f>
        <v>#REF!</v>
      </c>
      <c r="BA281" t="e">
        <f>AND(#REF!,"AAAAAHnHcTQ=")</f>
        <v>#REF!</v>
      </c>
      <c r="BB281" t="e">
        <f>AND(#REF!,"AAAAAHnHcTU=")</f>
        <v>#REF!</v>
      </c>
      <c r="BC281" t="e">
        <f>AND(#REF!,"AAAAAHnHcTY=")</f>
        <v>#REF!</v>
      </c>
      <c r="BD281" t="e">
        <f>AND(#REF!,"AAAAAHnHcTc=")</f>
        <v>#REF!</v>
      </c>
      <c r="BE281" t="e">
        <f>AND(#REF!,"AAAAAHnHcTg=")</f>
        <v>#REF!</v>
      </c>
      <c r="BF281" t="e">
        <f>AND(#REF!,"AAAAAHnHcTk=")</f>
        <v>#REF!</v>
      </c>
      <c r="BG281" t="e">
        <f>AND(#REF!,"AAAAAHnHcTo=")</f>
        <v>#REF!</v>
      </c>
      <c r="BH281" t="e">
        <f>AND(#REF!,"AAAAAHnHcTs=")</f>
        <v>#REF!</v>
      </c>
      <c r="BI281" t="e">
        <f>AND(#REF!,"AAAAAHnHcTw=")</f>
        <v>#REF!</v>
      </c>
      <c r="BJ281" t="e">
        <f>AND(#REF!,"AAAAAHnHcT0=")</f>
        <v>#REF!</v>
      </c>
      <c r="BK281" t="e">
        <f>AND(#REF!,"AAAAAHnHcT4=")</f>
        <v>#REF!</v>
      </c>
      <c r="BL281" t="e">
        <f>AND(#REF!,"AAAAAHnHcT8=")</f>
        <v>#REF!</v>
      </c>
      <c r="BM281" t="e">
        <f>AND(#REF!,"AAAAAHnHcUA=")</f>
        <v>#REF!</v>
      </c>
      <c r="BN281" t="e">
        <f>AND(#REF!,"AAAAAHnHcUE=")</f>
        <v>#REF!</v>
      </c>
      <c r="BO281" t="e">
        <f>AND(#REF!,"AAAAAHnHcUI=")</f>
        <v>#REF!</v>
      </c>
      <c r="BP281" t="e">
        <f>AND(#REF!,"AAAAAHnHcUM=")</f>
        <v>#REF!</v>
      </c>
      <c r="BQ281" t="e">
        <f>AND(#REF!,"AAAAAHnHcUQ=")</f>
        <v>#REF!</v>
      </c>
      <c r="BR281" t="e">
        <f>AND(#REF!,"AAAAAHnHcUU=")</f>
        <v>#REF!</v>
      </c>
      <c r="BS281" t="e">
        <f>AND(#REF!,"AAAAAHnHcUY=")</f>
        <v>#REF!</v>
      </c>
      <c r="BT281" t="e">
        <f>AND(#REF!,"AAAAAHnHcUc=")</f>
        <v>#REF!</v>
      </c>
      <c r="BU281" t="e">
        <f>AND(#REF!,"AAAAAHnHcUg=")</f>
        <v>#REF!</v>
      </c>
      <c r="BV281" t="e">
        <f>AND(#REF!,"AAAAAHnHcUk=")</f>
        <v>#REF!</v>
      </c>
      <c r="BW281" t="e">
        <f>AND(#REF!,"AAAAAHnHcUo=")</f>
        <v>#REF!</v>
      </c>
      <c r="BX281" t="e">
        <f>AND(#REF!,"AAAAAHnHcUs=")</f>
        <v>#REF!</v>
      </c>
      <c r="BY281" t="e">
        <f>AND(#REF!,"AAAAAHnHcUw=")</f>
        <v>#REF!</v>
      </c>
      <c r="BZ281" t="e">
        <f>AND(#REF!,"AAAAAHnHcU0=")</f>
        <v>#REF!</v>
      </c>
      <c r="CA281" t="e">
        <f>AND(#REF!,"AAAAAHnHcU4=")</f>
        <v>#REF!</v>
      </c>
      <c r="CB281" t="e">
        <f>AND(#REF!,"AAAAAHnHcU8=")</f>
        <v>#REF!</v>
      </c>
      <c r="CC281" t="e">
        <f>AND(#REF!,"AAAAAHnHcVA=")</f>
        <v>#REF!</v>
      </c>
      <c r="CD281" t="e">
        <f>AND(#REF!,"AAAAAHnHcVE=")</f>
        <v>#REF!</v>
      </c>
      <c r="CE281" t="e">
        <f>AND(#REF!,"AAAAAHnHcVI=")</f>
        <v>#REF!</v>
      </c>
      <c r="CF281" t="e">
        <f>AND(#REF!,"AAAAAHnHcVM=")</f>
        <v>#REF!</v>
      </c>
      <c r="CG281" t="e">
        <f>AND(#REF!,"AAAAAHnHcVQ=")</f>
        <v>#REF!</v>
      </c>
      <c r="CH281" t="e">
        <f>AND(#REF!,"AAAAAHnHcVU=")</f>
        <v>#REF!</v>
      </c>
      <c r="CI281" t="e">
        <f>AND(#REF!,"AAAAAHnHcVY=")</f>
        <v>#REF!</v>
      </c>
      <c r="CJ281" t="e">
        <f>AND(#REF!,"AAAAAHnHcVc=")</f>
        <v>#REF!</v>
      </c>
      <c r="CK281" t="e">
        <f>AND(#REF!,"AAAAAHnHcVg=")</f>
        <v>#REF!</v>
      </c>
      <c r="CL281" t="e">
        <f>AND(#REF!,"AAAAAHnHcVk=")</f>
        <v>#REF!</v>
      </c>
      <c r="CM281" t="e">
        <f>AND(#REF!,"AAAAAHnHcVo=")</f>
        <v>#REF!</v>
      </c>
      <c r="CN281" t="e">
        <f>AND(#REF!,"AAAAAHnHcVs=")</f>
        <v>#REF!</v>
      </c>
      <c r="CO281" t="e">
        <f>AND(#REF!,"AAAAAHnHcVw=")</f>
        <v>#REF!</v>
      </c>
      <c r="CP281" t="e">
        <f>AND(#REF!,"AAAAAHnHcV0=")</f>
        <v>#REF!</v>
      </c>
      <c r="CQ281" t="e">
        <f>AND(#REF!,"AAAAAHnHcV4=")</f>
        <v>#REF!</v>
      </c>
      <c r="CR281" t="e">
        <f>AND(#REF!,"AAAAAHnHcV8=")</f>
        <v>#REF!</v>
      </c>
      <c r="CS281" t="e">
        <f>AND(#REF!,"AAAAAHnHcWA=")</f>
        <v>#REF!</v>
      </c>
      <c r="CT281" t="e">
        <f>AND(#REF!,"AAAAAHnHcWE=")</f>
        <v>#REF!</v>
      </c>
      <c r="CU281" t="e">
        <f>AND(#REF!,"AAAAAHnHcWI=")</f>
        <v>#REF!</v>
      </c>
      <c r="CV281" t="e">
        <f>AND(#REF!,"AAAAAHnHcWM=")</f>
        <v>#REF!</v>
      </c>
      <c r="CW281" t="e">
        <f>AND(#REF!,"AAAAAHnHcWQ=")</f>
        <v>#REF!</v>
      </c>
      <c r="CX281" t="e">
        <f>AND(#REF!,"AAAAAHnHcWU=")</f>
        <v>#REF!</v>
      </c>
      <c r="CY281" t="e">
        <f>AND(#REF!,"AAAAAHnHcWY=")</f>
        <v>#REF!</v>
      </c>
      <c r="CZ281" t="e">
        <f>AND(#REF!,"AAAAAHnHcWc=")</f>
        <v>#REF!</v>
      </c>
      <c r="DA281" t="e">
        <f>AND(#REF!,"AAAAAHnHcWg=")</f>
        <v>#REF!</v>
      </c>
      <c r="DB281" t="e">
        <f>AND(#REF!,"AAAAAHnHcWk=")</f>
        <v>#REF!</v>
      </c>
      <c r="DC281" t="e">
        <f>AND(#REF!,"AAAAAHnHcWo=")</f>
        <v>#REF!</v>
      </c>
      <c r="DD281" t="e">
        <f>AND(#REF!,"AAAAAHnHcWs=")</f>
        <v>#REF!</v>
      </c>
      <c r="DE281" t="e">
        <f>AND(#REF!,"AAAAAHnHcWw=")</f>
        <v>#REF!</v>
      </c>
      <c r="DF281" t="e">
        <f>AND(#REF!,"AAAAAHnHcW0=")</f>
        <v>#REF!</v>
      </c>
      <c r="DG281" t="e">
        <f>AND(#REF!,"AAAAAHnHcW4=")</f>
        <v>#REF!</v>
      </c>
      <c r="DH281" t="e">
        <f>AND(#REF!,"AAAAAHnHcW8=")</f>
        <v>#REF!</v>
      </c>
      <c r="DI281" t="e">
        <f>AND(#REF!,"AAAAAHnHcXA=")</f>
        <v>#REF!</v>
      </c>
      <c r="DJ281" t="e">
        <f>AND(#REF!,"AAAAAHnHcXE=")</f>
        <v>#REF!</v>
      </c>
      <c r="DK281" t="e">
        <f>AND(#REF!,"AAAAAHnHcXI=")</f>
        <v>#REF!</v>
      </c>
      <c r="DL281" t="e">
        <f>AND(#REF!,"AAAAAHnHcXM=")</f>
        <v>#REF!</v>
      </c>
      <c r="DM281" t="e">
        <f>AND(#REF!,"AAAAAHnHcXQ=")</f>
        <v>#REF!</v>
      </c>
      <c r="DN281" t="e">
        <f>AND(#REF!,"AAAAAHnHcXU=")</f>
        <v>#REF!</v>
      </c>
      <c r="DO281" t="e">
        <f>AND(#REF!,"AAAAAHnHcXY=")</f>
        <v>#REF!</v>
      </c>
      <c r="DP281" t="e">
        <f>AND(#REF!,"AAAAAHnHcXc=")</f>
        <v>#REF!</v>
      </c>
      <c r="DQ281" t="e">
        <f>AND(#REF!,"AAAAAHnHcXg=")</f>
        <v>#REF!</v>
      </c>
      <c r="DR281" t="e">
        <f>AND(#REF!,"AAAAAHnHcXk=")</f>
        <v>#REF!</v>
      </c>
      <c r="DS281" t="e">
        <f>AND(#REF!,"AAAAAHnHcXo=")</f>
        <v>#REF!</v>
      </c>
      <c r="DT281" t="e">
        <f>AND(#REF!,"AAAAAHnHcXs=")</f>
        <v>#REF!</v>
      </c>
      <c r="DU281" t="e">
        <f>AND(#REF!,"AAAAAHnHcXw=")</f>
        <v>#REF!</v>
      </c>
      <c r="DV281" t="e">
        <f>AND(#REF!,"AAAAAHnHcX0=")</f>
        <v>#REF!</v>
      </c>
      <c r="DW281" t="e">
        <f>AND(#REF!,"AAAAAHnHcX4=")</f>
        <v>#REF!</v>
      </c>
      <c r="DX281" t="e">
        <f>AND(#REF!,"AAAAAHnHcX8=")</f>
        <v>#REF!</v>
      </c>
      <c r="DY281" t="e">
        <f>AND(#REF!,"AAAAAHnHcYA=")</f>
        <v>#REF!</v>
      </c>
      <c r="DZ281" t="e">
        <f>AND(#REF!,"AAAAAHnHcYE=")</f>
        <v>#REF!</v>
      </c>
      <c r="EA281" t="e">
        <f>AND(#REF!,"AAAAAHnHcYI=")</f>
        <v>#REF!</v>
      </c>
      <c r="EB281" t="e">
        <f>AND(#REF!,"AAAAAHnHcYM=")</f>
        <v>#REF!</v>
      </c>
      <c r="EC281" t="e">
        <f>IF(#REF!,"AAAAAHnHcYQ=",0)</f>
        <v>#REF!</v>
      </c>
      <c r="ED281" t="e">
        <f>AND(#REF!,"AAAAAHnHcYU=")</f>
        <v>#REF!</v>
      </c>
      <c r="EE281" t="e">
        <f>AND(#REF!,"AAAAAHnHcYY=")</f>
        <v>#REF!</v>
      </c>
      <c r="EF281" t="e">
        <f>AND(#REF!,"AAAAAHnHcYc=")</f>
        <v>#REF!</v>
      </c>
      <c r="EG281" t="e">
        <f>AND(#REF!,"AAAAAHnHcYg=")</f>
        <v>#REF!</v>
      </c>
      <c r="EH281" t="e">
        <f>AND(#REF!,"AAAAAHnHcYk=")</f>
        <v>#REF!</v>
      </c>
      <c r="EI281" t="e">
        <f>AND(#REF!,"AAAAAHnHcYo=")</f>
        <v>#REF!</v>
      </c>
      <c r="EJ281" t="e">
        <f>AND(#REF!,"AAAAAHnHcYs=")</f>
        <v>#REF!</v>
      </c>
      <c r="EK281" t="e">
        <f>AND(#REF!,"AAAAAHnHcYw=")</f>
        <v>#REF!</v>
      </c>
      <c r="EL281" t="e">
        <f>AND(#REF!,"AAAAAHnHcY0=")</f>
        <v>#REF!</v>
      </c>
      <c r="EM281" t="e">
        <f>AND(#REF!,"AAAAAHnHcY4=")</f>
        <v>#REF!</v>
      </c>
      <c r="EN281" t="e">
        <f>AND(#REF!,"AAAAAHnHcY8=")</f>
        <v>#REF!</v>
      </c>
      <c r="EO281" t="e">
        <f>AND(#REF!,"AAAAAHnHcZA=")</f>
        <v>#REF!</v>
      </c>
      <c r="EP281" t="e">
        <f>AND(#REF!,"AAAAAHnHcZE=")</f>
        <v>#REF!</v>
      </c>
      <c r="EQ281" t="e">
        <f>AND(#REF!,"AAAAAHnHcZI=")</f>
        <v>#REF!</v>
      </c>
      <c r="ER281" t="e">
        <f>AND(#REF!,"AAAAAHnHcZM=")</f>
        <v>#REF!</v>
      </c>
      <c r="ES281" t="e">
        <f>AND(#REF!,"AAAAAHnHcZQ=")</f>
        <v>#REF!</v>
      </c>
      <c r="ET281" t="e">
        <f>AND(#REF!,"AAAAAHnHcZU=")</f>
        <v>#REF!</v>
      </c>
      <c r="EU281" t="e">
        <f>AND(#REF!,"AAAAAHnHcZY=")</f>
        <v>#REF!</v>
      </c>
      <c r="EV281" t="e">
        <f>AND(#REF!,"AAAAAHnHcZc=")</f>
        <v>#REF!</v>
      </c>
      <c r="EW281" t="e">
        <f>AND(#REF!,"AAAAAHnHcZg=")</f>
        <v>#REF!</v>
      </c>
      <c r="EX281" t="e">
        <f>AND(#REF!,"AAAAAHnHcZk=")</f>
        <v>#REF!</v>
      </c>
      <c r="EY281" t="e">
        <f>AND(#REF!,"AAAAAHnHcZo=")</f>
        <v>#REF!</v>
      </c>
      <c r="EZ281" t="e">
        <f>AND(#REF!,"AAAAAHnHcZs=")</f>
        <v>#REF!</v>
      </c>
      <c r="FA281" t="e">
        <f>AND(#REF!,"AAAAAHnHcZw=")</f>
        <v>#REF!</v>
      </c>
      <c r="FB281" t="e">
        <f>AND(#REF!,"AAAAAHnHcZ0=")</f>
        <v>#REF!</v>
      </c>
      <c r="FC281" t="e">
        <f>AND(#REF!,"AAAAAHnHcZ4=")</f>
        <v>#REF!</v>
      </c>
      <c r="FD281" t="e">
        <f>AND(#REF!,"AAAAAHnHcZ8=")</f>
        <v>#REF!</v>
      </c>
      <c r="FE281" t="e">
        <f>AND(#REF!,"AAAAAHnHcaA=")</f>
        <v>#REF!</v>
      </c>
      <c r="FF281" t="e">
        <f>AND(#REF!,"AAAAAHnHcaE=")</f>
        <v>#REF!</v>
      </c>
      <c r="FG281" t="e">
        <f>AND(#REF!,"AAAAAHnHcaI=")</f>
        <v>#REF!</v>
      </c>
      <c r="FH281" t="e">
        <f>AND(#REF!,"AAAAAHnHcaM=")</f>
        <v>#REF!</v>
      </c>
      <c r="FI281" t="e">
        <f>AND(#REF!,"AAAAAHnHcaQ=")</f>
        <v>#REF!</v>
      </c>
      <c r="FJ281" t="e">
        <f>AND(#REF!,"AAAAAHnHcaU=")</f>
        <v>#REF!</v>
      </c>
      <c r="FK281" t="e">
        <f>AND(#REF!,"AAAAAHnHcaY=")</f>
        <v>#REF!</v>
      </c>
      <c r="FL281" t="e">
        <f>AND(#REF!,"AAAAAHnHcac=")</f>
        <v>#REF!</v>
      </c>
      <c r="FM281" t="e">
        <f>AND(#REF!,"AAAAAHnHcag=")</f>
        <v>#REF!</v>
      </c>
      <c r="FN281" t="e">
        <f>AND(#REF!,"AAAAAHnHcak=")</f>
        <v>#REF!</v>
      </c>
      <c r="FO281" t="e">
        <f>AND(#REF!,"AAAAAHnHcao=")</f>
        <v>#REF!</v>
      </c>
      <c r="FP281" t="e">
        <f>AND(#REF!,"AAAAAHnHcas=")</f>
        <v>#REF!</v>
      </c>
      <c r="FQ281" t="e">
        <f>AND(#REF!,"AAAAAHnHcaw=")</f>
        <v>#REF!</v>
      </c>
      <c r="FR281" t="e">
        <f>AND(#REF!,"AAAAAHnHca0=")</f>
        <v>#REF!</v>
      </c>
      <c r="FS281" t="e">
        <f>AND(#REF!,"AAAAAHnHca4=")</f>
        <v>#REF!</v>
      </c>
      <c r="FT281" t="e">
        <f>AND(#REF!,"AAAAAHnHca8=")</f>
        <v>#REF!</v>
      </c>
      <c r="FU281" t="e">
        <f>AND(#REF!,"AAAAAHnHcbA=")</f>
        <v>#REF!</v>
      </c>
      <c r="FV281" t="e">
        <f>AND(#REF!,"AAAAAHnHcbE=")</f>
        <v>#REF!</v>
      </c>
      <c r="FW281" t="e">
        <f>AND(#REF!,"AAAAAHnHcbI=")</f>
        <v>#REF!</v>
      </c>
      <c r="FX281" t="e">
        <f>AND(#REF!,"AAAAAHnHcbM=")</f>
        <v>#REF!</v>
      </c>
      <c r="FY281" t="e">
        <f>AND(#REF!,"AAAAAHnHcbQ=")</f>
        <v>#REF!</v>
      </c>
      <c r="FZ281" t="e">
        <f>AND(#REF!,"AAAAAHnHcbU=")</f>
        <v>#REF!</v>
      </c>
      <c r="GA281" t="e">
        <f>AND(#REF!,"AAAAAHnHcbY=")</f>
        <v>#REF!</v>
      </c>
      <c r="GB281" t="e">
        <f>AND(#REF!,"AAAAAHnHcbc=")</f>
        <v>#REF!</v>
      </c>
      <c r="GC281" t="e">
        <f>AND(#REF!,"AAAAAHnHcbg=")</f>
        <v>#REF!</v>
      </c>
      <c r="GD281" t="e">
        <f>AND(#REF!,"AAAAAHnHcbk=")</f>
        <v>#REF!</v>
      </c>
      <c r="GE281" t="e">
        <f>AND(#REF!,"AAAAAHnHcbo=")</f>
        <v>#REF!</v>
      </c>
      <c r="GF281" t="e">
        <f>AND(#REF!,"AAAAAHnHcbs=")</f>
        <v>#REF!</v>
      </c>
      <c r="GG281" t="e">
        <f>AND(#REF!,"AAAAAHnHcbw=")</f>
        <v>#REF!</v>
      </c>
      <c r="GH281" t="e">
        <f>AND(#REF!,"AAAAAHnHcb0=")</f>
        <v>#REF!</v>
      </c>
      <c r="GI281" t="e">
        <f>AND(#REF!,"AAAAAHnHcb4=")</f>
        <v>#REF!</v>
      </c>
      <c r="GJ281" t="e">
        <f>AND(#REF!,"AAAAAHnHcb8=")</f>
        <v>#REF!</v>
      </c>
      <c r="GK281" t="e">
        <f>AND(#REF!,"AAAAAHnHccA=")</f>
        <v>#REF!</v>
      </c>
      <c r="GL281" t="e">
        <f>AND(#REF!,"AAAAAHnHccE=")</f>
        <v>#REF!</v>
      </c>
      <c r="GM281" t="e">
        <f>AND(#REF!,"AAAAAHnHccI=")</f>
        <v>#REF!</v>
      </c>
      <c r="GN281" t="e">
        <f>AND(#REF!,"AAAAAHnHccM=")</f>
        <v>#REF!</v>
      </c>
      <c r="GO281" t="e">
        <f>AND(#REF!,"AAAAAHnHccQ=")</f>
        <v>#REF!</v>
      </c>
      <c r="GP281" t="e">
        <f>AND(#REF!,"AAAAAHnHccU=")</f>
        <v>#REF!</v>
      </c>
      <c r="GQ281" t="e">
        <f>AND(#REF!,"AAAAAHnHccY=")</f>
        <v>#REF!</v>
      </c>
      <c r="GR281" t="e">
        <f>AND(#REF!,"AAAAAHnHccc=")</f>
        <v>#REF!</v>
      </c>
      <c r="GS281" t="e">
        <f>AND(#REF!,"AAAAAHnHccg=")</f>
        <v>#REF!</v>
      </c>
      <c r="GT281" t="e">
        <f>AND(#REF!,"AAAAAHnHcck=")</f>
        <v>#REF!</v>
      </c>
      <c r="GU281" t="e">
        <f>AND(#REF!,"AAAAAHnHcco=")</f>
        <v>#REF!</v>
      </c>
      <c r="GV281" t="e">
        <f>AND(#REF!,"AAAAAHnHccs=")</f>
        <v>#REF!</v>
      </c>
      <c r="GW281" t="e">
        <f>AND(#REF!,"AAAAAHnHccw=")</f>
        <v>#REF!</v>
      </c>
      <c r="GX281" t="e">
        <f>AND(#REF!,"AAAAAHnHcc0=")</f>
        <v>#REF!</v>
      </c>
      <c r="GY281" t="e">
        <f>AND(#REF!,"AAAAAHnHcc4=")</f>
        <v>#REF!</v>
      </c>
      <c r="GZ281" t="e">
        <f>AND(#REF!,"AAAAAHnHcc8=")</f>
        <v>#REF!</v>
      </c>
      <c r="HA281" t="e">
        <f>AND(#REF!,"AAAAAHnHcdA=")</f>
        <v>#REF!</v>
      </c>
      <c r="HB281" t="e">
        <f>AND(#REF!,"AAAAAHnHcdE=")</f>
        <v>#REF!</v>
      </c>
      <c r="HC281" t="e">
        <f>AND(#REF!,"AAAAAHnHcdI=")</f>
        <v>#REF!</v>
      </c>
      <c r="HD281" t="e">
        <f>AND(#REF!,"AAAAAHnHcdM=")</f>
        <v>#REF!</v>
      </c>
      <c r="HE281" t="e">
        <f>AND(#REF!,"AAAAAHnHcdQ=")</f>
        <v>#REF!</v>
      </c>
      <c r="HF281" t="e">
        <f>AND(#REF!,"AAAAAHnHcdU=")</f>
        <v>#REF!</v>
      </c>
      <c r="HG281" t="e">
        <f>AND(#REF!,"AAAAAHnHcdY=")</f>
        <v>#REF!</v>
      </c>
      <c r="HH281" t="e">
        <f>AND(#REF!,"AAAAAHnHcdc=")</f>
        <v>#REF!</v>
      </c>
      <c r="HI281" t="e">
        <f>AND(#REF!,"AAAAAHnHcdg=")</f>
        <v>#REF!</v>
      </c>
      <c r="HJ281" t="e">
        <f>AND(#REF!,"AAAAAHnHcdk=")</f>
        <v>#REF!</v>
      </c>
      <c r="HK281" t="e">
        <f>AND(#REF!,"AAAAAHnHcdo=")</f>
        <v>#REF!</v>
      </c>
      <c r="HL281" t="e">
        <f>AND(#REF!,"AAAAAHnHcds=")</f>
        <v>#REF!</v>
      </c>
      <c r="HM281" t="e">
        <f>AND(#REF!,"AAAAAHnHcdw=")</f>
        <v>#REF!</v>
      </c>
      <c r="HN281" t="e">
        <f>AND(#REF!,"AAAAAHnHcd0=")</f>
        <v>#REF!</v>
      </c>
      <c r="HO281" t="e">
        <f>AND(#REF!,"AAAAAHnHcd4=")</f>
        <v>#REF!</v>
      </c>
      <c r="HP281" t="e">
        <f>AND(#REF!,"AAAAAHnHcd8=")</f>
        <v>#REF!</v>
      </c>
      <c r="HQ281" t="e">
        <f>AND(#REF!,"AAAAAHnHceA=")</f>
        <v>#REF!</v>
      </c>
      <c r="HR281" t="e">
        <f>AND(#REF!,"AAAAAHnHceE=")</f>
        <v>#REF!</v>
      </c>
      <c r="HS281" t="e">
        <f>AND(#REF!,"AAAAAHnHceI=")</f>
        <v>#REF!</v>
      </c>
      <c r="HT281" t="e">
        <f>AND(#REF!,"AAAAAHnHceM=")</f>
        <v>#REF!</v>
      </c>
      <c r="HU281" t="e">
        <f>AND(#REF!,"AAAAAHnHceQ=")</f>
        <v>#REF!</v>
      </c>
      <c r="HV281" t="e">
        <f>AND(#REF!,"AAAAAHnHceU=")</f>
        <v>#REF!</v>
      </c>
      <c r="HW281" t="e">
        <f>AND(#REF!,"AAAAAHnHceY=")</f>
        <v>#REF!</v>
      </c>
      <c r="HX281" t="e">
        <f>AND(#REF!,"AAAAAHnHcec=")</f>
        <v>#REF!</v>
      </c>
      <c r="HY281" t="e">
        <f>AND(#REF!,"AAAAAHnHceg=")</f>
        <v>#REF!</v>
      </c>
      <c r="HZ281" t="e">
        <f>AND(#REF!,"AAAAAHnHcek=")</f>
        <v>#REF!</v>
      </c>
      <c r="IA281" t="e">
        <f>AND(#REF!,"AAAAAHnHceo=")</f>
        <v>#REF!</v>
      </c>
      <c r="IB281" t="e">
        <f>AND(#REF!,"AAAAAHnHces=")</f>
        <v>#REF!</v>
      </c>
      <c r="IC281" t="e">
        <f>AND(#REF!,"AAAAAHnHcew=")</f>
        <v>#REF!</v>
      </c>
      <c r="ID281" t="e">
        <f>AND(#REF!,"AAAAAHnHce0=")</f>
        <v>#REF!</v>
      </c>
      <c r="IE281" t="e">
        <f>AND(#REF!,"AAAAAHnHce4=")</f>
        <v>#REF!</v>
      </c>
      <c r="IF281" t="e">
        <f>AND(#REF!,"AAAAAHnHce8=")</f>
        <v>#REF!</v>
      </c>
      <c r="IG281" t="e">
        <f>AND(#REF!,"AAAAAHnHcfA=")</f>
        <v>#REF!</v>
      </c>
      <c r="IH281" t="e">
        <f>AND(#REF!,"AAAAAHnHcfE=")</f>
        <v>#REF!</v>
      </c>
      <c r="II281" t="e">
        <f>AND(#REF!,"AAAAAHnHcfI=")</f>
        <v>#REF!</v>
      </c>
      <c r="IJ281" t="e">
        <f>AND(#REF!,"AAAAAHnHcfM=")</f>
        <v>#REF!</v>
      </c>
      <c r="IK281" t="e">
        <f>AND(#REF!,"AAAAAHnHcfQ=")</f>
        <v>#REF!</v>
      </c>
      <c r="IL281" t="e">
        <f>AND(#REF!,"AAAAAHnHcfU=")</f>
        <v>#REF!</v>
      </c>
      <c r="IM281" t="e">
        <f>AND(#REF!,"AAAAAHnHcfY=")</f>
        <v>#REF!</v>
      </c>
      <c r="IN281" t="e">
        <f>AND(#REF!,"AAAAAHnHcfc=")</f>
        <v>#REF!</v>
      </c>
      <c r="IO281" t="e">
        <f>AND(#REF!,"AAAAAHnHcfg=")</f>
        <v>#REF!</v>
      </c>
      <c r="IP281" t="e">
        <f>AND(#REF!,"AAAAAHnHcfk=")</f>
        <v>#REF!</v>
      </c>
      <c r="IQ281" t="e">
        <f>AND(#REF!,"AAAAAHnHcfo=")</f>
        <v>#REF!</v>
      </c>
      <c r="IR281" t="e">
        <f>AND(#REF!,"AAAAAHnHcfs=")</f>
        <v>#REF!</v>
      </c>
      <c r="IS281" t="e">
        <f>AND(#REF!,"AAAAAHnHcfw=")</f>
        <v>#REF!</v>
      </c>
      <c r="IT281" t="e">
        <f>AND(#REF!,"AAAAAHnHcf0=")</f>
        <v>#REF!</v>
      </c>
      <c r="IU281" t="e">
        <f>AND(#REF!,"AAAAAHnHcf4=")</f>
        <v>#REF!</v>
      </c>
      <c r="IV281" t="e">
        <f>AND(#REF!,"AAAAAHnHcf8=")</f>
        <v>#REF!</v>
      </c>
    </row>
    <row r="282" spans="1:256" x14ac:dyDescent="0.25">
      <c r="A282" t="e">
        <f>AND(#REF!,"AAAAAD9/NwA=")</f>
        <v>#REF!</v>
      </c>
      <c r="B282" t="e">
        <f>AND(#REF!,"AAAAAD9/NwE=")</f>
        <v>#REF!</v>
      </c>
      <c r="C282" t="e">
        <f>AND(#REF!,"AAAAAD9/NwI=")</f>
        <v>#REF!</v>
      </c>
      <c r="D282" t="e">
        <f>AND(#REF!,"AAAAAD9/NwM=")</f>
        <v>#REF!</v>
      </c>
      <c r="E282" t="e">
        <f>AND(#REF!,"AAAAAD9/NwQ=")</f>
        <v>#REF!</v>
      </c>
      <c r="F282" t="e">
        <f>AND(#REF!,"AAAAAD9/NwU=")</f>
        <v>#REF!</v>
      </c>
      <c r="G282" t="e">
        <f>AND(#REF!,"AAAAAD9/NwY=")</f>
        <v>#REF!</v>
      </c>
      <c r="H282" t="e">
        <f>AND(#REF!,"AAAAAD9/Nwc=")</f>
        <v>#REF!</v>
      </c>
      <c r="I282" t="e">
        <f>AND(#REF!,"AAAAAD9/Nwg=")</f>
        <v>#REF!</v>
      </c>
      <c r="J282" t="e">
        <f>AND(#REF!,"AAAAAD9/Nwk=")</f>
        <v>#REF!</v>
      </c>
      <c r="K282" t="e">
        <f>AND(#REF!,"AAAAAD9/Nwo=")</f>
        <v>#REF!</v>
      </c>
      <c r="L282" t="e">
        <f>AND(#REF!,"AAAAAD9/Nws=")</f>
        <v>#REF!</v>
      </c>
      <c r="M282" t="e">
        <f>AND(#REF!,"AAAAAD9/Nww=")</f>
        <v>#REF!</v>
      </c>
      <c r="N282" t="e">
        <f>AND(#REF!,"AAAAAD9/Nw0=")</f>
        <v>#REF!</v>
      </c>
      <c r="O282" t="e">
        <f>AND(#REF!,"AAAAAD9/Nw4=")</f>
        <v>#REF!</v>
      </c>
      <c r="P282" t="e">
        <f>AND(#REF!,"AAAAAD9/Nw8=")</f>
        <v>#REF!</v>
      </c>
      <c r="Q282" t="e">
        <f>AND(#REF!,"AAAAAD9/NxA=")</f>
        <v>#REF!</v>
      </c>
      <c r="R282" t="e">
        <f>AND(#REF!,"AAAAAD9/NxE=")</f>
        <v>#REF!</v>
      </c>
      <c r="S282" t="e">
        <f>AND(#REF!,"AAAAAD9/NxI=")</f>
        <v>#REF!</v>
      </c>
      <c r="T282" t="e">
        <f>AND(#REF!,"AAAAAD9/NxM=")</f>
        <v>#REF!</v>
      </c>
      <c r="U282" t="e">
        <f>AND(#REF!,"AAAAAD9/NxQ=")</f>
        <v>#REF!</v>
      </c>
      <c r="V282" t="e">
        <f>AND(#REF!,"AAAAAD9/NxU=")</f>
        <v>#REF!</v>
      </c>
      <c r="W282" t="e">
        <f>AND(#REF!,"AAAAAD9/NxY=")</f>
        <v>#REF!</v>
      </c>
      <c r="X282" t="e">
        <f>AND(#REF!,"AAAAAD9/Nxc=")</f>
        <v>#REF!</v>
      </c>
      <c r="Y282" t="e">
        <f>AND(#REF!,"AAAAAD9/Nxg=")</f>
        <v>#REF!</v>
      </c>
      <c r="Z282" t="e">
        <f>AND(#REF!,"AAAAAD9/Nxk=")</f>
        <v>#REF!</v>
      </c>
      <c r="AA282" t="e">
        <f>AND(#REF!,"AAAAAD9/Nxo=")</f>
        <v>#REF!</v>
      </c>
      <c r="AB282" t="e">
        <f>AND(#REF!,"AAAAAD9/Nxs=")</f>
        <v>#REF!</v>
      </c>
      <c r="AC282" t="e">
        <f>AND(#REF!,"AAAAAD9/Nxw=")</f>
        <v>#REF!</v>
      </c>
      <c r="AD282" t="e">
        <f>AND(#REF!,"AAAAAD9/Nx0=")</f>
        <v>#REF!</v>
      </c>
      <c r="AE282" t="e">
        <f>AND(#REF!,"AAAAAD9/Nx4=")</f>
        <v>#REF!</v>
      </c>
      <c r="AF282" t="e">
        <f>AND(#REF!,"AAAAAD9/Nx8=")</f>
        <v>#REF!</v>
      </c>
      <c r="AG282" t="e">
        <f>AND(#REF!,"AAAAAD9/NyA=")</f>
        <v>#REF!</v>
      </c>
      <c r="AH282" t="e">
        <f>AND(#REF!,"AAAAAD9/NyE=")</f>
        <v>#REF!</v>
      </c>
      <c r="AI282" t="e">
        <f>AND(#REF!,"AAAAAD9/NyI=")</f>
        <v>#REF!</v>
      </c>
      <c r="AJ282" t="e">
        <f>AND(#REF!,"AAAAAD9/NyM=")</f>
        <v>#REF!</v>
      </c>
      <c r="AK282" t="e">
        <f>AND(#REF!,"AAAAAD9/NyQ=")</f>
        <v>#REF!</v>
      </c>
      <c r="AL282" t="e">
        <f>AND(#REF!,"AAAAAD9/NyU=")</f>
        <v>#REF!</v>
      </c>
      <c r="AM282" t="e">
        <f>AND(#REF!,"AAAAAD9/NyY=")</f>
        <v>#REF!</v>
      </c>
      <c r="AN282" t="e">
        <f>AND(#REF!,"AAAAAD9/Nyc=")</f>
        <v>#REF!</v>
      </c>
      <c r="AO282" t="e">
        <f>AND(#REF!,"AAAAAD9/Nyg=")</f>
        <v>#REF!</v>
      </c>
      <c r="AP282" t="e">
        <f>AND(#REF!,"AAAAAD9/Nyk=")</f>
        <v>#REF!</v>
      </c>
      <c r="AQ282" t="e">
        <f>AND(#REF!,"AAAAAD9/Nyo=")</f>
        <v>#REF!</v>
      </c>
      <c r="AR282" t="e">
        <f>AND(#REF!,"AAAAAD9/Nys=")</f>
        <v>#REF!</v>
      </c>
      <c r="AS282" t="e">
        <f>AND(#REF!,"AAAAAD9/Nyw=")</f>
        <v>#REF!</v>
      </c>
      <c r="AT282" t="e">
        <f>AND(#REF!,"AAAAAD9/Ny0=")</f>
        <v>#REF!</v>
      </c>
      <c r="AU282" t="e">
        <f>AND(#REF!,"AAAAAD9/Ny4=")</f>
        <v>#REF!</v>
      </c>
      <c r="AV282" t="e">
        <f>AND(#REF!,"AAAAAD9/Ny8=")</f>
        <v>#REF!</v>
      </c>
      <c r="AW282" t="e">
        <f>AND(#REF!,"AAAAAD9/NzA=")</f>
        <v>#REF!</v>
      </c>
      <c r="AX282" t="e">
        <f>AND(#REF!,"AAAAAD9/NzE=")</f>
        <v>#REF!</v>
      </c>
      <c r="AY282" t="e">
        <f>AND(#REF!,"AAAAAD9/NzI=")</f>
        <v>#REF!</v>
      </c>
      <c r="AZ282" t="e">
        <f>AND(#REF!,"AAAAAD9/NzM=")</f>
        <v>#REF!</v>
      </c>
      <c r="BA282" t="e">
        <f>AND(#REF!,"AAAAAD9/NzQ=")</f>
        <v>#REF!</v>
      </c>
      <c r="BB282" t="e">
        <f>AND(#REF!,"AAAAAD9/NzU=")</f>
        <v>#REF!</v>
      </c>
      <c r="BC282" t="e">
        <f>AND(#REF!,"AAAAAD9/NzY=")</f>
        <v>#REF!</v>
      </c>
      <c r="BD282" t="e">
        <f>AND(#REF!,"AAAAAD9/Nzc=")</f>
        <v>#REF!</v>
      </c>
      <c r="BE282" t="e">
        <f>AND(#REF!,"AAAAAD9/Nzg=")</f>
        <v>#REF!</v>
      </c>
      <c r="BF282" t="e">
        <f>AND(#REF!,"AAAAAD9/Nzk=")</f>
        <v>#REF!</v>
      </c>
      <c r="BG282" t="e">
        <f>AND(#REF!,"AAAAAD9/Nzo=")</f>
        <v>#REF!</v>
      </c>
      <c r="BH282" t="e">
        <f>AND(#REF!,"AAAAAD9/Nzs=")</f>
        <v>#REF!</v>
      </c>
      <c r="BI282" t="e">
        <f>AND(#REF!,"AAAAAD9/Nzw=")</f>
        <v>#REF!</v>
      </c>
      <c r="BJ282" t="e">
        <f>AND(#REF!,"AAAAAD9/Nz0=")</f>
        <v>#REF!</v>
      </c>
      <c r="BK282" t="e">
        <f>AND(#REF!,"AAAAAD9/Nz4=")</f>
        <v>#REF!</v>
      </c>
      <c r="BL282" t="e">
        <f>AND(#REF!,"AAAAAD9/Nz8=")</f>
        <v>#REF!</v>
      </c>
      <c r="BM282" t="e">
        <f>AND(#REF!,"AAAAAD9/N0A=")</f>
        <v>#REF!</v>
      </c>
      <c r="BN282" t="e">
        <f>IF(#REF!,"AAAAAD9/N0E=",0)</f>
        <v>#REF!</v>
      </c>
      <c r="BO282" t="e">
        <f>AND(#REF!,"AAAAAD9/N0I=")</f>
        <v>#REF!</v>
      </c>
      <c r="BP282" t="e">
        <f>AND(#REF!,"AAAAAD9/N0M=")</f>
        <v>#REF!</v>
      </c>
      <c r="BQ282" t="e">
        <f>AND(#REF!,"AAAAAD9/N0Q=")</f>
        <v>#REF!</v>
      </c>
      <c r="BR282" t="e">
        <f>AND(#REF!,"AAAAAD9/N0U=")</f>
        <v>#REF!</v>
      </c>
      <c r="BS282" t="e">
        <f>AND(#REF!,"AAAAAD9/N0Y=")</f>
        <v>#REF!</v>
      </c>
      <c r="BT282" t="e">
        <f>AND(#REF!,"AAAAAD9/N0c=")</f>
        <v>#REF!</v>
      </c>
      <c r="BU282" t="e">
        <f>AND(#REF!,"AAAAAD9/N0g=")</f>
        <v>#REF!</v>
      </c>
      <c r="BV282" t="e">
        <f>AND(#REF!,"AAAAAD9/N0k=")</f>
        <v>#REF!</v>
      </c>
      <c r="BW282" t="e">
        <f>AND(#REF!,"AAAAAD9/N0o=")</f>
        <v>#REF!</v>
      </c>
      <c r="BX282" t="e">
        <f>AND(#REF!,"AAAAAD9/N0s=")</f>
        <v>#REF!</v>
      </c>
      <c r="BY282" t="e">
        <f>AND(#REF!,"AAAAAD9/N0w=")</f>
        <v>#REF!</v>
      </c>
      <c r="BZ282" t="e">
        <f>AND(#REF!,"AAAAAD9/N00=")</f>
        <v>#REF!</v>
      </c>
      <c r="CA282" t="e">
        <f>AND(#REF!,"AAAAAD9/N04=")</f>
        <v>#REF!</v>
      </c>
      <c r="CB282" t="e">
        <f>AND(#REF!,"AAAAAD9/N08=")</f>
        <v>#REF!</v>
      </c>
      <c r="CC282" t="e">
        <f>AND(#REF!,"AAAAAD9/N1A=")</f>
        <v>#REF!</v>
      </c>
      <c r="CD282" t="e">
        <f>AND(#REF!,"AAAAAD9/N1E=")</f>
        <v>#REF!</v>
      </c>
      <c r="CE282" t="e">
        <f>AND(#REF!,"AAAAAD9/N1I=")</f>
        <v>#REF!</v>
      </c>
      <c r="CF282" t="e">
        <f>AND(#REF!,"AAAAAD9/N1M=")</f>
        <v>#REF!</v>
      </c>
      <c r="CG282" t="e">
        <f>AND(#REF!,"AAAAAD9/N1Q=")</f>
        <v>#REF!</v>
      </c>
      <c r="CH282" t="e">
        <f>AND(#REF!,"AAAAAD9/N1U=")</f>
        <v>#REF!</v>
      </c>
      <c r="CI282" t="e">
        <f>AND(#REF!,"AAAAAD9/N1Y=")</f>
        <v>#REF!</v>
      </c>
      <c r="CJ282" t="e">
        <f>AND(#REF!,"AAAAAD9/N1c=")</f>
        <v>#REF!</v>
      </c>
      <c r="CK282" t="e">
        <f>AND(#REF!,"AAAAAD9/N1g=")</f>
        <v>#REF!</v>
      </c>
      <c r="CL282" t="e">
        <f>AND(#REF!,"AAAAAD9/N1k=")</f>
        <v>#REF!</v>
      </c>
      <c r="CM282" t="e">
        <f>AND(#REF!,"AAAAAD9/N1o=")</f>
        <v>#REF!</v>
      </c>
      <c r="CN282" t="e">
        <f>AND(#REF!,"AAAAAD9/N1s=")</f>
        <v>#REF!</v>
      </c>
      <c r="CO282" t="e">
        <f>AND(#REF!,"AAAAAD9/N1w=")</f>
        <v>#REF!</v>
      </c>
      <c r="CP282" t="e">
        <f>AND(#REF!,"AAAAAD9/N10=")</f>
        <v>#REF!</v>
      </c>
      <c r="CQ282" t="e">
        <f>AND(#REF!,"AAAAAD9/N14=")</f>
        <v>#REF!</v>
      </c>
      <c r="CR282" t="e">
        <f>AND(#REF!,"AAAAAD9/N18=")</f>
        <v>#REF!</v>
      </c>
      <c r="CS282" t="e">
        <f>AND(#REF!,"AAAAAD9/N2A=")</f>
        <v>#REF!</v>
      </c>
      <c r="CT282" t="e">
        <f>AND(#REF!,"AAAAAD9/N2E=")</f>
        <v>#REF!</v>
      </c>
      <c r="CU282" t="e">
        <f>AND(#REF!,"AAAAAD9/N2I=")</f>
        <v>#REF!</v>
      </c>
      <c r="CV282" t="e">
        <f>AND(#REF!,"AAAAAD9/N2M=")</f>
        <v>#REF!</v>
      </c>
      <c r="CW282" t="e">
        <f>AND(#REF!,"AAAAAD9/N2Q=")</f>
        <v>#REF!</v>
      </c>
      <c r="CX282" t="e">
        <f>AND(#REF!,"AAAAAD9/N2U=")</f>
        <v>#REF!</v>
      </c>
      <c r="CY282" t="e">
        <f>AND(#REF!,"AAAAAD9/N2Y=")</f>
        <v>#REF!</v>
      </c>
      <c r="CZ282" t="e">
        <f>AND(#REF!,"AAAAAD9/N2c=")</f>
        <v>#REF!</v>
      </c>
      <c r="DA282" t="e">
        <f>AND(#REF!,"AAAAAD9/N2g=")</f>
        <v>#REF!</v>
      </c>
      <c r="DB282" t="e">
        <f>AND(#REF!,"AAAAAD9/N2k=")</f>
        <v>#REF!</v>
      </c>
      <c r="DC282" t="e">
        <f>AND(#REF!,"AAAAAD9/N2o=")</f>
        <v>#REF!</v>
      </c>
      <c r="DD282" t="e">
        <f>AND(#REF!,"AAAAAD9/N2s=")</f>
        <v>#REF!</v>
      </c>
      <c r="DE282" t="e">
        <f>AND(#REF!,"AAAAAD9/N2w=")</f>
        <v>#REF!</v>
      </c>
      <c r="DF282" t="e">
        <f>AND(#REF!,"AAAAAD9/N20=")</f>
        <v>#REF!</v>
      </c>
      <c r="DG282" t="e">
        <f>AND(#REF!,"AAAAAD9/N24=")</f>
        <v>#REF!</v>
      </c>
      <c r="DH282" t="e">
        <f>AND(#REF!,"AAAAAD9/N28=")</f>
        <v>#REF!</v>
      </c>
      <c r="DI282" t="e">
        <f>AND(#REF!,"AAAAAD9/N3A=")</f>
        <v>#REF!</v>
      </c>
      <c r="DJ282" t="e">
        <f>AND(#REF!,"AAAAAD9/N3E=")</f>
        <v>#REF!</v>
      </c>
      <c r="DK282" t="e">
        <f>AND(#REF!,"AAAAAD9/N3I=")</f>
        <v>#REF!</v>
      </c>
      <c r="DL282" t="e">
        <f>AND(#REF!,"AAAAAD9/N3M=")</f>
        <v>#REF!</v>
      </c>
      <c r="DM282" t="e">
        <f>AND(#REF!,"AAAAAD9/N3Q=")</f>
        <v>#REF!</v>
      </c>
      <c r="DN282" t="e">
        <f>AND(#REF!,"AAAAAD9/N3U=")</f>
        <v>#REF!</v>
      </c>
      <c r="DO282" t="e">
        <f>AND(#REF!,"AAAAAD9/N3Y=")</f>
        <v>#REF!</v>
      </c>
      <c r="DP282" t="e">
        <f>AND(#REF!,"AAAAAD9/N3c=")</f>
        <v>#REF!</v>
      </c>
      <c r="DQ282" t="e">
        <f>AND(#REF!,"AAAAAD9/N3g=")</f>
        <v>#REF!</v>
      </c>
      <c r="DR282" t="e">
        <f>AND(#REF!,"AAAAAD9/N3k=")</f>
        <v>#REF!</v>
      </c>
      <c r="DS282" t="e">
        <f>AND(#REF!,"AAAAAD9/N3o=")</f>
        <v>#REF!</v>
      </c>
      <c r="DT282" t="e">
        <f>AND(#REF!,"AAAAAD9/N3s=")</f>
        <v>#REF!</v>
      </c>
      <c r="DU282" t="e">
        <f>AND(#REF!,"AAAAAD9/N3w=")</f>
        <v>#REF!</v>
      </c>
      <c r="DV282" t="e">
        <f>AND(#REF!,"AAAAAD9/N30=")</f>
        <v>#REF!</v>
      </c>
      <c r="DW282" t="e">
        <f>AND(#REF!,"AAAAAD9/N34=")</f>
        <v>#REF!</v>
      </c>
      <c r="DX282" t="e">
        <f>AND(#REF!,"AAAAAD9/N38=")</f>
        <v>#REF!</v>
      </c>
      <c r="DY282" t="e">
        <f>AND(#REF!,"AAAAAD9/N4A=")</f>
        <v>#REF!</v>
      </c>
      <c r="DZ282" t="e">
        <f>AND(#REF!,"AAAAAD9/N4E=")</f>
        <v>#REF!</v>
      </c>
      <c r="EA282" t="e">
        <f>AND(#REF!,"AAAAAD9/N4I=")</f>
        <v>#REF!</v>
      </c>
      <c r="EB282" t="e">
        <f>AND(#REF!,"AAAAAD9/N4M=")</f>
        <v>#REF!</v>
      </c>
      <c r="EC282" t="e">
        <f>AND(#REF!,"AAAAAD9/N4Q=")</f>
        <v>#REF!</v>
      </c>
      <c r="ED282" t="e">
        <f>AND(#REF!,"AAAAAD9/N4U=")</f>
        <v>#REF!</v>
      </c>
      <c r="EE282" t="e">
        <f>AND(#REF!,"AAAAAD9/N4Y=")</f>
        <v>#REF!</v>
      </c>
      <c r="EF282" t="e">
        <f>AND(#REF!,"AAAAAD9/N4c=")</f>
        <v>#REF!</v>
      </c>
      <c r="EG282" t="e">
        <f>AND(#REF!,"AAAAAD9/N4g=")</f>
        <v>#REF!</v>
      </c>
      <c r="EH282" t="e">
        <f>AND(#REF!,"AAAAAD9/N4k=")</f>
        <v>#REF!</v>
      </c>
      <c r="EI282" t="e">
        <f>AND(#REF!,"AAAAAD9/N4o=")</f>
        <v>#REF!</v>
      </c>
      <c r="EJ282" t="e">
        <f>AND(#REF!,"AAAAAD9/N4s=")</f>
        <v>#REF!</v>
      </c>
      <c r="EK282" t="e">
        <f>AND(#REF!,"AAAAAD9/N4w=")</f>
        <v>#REF!</v>
      </c>
      <c r="EL282" t="e">
        <f>AND(#REF!,"AAAAAD9/N40=")</f>
        <v>#REF!</v>
      </c>
      <c r="EM282" t="e">
        <f>AND(#REF!,"AAAAAD9/N44=")</f>
        <v>#REF!</v>
      </c>
      <c r="EN282" t="e">
        <f>AND(#REF!,"AAAAAD9/N48=")</f>
        <v>#REF!</v>
      </c>
      <c r="EO282" t="e">
        <f>AND(#REF!,"AAAAAD9/N5A=")</f>
        <v>#REF!</v>
      </c>
      <c r="EP282" t="e">
        <f>AND(#REF!,"AAAAAD9/N5E=")</f>
        <v>#REF!</v>
      </c>
      <c r="EQ282" t="e">
        <f>AND(#REF!,"AAAAAD9/N5I=")</f>
        <v>#REF!</v>
      </c>
      <c r="ER282" t="e">
        <f>AND(#REF!,"AAAAAD9/N5M=")</f>
        <v>#REF!</v>
      </c>
      <c r="ES282" t="e">
        <f>AND(#REF!,"AAAAAD9/N5Q=")</f>
        <v>#REF!</v>
      </c>
      <c r="ET282" t="e">
        <f>AND(#REF!,"AAAAAD9/N5U=")</f>
        <v>#REF!</v>
      </c>
      <c r="EU282" t="e">
        <f>AND(#REF!,"AAAAAD9/N5Y=")</f>
        <v>#REF!</v>
      </c>
      <c r="EV282" t="e">
        <f>AND(#REF!,"AAAAAD9/N5c=")</f>
        <v>#REF!</v>
      </c>
      <c r="EW282" t="e">
        <f>AND(#REF!,"AAAAAD9/N5g=")</f>
        <v>#REF!</v>
      </c>
      <c r="EX282" t="e">
        <f>AND(#REF!,"AAAAAD9/N5k=")</f>
        <v>#REF!</v>
      </c>
      <c r="EY282" t="e">
        <f>AND(#REF!,"AAAAAD9/N5o=")</f>
        <v>#REF!</v>
      </c>
      <c r="EZ282" t="e">
        <f>AND(#REF!,"AAAAAD9/N5s=")</f>
        <v>#REF!</v>
      </c>
      <c r="FA282" t="e">
        <f>AND(#REF!,"AAAAAD9/N5w=")</f>
        <v>#REF!</v>
      </c>
      <c r="FB282" t="e">
        <f>AND(#REF!,"AAAAAD9/N50=")</f>
        <v>#REF!</v>
      </c>
      <c r="FC282" t="e">
        <f>AND(#REF!,"AAAAAD9/N54=")</f>
        <v>#REF!</v>
      </c>
      <c r="FD282" t="e">
        <f>AND(#REF!,"AAAAAD9/N58=")</f>
        <v>#REF!</v>
      </c>
      <c r="FE282" t="e">
        <f>AND(#REF!,"AAAAAD9/N6A=")</f>
        <v>#REF!</v>
      </c>
      <c r="FF282" t="e">
        <f>AND(#REF!,"AAAAAD9/N6E=")</f>
        <v>#REF!</v>
      </c>
      <c r="FG282" t="e">
        <f>AND(#REF!,"AAAAAD9/N6I=")</f>
        <v>#REF!</v>
      </c>
      <c r="FH282" t="e">
        <f>AND(#REF!,"AAAAAD9/N6M=")</f>
        <v>#REF!</v>
      </c>
      <c r="FI282" t="e">
        <f>AND(#REF!,"AAAAAD9/N6Q=")</f>
        <v>#REF!</v>
      </c>
      <c r="FJ282" t="e">
        <f>AND(#REF!,"AAAAAD9/N6U=")</f>
        <v>#REF!</v>
      </c>
      <c r="FK282" t="e">
        <f>AND(#REF!,"AAAAAD9/N6Y=")</f>
        <v>#REF!</v>
      </c>
      <c r="FL282" t="e">
        <f>AND(#REF!,"AAAAAD9/N6c=")</f>
        <v>#REF!</v>
      </c>
      <c r="FM282" t="e">
        <f>AND(#REF!,"AAAAAD9/N6g=")</f>
        <v>#REF!</v>
      </c>
      <c r="FN282" t="e">
        <f>AND(#REF!,"AAAAAD9/N6k=")</f>
        <v>#REF!</v>
      </c>
      <c r="FO282" t="e">
        <f>AND(#REF!,"AAAAAD9/N6o=")</f>
        <v>#REF!</v>
      </c>
      <c r="FP282" t="e">
        <f>AND(#REF!,"AAAAAD9/N6s=")</f>
        <v>#REF!</v>
      </c>
      <c r="FQ282" t="e">
        <f>AND(#REF!,"AAAAAD9/N6w=")</f>
        <v>#REF!</v>
      </c>
      <c r="FR282" t="e">
        <f>AND(#REF!,"AAAAAD9/N60=")</f>
        <v>#REF!</v>
      </c>
      <c r="FS282" t="e">
        <f>AND(#REF!,"AAAAAD9/N64=")</f>
        <v>#REF!</v>
      </c>
      <c r="FT282" t="e">
        <f>AND(#REF!,"AAAAAD9/N68=")</f>
        <v>#REF!</v>
      </c>
      <c r="FU282" t="e">
        <f>AND(#REF!,"AAAAAD9/N7A=")</f>
        <v>#REF!</v>
      </c>
      <c r="FV282" t="e">
        <f>AND(#REF!,"AAAAAD9/N7E=")</f>
        <v>#REF!</v>
      </c>
      <c r="FW282" t="e">
        <f>AND(#REF!,"AAAAAD9/N7I=")</f>
        <v>#REF!</v>
      </c>
      <c r="FX282" t="e">
        <f>AND(#REF!,"AAAAAD9/N7M=")</f>
        <v>#REF!</v>
      </c>
      <c r="FY282" t="e">
        <f>AND(#REF!,"AAAAAD9/N7Q=")</f>
        <v>#REF!</v>
      </c>
      <c r="FZ282" t="e">
        <f>AND(#REF!,"AAAAAD9/N7U=")</f>
        <v>#REF!</v>
      </c>
      <c r="GA282" t="e">
        <f>AND(#REF!,"AAAAAD9/N7Y=")</f>
        <v>#REF!</v>
      </c>
      <c r="GB282" t="e">
        <f>AND(#REF!,"AAAAAD9/N7c=")</f>
        <v>#REF!</v>
      </c>
      <c r="GC282" t="e">
        <f>AND(#REF!,"AAAAAD9/N7g=")</f>
        <v>#REF!</v>
      </c>
      <c r="GD282" t="e">
        <f>AND(#REF!,"AAAAAD9/N7k=")</f>
        <v>#REF!</v>
      </c>
      <c r="GE282" t="e">
        <f>AND(#REF!,"AAAAAD9/N7o=")</f>
        <v>#REF!</v>
      </c>
      <c r="GF282" t="e">
        <f>AND(#REF!,"AAAAAD9/N7s=")</f>
        <v>#REF!</v>
      </c>
      <c r="GG282" t="e">
        <f>AND(#REF!,"AAAAAD9/N7w=")</f>
        <v>#REF!</v>
      </c>
      <c r="GH282" t="e">
        <f>AND(#REF!,"AAAAAD9/N70=")</f>
        <v>#REF!</v>
      </c>
      <c r="GI282" t="e">
        <f>AND(#REF!,"AAAAAD9/N74=")</f>
        <v>#REF!</v>
      </c>
      <c r="GJ282" t="e">
        <f>AND(#REF!,"AAAAAD9/N78=")</f>
        <v>#REF!</v>
      </c>
      <c r="GK282" t="e">
        <f>AND(#REF!,"AAAAAD9/N8A=")</f>
        <v>#REF!</v>
      </c>
      <c r="GL282" t="e">
        <f>AND(#REF!,"AAAAAD9/N8E=")</f>
        <v>#REF!</v>
      </c>
      <c r="GM282" t="e">
        <f>AND(#REF!,"AAAAAD9/N8I=")</f>
        <v>#REF!</v>
      </c>
      <c r="GN282" t="e">
        <f>AND(#REF!,"AAAAAD9/N8M=")</f>
        <v>#REF!</v>
      </c>
      <c r="GO282" t="e">
        <f>AND(#REF!,"AAAAAD9/N8Q=")</f>
        <v>#REF!</v>
      </c>
      <c r="GP282" t="e">
        <f>AND(#REF!,"AAAAAD9/N8U=")</f>
        <v>#REF!</v>
      </c>
      <c r="GQ282" t="e">
        <f>AND(#REF!,"AAAAAD9/N8Y=")</f>
        <v>#REF!</v>
      </c>
      <c r="GR282" t="e">
        <f>AND(#REF!,"AAAAAD9/N8c=")</f>
        <v>#REF!</v>
      </c>
      <c r="GS282" t="e">
        <f>AND(#REF!,"AAAAAD9/N8g=")</f>
        <v>#REF!</v>
      </c>
      <c r="GT282" t="e">
        <f>AND(#REF!,"AAAAAD9/N8k=")</f>
        <v>#REF!</v>
      </c>
      <c r="GU282" t="e">
        <f>AND(#REF!,"AAAAAD9/N8o=")</f>
        <v>#REF!</v>
      </c>
      <c r="GV282" t="e">
        <f>AND(#REF!,"AAAAAD9/N8s=")</f>
        <v>#REF!</v>
      </c>
      <c r="GW282" t="e">
        <f>AND(#REF!,"AAAAAD9/N8w=")</f>
        <v>#REF!</v>
      </c>
      <c r="GX282" t="e">
        <f>AND(#REF!,"AAAAAD9/N80=")</f>
        <v>#REF!</v>
      </c>
      <c r="GY282" t="e">
        <f>AND(#REF!,"AAAAAD9/N84=")</f>
        <v>#REF!</v>
      </c>
      <c r="GZ282" t="e">
        <f>AND(#REF!,"AAAAAD9/N88=")</f>
        <v>#REF!</v>
      </c>
      <c r="HA282" t="e">
        <f>AND(#REF!,"AAAAAD9/N9A=")</f>
        <v>#REF!</v>
      </c>
      <c r="HB282" t="e">
        <f>AND(#REF!,"AAAAAD9/N9E=")</f>
        <v>#REF!</v>
      </c>
      <c r="HC282" t="e">
        <f>AND(#REF!,"AAAAAD9/N9I=")</f>
        <v>#REF!</v>
      </c>
      <c r="HD282" t="e">
        <f>AND(#REF!,"AAAAAD9/N9M=")</f>
        <v>#REF!</v>
      </c>
      <c r="HE282" t="e">
        <f>AND(#REF!,"AAAAAD9/N9Q=")</f>
        <v>#REF!</v>
      </c>
      <c r="HF282" t="e">
        <f>AND(#REF!,"AAAAAD9/N9U=")</f>
        <v>#REF!</v>
      </c>
      <c r="HG282" t="e">
        <f>AND(#REF!,"AAAAAD9/N9Y=")</f>
        <v>#REF!</v>
      </c>
      <c r="HH282" t="e">
        <f>AND(#REF!,"AAAAAD9/N9c=")</f>
        <v>#REF!</v>
      </c>
      <c r="HI282" t="e">
        <f>AND(#REF!,"AAAAAD9/N9g=")</f>
        <v>#REF!</v>
      </c>
      <c r="HJ282" t="e">
        <f>AND(#REF!,"AAAAAD9/N9k=")</f>
        <v>#REF!</v>
      </c>
      <c r="HK282" t="e">
        <f>AND(#REF!,"AAAAAD9/N9o=")</f>
        <v>#REF!</v>
      </c>
      <c r="HL282" t="e">
        <f>AND(#REF!,"AAAAAD9/N9s=")</f>
        <v>#REF!</v>
      </c>
      <c r="HM282" t="e">
        <f>AND(#REF!,"AAAAAD9/N9w=")</f>
        <v>#REF!</v>
      </c>
      <c r="HN282" t="e">
        <f>AND(#REF!,"AAAAAD9/N90=")</f>
        <v>#REF!</v>
      </c>
      <c r="HO282" t="e">
        <f>AND(#REF!,"AAAAAD9/N94=")</f>
        <v>#REF!</v>
      </c>
      <c r="HP282" t="e">
        <f>AND(#REF!,"AAAAAD9/N98=")</f>
        <v>#REF!</v>
      </c>
      <c r="HQ282" t="e">
        <f>AND(#REF!,"AAAAAD9/N+A=")</f>
        <v>#REF!</v>
      </c>
      <c r="HR282" t="e">
        <f>AND(#REF!,"AAAAAD9/N+E=")</f>
        <v>#REF!</v>
      </c>
      <c r="HS282" t="e">
        <f>AND(#REF!,"AAAAAD9/N+I=")</f>
        <v>#REF!</v>
      </c>
      <c r="HT282" t="e">
        <f>AND(#REF!,"AAAAAD9/N+M=")</f>
        <v>#REF!</v>
      </c>
      <c r="HU282" t="e">
        <f>AND(#REF!,"AAAAAD9/N+Q=")</f>
        <v>#REF!</v>
      </c>
      <c r="HV282" t="e">
        <f>AND(#REF!,"AAAAAD9/N+U=")</f>
        <v>#REF!</v>
      </c>
      <c r="HW282" t="e">
        <f>AND(#REF!,"AAAAAD9/N+Y=")</f>
        <v>#REF!</v>
      </c>
      <c r="HX282" t="e">
        <f>AND(#REF!,"AAAAAD9/N+c=")</f>
        <v>#REF!</v>
      </c>
      <c r="HY282" t="e">
        <f>AND(#REF!,"AAAAAD9/N+g=")</f>
        <v>#REF!</v>
      </c>
      <c r="HZ282" t="e">
        <f>AND(#REF!,"AAAAAD9/N+k=")</f>
        <v>#REF!</v>
      </c>
      <c r="IA282" t="e">
        <f>AND(#REF!,"AAAAAD9/N+o=")</f>
        <v>#REF!</v>
      </c>
      <c r="IB282" t="e">
        <f>AND(#REF!,"AAAAAD9/N+s=")</f>
        <v>#REF!</v>
      </c>
      <c r="IC282" t="e">
        <f>AND(#REF!,"AAAAAD9/N+w=")</f>
        <v>#REF!</v>
      </c>
      <c r="ID282" t="e">
        <f>AND(#REF!,"AAAAAD9/N+0=")</f>
        <v>#REF!</v>
      </c>
      <c r="IE282" t="e">
        <f>AND(#REF!,"AAAAAD9/N+4=")</f>
        <v>#REF!</v>
      </c>
      <c r="IF282" t="e">
        <f>AND(#REF!,"AAAAAD9/N+8=")</f>
        <v>#REF!</v>
      </c>
      <c r="IG282" t="e">
        <f>AND(#REF!,"AAAAAD9/N/A=")</f>
        <v>#REF!</v>
      </c>
      <c r="IH282" t="e">
        <f>AND(#REF!,"AAAAAD9/N/E=")</f>
        <v>#REF!</v>
      </c>
      <c r="II282" t="e">
        <f>AND(#REF!,"AAAAAD9/N/I=")</f>
        <v>#REF!</v>
      </c>
      <c r="IJ282" t="e">
        <f>AND(#REF!,"AAAAAD9/N/M=")</f>
        <v>#REF!</v>
      </c>
      <c r="IK282" t="e">
        <f>AND(#REF!,"AAAAAD9/N/Q=")</f>
        <v>#REF!</v>
      </c>
      <c r="IL282" t="e">
        <f>AND(#REF!,"AAAAAD9/N/U=")</f>
        <v>#REF!</v>
      </c>
      <c r="IM282" t="e">
        <f>AND(#REF!,"AAAAAD9/N/Y=")</f>
        <v>#REF!</v>
      </c>
      <c r="IN282" t="e">
        <f>AND(#REF!,"AAAAAD9/N/c=")</f>
        <v>#REF!</v>
      </c>
      <c r="IO282" t="e">
        <f>AND(#REF!,"AAAAAD9/N/g=")</f>
        <v>#REF!</v>
      </c>
      <c r="IP282" t="e">
        <f>AND(#REF!,"AAAAAD9/N/k=")</f>
        <v>#REF!</v>
      </c>
      <c r="IQ282" t="e">
        <f>AND(#REF!,"AAAAAD9/N/o=")</f>
        <v>#REF!</v>
      </c>
      <c r="IR282" t="e">
        <f>AND(#REF!,"AAAAAD9/N/s=")</f>
        <v>#REF!</v>
      </c>
      <c r="IS282" t="e">
        <f>AND(#REF!,"AAAAAD9/N/w=")</f>
        <v>#REF!</v>
      </c>
      <c r="IT282" t="e">
        <f>AND(#REF!,"AAAAAD9/N/0=")</f>
        <v>#REF!</v>
      </c>
      <c r="IU282" t="e">
        <f>IF(#REF!,"AAAAAD9/N/4=",0)</f>
        <v>#REF!</v>
      </c>
      <c r="IV282" t="e">
        <f>AND(#REF!,"AAAAAD9/N/8=")</f>
        <v>#REF!</v>
      </c>
    </row>
    <row r="283" spans="1:256" x14ac:dyDescent="0.25">
      <c r="A283" t="e">
        <f>AND(#REF!,"AAAAAH79zQA=")</f>
        <v>#REF!</v>
      </c>
      <c r="B283" t="e">
        <f>AND(#REF!,"AAAAAH79zQE=")</f>
        <v>#REF!</v>
      </c>
      <c r="C283" t="e">
        <f>AND(#REF!,"AAAAAH79zQI=")</f>
        <v>#REF!</v>
      </c>
      <c r="D283" t="e">
        <f>AND(#REF!,"AAAAAH79zQM=")</f>
        <v>#REF!</v>
      </c>
      <c r="E283" t="e">
        <f>AND(#REF!,"AAAAAH79zQQ=")</f>
        <v>#REF!</v>
      </c>
      <c r="F283" t="e">
        <f>AND(#REF!,"AAAAAH79zQU=")</f>
        <v>#REF!</v>
      </c>
      <c r="G283" t="e">
        <f>AND(#REF!,"AAAAAH79zQY=")</f>
        <v>#REF!</v>
      </c>
      <c r="H283" t="e">
        <f>AND(#REF!,"AAAAAH79zQc=")</f>
        <v>#REF!</v>
      </c>
      <c r="I283" t="e">
        <f>AND(#REF!,"AAAAAH79zQg=")</f>
        <v>#REF!</v>
      </c>
      <c r="J283" t="e">
        <f>AND(#REF!,"AAAAAH79zQk=")</f>
        <v>#REF!</v>
      </c>
      <c r="K283" t="e">
        <f>AND(#REF!,"AAAAAH79zQo=")</f>
        <v>#REF!</v>
      </c>
      <c r="L283" t="e">
        <f>AND(#REF!,"AAAAAH79zQs=")</f>
        <v>#REF!</v>
      </c>
      <c r="M283" t="e">
        <f>AND(#REF!,"AAAAAH79zQw=")</f>
        <v>#REF!</v>
      </c>
      <c r="N283" t="e">
        <f>AND(#REF!,"AAAAAH79zQ0=")</f>
        <v>#REF!</v>
      </c>
      <c r="O283" t="e">
        <f>AND(#REF!,"AAAAAH79zQ4=")</f>
        <v>#REF!</v>
      </c>
      <c r="P283" t="e">
        <f>AND(#REF!,"AAAAAH79zQ8=")</f>
        <v>#REF!</v>
      </c>
      <c r="Q283" t="e">
        <f>AND(#REF!,"AAAAAH79zRA=")</f>
        <v>#REF!</v>
      </c>
      <c r="R283" t="e">
        <f>AND(#REF!,"AAAAAH79zRE=")</f>
        <v>#REF!</v>
      </c>
      <c r="S283" t="e">
        <f>AND(#REF!,"AAAAAH79zRI=")</f>
        <v>#REF!</v>
      </c>
      <c r="T283" t="e">
        <f>AND(#REF!,"AAAAAH79zRM=")</f>
        <v>#REF!</v>
      </c>
      <c r="U283" t="e">
        <f>AND(#REF!,"AAAAAH79zRQ=")</f>
        <v>#REF!</v>
      </c>
      <c r="V283" t="e">
        <f>AND(#REF!,"AAAAAH79zRU=")</f>
        <v>#REF!</v>
      </c>
      <c r="W283" t="e">
        <f>AND(#REF!,"AAAAAH79zRY=")</f>
        <v>#REF!</v>
      </c>
      <c r="X283" t="e">
        <f>AND(#REF!,"AAAAAH79zRc=")</f>
        <v>#REF!</v>
      </c>
      <c r="Y283" t="e">
        <f>AND(#REF!,"AAAAAH79zRg=")</f>
        <v>#REF!</v>
      </c>
      <c r="Z283" t="e">
        <f>AND(#REF!,"AAAAAH79zRk=")</f>
        <v>#REF!</v>
      </c>
      <c r="AA283" t="e">
        <f>AND(#REF!,"AAAAAH79zRo=")</f>
        <v>#REF!</v>
      </c>
      <c r="AB283" t="e">
        <f>AND(#REF!,"AAAAAH79zRs=")</f>
        <v>#REF!</v>
      </c>
      <c r="AC283" t="e">
        <f>AND(#REF!,"AAAAAH79zRw=")</f>
        <v>#REF!</v>
      </c>
      <c r="AD283" t="e">
        <f>AND(#REF!,"AAAAAH79zR0=")</f>
        <v>#REF!</v>
      </c>
      <c r="AE283" t="e">
        <f>AND(#REF!,"AAAAAH79zR4=")</f>
        <v>#REF!</v>
      </c>
      <c r="AF283" t="e">
        <f>AND(#REF!,"AAAAAH79zR8=")</f>
        <v>#REF!</v>
      </c>
      <c r="AG283" t="e">
        <f>AND(#REF!,"AAAAAH79zSA=")</f>
        <v>#REF!</v>
      </c>
      <c r="AH283" t="e">
        <f>AND(#REF!,"AAAAAH79zSE=")</f>
        <v>#REF!</v>
      </c>
      <c r="AI283" t="e">
        <f>AND(#REF!,"AAAAAH79zSI=")</f>
        <v>#REF!</v>
      </c>
      <c r="AJ283" t="e">
        <f>AND(#REF!,"AAAAAH79zSM=")</f>
        <v>#REF!</v>
      </c>
      <c r="AK283" t="e">
        <f>AND(#REF!,"AAAAAH79zSQ=")</f>
        <v>#REF!</v>
      </c>
      <c r="AL283" t="e">
        <f>AND(#REF!,"AAAAAH79zSU=")</f>
        <v>#REF!</v>
      </c>
      <c r="AM283" t="e">
        <f>AND(#REF!,"AAAAAH79zSY=")</f>
        <v>#REF!</v>
      </c>
      <c r="AN283" t="e">
        <f>AND(#REF!,"AAAAAH79zSc=")</f>
        <v>#REF!</v>
      </c>
      <c r="AO283" t="e">
        <f>AND(#REF!,"AAAAAH79zSg=")</f>
        <v>#REF!</v>
      </c>
      <c r="AP283" t="e">
        <f>AND(#REF!,"AAAAAH79zSk=")</f>
        <v>#REF!</v>
      </c>
      <c r="AQ283" t="e">
        <f>AND(#REF!,"AAAAAH79zSo=")</f>
        <v>#REF!</v>
      </c>
      <c r="AR283" t="e">
        <f>AND(#REF!,"AAAAAH79zSs=")</f>
        <v>#REF!</v>
      </c>
      <c r="AS283" t="e">
        <f>AND(#REF!,"AAAAAH79zSw=")</f>
        <v>#REF!</v>
      </c>
      <c r="AT283" t="e">
        <f>AND(#REF!,"AAAAAH79zS0=")</f>
        <v>#REF!</v>
      </c>
      <c r="AU283" t="e">
        <f>AND(#REF!,"AAAAAH79zS4=")</f>
        <v>#REF!</v>
      </c>
      <c r="AV283" t="e">
        <f>AND(#REF!,"AAAAAH79zS8=")</f>
        <v>#REF!</v>
      </c>
      <c r="AW283" t="e">
        <f>AND(#REF!,"AAAAAH79zTA=")</f>
        <v>#REF!</v>
      </c>
      <c r="AX283" t="e">
        <f>AND(#REF!,"AAAAAH79zTE=")</f>
        <v>#REF!</v>
      </c>
      <c r="AY283" t="e">
        <f>AND(#REF!,"AAAAAH79zTI=")</f>
        <v>#REF!</v>
      </c>
      <c r="AZ283" t="e">
        <f>AND(#REF!,"AAAAAH79zTM=")</f>
        <v>#REF!</v>
      </c>
      <c r="BA283" t="e">
        <f>AND(#REF!,"AAAAAH79zTQ=")</f>
        <v>#REF!</v>
      </c>
      <c r="BB283" t="e">
        <f>AND(#REF!,"AAAAAH79zTU=")</f>
        <v>#REF!</v>
      </c>
      <c r="BC283" t="e">
        <f>AND(#REF!,"AAAAAH79zTY=")</f>
        <v>#REF!</v>
      </c>
      <c r="BD283" t="e">
        <f>AND(#REF!,"AAAAAH79zTc=")</f>
        <v>#REF!</v>
      </c>
      <c r="BE283" t="e">
        <f>AND(#REF!,"AAAAAH79zTg=")</f>
        <v>#REF!</v>
      </c>
      <c r="BF283" t="e">
        <f>AND(#REF!,"AAAAAH79zTk=")</f>
        <v>#REF!</v>
      </c>
      <c r="BG283" t="e">
        <f>AND(#REF!,"AAAAAH79zTo=")</f>
        <v>#REF!</v>
      </c>
      <c r="BH283" t="e">
        <f>AND(#REF!,"AAAAAH79zTs=")</f>
        <v>#REF!</v>
      </c>
      <c r="BI283" t="e">
        <f>AND(#REF!,"AAAAAH79zTw=")</f>
        <v>#REF!</v>
      </c>
      <c r="BJ283" t="e">
        <f>AND(#REF!,"AAAAAH79zT0=")</f>
        <v>#REF!</v>
      </c>
      <c r="BK283" t="e">
        <f>AND(#REF!,"AAAAAH79zT4=")</f>
        <v>#REF!</v>
      </c>
      <c r="BL283" t="e">
        <f>AND(#REF!,"AAAAAH79zT8=")</f>
        <v>#REF!</v>
      </c>
      <c r="BM283" t="e">
        <f>AND(#REF!,"AAAAAH79zUA=")</f>
        <v>#REF!</v>
      </c>
      <c r="BN283" t="e">
        <f>AND(#REF!,"AAAAAH79zUE=")</f>
        <v>#REF!</v>
      </c>
      <c r="BO283" t="e">
        <f>AND(#REF!,"AAAAAH79zUI=")</f>
        <v>#REF!</v>
      </c>
      <c r="BP283" t="e">
        <f>AND(#REF!,"AAAAAH79zUM=")</f>
        <v>#REF!</v>
      </c>
      <c r="BQ283" t="e">
        <f>AND(#REF!,"AAAAAH79zUQ=")</f>
        <v>#REF!</v>
      </c>
      <c r="BR283" t="e">
        <f>AND(#REF!,"AAAAAH79zUU=")</f>
        <v>#REF!</v>
      </c>
      <c r="BS283" t="e">
        <f>AND(#REF!,"AAAAAH79zUY=")</f>
        <v>#REF!</v>
      </c>
      <c r="BT283" t="e">
        <f>AND(#REF!,"AAAAAH79zUc=")</f>
        <v>#REF!</v>
      </c>
      <c r="BU283" t="e">
        <f>AND(#REF!,"AAAAAH79zUg=")</f>
        <v>#REF!</v>
      </c>
      <c r="BV283" t="e">
        <f>AND(#REF!,"AAAAAH79zUk=")</f>
        <v>#REF!</v>
      </c>
      <c r="BW283" t="e">
        <f>AND(#REF!,"AAAAAH79zUo=")</f>
        <v>#REF!</v>
      </c>
      <c r="BX283" t="e">
        <f>AND(#REF!,"AAAAAH79zUs=")</f>
        <v>#REF!</v>
      </c>
      <c r="BY283" t="e">
        <f>AND(#REF!,"AAAAAH79zUw=")</f>
        <v>#REF!</v>
      </c>
      <c r="BZ283" t="e">
        <f>AND(#REF!,"AAAAAH79zU0=")</f>
        <v>#REF!</v>
      </c>
      <c r="CA283" t="e">
        <f>AND(#REF!,"AAAAAH79zU4=")</f>
        <v>#REF!</v>
      </c>
      <c r="CB283" t="e">
        <f>AND(#REF!,"AAAAAH79zU8=")</f>
        <v>#REF!</v>
      </c>
      <c r="CC283" t="e">
        <f>AND(#REF!,"AAAAAH79zVA=")</f>
        <v>#REF!</v>
      </c>
      <c r="CD283" t="e">
        <f>AND(#REF!,"AAAAAH79zVE=")</f>
        <v>#REF!</v>
      </c>
      <c r="CE283" t="e">
        <f>AND(#REF!,"AAAAAH79zVI=")</f>
        <v>#REF!</v>
      </c>
      <c r="CF283" t="e">
        <f>AND(#REF!,"AAAAAH79zVM=")</f>
        <v>#REF!</v>
      </c>
      <c r="CG283" t="e">
        <f>AND(#REF!,"AAAAAH79zVQ=")</f>
        <v>#REF!</v>
      </c>
      <c r="CH283" t="e">
        <f>AND(#REF!,"AAAAAH79zVU=")</f>
        <v>#REF!</v>
      </c>
      <c r="CI283" t="e">
        <f>AND(#REF!,"AAAAAH79zVY=")</f>
        <v>#REF!</v>
      </c>
      <c r="CJ283" t="e">
        <f>AND(#REF!,"AAAAAH79zVc=")</f>
        <v>#REF!</v>
      </c>
      <c r="CK283" t="e">
        <f>AND(#REF!,"AAAAAH79zVg=")</f>
        <v>#REF!</v>
      </c>
      <c r="CL283" t="e">
        <f>AND(#REF!,"AAAAAH79zVk=")</f>
        <v>#REF!</v>
      </c>
      <c r="CM283" t="e">
        <f>AND(#REF!,"AAAAAH79zVo=")</f>
        <v>#REF!</v>
      </c>
      <c r="CN283" t="e">
        <f>AND(#REF!,"AAAAAH79zVs=")</f>
        <v>#REF!</v>
      </c>
      <c r="CO283" t="e">
        <f>AND(#REF!,"AAAAAH79zVw=")</f>
        <v>#REF!</v>
      </c>
      <c r="CP283" t="e">
        <f>AND(#REF!,"AAAAAH79zV0=")</f>
        <v>#REF!</v>
      </c>
      <c r="CQ283" t="e">
        <f>AND(#REF!,"AAAAAH79zV4=")</f>
        <v>#REF!</v>
      </c>
      <c r="CR283" t="e">
        <f>AND(#REF!,"AAAAAH79zV8=")</f>
        <v>#REF!</v>
      </c>
      <c r="CS283" t="e">
        <f>AND(#REF!,"AAAAAH79zWA=")</f>
        <v>#REF!</v>
      </c>
      <c r="CT283" t="e">
        <f>AND(#REF!,"AAAAAH79zWE=")</f>
        <v>#REF!</v>
      </c>
      <c r="CU283" t="e">
        <f>AND(#REF!,"AAAAAH79zWI=")</f>
        <v>#REF!</v>
      </c>
      <c r="CV283" t="e">
        <f>AND(#REF!,"AAAAAH79zWM=")</f>
        <v>#REF!</v>
      </c>
      <c r="CW283" t="e">
        <f>AND(#REF!,"AAAAAH79zWQ=")</f>
        <v>#REF!</v>
      </c>
      <c r="CX283" t="e">
        <f>AND(#REF!,"AAAAAH79zWU=")</f>
        <v>#REF!</v>
      </c>
      <c r="CY283" t="e">
        <f>AND(#REF!,"AAAAAH79zWY=")</f>
        <v>#REF!</v>
      </c>
      <c r="CZ283" t="e">
        <f>AND(#REF!,"AAAAAH79zWc=")</f>
        <v>#REF!</v>
      </c>
      <c r="DA283" t="e">
        <f>AND(#REF!,"AAAAAH79zWg=")</f>
        <v>#REF!</v>
      </c>
      <c r="DB283" t="e">
        <f>AND(#REF!,"AAAAAH79zWk=")</f>
        <v>#REF!</v>
      </c>
      <c r="DC283" t="e">
        <f>AND(#REF!,"AAAAAH79zWo=")</f>
        <v>#REF!</v>
      </c>
      <c r="DD283" t="e">
        <f>AND(#REF!,"AAAAAH79zWs=")</f>
        <v>#REF!</v>
      </c>
      <c r="DE283" t="e">
        <f>AND(#REF!,"AAAAAH79zWw=")</f>
        <v>#REF!</v>
      </c>
      <c r="DF283" t="e">
        <f>AND(#REF!,"AAAAAH79zW0=")</f>
        <v>#REF!</v>
      </c>
      <c r="DG283" t="e">
        <f>AND(#REF!,"AAAAAH79zW4=")</f>
        <v>#REF!</v>
      </c>
      <c r="DH283" t="e">
        <f>AND(#REF!,"AAAAAH79zW8=")</f>
        <v>#REF!</v>
      </c>
      <c r="DI283" t="e">
        <f>AND(#REF!,"AAAAAH79zXA=")</f>
        <v>#REF!</v>
      </c>
      <c r="DJ283" t="e">
        <f>AND(#REF!,"AAAAAH79zXE=")</f>
        <v>#REF!</v>
      </c>
      <c r="DK283" t="e">
        <f>AND(#REF!,"AAAAAH79zXI=")</f>
        <v>#REF!</v>
      </c>
      <c r="DL283" t="e">
        <f>AND(#REF!,"AAAAAH79zXM=")</f>
        <v>#REF!</v>
      </c>
      <c r="DM283" t="e">
        <f>AND(#REF!,"AAAAAH79zXQ=")</f>
        <v>#REF!</v>
      </c>
      <c r="DN283" t="e">
        <f>AND(#REF!,"AAAAAH79zXU=")</f>
        <v>#REF!</v>
      </c>
      <c r="DO283" t="e">
        <f>AND(#REF!,"AAAAAH79zXY=")</f>
        <v>#REF!</v>
      </c>
      <c r="DP283" t="e">
        <f>AND(#REF!,"AAAAAH79zXc=")</f>
        <v>#REF!</v>
      </c>
      <c r="DQ283" t="e">
        <f>AND(#REF!,"AAAAAH79zXg=")</f>
        <v>#REF!</v>
      </c>
      <c r="DR283" t="e">
        <f>AND(#REF!,"AAAAAH79zXk=")</f>
        <v>#REF!</v>
      </c>
      <c r="DS283" t="e">
        <f>AND(#REF!,"AAAAAH79zXo=")</f>
        <v>#REF!</v>
      </c>
      <c r="DT283" t="e">
        <f>AND(#REF!,"AAAAAH79zXs=")</f>
        <v>#REF!</v>
      </c>
      <c r="DU283" t="e">
        <f>AND(#REF!,"AAAAAH79zXw=")</f>
        <v>#REF!</v>
      </c>
      <c r="DV283" t="e">
        <f>AND(#REF!,"AAAAAH79zX0=")</f>
        <v>#REF!</v>
      </c>
      <c r="DW283" t="e">
        <f>AND(#REF!,"AAAAAH79zX4=")</f>
        <v>#REF!</v>
      </c>
      <c r="DX283" t="e">
        <f>AND(#REF!,"AAAAAH79zX8=")</f>
        <v>#REF!</v>
      </c>
      <c r="DY283" t="e">
        <f>AND(#REF!,"AAAAAH79zYA=")</f>
        <v>#REF!</v>
      </c>
      <c r="DZ283" t="e">
        <f>AND(#REF!,"AAAAAH79zYE=")</f>
        <v>#REF!</v>
      </c>
      <c r="EA283" t="e">
        <f>AND(#REF!,"AAAAAH79zYI=")</f>
        <v>#REF!</v>
      </c>
      <c r="EB283" t="e">
        <f>AND(#REF!,"AAAAAH79zYM=")</f>
        <v>#REF!</v>
      </c>
      <c r="EC283" t="e">
        <f>AND(#REF!,"AAAAAH79zYQ=")</f>
        <v>#REF!</v>
      </c>
      <c r="ED283" t="e">
        <f>AND(#REF!,"AAAAAH79zYU=")</f>
        <v>#REF!</v>
      </c>
      <c r="EE283" t="e">
        <f>AND(#REF!,"AAAAAH79zYY=")</f>
        <v>#REF!</v>
      </c>
      <c r="EF283" t="e">
        <f>AND(#REF!,"AAAAAH79zYc=")</f>
        <v>#REF!</v>
      </c>
      <c r="EG283" t="e">
        <f>AND(#REF!,"AAAAAH79zYg=")</f>
        <v>#REF!</v>
      </c>
      <c r="EH283" t="e">
        <f>AND(#REF!,"AAAAAH79zYk=")</f>
        <v>#REF!</v>
      </c>
      <c r="EI283" t="e">
        <f>AND(#REF!,"AAAAAH79zYo=")</f>
        <v>#REF!</v>
      </c>
      <c r="EJ283" t="e">
        <f>AND(#REF!,"AAAAAH79zYs=")</f>
        <v>#REF!</v>
      </c>
      <c r="EK283" t="e">
        <f>AND(#REF!,"AAAAAH79zYw=")</f>
        <v>#REF!</v>
      </c>
      <c r="EL283" t="e">
        <f>AND(#REF!,"AAAAAH79zY0=")</f>
        <v>#REF!</v>
      </c>
      <c r="EM283" t="e">
        <f>AND(#REF!,"AAAAAH79zY4=")</f>
        <v>#REF!</v>
      </c>
      <c r="EN283" t="e">
        <f>AND(#REF!,"AAAAAH79zY8=")</f>
        <v>#REF!</v>
      </c>
      <c r="EO283" t="e">
        <f>AND(#REF!,"AAAAAH79zZA=")</f>
        <v>#REF!</v>
      </c>
      <c r="EP283" t="e">
        <f>AND(#REF!,"AAAAAH79zZE=")</f>
        <v>#REF!</v>
      </c>
      <c r="EQ283" t="e">
        <f>AND(#REF!,"AAAAAH79zZI=")</f>
        <v>#REF!</v>
      </c>
      <c r="ER283" t="e">
        <f>AND(#REF!,"AAAAAH79zZM=")</f>
        <v>#REF!</v>
      </c>
      <c r="ES283" t="e">
        <f>AND(#REF!,"AAAAAH79zZQ=")</f>
        <v>#REF!</v>
      </c>
      <c r="ET283" t="e">
        <f>AND(#REF!,"AAAAAH79zZU=")</f>
        <v>#REF!</v>
      </c>
      <c r="EU283" t="e">
        <f>AND(#REF!,"AAAAAH79zZY=")</f>
        <v>#REF!</v>
      </c>
      <c r="EV283" t="e">
        <f>AND(#REF!,"AAAAAH79zZc=")</f>
        <v>#REF!</v>
      </c>
      <c r="EW283" t="e">
        <f>AND(#REF!,"AAAAAH79zZg=")</f>
        <v>#REF!</v>
      </c>
      <c r="EX283" t="e">
        <f>AND(#REF!,"AAAAAH79zZk=")</f>
        <v>#REF!</v>
      </c>
      <c r="EY283" t="e">
        <f>AND(#REF!,"AAAAAH79zZo=")</f>
        <v>#REF!</v>
      </c>
      <c r="EZ283" t="e">
        <f>AND(#REF!,"AAAAAH79zZs=")</f>
        <v>#REF!</v>
      </c>
      <c r="FA283" t="e">
        <f>AND(#REF!,"AAAAAH79zZw=")</f>
        <v>#REF!</v>
      </c>
      <c r="FB283" t="e">
        <f>AND(#REF!,"AAAAAH79zZ0=")</f>
        <v>#REF!</v>
      </c>
      <c r="FC283" t="e">
        <f>AND(#REF!,"AAAAAH79zZ4=")</f>
        <v>#REF!</v>
      </c>
      <c r="FD283" t="e">
        <f>AND(#REF!,"AAAAAH79zZ8=")</f>
        <v>#REF!</v>
      </c>
      <c r="FE283" t="e">
        <f>AND(#REF!,"AAAAAH79zaA=")</f>
        <v>#REF!</v>
      </c>
      <c r="FF283" t="e">
        <f>AND(#REF!,"AAAAAH79zaE=")</f>
        <v>#REF!</v>
      </c>
      <c r="FG283" t="e">
        <f>AND(#REF!,"AAAAAH79zaI=")</f>
        <v>#REF!</v>
      </c>
      <c r="FH283" t="e">
        <f>AND(#REF!,"AAAAAH79zaM=")</f>
        <v>#REF!</v>
      </c>
      <c r="FI283" t="e">
        <f>AND(#REF!,"AAAAAH79zaQ=")</f>
        <v>#REF!</v>
      </c>
      <c r="FJ283" t="e">
        <f>AND(#REF!,"AAAAAH79zaU=")</f>
        <v>#REF!</v>
      </c>
      <c r="FK283" t="e">
        <f>AND(#REF!,"AAAAAH79zaY=")</f>
        <v>#REF!</v>
      </c>
      <c r="FL283" t="e">
        <f>AND(#REF!,"AAAAAH79zac=")</f>
        <v>#REF!</v>
      </c>
      <c r="FM283" t="e">
        <f>AND(#REF!,"AAAAAH79zag=")</f>
        <v>#REF!</v>
      </c>
      <c r="FN283" t="e">
        <f>AND(#REF!,"AAAAAH79zak=")</f>
        <v>#REF!</v>
      </c>
      <c r="FO283" t="e">
        <f>AND(#REF!,"AAAAAH79zao=")</f>
        <v>#REF!</v>
      </c>
      <c r="FP283" t="e">
        <f>AND(#REF!,"AAAAAH79zas=")</f>
        <v>#REF!</v>
      </c>
      <c r="FQ283" t="e">
        <f>AND(#REF!,"AAAAAH79zaw=")</f>
        <v>#REF!</v>
      </c>
      <c r="FR283" t="e">
        <f>AND(#REF!,"AAAAAH79za0=")</f>
        <v>#REF!</v>
      </c>
      <c r="FS283" t="e">
        <f>AND(#REF!,"AAAAAH79za4=")</f>
        <v>#REF!</v>
      </c>
      <c r="FT283" t="e">
        <f>AND(#REF!,"AAAAAH79za8=")</f>
        <v>#REF!</v>
      </c>
      <c r="FU283" t="e">
        <f>AND(#REF!,"AAAAAH79zbA=")</f>
        <v>#REF!</v>
      </c>
      <c r="FV283" t="e">
        <f>AND(#REF!,"AAAAAH79zbE=")</f>
        <v>#REF!</v>
      </c>
      <c r="FW283" t="e">
        <f>AND(#REF!,"AAAAAH79zbI=")</f>
        <v>#REF!</v>
      </c>
      <c r="FX283" t="e">
        <f>AND(#REF!,"AAAAAH79zbM=")</f>
        <v>#REF!</v>
      </c>
      <c r="FY283" t="e">
        <f>AND(#REF!,"AAAAAH79zbQ=")</f>
        <v>#REF!</v>
      </c>
      <c r="FZ283" t="e">
        <f>AND(#REF!,"AAAAAH79zbU=")</f>
        <v>#REF!</v>
      </c>
      <c r="GA283" t="e">
        <f>AND(#REF!,"AAAAAH79zbY=")</f>
        <v>#REF!</v>
      </c>
      <c r="GB283" t="e">
        <f>AND(#REF!,"AAAAAH79zbc=")</f>
        <v>#REF!</v>
      </c>
      <c r="GC283" t="e">
        <f>AND(#REF!,"AAAAAH79zbg=")</f>
        <v>#REF!</v>
      </c>
      <c r="GD283" t="e">
        <f>AND(#REF!,"AAAAAH79zbk=")</f>
        <v>#REF!</v>
      </c>
      <c r="GE283" t="e">
        <f>AND(#REF!,"AAAAAH79zbo=")</f>
        <v>#REF!</v>
      </c>
      <c r="GF283" t="e">
        <f>IF(#REF!,"AAAAAH79zbs=",0)</f>
        <v>#REF!</v>
      </c>
      <c r="GG283" t="e">
        <f>AND(#REF!,"AAAAAH79zbw=")</f>
        <v>#REF!</v>
      </c>
      <c r="GH283" t="e">
        <f>AND(#REF!,"AAAAAH79zb0=")</f>
        <v>#REF!</v>
      </c>
      <c r="GI283" t="e">
        <f>AND(#REF!,"AAAAAH79zb4=")</f>
        <v>#REF!</v>
      </c>
      <c r="GJ283" t="e">
        <f>AND(#REF!,"AAAAAH79zb8=")</f>
        <v>#REF!</v>
      </c>
      <c r="GK283" t="e">
        <f>AND(#REF!,"AAAAAH79zcA=")</f>
        <v>#REF!</v>
      </c>
      <c r="GL283" t="e">
        <f>AND(#REF!,"AAAAAH79zcE=")</f>
        <v>#REF!</v>
      </c>
      <c r="GM283" t="e">
        <f>AND(#REF!,"AAAAAH79zcI=")</f>
        <v>#REF!</v>
      </c>
      <c r="GN283" t="e">
        <f>AND(#REF!,"AAAAAH79zcM=")</f>
        <v>#REF!</v>
      </c>
      <c r="GO283" t="e">
        <f>AND(#REF!,"AAAAAH79zcQ=")</f>
        <v>#REF!</v>
      </c>
      <c r="GP283" t="e">
        <f>AND(#REF!,"AAAAAH79zcU=")</f>
        <v>#REF!</v>
      </c>
      <c r="GQ283" t="e">
        <f>AND(#REF!,"AAAAAH79zcY=")</f>
        <v>#REF!</v>
      </c>
      <c r="GR283" t="e">
        <f>AND(#REF!,"AAAAAH79zcc=")</f>
        <v>#REF!</v>
      </c>
      <c r="GS283" t="e">
        <f>AND(#REF!,"AAAAAH79zcg=")</f>
        <v>#REF!</v>
      </c>
      <c r="GT283" t="e">
        <f>AND(#REF!,"AAAAAH79zck=")</f>
        <v>#REF!</v>
      </c>
      <c r="GU283" t="e">
        <f>AND(#REF!,"AAAAAH79zco=")</f>
        <v>#REF!</v>
      </c>
      <c r="GV283" t="e">
        <f>AND(#REF!,"AAAAAH79zcs=")</f>
        <v>#REF!</v>
      </c>
      <c r="GW283" t="e">
        <f>AND(#REF!,"AAAAAH79zcw=")</f>
        <v>#REF!</v>
      </c>
      <c r="GX283" t="e">
        <f>AND(#REF!,"AAAAAH79zc0=")</f>
        <v>#REF!</v>
      </c>
      <c r="GY283" t="e">
        <f>AND(#REF!,"AAAAAH79zc4=")</f>
        <v>#REF!</v>
      </c>
      <c r="GZ283" t="e">
        <f>AND(#REF!,"AAAAAH79zc8=")</f>
        <v>#REF!</v>
      </c>
      <c r="HA283" t="e">
        <f>AND(#REF!,"AAAAAH79zdA=")</f>
        <v>#REF!</v>
      </c>
      <c r="HB283" t="e">
        <f>AND(#REF!,"AAAAAH79zdE=")</f>
        <v>#REF!</v>
      </c>
      <c r="HC283" t="e">
        <f>AND(#REF!,"AAAAAH79zdI=")</f>
        <v>#REF!</v>
      </c>
      <c r="HD283" t="e">
        <f>AND(#REF!,"AAAAAH79zdM=")</f>
        <v>#REF!</v>
      </c>
      <c r="HE283" t="e">
        <f>AND(#REF!,"AAAAAH79zdQ=")</f>
        <v>#REF!</v>
      </c>
      <c r="HF283" t="e">
        <f>AND(#REF!,"AAAAAH79zdU=")</f>
        <v>#REF!</v>
      </c>
      <c r="HG283" t="e">
        <f>AND(#REF!,"AAAAAH79zdY=")</f>
        <v>#REF!</v>
      </c>
      <c r="HH283" t="e">
        <f>AND(#REF!,"AAAAAH79zdc=")</f>
        <v>#REF!</v>
      </c>
      <c r="HI283" t="e">
        <f>AND(#REF!,"AAAAAH79zdg=")</f>
        <v>#REF!</v>
      </c>
      <c r="HJ283" t="e">
        <f>AND(#REF!,"AAAAAH79zdk=")</f>
        <v>#REF!</v>
      </c>
      <c r="HK283" t="e">
        <f>AND(#REF!,"AAAAAH79zdo=")</f>
        <v>#REF!</v>
      </c>
      <c r="HL283" t="e">
        <f>AND(#REF!,"AAAAAH79zds=")</f>
        <v>#REF!</v>
      </c>
      <c r="HM283" t="e">
        <f>AND(#REF!,"AAAAAH79zdw=")</f>
        <v>#REF!</v>
      </c>
      <c r="HN283" t="e">
        <f>AND(#REF!,"AAAAAH79zd0=")</f>
        <v>#REF!</v>
      </c>
      <c r="HO283" t="e">
        <f>AND(#REF!,"AAAAAH79zd4=")</f>
        <v>#REF!</v>
      </c>
      <c r="HP283" t="e">
        <f>AND(#REF!,"AAAAAH79zd8=")</f>
        <v>#REF!</v>
      </c>
      <c r="HQ283" t="e">
        <f>AND(#REF!,"AAAAAH79zeA=")</f>
        <v>#REF!</v>
      </c>
      <c r="HR283" t="e">
        <f>AND(#REF!,"AAAAAH79zeE=")</f>
        <v>#REF!</v>
      </c>
      <c r="HS283" t="e">
        <f>AND(#REF!,"AAAAAH79zeI=")</f>
        <v>#REF!</v>
      </c>
      <c r="HT283" t="e">
        <f>AND(#REF!,"AAAAAH79zeM=")</f>
        <v>#REF!</v>
      </c>
      <c r="HU283" t="e">
        <f>AND(#REF!,"AAAAAH79zeQ=")</f>
        <v>#REF!</v>
      </c>
      <c r="HV283" t="e">
        <f>AND(#REF!,"AAAAAH79zeU=")</f>
        <v>#REF!</v>
      </c>
      <c r="HW283" t="e">
        <f>AND(#REF!,"AAAAAH79zeY=")</f>
        <v>#REF!</v>
      </c>
      <c r="HX283" t="e">
        <f>AND(#REF!,"AAAAAH79zec=")</f>
        <v>#REF!</v>
      </c>
      <c r="HY283" t="e">
        <f>AND(#REF!,"AAAAAH79zeg=")</f>
        <v>#REF!</v>
      </c>
      <c r="HZ283" t="e">
        <f>AND(#REF!,"AAAAAH79zek=")</f>
        <v>#REF!</v>
      </c>
      <c r="IA283" t="e">
        <f>AND(#REF!,"AAAAAH79zeo=")</f>
        <v>#REF!</v>
      </c>
      <c r="IB283" t="e">
        <f>AND(#REF!,"AAAAAH79zes=")</f>
        <v>#REF!</v>
      </c>
      <c r="IC283" t="e">
        <f>AND(#REF!,"AAAAAH79zew=")</f>
        <v>#REF!</v>
      </c>
      <c r="ID283" t="e">
        <f>AND(#REF!,"AAAAAH79ze0=")</f>
        <v>#REF!</v>
      </c>
      <c r="IE283" t="e">
        <f>AND(#REF!,"AAAAAH79ze4=")</f>
        <v>#REF!</v>
      </c>
      <c r="IF283" t="e">
        <f>AND(#REF!,"AAAAAH79ze8=")</f>
        <v>#REF!</v>
      </c>
      <c r="IG283" t="e">
        <f>AND(#REF!,"AAAAAH79zfA=")</f>
        <v>#REF!</v>
      </c>
      <c r="IH283" t="e">
        <f>AND(#REF!,"AAAAAH79zfE=")</f>
        <v>#REF!</v>
      </c>
      <c r="II283" t="e">
        <f>AND(#REF!,"AAAAAH79zfI=")</f>
        <v>#REF!</v>
      </c>
      <c r="IJ283" t="e">
        <f>AND(#REF!,"AAAAAH79zfM=")</f>
        <v>#REF!</v>
      </c>
      <c r="IK283" t="e">
        <f>AND(#REF!,"AAAAAH79zfQ=")</f>
        <v>#REF!</v>
      </c>
      <c r="IL283" t="e">
        <f>AND(#REF!,"AAAAAH79zfU=")</f>
        <v>#REF!</v>
      </c>
      <c r="IM283" t="e">
        <f>AND(#REF!,"AAAAAH79zfY=")</f>
        <v>#REF!</v>
      </c>
      <c r="IN283" t="e">
        <f>AND(#REF!,"AAAAAH79zfc=")</f>
        <v>#REF!</v>
      </c>
      <c r="IO283" t="e">
        <f>AND(#REF!,"AAAAAH79zfg=")</f>
        <v>#REF!</v>
      </c>
      <c r="IP283" t="e">
        <f>AND(#REF!,"AAAAAH79zfk=")</f>
        <v>#REF!</v>
      </c>
      <c r="IQ283" t="e">
        <f>AND(#REF!,"AAAAAH79zfo=")</f>
        <v>#REF!</v>
      </c>
      <c r="IR283" t="e">
        <f>AND(#REF!,"AAAAAH79zfs=")</f>
        <v>#REF!</v>
      </c>
      <c r="IS283" t="e">
        <f>AND(#REF!,"AAAAAH79zfw=")</f>
        <v>#REF!</v>
      </c>
      <c r="IT283" t="e">
        <f>AND(#REF!,"AAAAAH79zf0=")</f>
        <v>#REF!</v>
      </c>
      <c r="IU283" t="e">
        <f>AND(#REF!,"AAAAAH79zf4=")</f>
        <v>#REF!</v>
      </c>
      <c r="IV283" t="e">
        <f>AND(#REF!,"AAAAAH79zf8=")</f>
        <v>#REF!</v>
      </c>
    </row>
    <row r="284" spans="1:256" x14ac:dyDescent="0.25">
      <c r="A284" t="e">
        <f>AND(#REF!,"AAAAAFL6/wA=")</f>
        <v>#REF!</v>
      </c>
      <c r="B284" t="e">
        <f>AND(#REF!,"AAAAAFL6/wE=")</f>
        <v>#REF!</v>
      </c>
      <c r="C284" t="e">
        <f>AND(#REF!,"AAAAAFL6/wI=")</f>
        <v>#REF!</v>
      </c>
      <c r="D284" t="e">
        <f>AND(#REF!,"AAAAAFL6/wM=")</f>
        <v>#REF!</v>
      </c>
      <c r="E284" t="e">
        <f>AND(#REF!,"AAAAAFL6/wQ=")</f>
        <v>#REF!</v>
      </c>
      <c r="F284" t="e">
        <f>AND(#REF!,"AAAAAFL6/wU=")</f>
        <v>#REF!</v>
      </c>
      <c r="G284" t="e">
        <f>AND(#REF!,"AAAAAFL6/wY=")</f>
        <v>#REF!</v>
      </c>
      <c r="H284" t="e">
        <f>AND(#REF!,"AAAAAFL6/wc=")</f>
        <v>#REF!</v>
      </c>
      <c r="I284" t="e">
        <f>AND(#REF!,"AAAAAFL6/wg=")</f>
        <v>#REF!</v>
      </c>
      <c r="J284" t="e">
        <f>AND(#REF!,"AAAAAFL6/wk=")</f>
        <v>#REF!</v>
      </c>
      <c r="K284" t="e">
        <f>AND(#REF!,"AAAAAFL6/wo=")</f>
        <v>#REF!</v>
      </c>
      <c r="L284" t="e">
        <f>AND(#REF!,"AAAAAFL6/ws=")</f>
        <v>#REF!</v>
      </c>
      <c r="M284" t="e">
        <f>AND(#REF!,"AAAAAFL6/ww=")</f>
        <v>#REF!</v>
      </c>
      <c r="N284" t="e">
        <f>AND(#REF!,"AAAAAFL6/w0=")</f>
        <v>#REF!</v>
      </c>
      <c r="O284" t="e">
        <f>AND(#REF!,"AAAAAFL6/w4=")</f>
        <v>#REF!</v>
      </c>
      <c r="P284" t="e">
        <f>AND(#REF!,"AAAAAFL6/w8=")</f>
        <v>#REF!</v>
      </c>
      <c r="Q284" t="e">
        <f>AND(#REF!,"AAAAAFL6/xA=")</f>
        <v>#REF!</v>
      </c>
      <c r="R284" t="e">
        <f>AND(#REF!,"AAAAAFL6/xE=")</f>
        <v>#REF!</v>
      </c>
      <c r="S284" t="e">
        <f>AND(#REF!,"AAAAAFL6/xI=")</f>
        <v>#REF!</v>
      </c>
      <c r="T284" t="e">
        <f>AND(#REF!,"AAAAAFL6/xM=")</f>
        <v>#REF!</v>
      </c>
      <c r="U284" t="e">
        <f>AND(#REF!,"AAAAAFL6/xQ=")</f>
        <v>#REF!</v>
      </c>
      <c r="V284" t="e">
        <f>AND(#REF!,"AAAAAFL6/xU=")</f>
        <v>#REF!</v>
      </c>
      <c r="W284" t="e">
        <f>AND(#REF!,"AAAAAFL6/xY=")</f>
        <v>#REF!</v>
      </c>
      <c r="X284" t="e">
        <f>AND(#REF!,"AAAAAFL6/xc=")</f>
        <v>#REF!</v>
      </c>
      <c r="Y284" t="e">
        <f>AND(#REF!,"AAAAAFL6/xg=")</f>
        <v>#REF!</v>
      </c>
      <c r="Z284" t="e">
        <f>AND(#REF!,"AAAAAFL6/xk=")</f>
        <v>#REF!</v>
      </c>
      <c r="AA284" t="e">
        <f>AND(#REF!,"AAAAAFL6/xo=")</f>
        <v>#REF!</v>
      </c>
      <c r="AB284" t="e">
        <f>AND(#REF!,"AAAAAFL6/xs=")</f>
        <v>#REF!</v>
      </c>
      <c r="AC284" t="e">
        <f>AND(#REF!,"AAAAAFL6/xw=")</f>
        <v>#REF!</v>
      </c>
      <c r="AD284" t="e">
        <f>AND(#REF!,"AAAAAFL6/x0=")</f>
        <v>#REF!</v>
      </c>
      <c r="AE284" t="e">
        <f>AND(#REF!,"AAAAAFL6/x4=")</f>
        <v>#REF!</v>
      </c>
      <c r="AF284" t="e">
        <f>AND(#REF!,"AAAAAFL6/x8=")</f>
        <v>#REF!</v>
      </c>
      <c r="AG284" t="e">
        <f>AND(#REF!,"AAAAAFL6/yA=")</f>
        <v>#REF!</v>
      </c>
      <c r="AH284" t="e">
        <f>AND(#REF!,"AAAAAFL6/yE=")</f>
        <v>#REF!</v>
      </c>
      <c r="AI284" t="e">
        <f>AND(#REF!,"AAAAAFL6/yI=")</f>
        <v>#REF!</v>
      </c>
      <c r="AJ284" t="e">
        <f>AND(#REF!,"AAAAAFL6/yM=")</f>
        <v>#REF!</v>
      </c>
      <c r="AK284" t="e">
        <f>AND(#REF!,"AAAAAFL6/yQ=")</f>
        <v>#REF!</v>
      </c>
      <c r="AL284" t="e">
        <f>AND(#REF!,"AAAAAFL6/yU=")</f>
        <v>#REF!</v>
      </c>
      <c r="AM284" t="e">
        <f>AND(#REF!,"AAAAAFL6/yY=")</f>
        <v>#REF!</v>
      </c>
      <c r="AN284" t="e">
        <f>AND(#REF!,"AAAAAFL6/yc=")</f>
        <v>#REF!</v>
      </c>
      <c r="AO284" t="e">
        <f>AND(#REF!,"AAAAAFL6/yg=")</f>
        <v>#REF!</v>
      </c>
      <c r="AP284" t="e">
        <f>AND(#REF!,"AAAAAFL6/yk=")</f>
        <v>#REF!</v>
      </c>
      <c r="AQ284" t="e">
        <f>AND(#REF!,"AAAAAFL6/yo=")</f>
        <v>#REF!</v>
      </c>
      <c r="AR284" t="e">
        <f>AND(#REF!,"AAAAAFL6/ys=")</f>
        <v>#REF!</v>
      </c>
      <c r="AS284" t="e">
        <f>AND(#REF!,"AAAAAFL6/yw=")</f>
        <v>#REF!</v>
      </c>
      <c r="AT284" t="e">
        <f>AND(#REF!,"AAAAAFL6/y0=")</f>
        <v>#REF!</v>
      </c>
      <c r="AU284" t="e">
        <f>AND(#REF!,"AAAAAFL6/y4=")</f>
        <v>#REF!</v>
      </c>
      <c r="AV284" t="e">
        <f>AND(#REF!,"AAAAAFL6/y8=")</f>
        <v>#REF!</v>
      </c>
      <c r="AW284" t="e">
        <f>AND(#REF!,"AAAAAFL6/zA=")</f>
        <v>#REF!</v>
      </c>
      <c r="AX284" t="e">
        <f>AND(#REF!,"AAAAAFL6/zE=")</f>
        <v>#REF!</v>
      </c>
      <c r="AY284" t="e">
        <f>AND(#REF!,"AAAAAFL6/zI=")</f>
        <v>#REF!</v>
      </c>
      <c r="AZ284" t="e">
        <f>AND(#REF!,"AAAAAFL6/zM=")</f>
        <v>#REF!</v>
      </c>
      <c r="BA284" t="e">
        <f>AND(#REF!,"AAAAAFL6/zQ=")</f>
        <v>#REF!</v>
      </c>
      <c r="BB284" t="e">
        <f>AND(#REF!,"AAAAAFL6/zU=")</f>
        <v>#REF!</v>
      </c>
      <c r="BC284" t="e">
        <f>AND(#REF!,"AAAAAFL6/zY=")</f>
        <v>#REF!</v>
      </c>
      <c r="BD284" t="e">
        <f>AND(#REF!,"AAAAAFL6/zc=")</f>
        <v>#REF!</v>
      </c>
      <c r="BE284" t="e">
        <f>AND(#REF!,"AAAAAFL6/zg=")</f>
        <v>#REF!</v>
      </c>
      <c r="BF284" t="e">
        <f>AND(#REF!,"AAAAAFL6/zk=")</f>
        <v>#REF!</v>
      </c>
      <c r="BG284" t="e">
        <f>AND(#REF!,"AAAAAFL6/zo=")</f>
        <v>#REF!</v>
      </c>
      <c r="BH284" t="e">
        <f>AND(#REF!,"AAAAAFL6/zs=")</f>
        <v>#REF!</v>
      </c>
      <c r="BI284" t="e">
        <f>AND(#REF!,"AAAAAFL6/zw=")</f>
        <v>#REF!</v>
      </c>
      <c r="BJ284" t="e">
        <f>AND(#REF!,"AAAAAFL6/z0=")</f>
        <v>#REF!</v>
      </c>
      <c r="BK284" t="e">
        <f>AND(#REF!,"AAAAAFL6/z4=")</f>
        <v>#REF!</v>
      </c>
      <c r="BL284" t="e">
        <f>AND(#REF!,"AAAAAFL6/z8=")</f>
        <v>#REF!</v>
      </c>
      <c r="BM284" t="e">
        <f>AND(#REF!,"AAAAAFL6/0A=")</f>
        <v>#REF!</v>
      </c>
      <c r="BN284" t="e">
        <f>AND(#REF!,"AAAAAFL6/0E=")</f>
        <v>#REF!</v>
      </c>
      <c r="BO284" t="e">
        <f>AND(#REF!,"AAAAAFL6/0I=")</f>
        <v>#REF!</v>
      </c>
      <c r="BP284" t="e">
        <f>AND(#REF!,"AAAAAFL6/0M=")</f>
        <v>#REF!</v>
      </c>
      <c r="BQ284" t="e">
        <f>AND(#REF!,"AAAAAFL6/0Q=")</f>
        <v>#REF!</v>
      </c>
      <c r="BR284" t="e">
        <f>AND(#REF!,"AAAAAFL6/0U=")</f>
        <v>#REF!</v>
      </c>
      <c r="BS284" t="e">
        <f>AND(#REF!,"AAAAAFL6/0Y=")</f>
        <v>#REF!</v>
      </c>
      <c r="BT284" t="e">
        <f>AND(#REF!,"AAAAAFL6/0c=")</f>
        <v>#REF!</v>
      </c>
      <c r="BU284" t="e">
        <f>AND(#REF!,"AAAAAFL6/0g=")</f>
        <v>#REF!</v>
      </c>
      <c r="BV284" t="e">
        <f>AND(#REF!,"AAAAAFL6/0k=")</f>
        <v>#REF!</v>
      </c>
      <c r="BW284" t="e">
        <f>AND(#REF!,"AAAAAFL6/0o=")</f>
        <v>#REF!</v>
      </c>
      <c r="BX284" t="e">
        <f>AND(#REF!,"AAAAAFL6/0s=")</f>
        <v>#REF!</v>
      </c>
      <c r="BY284" t="e">
        <f>AND(#REF!,"AAAAAFL6/0w=")</f>
        <v>#REF!</v>
      </c>
      <c r="BZ284" t="e">
        <f>AND(#REF!,"AAAAAFL6/00=")</f>
        <v>#REF!</v>
      </c>
      <c r="CA284" t="e">
        <f>AND(#REF!,"AAAAAFL6/04=")</f>
        <v>#REF!</v>
      </c>
      <c r="CB284" t="e">
        <f>AND(#REF!,"AAAAAFL6/08=")</f>
        <v>#REF!</v>
      </c>
      <c r="CC284" t="e">
        <f>AND(#REF!,"AAAAAFL6/1A=")</f>
        <v>#REF!</v>
      </c>
      <c r="CD284" t="e">
        <f>AND(#REF!,"AAAAAFL6/1E=")</f>
        <v>#REF!</v>
      </c>
      <c r="CE284" t="e">
        <f>AND(#REF!,"AAAAAFL6/1I=")</f>
        <v>#REF!</v>
      </c>
      <c r="CF284" t="e">
        <f>AND(#REF!,"AAAAAFL6/1M=")</f>
        <v>#REF!</v>
      </c>
      <c r="CG284" t="e">
        <f>AND(#REF!,"AAAAAFL6/1Q=")</f>
        <v>#REF!</v>
      </c>
      <c r="CH284" t="e">
        <f>AND(#REF!,"AAAAAFL6/1U=")</f>
        <v>#REF!</v>
      </c>
      <c r="CI284" t="e">
        <f>AND(#REF!,"AAAAAFL6/1Y=")</f>
        <v>#REF!</v>
      </c>
      <c r="CJ284" t="e">
        <f>AND(#REF!,"AAAAAFL6/1c=")</f>
        <v>#REF!</v>
      </c>
      <c r="CK284" t="e">
        <f>AND(#REF!,"AAAAAFL6/1g=")</f>
        <v>#REF!</v>
      </c>
      <c r="CL284" t="e">
        <f>AND(#REF!,"AAAAAFL6/1k=")</f>
        <v>#REF!</v>
      </c>
      <c r="CM284" t="e">
        <f>AND(#REF!,"AAAAAFL6/1o=")</f>
        <v>#REF!</v>
      </c>
      <c r="CN284" t="e">
        <f>AND(#REF!,"AAAAAFL6/1s=")</f>
        <v>#REF!</v>
      </c>
      <c r="CO284" t="e">
        <f>AND(#REF!,"AAAAAFL6/1w=")</f>
        <v>#REF!</v>
      </c>
      <c r="CP284" t="e">
        <f>AND(#REF!,"AAAAAFL6/10=")</f>
        <v>#REF!</v>
      </c>
      <c r="CQ284" t="e">
        <f>AND(#REF!,"AAAAAFL6/14=")</f>
        <v>#REF!</v>
      </c>
      <c r="CR284" t="e">
        <f>AND(#REF!,"AAAAAFL6/18=")</f>
        <v>#REF!</v>
      </c>
      <c r="CS284" t="e">
        <f>AND(#REF!,"AAAAAFL6/2A=")</f>
        <v>#REF!</v>
      </c>
      <c r="CT284" t="e">
        <f>AND(#REF!,"AAAAAFL6/2E=")</f>
        <v>#REF!</v>
      </c>
      <c r="CU284" t="e">
        <f>AND(#REF!,"AAAAAFL6/2I=")</f>
        <v>#REF!</v>
      </c>
      <c r="CV284" t="e">
        <f>AND(#REF!,"AAAAAFL6/2M=")</f>
        <v>#REF!</v>
      </c>
      <c r="CW284" t="e">
        <f>AND(#REF!,"AAAAAFL6/2Q=")</f>
        <v>#REF!</v>
      </c>
      <c r="CX284" t="e">
        <f>AND(#REF!,"AAAAAFL6/2U=")</f>
        <v>#REF!</v>
      </c>
      <c r="CY284" t="e">
        <f>AND(#REF!,"AAAAAFL6/2Y=")</f>
        <v>#REF!</v>
      </c>
      <c r="CZ284" t="e">
        <f>AND(#REF!,"AAAAAFL6/2c=")</f>
        <v>#REF!</v>
      </c>
      <c r="DA284" t="e">
        <f>AND(#REF!,"AAAAAFL6/2g=")</f>
        <v>#REF!</v>
      </c>
      <c r="DB284" t="e">
        <f>AND(#REF!,"AAAAAFL6/2k=")</f>
        <v>#REF!</v>
      </c>
      <c r="DC284" t="e">
        <f>AND(#REF!,"AAAAAFL6/2o=")</f>
        <v>#REF!</v>
      </c>
      <c r="DD284" t="e">
        <f>AND(#REF!,"AAAAAFL6/2s=")</f>
        <v>#REF!</v>
      </c>
      <c r="DE284" t="e">
        <f>AND(#REF!,"AAAAAFL6/2w=")</f>
        <v>#REF!</v>
      </c>
      <c r="DF284" t="e">
        <f>AND(#REF!,"AAAAAFL6/20=")</f>
        <v>#REF!</v>
      </c>
      <c r="DG284" t="e">
        <f>AND(#REF!,"AAAAAFL6/24=")</f>
        <v>#REF!</v>
      </c>
      <c r="DH284" t="e">
        <f>AND(#REF!,"AAAAAFL6/28=")</f>
        <v>#REF!</v>
      </c>
      <c r="DI284" t="e">
        <f>AND(#REF!,"AAAAAFL6/3A=")</f>
        <v>#REF!</v>
      </c>
      <c r="DJ284" t="e">
        <f>AND(#REF!,"AAAAAFL6/3E=")</f>
        <v>#REF!</v>
      </c>
      <c r="DK284" t="e">
        <f>AND(#REF!,"AAAAAFL6/3I=")</f>
        <v>#REF!</v>
      </c>
      <c r="DL284" t="e">
        <f>AND(#REF!,"AAAAAFL6/3M=")</f>
        <v>#REF!</v>
      </c>
      <c r="DM284" t="e">
        <f>AND(#REF!,"AAAAAFL6/3Q=")</f>
        <v>#REF!</v>
      </c>
      <c r="DN284" t="e">
        <f>AND(#REF!,"AAAAAFL6/3U=")</f>
        <v>#REF!</v>
      </c>
      <c r="DO284" t="e">
        <f>AND(#REF!,"AAAAAFL6/3Y=")</f>
        <v>#REF!</v>
      </c>
      <c r="DP284" t="e">
        <f>AND(#REF!,"AAAAAFL6/3c=")</f>
        <v>#REF!</v>
      </c>
      <c r="DQ284" t="e">
        <f>IF(#REF!,"AAAAAFL6/3g=",0)</f>
        <v>#REF!</v>
      </c>
      <c r="DR284" t="e">
        <f>AND(#REF!,"AAAAAFL6/3k=")</f>
        <v>#REF!</v>
      </c>
      <c r="DS284" t="e">
        <f>AND(#REF!,"AAAAAFL6/3o=")</f>
        <v>#REF!</v>
      </c>
      <c r="DT284" t="e">
        <f>AND(#REF!,"AAAAAFL6/3s=")</f>
        <v>#REF!</v>
      </c>
      <c r="DU284" t="e">
        <f>AND(#REF!,"AAAAAFL6/3w=")</f>
        <v>#REF!</v>
      </c>
      <c r="DV284" t="e">
        <f>AND(#REF!,"AAAAAFL6/30=")</f>
        <v>#REF!</v>
      </c>
      <c r="DW284" t="e">
        <f>AND(#REF!,"AAAAAFL6/34=")</f>
        <v>#REF!</v>
      </c>
      <c r="DX284" t="e">
        <f>AND(#REF!,"AAAAAFL6/38=")</f>
        <v>#REF!</v>
      </c>
      <c r="DY284" t="e">
        <f>AND(#REF!,"AAAAAFL6/4A=")</f>
        <v>#REF!</v>
      </c>
      <c r="DZ284" t="e">
        <f>AND(#REF!,"AAAAAFL6/4E=")</f>
        <v>#REF!</v>
      </c>
      <c r="EA284" t="e">
        <f>AND(#REF!,"AAAAAFL6/4I=")</f>
        <v>#REF!</v>
      </c>
      <c r="EB284" t="e">
        <f>AND(#REF!,"AAAAAFL6/4M=")</f>
        <v>#REF!</v>
      </c>
      <c r="EC284" t="e">
        <f>AND(#REF!,"AAAAAFL6/4Q=")</f>
        <v>#REF!</v>
      </c>
      <c r="ED284" t="e">
        <f>AND(#REF!,"AAAAAFL6/4U=")</f>
        <v>#REF!</v>
      </c>
      <c r="EE284" t="e">
        <f>AND(#REF!,"AAAAAFL6/4Y=")</f>
        <v>#REF!</v>
      </c>
      <c r="EF284" t="e">
        <f>AND(#REF!,"AAAAAFL6/4c=")</f>
        <v>#REF!</v>
      </c>
      <c r="EG284" t="e">
        <f>AND(#REF!,"AAAAAFL6/4g=")</f>
        <v>#REF!</v>
      </c>
      <c r="EH284" t="e">
        <f>AND(#REF!,"AAAAAFL6/4k=")</f>
        <v>#REF!</v>
      </c>
      <c r="EI284" t="e">
        <f>AND(#REF!,"AAAAAFL6/4o=")</f>
        <v>#REF!</v>
      </c>
      <c r="EJ284" t="e">
        <f>AND(#REF!,"AAAAAFL6/4s=")</f>
        <v>#REF!</v>
      </c>
      <c r="EK284" t="e">
        <f>AND(#REF!,"AAAAAFL6/4w=")</f>
        <v>#REF!</v>
      </c>
      <c r="EL284" t="e">
        <f>AND(#REF!,"AAAAAFL6/40=")</f>
        <v>#REF!</v>
      </c>
      <c r="EM284" t="e">
        <f>AND(#REF!,"AAAAAFL6/44=")</f>
        <v>#REF!</v>
      </c>
      <c r="EN284" t="e">
        <f>AND(#REF!,"AAAAAFL6/48=")</f>
        <v>#REF!</v>
      </c>
      <c r="EO284" t="e">
        <f>AND(#REF!,"AAAAAFL6/5A=")</f>
        <v>#REF!</v>
      </c>
      <c r="EP284" t="e">
        <f>AND(#REF!,"AAAAAFL6/5E=")</f>
        <v>#REF!</v>
      </c>
      <c r="EQ284" t="e">
        <f>AND(#REF!,"AAAAAFL6/5I=")</f>
        <v>#REF!</v>
      </c>
      <c r="ER284" t="e">
        <f>AND(#REF!,"AAAAAFL6/5M=")</f>
        <v>#REF!</v>
      </c>
      <c r="ES284" t="e">
        <f>AND(#REF!,"AAAAAFL6/5Q=")</f>
        <v>#REF!</v>
      </c>
      <c r="ET284" t="e">
        <f>AND(#REF!,"AAAAAFL6/5U=")</f>
        <v>#REF!</v>
      </c>
      <c r="EU284" t="e">
        <f>AND(#REF!,"AAAAAFL6/5Y=")</f>
        <v>#REF!</v>
      </c>
      <c r="EV284" t="e">
        <f>AND(#REF!,"AAAAAFL6/5c=")</f>
        <v>#REF!</v>
      </c>
      <c r="EW284" t="e">
        <f>AND(#REF!,"AAAAAFL6/5g=")</f>
        <v>#REF!</v>
      </c>
      <c r="EX284" t="e">
        <f>AND(#REF!,"AAAAAFL6/5k=")</f>
        <v>#REF!</v>
      </c>
      <c r="EY284" t="e">
        <f>AND(#REF!,"AAAAAFL6/5o=")</f>
        <v>#REF!</v>
      </c>
      <c r="EZ284" t="e">
        <f>AND(#REF!,"AAAAAFL6/5s=")</f>
        <v>#REF!</v>
      </c>
      <c r="FA284" t="e">
        <f>AND(#REF!,"AAAAAFL6/5w=")</f>
        <v>#REF!</v>
      </c>
      <c r="FB284" t="e">
        <f>AND(#REF!,"AAAAAFL6/50=")</f>
        <v>#REF!</v>
      </c>
      <c r="FC284" t="e">
        <f>AND(#REF!,"AAAAAFL6/54=")</f>
        <v>#REF!</v>
      </c>
      <c r="FD284" t="e">
        <f>AND(#REF!,"AAAAAFL6/58=")</f>
        <v>#REF!</v>
      </c>
      <c r="FE284" t="e">
        <f>AND(#REF!,"AAAAAFL6/6A=")</f>
        <v>#REF!</v>
      </c>
      <c r="FF284" t="e">
        <f>AND(#REF!,"AAAAAFL6/6E=")</f>
        <v>#REF!</v>
      </c>
      <c r="FG284" t="e">
        <f>AND(#REF!,"AAAAAFL6/6I=")</f>
        <v>#REF!</v>
      </c>
      <c r="FH284" t="e">
        <f>AND(#REF!,"AAAAAFL6/6M=")</f>
        <v>#REF!</v>
      </c>
      <c r="FI284" t="e">
        <f>AND(#REF!,"AAAAAFL6/6Q=")</f>
        <v>#REF!</v>
      </c>
      <c r="FJ284" t="e">
        <f>AND(#REF!,"AAAAAFL6/6U=")</f>
        <v>#REF!</v>
      </c>
      <c r="FK284" t="e">
        <f>AND(#REF!,"AAAAAFL6/6Y=")</f>
        <v>#REF!</v>
      </c>
      <c r="FL284" t="e">
        <f>AND(#REF!,"AAAAAFL6/6c=")</f>
        <v>#REF!</v>
      </c>
      <c r="FM284" t="e">
        <f>AND(#REF!,"AAAAAFL6/6g=")</f>
        <v>#REF!</v>
      </c>
      <c r="FN284" t="e">
        <f>AND(#REF!,"AAAAAFL6/6k=")</f>
        <v>#REF!</v>
      </c>
      <c r="FO284" t="e">
        <f>AND(#REF!,"AAAAAFL6/6o=")</f>
        <v>#REF!</v>
      </c>
      <c r="FP284" t="e">
        <f>AND(#REF!,"AAAAAFL6/6s=")</f>
        <v>#REF!</v>
      </c>
      <c r="FQ284" t="e">
        <f>AND(#REF!,"AAAAAFL6/6w=")</f>
        <v>#REF!</v>
      </c>
      <c r="FR284" t="e">
        <f>AND(#REF!,"AAAAAFL6/60=")</f>
        <v>#REF!</v>
      </c>
      <c r="FS284" t="e">
        <f>AND(#REF!,"AAAAAFL6/64=")</f>
        <v>#REF!</v>
      </c>
      <c r="FT284" t="e">
        <f>AND(#REF!,"AAAAAFL6/68=")</f>
        <v>#REF!</v>
      </c>
      <c r="FU284" t="e">
        <f>AND(#REF!,"AAAAAFL6/7A=")</f>
        <v>#REF!</v>
      </c>
      <c r="FV284" t="e">
        <f>AND(#REF!,"AAAAAFL6/7E=")</f>
        <v>#REF!</v>
      </c>
      <c r="FW284" t="e">
        <f>AND(#REF!,"AAAAAFL6/7I=")</f>
        <v>#REF!</v>
      </c>
      <c r="FX284" t="e">
        <f>AND(#REF!,"AAAAAFL6/7M=")</f>
        <v>#REF!</v>
      </c>
      <c r="FY284" t="e">
        <f>AND(#REF!,"AAAAAFL6/7Q=")</f>
        <v>#REF!</v>
      </c>
      <c r="FZ284" t="e">
        <f>AND(#REF!,"AAAAAFL6/7U=")</f>
        <v>#REF!</v>
      </c>
      <c r="GA284" t="e">
        <f>AND(#REF!,"AAAAAFL6/7Y=")</f>
        <v>#REF!</v>
      </c>
      <c r="GB284" t="e">
        <f>AND(#REF!,"AAAAAFL6/7c=")</f>
        <v>#REF!</v>
      </c>
      <c r="GC284" t="e">
        <f>AND(#REF!,"AAAAAFL6/7g=")</f>
        <v>#REF!</v>
      </c>
      <c r="GD284" t="e">
        <f>AND(#REF!,"AAAAAFL6/7k=")</f>
        <v>#REF!</v>
      </c>
      <c r="GE284" t="e">
        <f>AND(#REF!,"AAAAAFL6/7o=")</f>
        <v>#REF!</v>
      </c>
      <c r="GF284" t="e">
        <f>AND(#REF!,"AAAAAFL6/7s=")</f>
        <v>#REF!</v>
      </c>
      <c r="GG284" t="e">
        <f>AND(#REF!,"AAAAAFL6/7w=")</f>
        <v>#REF!</v>
      </c>
      <c r="GH284" t="e">
        <f>AND(#REF!,"AAAAAFL6/70=")</f>
        <v>#REF!</v>
      </c>
      <c r="GI284" t="e">
        <f>AND(#REF!,"AAAAAFL6/74=")</f>
        <v>#REF!</v>
      </c>
      <c r="GJ284" t="e">
        <f>AND(#REF!,"AAAAAFL6/78=")</f>
        <v>#REF!</v>
      </c>
      <c r="GK284" t="e">
        <f>AND(#REF!,"AAAAAFL6/8A=")</f>
        <v>#REF!</v>
      </c>
      <c r="GL284" t="e">
        <f>AND(#REF!,"AAAAAFL6/8E=")</f>
        <v>#REF!</v>
      </c>
      <c r="GM284" t="e">
        <f>AND(#REF!,"AAAAAFL6/8I=")</f>
        <v>#REF!</v>
      </c>
      <c r="GN284" t="e">
        <f>AND(#REF!,"AAAAAFL6/8M=")</f>
        <v>#REF!</v>
      </c>
      <c r="GO284" t="e">
        <f>AND(#REF!,"AAAAAFL6/8Q=")</f>
        <v>#REF!</v>
      </c>
      <c r="GP284" t="e">
        <f>AND(#REF!,"AAAAAFL6/8U=")</f>
        <v>#REF!</v>
      </c>
      <c r="GQ284" t="e">
        <f>AND(#REF!,"AAAAAFL6/8Y=")</f>
        <v>#REF!</v>
      </c>
      <c r="GR284" t="e">
        <f>AND(#REF!,"AAAAAFL6/8c=")</f>
        <v>#REF!</v>
      </c>
      <c r="GS284" t="e">
        <f>AND(#REF!,"AAAAAFL6/8g=")</f>
        <v>#REF!</v>
      </c>
      <c r="GT284" t="e">
        <f>AND(#REF!,"AAAAAFL6/8k=")</f>
        <v>#REF!</v>
      </c>
      <c r="GU284" t="e">
        <f>AND(#REF!,"AAAAAFL6/8o=")</f>
        <v>#REF!</v>
      </c>
      <c r="GV284" t="e">
        <f>AND(#REF!,"AAAAAFL6/8s=")</f>
        <v>#REF!</v>
      </c>
      <c r="GW284" t="e">
        <f>AND(#REF!,"AAAAAFL6/8w=")</f>
        <v>#REF!</v>
      </c>
      <c r="GX284" t="e">
        <f>AND(#REF!,"AAAAAFL6/80=")</f>
        <v>#REF!</v>
      </c>
      <c r="GY284" t="e">
        <f>AND(#REF!,"AAAAAFL6/84=")</f>
        <v>#REF!</v>
      </c>
      <c r="GZ284" t="e">
        <f>AND(#REF!,"AAAAAFL6/88=")</f>
        <v>#REF!</v>
      </c>
      <c r="HA284" t="e">
        <f>AND(#REF!,"AAAAAFL6/9A=")</f>
        <v>#REF!</v>
      </c>
      <c r="HB284" t="e">
        <f>AND(#REF!,"AAAAAFL6/9E=")</f>
        <v>#REF!</v>
      </c>
      <c r="HC284" t="e">
        <f>AND(#REF!,"AAAAAFL6/9I=")</f>
        <v>#REF!</v>
      </c>
      <c r="HD284" t="e">
        <f>AND(#REF!,"AAAAAFL6/9M=")</f>
        <v>#REF!</v>
      </c>
      <c r="HE284" t="e">
        <f>AND(#REF!,"AAAAAFL6/9Q=")</f>
        <v>#REF!</v>
      </c>
      <c r="HF284" t="e">
        <f>AND(#REF!,"AAAAAFL6/9U=")</f>
        <v>#REF!</v>
      </c>
      <c r="HG284" t="e">
        <f>AND(#REF!,"AAAAAFL6/9Y=")</f>
        <v>#REF!</v>
      </c>
      <c r="HH284" t="e">
        <f>AND(#REF!,"AAAAAFL6/9c=")</f>
        <v>#REF!</v>
      </c>
      <c r="HI284" t="e">
        <f>AND(#REF!,"AAAAAFL6/9g=")</f>
        <v>#REF!</v>
      </c>
      <c r="HJ284" t="e">
        <f>AND(#REF!,"AAAAAFL6/9k=")</f>
        <v>#REF!</v>
      </c>
      <c r="HK284" t="e">
        <f>AND(#REF!,"AAAAAFL6/9o=")</f>
        <v>#REF!</v>
      </c>
      <c r="HL284" t="e">
        <f>AND(#REF!,"AAAAAFL6/9s=")</f>
        <v>#REF!</v>
      </c>
      <c r="HM284" t="e">
        <f>AND(#REF!,"AAAAAFL6/9w=")</f>
        <v>#REF!</v>
      </c>
      <c r="HN284" t="e">
        <f>AND(#REF!,"AAAAAFL6/90=")</f>
        <v>#REF!</v>
      </c>
      <c r="HO284" t="e">
        <f>AND(#REF!,"AAAAAFL6/94=")</f>
        <v>#REF!</v>
      </c>
      <c r="HP284" t="e">
        <f>AND(#REF!,"AAAAAFL6/98=")</f>
        <v>#REF!</v>
      </c>
      <c r="HQ284" t="e">
        <f>AND(#REF!,"AAAAAFL6/+A=")</f>
        <v>#REF!</v>
      </c>
      <c r="HR284" t="e">
        <f>AND(#REF!,"AAAAAFL6/+E=")</f>
        <v>#REF!</v>
      </c>
      <c r="HS284" t="e">
        <f>AND(#REF!,"AAAAAFL6/+I=")</f>
        <v>#REF!</v>
      </c>
      <c r="HT284" t="e">
        <f>AND(#REF!,"AAAAAFL6/+M=")</f>
        <v>#REF!</v>
      </c>
      <c r="HU284" t="e">
        <f>AND(#REF!,"AAAAAFL6/+Q=")</f>
        <v>#REF!</v>
      </c>
      <c r="HV284" t="e">
        <f>AND(#REF!,"AAAAAFL6/+U=")</f>
        <v>#REF!</v>
      </c>
      <c r="HW284" t="e">
        <f>AND(#REF!,"AAAAAFL6/+Y=")</f>
        <v>#REF!</v>
      </c>
      <c r="HX284" t="e">
        <f>AND(#REF!,"AAAAAFL6/+c=")</f>
        <v>#REF!</v>
      </c>
      <c r="HY284" t="e">
        <f>AND(#REF!,"AAAAAFL6/+g=")</f>
        <v>#REF!</v>
      </c>
      <c r="HZ284" t="e">
        <f>AND(#REF!,"AAAAAFL6/+k=")</f>
        <v>#REF!</v>
      </c>
      <c r="IA284" t="e">
        <f>AND(#REF!,"AAAAAFL6/+o=")</f>
        <v>#REF!</v>
      </c>
      <c r="IB284" t="e">
        <f>AND(#REF!,"AAAAAFL6/+s=")</f>
        <v>#REF!</v>
      </c>
      <c r="IC284" t="e">
        <f>AND(#REF!,"AAAAAFL6/+w=")</f>
        <v>#REF!</v>
      </c>
      <c r="ID284" t="e">
        <f>AND(#REF!,"AAAAAFL6/+0=")</f>
        <v>#REF!</v>
      </c>
      <c r="IE284" t="e">
        <f>AND(#REF!,"AAAAAFL6/+4=")</f>
        <v>#REF!</v>
      </c>
      <c r="IF284" t="e">
        <f>AND(#REF!,"AAAAAFL6/+8=")</f>
        <v>#REF!</v>
      </c>
      <c r="IG284" t="e">
        <f>AND(#REF!,"AAAAAFL6//A=")</f>
        <v>#REF!</v>
      </c>
      <c r="IH284" t="e">
        <f>AND(#REF!,"AAAAAFL6//E=")</f>
        <v>#REF!</v>
      </c>
      <c r="II284" t="e">
        <f>AND(#REF!,"AAAAAFL6//I=")</f>
        <v>#REF!</v>
      </c>
      <c r="IJ284" t="e">
        <f>AND(#REF!,"AAAAAFL6//M=")</f>
        <v>#REF!</v>
      </c>
      <c r="IK284" t="e">
        <f>AND(#REF!,"AAAAAFL6//Q=")</f>
        <v>#REF!</v>
      </c>
      <c r="IL284" t="e">
        <f>AND(#REF!,"AAAAAFL6//U=")</f>
        <v>#REF!</v>
      </c>
      <c r="IM284" t="e">
        <f>AND(#REF!,"AAAAAFL6//Y=")</f>
        <v>#REF!</v>
      </c>
      <c r="IN284" t="e">
        <f>AND(#REF!,"AAAAAFL6//c=")</f>
        <v>#REF!</v>
      </c>
      <c r="IO284" t="e">
        <f>AND(#REF!,"AAAAAFL6//g=")</f>
        <v>#REF!</v>
      </c>
      <c r="IP284" t="e">
        <f>AND(#REF!,"AAAAAFL6//k=")</f>
        <v>#REF!</v>
      </c>
      <c r="IQ284" t="e">
        <f>AND(#REF!,"AAAAAFL6//o=")</f>
        <v>#REF!</v>
      </c>
      <c r="IR284" t="e">
        <f>AND(#REF!,"AAAAAFL6//s=")</f>
        <v>#REF!</v>
      </c>
      <c r="IS284" t="e">
        <f>AND(#REF!,"AAAAAFL6//w=")</f>
        <v>#REF!</v>
      </c>
      <c r="IT284" t="e">
        <f>AND(#REF!,"AAAAAFL6//0=")</f>
        <v>#REF!</v>
      </c>
      <c r="IU284" t="e">
        <f>AND(#REF!,"AAAAAFL6//4=")</f>
        <v>#REF!</v>
      </c>
      <c r="IV284" t="e">
        <f>AND(#REF!,"AAAAAFL6//8=")</f>
        <v>#REF!</v>
      </c>
    </row>
    <row r="285" spans="1:256" x14ac:dyDescent="0.25">
      <c r="A285" t="e">
        <f>AND(#REF!,"AAAAAGn3ewA=")</f>
        <v>#REF!</v>
      </c>
      <c r="B285" t="e">
        <f>AND(#REF!,"AAAAAGn3ewE=")</f>
        <v>#REF!</v>
      </c>
      <c r="C285" t="e">
        <f>AND(#REF!,"AAAAAGn3ewI=")</f>
        <v>#REF!</v>
      </c>
      <c r="D285" t="e">
        <f>AND(#REF!,"AAAAAGn3ewM=")</f>
        <v>#REF!</v>
      </c>
      <c r="E285" t="e">
        <f>AND(#REF!,"AAAAAGn3ewQ=")</f>
        <v>#REF!</v>
      </c>
      <c r="F285" t="e">
        <f>AND(#REF!,"AAAAAGn3ewU=")</f>
        <v>#REF!</v>
      </c>
      <c r="G285" t="e">
        <f>AND(#REF!,"AAAAAGn3ewY=")</f>
        <v>#REF!</v>
      </c>
      <c r="H285" t="e">
        <f>AND(#REF!,"AAAAAGn3ewc=")</f>
        <v>#REF!</v>
      </c>
      <c r="I285" t="e">
        <f>AND(#REF!,"AAAAAGn3ewg=")</f>
        <v>#REF!</v>
      </c>
      <c r="J285" t="e">
        <f>AND(#REF!,"AAAAAGn3ewk=")</f>
        <v>#REF!</v>
      </c>
      <c r="K285" t="e">
        <f>AND(#REF!,"AAAAAGn3ewo=")</f>
        <v>#REF!</v>
      </c>
      <c r="L285" t="e">
        <f>AND(#REF!,"AAAAAGn3ews=")</f>
        <v>#REF!</v>
      </c>
      <c r="M285" t="e">
        <f>AND(#REF!,"AAAAAGn3eww=")</f>
        <v>#REF!</v>
      </c>
      <c r="N285" t="e">
        <f>AND(#REF!,"AAAAAGn3ew0=")</f>
        <v>#REF!</v>
      </c>
      <c r="O285" t="e">
        <f>AND(#REF!,"AAAAAGn3ew4=")</f>
        <v>#REF!</v>
      </c>
      <c r="P285" t="e">
        <f>AND(#REF!,"AAAAAGn3ew8=")</f>
        <v>#REF!</v>
      </c>
      <c r="Q285" t="e">
        <f>AND(#REF!,"AAAAAGn3exA=")</f>
        <v>#REF!</v>
      </c>
      <c r="R285" t="e">
        <f>AND(#REF!,"AAAAAGn3exE=")</f>
        <v>#REF!</v>
      </c>
      <c r="S285" t="e">
        <f>AND(#REF!,"AAAAAGn3exI=")</f>
        <v>#REF!</v>
      </c>
      <c r="T285" t="e">
        <f>AND(#REF!,"AAAAAGn3exM=")</f>
        <v>#REF!</v>
      </c>
      <c r="U285" t="e">
        <f>AND(#REF!,"AAAAAGn3exQ=")</f>
        <v>#REF!</v>
      </c>
      <c r="V285" t="e">
        <f>AND(#REF!,"AAAAAGn3exU=")</f>
        <v>#REF!</v>
      </c>
      <c r="W285" t="e">
        <f>AND(#REF!,"AAAAAGn3exY=")</f>
        <v>#REF!</v>
      </c>
      <c r="X285" t="e">
        <f>AND(#REF!,"AAAAAGn3exc=")</f>
        <v>#REF!</v>
      </c>
      <c r="Y285" t="e">
        <f>AND(#REF!,"AAAAAGn3exg=")</f>
        <v>#REF!</v>
      </c>
      <c r="Z285" t="e">
        <f>AND(#REF!,"AAAAAGn3exk=")</f>
        <v>#REF!</v>
      </c>
      <c r="AA285" t="e">
        <f>AND(#REF!,"AAAAAGn3exo=")</f>
        <v>#REF!</v>
      </c>
      <c r="AB285" t="e">
        <f>AND(#REF!,"AAAAAGn3exs=")</f>
        <v>#REF!</v>
      </c>
      <c r="AC285" t="e">
        <f>AND(#REF!,"AAAAAGn3exw=")</f>
        <v>#REF!</v>
      </c>
      <c r="AD285" t="e">
        <f>AND(#REF!,"AAAAAGn3ex0=")</f>
        <v>#REF!</v>
      </c>
      <c r="AE285" t="e">
        <f>AND(#REF!,"AAAAAGn3ex4=")</f>
        <v>#REF!</v>
      </c>
      <c r="AF285" t="e">
        <f>AND(#REF!,"AAAAAGn3ex8=")</f>
        <v>#REF!</v>
      </c>
      <c r="AG285" t="e">
        <f>AND(#REF!,"AAAAAGn3eyA=")</f>
        <v>#REF!</v>
      </c>
      <c r="AH285" t="e">
        <f>AND(#REF!,"AAAAAGn3eyE=")</f>
        <v>#REF!</v>
      </c>
      <c r="AI285" t="e">
        <f>AND(#REF!,"AAAAAGn3eyI=")</f>
        <v>#REF!</v>
      </c>
      <c r="AJ285" t="e">
        <f>AND(#REF!,"AAAAAGn3eyM=")</f>
        <v>#REF!</v>
      </c>
      <c r="AK285" t="e">
        <f>AND(#REF!,"AAAAAGn3eyQ=")</f>
        <v>#REF!</v>
      </c>
      <c r="AL285" t="e">
        <f>AND(#REF!,"AAAAAGn3eyU=")</f>
        <v>#REF!</v>
      </c>
      <c r="AM285" t="e">
        <f>AND(#REF!,"AAAAAGn3eyY=")</f>
        <v>#REF!</v>
      </c>
      <c r="AN285" t="e">
        <f>AND(#REF!,"AAAAAGn3eyc=")</f>
        <v>#REF!</v>
      </c>
      <c r="AO285" t="e">
        <f>AND(#REF!,"AAAAAGn3eyg=")</f>
        <v>#REF!</v>
      </c>
      <c r="AP285" t="e">
        <f>AND(#REF!,"AAAAAGn3eyk=")</f>
        <v>#REF!</v>
      </c>
      <c r="AQ285" t="e">
        <f>AND(#REF!,"AAAAAGn3eyo=")</f>
        <v>#REF!</v>
      </c>
      <c r="AR285" t="e">
        <f>AND(#REF!,"AAAAAGn3eys=")</f>
        <v>#REF!</v>
      </c>
      <c r="AS285" t="e">
        <f>AND(#REF!,"AAAAAGn3eyw=")</f>
        <v>#REF!</v>
      </c>
      <c r="AT285" t="e">
        <f>AND(#REF!,"AAAAAGn3ey0=")</f>
        <v>#REF!</v>
      </c>
      <c r="AU285" t="e">
        <f>AND(#REF!,"AAAAAGn3ey4=")</f>
        <v>#REF!</v>
      </c>
      <c r="AV285" t="e">
        <f>AND(#REF!,"AAAAAGn3ey8=")</f>
        <v>#REF!</v>
      </c>
      <c r="AW285" t="e">
        <f>AND(#REF!,"AAAAAGn3ezA=")</f>
        <v>#REF!</v>
      </c>
      <c r="AX285" t="e">
        <f>AND(#REF!,"AAAAAGn3ezE=")</f>
        <v>#REF!</v>
      </c>
      <c r="AY285" t="e">
        <f>AND(#REF!,"AAAAAGn3ezI=")</f>
        <v>#REF!</v>
      </c>
      <c r="AZ285" t="e">
        <f>AND(#REF!,"AAAAAGn3ezM=")</f>
        <v>#REF!</v>
      </c>
      <c r="BA285" t="e">
        <f>AND(#REF!,"AAAAAGn3ezQ=")</f>
        <v>#REF!</v>
      </c>
      <c r="BB285" t="e">
        <f>IF(#REF!,"AAAAAGn3ezU=",0)</f>
        <v>#REF!</v>
      </c>
      <c r="BC285" t="e">
        <f>AND(#REF!,"AAAAAGn3ezY=")</f>
        <v>#REF!</v>
      </c>
      <c r="BD285" t="e">
        <f>AND(#REF!,"AAAAAGn3ezc=")</f>
        <v>#REF!</v>
      </c>
      <c r="BE285" t="e">
        <f>AND(#REF!,"AAAAAGn3ezg=")</f>
        <v>#REF!</v>
      </c>
      <c r="BF285" t="e">
        <f>AND(#REF!,"AAAAAGn3ezk=")</f>
        <v>#REF!</v>
      </c>
      <c r="BG285" t="e">
        <f>AND(#REF!,"AAAAAGn3ezo=")</f>
        <v>#REF!</v>
      </c>
      <c r="BH285" t="e">
        <f>AND(#REF!,"AAAAAGn3ezs=")</f>
        <v>#REF!</v>
      </c>
      <c r="BI285" t="e">
        <f>AND(#REF!,"AAAAAGn3ezw=")</f>
        <v>#REF!</v>
      </c>
      <c r="BJ285" t="e">
        <f>AND(#REF!,"AAAAAGn3ez0=")</f>
        <v>#REF!</v>
      </c>
      <c r="BK285" t="e">
        <f>AND(#REF!,"AAAAAGn3ez4=")</f>
        <v>#REF!</v>
      </c>
      <c r="BL285" t="e">
        <f>AND(#REF!,"AAAAAGn3ez8=")</f>
        <v>#REF!</v>
      </c>
      <c r="BM285" t="e">
        <f>AND(#REF!,"AAAAAGn3e0A=")</f>
        <v>#REF!</v>
      </c>
      <c r="BN285" t="e">
        <f>AND(#REF!,"AAAAAGn3e0E=")</f>
        <v>#REF!</v>
      </c>
      <c r="BO285" t="e">
        <f>AND(#REF!,"AAAAAGn3e0I=")</f>
        <v>#REF!</v>
      </c>
      <c r="BP285" t="e">
        <f>AND(#REF!,"AAAAAGn3e0M=")</f>
        <v>#REF!</v>
      </c>
      <c r="BQ285" t="e">
        <f>AND(#REF!,"AAAAAGn3e0Q=")</f>
        <v>#REF!</v>
      </c>
      <c r="BR285" t="e">
        <f>AND(#REF!,"AAAAAGn3e0U=")</f>
        <v>#REF!</v>
      </c>
      <c r="BS285" t="e">
        <f>AND(#REF!,"AAAAAGn3e0Y=")</f>
        <v>#REF!</v>
      </c>
      <c r="BT285" t="e">
        <f>AND(#REF!,"AAAAAGn3e0c=")</f>
        <v>#REF!</v>
      </c>
      <c r="BU285" t="e">
        <f>AND(#REF!,"AAAAAGn3e0g=")</f>
        <v>#REF!</v>
      </c>
      <c r="BV285" t="e">
        <f>AND(#REF!,"AAAAAGn3e0k=")</f>
        <v>#REF!</v>
      </c>
      <c r="BW285" t="e">
        <f>AND(#REF!,"AAAAAGn3e0o=")</f>
        <v>#REF!</v>
      </c>
      <c r="BX285" t="e">
        <f>AND(#REF!,"AAAAAGn3e0s=")</f>
        <v>#REF!</v>
      </c>
      <c r="BY285" t="e">
        <f>AND(#REF!,"AAAAAGn3e0w=")</f>
        <v>#REF!</v>
      </c>
      <c r="BZ285" t="e">
        <f>AND(#REF!,"AAAAAGn3e00=")</f>
        <v>#REF!</v>
      </c>
      <c r="CA285" t="e">
        <f>AND(#REF!,"AAAAAGn3e04=")</f>
        <v>#REF!</v>
      </c>
      <c r="CB285" t="e">
        <f>AND(#REF!,"AAAAAGn3e08=")</f>
        <v>#REF!</v>
      </c>
      <c r="CC285" t="e">
        <f>AND(#REF!,"AAAAAGn3e1A=")</f>
        <v>#REF!</v>
      </c>
      <c r="CD285" t="e">
        <f>AND(#REF!,"AAAAAGn3e1E=")</f>
        <v>#REF!</v>
      </c>
      <c r="CE285" t="e">
        <f>AND(#REF!,"AAAAAGn3e1I=")</f>
        <v>#REF!</v>
      </c>
      <c r="CF285" t="e">
        <f>AND(#REF!,"AAAAAGn3e1M=")</f>
        <v>#REF!</v>
      </c>
      <c r="CG285" t="e">
        <f>AND(#REF!,"AAAAAGn3e1Q=")</f>
        <v>#REF!</v>
      </c>
      <c r="CH285" t="e">
        <f>AND(#REF!,"AAAAAGn3e1U=")</f>
        <v>#REF!</v>
      </c>
      <c r="CI285" t="e">
        <f>AND(#REF!,"AAAAAGn3e1Y=")</f>
        <v>#REF!</v>
      </c>
      <c r="CJ285" t="e">
        <f>AND(#REF!,"AAAAAGn3e1c=")</f>
        <v>#REF!</v>
      </c>
      <c r="CK285" t="e">
        <f>AND(#REF!,"AAAAAGn3e1g=")</f>
        <v>#REF!</v>
      </c>
      <c r="CL285" t="e">
        <f>AND(#REF!,"AAAAAGn3e1k=")</f>
        <v>#REF!</v>
      </c>
      <c r="CM285" t="e">
        <f>AND(#REF!,"AAAAAGn3e1o=")</f>
        <v>#REF!</v>
      </c>
      <c r="CN285" t="e">
        <f>AND(#REF!,"AAAAAGn3e1s=")</f>
        <v>#REF!</v>
      </c>
      <c r="CO285" t="e">
        <f>AND(#REF!,"AAAAAGn3e1w=")</f>
        <v>#REF!</v>
      </c>
      <c r="CP285" t="e">
        <f>AND(#REF!,"AAAAAGn3e10=")</f>
        <v>#REF!</v>
      </c>
      <c r="CQ285" t="e">
        <f>AND(#REF!,"AAAAAGn3e14=")</f>
        <v>#REF!</v>
      </c>
      <c r="CR285" t="e">
        <f>AND(#REF!,"AAAAAGn3e18=")</f>
        <v>#REF!</v>
      </c>
      <c r="CS285" t="e">
        <f>AND(#REF!,"AAAAAGn3e2A=")</f>
        <v>#REF!</v>
      </c>
      <c r="CT285" t="e">
        <f>AND(#REF!,"AAAAAGn3e2E=")</f>
        <v>#REF!</v>
      </c>
      <c r="CU285" t="e">
        <f>AND(#REF!,"AAAAAGn3e2I=")</f>
        <v>#REF!</v>
      </c>
      <c r="CV285" t="e">
        <f>AND(#REF!,"AAAAAGn3e2M=")</f>
        <v>#REF!</v>
      </c>
      <c r="CW285" t="e">
        <f>AND(#REF!,"AAAAAGn3e2Q=")</f>
        <v>#REF!</v>
      </c>
      <c r="CX285" t="e">
        <f>AND(#REF!,"AAAAAGn3e2U=")</f>
        <v>#REF!</v>
      </c>
      <c r="CY285" t="e">
        <f>AND(#REF!,"AAAAAGn3e2Y=")</f>
        <v>#REF!</v>
      </c>
      <c r="CZ285" t="e">
        <f>AND(#REF!,"AAAAAGn3e2c=")</f>
        <v>#REF!</v>
      </c>
      <c r="DA285" t="e">
        <f>AND(#REF!,"AAAAAGn3e2g=")</f>
        <v>#REF!</v>
      </c>
      <c r="DB285" t="e">
        <f>AND(#REF!,"AAAAAGn3e2k=")</f>
        <v>#REF!</v>
      </c>
      <c r="DC285" t="e">
        <f>AND(#REF!,"AAAAAGn3e2o=")</f>
        <v>#REF!</v>
      </c>
      <c r="DD285" t="e">
        <f>AND(#REF!,"AAAAAGn3e2s=")</f>
        <v>#REF!</v>
      </c>
      <c r="DE285" t="e">
        <f>AND(#REF!,"AAAAAGn3e2w=")</f>
        <v>#REF!</v>
      </c>
      <c r="DF285" t="e">
        <f>AND(#REF!,"AAAAAGn3e20=")</f>
        <v>#REF!</v>
      </c>
      <c r="DG285" t="e">
        <f>AND(#REF!,"AAAAAGn3e24=")</f>
        <v>#REF!</v>
      </c>
      <c r="DH285" t="e">
        <f>AND(#REF!,"AAAAAGn3e28=")</f>
        <v>#REF!</v>
      </c>
      <c r="DI285" t="e">
        <f>AND(#REF!,"AAAAAGn3e3A=")</f>
        <v>#REF!</v>
      </c>
      <c r="DJ285" t="e">
        <f>AND(#REF!,"AAAAAGn3e3E=")</f>
        <v>#REF!</v>
      </c>
      <c r="DK285" t="e">
        <f>AND(#REF!,"AAAAAGn3e3I=")</f>
        <v>#REF!</v>
      </c>
      <c r="DL285" t="e">
        <f>AND(#REF!,"AAAAAGn3e3M=")</f>
        <v>#REF!</v>
      </c>
      <c r="DM285" t="e">
        <f>AND(#REF!,"AAAAAGn3e3Q=")</f>
        <v>#REF!</v>
      </c>
      <c r="DN285" t="e">
        <f>AND(#REF!,"AAAAAGn3e3U=")</f>
        <v>#REF!</v>
      </c>
      <c r="DO285" t="e">
        <f>AND(#REF!,"AAAAAGn3e3Y=")</f>
        <v>#REF!</v>
      </c>
      <c r="DP285" t="e">
        <f>AND(#REF!,"AAAAAGn3e3c=")</f>
        <v>#REF!</v>
      </c>
      <c r="DQ285" t="e">
        <f>AND(#REF!,"AAAAAGn3e3g=")</f>
        <v>#REF!</v>
      </c>
      <c r="DR285" t="e">
        <f>AND(#REF!,"AAAAAGn3e3k=")</f>
        <v>#REF!</v>
      </c>
      <c r="DS285" t="e">
        <f>AND(#REF!,"AAAAAGn3e3o=")</f>
        <v>#REF!</v>
      </c>
      <c r="DT285" t="e">
        <f>AND(#REF!,"AAAAAGn3e3s=")</f>
        <v>#REF!</v>
      </c>
      <c r="DU285" t="e">
        <f>AND(#REF!,"AAAAAGn3e3w=")</f>
        <v>#REF!</v>
      </c>
      <c r="DV285" t="e">
        <f>AND(#REF!,"AAAAAGn3e30=")</f>
        <v>#REF!</v>
      </c>
      <c r="DW285" t="e">
        <f>AND(#REF!,"AAAAAGn3e34=")</f>
        <v>#REF!</v>
      </c>
      <c r="DX285" t="e">
        <f>AND(#REF!,"AAAAAGn3e38=")</f>
        <v>#REF!</v>
      </c>
      <c r="DY285" t="e">
        <f>AND(#REF!,"AAAAAGn3e4A=")</f>
        <v>#REF!</v>
      </c>
      <c r="DZ285" t="e">
        <f>AND(#REF!,"AAAAAGn3e4E=")</f>
        <v>#REF!</v>
      </c>
      <c r="EA285" t="e">
        <f>AND(#REF!,"AAAAAGn3e4I=")</f>
        <v>#REF!</v>
      </c>
      <c r="EB285" t="e">
        <f>AND(#REF!,"AAAAAGn3e4M=")</f>
        <v>#REF!</v>
      </c>
      <c r="EC285" t="e">
        <f>AND(#REF!,"AAAAAGn3e4Q=")</f>
        <v>#REF!</v>
      </c>
      <c r="ED285" t="e">
        <f>AND(#REF!,"AAAAAGn3e4U=")</f>
        <v>#REF!</v>
      </c>
      <c r="EE285" t="e">
        <f>AND(#REF!,"AAAAAGn3e4Y=")</f>
        <v>#REF!</v>
      </c>
      <c r="EF285" t="e">
        <f>AND(#REF!,"AAAAAGn3e4c=")</f>
        <v>#REF!</v>
      </c>
      <c r="EG285" t="e">
        <f>AND(#REF!,"AAAAAGn3e4g=")</f>
        <v>#REF!</v>
      </c>
      <c r="EH285" t="e">
        <f>AND(#REF!,"AAAAAGn3e4k=")</f>
        <v>#REF!</v>
      </c>
      <c r="EI285" t="e">
        <f>AND(#REF!,"AAAAAGn3e4o=")</f>
        <v>#REF!</v>
      </c>
      <c r="EJ285" t="e">
        <f>AND(#REF!,"AAAAAGn3e4s=")</f>
        <v>#REF!</v>
      </c>
      <c r="EK285" t="e">
        <f>AND(#REF!,"AAAAAGn3e4w=")</f>
        <v>#REF!</v>
      </c>
      <c r="EL285" t="e">
        <f>AND(#REF!,"AAAAAGn3e40=")</f>
        <v>#REF!</v>
      </c>
      <c r="EM285" t="e">
        <f>AND(#REF!,"AAAAAGn3e44=")</f>
        <v>#REF!</v>
      </c>
      <c r="EN285" t="e">
        <f>AND(#REF!,"AAAAAGn3e48=")</f>
        <v>#REF!</v>
      </c>
      <c r="EO285" t="e">
        <f>AND(#REF!,"AAAAAGn3e5A=")</f>
        <v>#REF!</v>
      </c>
      <c r="EP285" t="e">
        <f>AND(#REF!,"AAAAAGn3e5E=")</f>
        <v>#REF!</v>
      </c>
      <c r="EQ285" t="e">
        <f>AND(#REF!,"AAAAAGn3e5I=")</f>
        <v>#REF!</v>
      </c>
      <c r="ER285" t="e">
        <f>AND(#REF!,"AAAAAGn3e5M=")</f>
        <v>#REF!</v>
      </c>
      <c r="ES285" t="e">
        <f>AND(#REF!,"AAAAAGn3e5Q=")</f>
        <v>#REF!</v>
      </c>
      <c r="ET285" t="e">
        <f>AND(#REF!,"AAAAAGn3e5U=")</f>
        <v>#REF!</v>
      </c>
      <c r="EU285" t="e">
        <f>AND(#REF!,"AAAAAGn3e5Y=")</f>
        <v>#REF!</v>
      </c>
      <c r="EV285" t="e">
        <f>AND(#REF!,"AAAAAGn3e5c=")</f>
        <v>#REF!</v>
      </c>
      <c r="EW285" t="e">
        <f>AND(#REF!,"AAAAAGn3e5g=")</f>
        <v>#REF!</v>
      </c>
      <c r="EX285" t="e">
        <f>AND(#REF!,"AAAAAGn3e5k=")</f>
        <v>#REF!</v>
      </c>
      <c r="EY285" t="e">
        <f>AND(#REF!,"AAAAAGn3e5o=")</f>
        <v>#REF!</v>
      </c>
      <c r="EZ285" t="e">
        <f>AND(#REF!,"AAAAAGn3e5s=")</f>
        <v>#REF!</v>
      </c>
      <c r="FA285" t="e">
        <f>AND(#REF!,"AAAAAGn3e5w=")</f>
        <v>#REF!</v>
      </c>
      <c r="FB285" t="e">
        <f>AND(#REF!,"AAAAAGn3e50=")</f>
        <v>#REF!</v>
      </c>
      <c r="FC285" t="e">
        <f>AND(#REF!,"AAAAAGn3e54=")</f>
        <v>#REF!</v>
      </c>
      <c r="FD285" t="e">
        <f>AND(#REF!,"AAAAAGn3e58=")</f>
        <v>#REF!</v>
      </c>
      <c r="FE285" t="e">
        <f>AND(#REF!,"AAAAAGn3e6A=")</f>
        <v>#REF!</v>
      </c>
      <c r="FF285" t="e">
        <f>AND(#REF!,"AAAAAGn3e6E=")</f>
        <v>#REF!</v>
      </c>
      <c r="FG285" t="e">
        <f>AND(#REF!,"AAAAAGn3e6I=")</f>
        <v>#REF!</v>
      </c>
      <c r="FH285" t="e">
        <f>AND(#REF!,"AAAAAGn3e6M=")</f>
        <v>#REF!</v>
      </c>
      <c r="FI285" t="e">
        <f>AND(#REF!,"AAAAAGn3e6Q=")</f>
        <v>#REF!</v>
      </c>
      <c r="FJ285" t="e">
        <f>AND(#REF!,"AAAAAGn3e6U=")</f>
        <v>#REF!</v>
      </c>
      <c r="FK285" t="e">
        <f>AND(#REF!,"AAAAAGn3e6Y=")</f>
        <v>#REF!</v>
      </c>
      <c r="FL285" t="e">
        <f>AND(#REF!,"AAAAAGn3e6c=")</f>
        <v>#REF!</v>
      </c>
      <c r="FM285" t="e">
        <f>AND(#REF!,"AAAAAGn3e6g=")</f>
        <v>#REF!</v>
      </c>
      <c r="FN285" t="e">
        <f>AND(#REF!,"AAAAAGn3e6k=")</f>
        <v>#REF!</v>
      </c>
      <c r="FO285" t="e">
        <f>AND(#REF!,"AAAAAGn3e6o=")</f>
        <v>#REF!</v>
      </c>
      <c r="FP285" t="e">
        <f>AND(#REF!,"AAAAAGn3e6s=")</f>
        <v>#REF!</v>
      </c>
      <c r="FQ285" t="e">
        <f>AND(#REF!,"AAAAAGn3e6w=")</f>
        <v>#REF!</v>
      </c>
      <c r="FR285" t="e">
        <f>AND(#REF!,"AAAAAGn3e60=")</f>
        <v>#REF!</v>
      </c>
      <c r="FS285" t="e">
        <f>AND(#REF!,"AAAAAGn3e64=")</f>
        <v>#REF!</v>
      </c>
      <c r="FT285" t="e">
        <f>AND(#REF!,"AAAAAGn3e68=")</f>
        <v>#REF!</v>
      </c>
      <c r="FU285" t="e">
        <f>AND(#REF!,"AAAAAGn3e7A=")</f>
        <v>#REF!</v>
      </c>
      <c r="FV285" t="e">
        <f>AND(#REF!,"AAAAAGn3e7E=")</f>
        <v>#REF!</v>
      </c>
      <c r="FW285" t="e">
        <f>AND(#REF!,"AAAAAGn3e7I=")</f>
        <v>#REF!</v>
      </c>
      <c r="FX285" t="e">
        <f>AND(#REF!,"AAAAAGn3e7M=")</f>
        <v>#REF!</v>
      </c>
      <c r="FY285" t="e">
        <f>AND(#REF!,"AAAAAGn3e7Q=")</f>
        <v>#REF!</v>
      </c>
      <c r="FZ285" t="e">
        <f>AND(#REF!,"AAAAAGn3e7U=")</f>
        <v>#REF!</v>
      </c>
      <c r="GA285" t="e">
        <f>AND(#REF!,"AAAAAGn3e7Y=")</f>
        <v>#REF!</v>
      </c>
      <c r="GB285" t="e">
        <f>AND(#REF!,"AAAAAGn3e7c=")</f>
        <v>#REF!</v>
      </c>
      <c r="GC285" t="e">
        <f>AND(#REF!,"AAAAAGn3e7g=")</f>
        <v>#REF!</v>
      </c>
      <c r="GD285" t="e">
        <f>AND(#REF!,"AAAAAGn3e7k=")</f>
        <v>#REF!</v>
      </c>
      <c r="GE285" t="e">
        <f>AND(#REF!,"AAAAAGn3e7o=")</f>
        <v>#REF!</v>
      </c>
      <c r="GF285" t="e">
        <f>AND(#REF!,"AAAAAGn3e7s=")</f>
        <v>#REF!</v>
      </c>
      <c r="GG285" t="e">
        <f>AND(#REF!,"AAAAAGn3e7w=")</f>
        <v>#REF!</v>
      </c>
      <c r="GH285" t="e">
        <f>AND(#REF!,"AAAAAGn3e70=")</f>
        <v>#REF!</v>
      </c>
      <c r="GI285" t="e">
        <f>AND(#REF!,"AAAAAGn3e74=")</f>
        <v>#REF!</v>
      </c>
      <c r="GJ285" t="e">
        <f>AND(#REF!,"AAAAAGn3e78=")</f>
        <v>#REF!</v>
      </c>
      <c r="GK285" t="e">
        <f>AND(#REF!,"AAAAAGn3e8A=")</f>
        <v>#REF!</v>
      </c>
      <c r="GL285" t="e">
        <f>AND(#REF!,"AAAAAGn3e8E=")</f>
        <v>#REF!</v>
      </c>
      <c r="GM285" t="e">
        <f>AND(#REF!,"AAAAAGn3e8I=")</f>
        <v>#REF!</v>
      </c>
      <c r="GN285" t="e">
        <f>AND(#REF!,"AAAAAGn3e8M=")</f>
        <v>#REF!</v>
      </c>
      <c r="GO285" t="e">
        <f>AND(#REF!,"AAAAAGn3e8Q=")</f>
        <v>#REF!</v>
      </c>
      <c r="GP285" t="e">
        <f>AND(#REF!,"AAAAAGn3e8U=")</f>
        <v>#REF!</v>
      </c>
      <c r="GQ285" t="e">
        <f>AND(#REF!,"AAAAAGn3e8Y=")</f>
        <v>#REF!</v>
      </c>
      <c r="GR285" t="e">
        <f>AND(#REF!,"AAAAAGn3e8c=")</f>
        <v>#REF!</v>
      </c>
      <c r="GS285" t="e">
        <f>AND(#REF!,"AAAAAGn3e8g=")</f>
        <v>#REF!</v>
      </c>
      <c r="GT285" t="e">
        <f>AND(#REF!,"AAAAAGn3e8k=")</f>
        <v>#REF!</v>
      </c>
      <c r="GU285" t="e">
        <f>AND(#REF!,"AAAAAGn3e8o=")</f>
        <v>#REF!</v>
      </c>
      <c r="GV285" t="e">
        <f>AND(#REF!,"AAAAAGn3e8s=")</f>
        <v>#REF!</v>
      </c>
      <c r="GW285" t="e">
        <f>AND(#REF!,"AAAAAGn3e8w=")</f>
        <v>#REF!</v>
      </c>
      <c r="GX285" t="e">
        <f>AND(#REF!,"AAAAAGn3e80=")</f>
        <v>#REF!</v>
      </c>
      <c r="GY285" t="e">
        <f>AND(#REF!,"AAAAAGn3e84=")</f>
        <v>#REF!</v>
      </c>
      <c r="GZ285" t="e">
        <f>AND(#REF!,"AAAAAGn3e88=")</f>
        <v>#REF!</v>
      </c>
      <c r="HA285" t="e">
        <f>AND(#REF!,"AAAAAGn3e9A=")</f>
        <v>#REF!</v>
      </c>
      <c r="HB285" t="e">
        <f>AND(#REF!,"AAAAAGn3e9E=")</f>
        <v>#REF!</v>
      </c>
      <c r="HC285" t="e">
        <f>AND(#REF!,"AAAAAGn3e9I=")</f>
        <v>#REF!</v>
      </c>
      <c r="HD285" t="e">
        <f>AND(#REF!,"AAAAAGn3e9M=")</f>
        <v>#REF!</v>
      </c>
      <c r="HE285" t="e">
        <f>AND(#REF!,"AAAAAGn3e9Q=")</f>
        <v>#REF!</v>
      </c>
      <c r="HF285" t="e">
        <f>AND(#REF!,"AAAAAGn3e9U=")</f>
        <v>#REF!</v>
      </c>
      <c r="HG285" t="e">
        <f>AND(#REF!,"AAAAAGn3e9Y=")</f>
        <v>#REF!</v>
      </c>
      <c r="HH285" t="e">
        <f>AND(#REF!,"AAAAAGn3e9c=")</f>
        <v>#REF!</v>
      </c>
      <c r="HI285" t="e">
        <f>AND(#REF!,"AAAAAGn3e9g=")</f>
        <v>#REF!</v>
      </c>
      <c r="HJ285" t="e">
        <f>AND(#REF!,"AAAAAGn3e9k=")</f>
        <v>#REF!</v>
      </c>
      <c r="HK285" t="e">
        <f>AND(#REF!,"AAAAAGn3e9o=")</f>
        <v>#REF!</v>
      </c>
      <c r="HL285" t="e">
        <f>AND(#REF!,"AAAAAGn3e9s=")</f>
        <v>#REF!</v>
      </c>
      <c r="HM285" t="e">
        <f>AND(#REF!,"AAAAAGn3e9w=")</f>
        <v>#REF!</v>
      </c>
      <c r="HN285" t="e">
        <f>AND(#REF!,"AAAAAGn3e90=")</f>
        <v>#REF!</v>
      </c>
      <c r="HO285" t="e">
        <f>AND(#REF!,"AAAAAGn3e94=")</f>
        <v>#REF!</v>
      </c>
      <c r="HP285" t="e">
        <f>AND(#REF!,"AAAAAGn3e98=")</f>
        <v>#REF!</v>
      </c>
      <c r="HQ285" t="e">
        <f>AND(#REF!,"AAAAAGn3e+A=")</f>
        <v>#REF!</v>
      </c>
      <c r="HR285" t="e">
        <f>AND(#REF!,"AAAAAGn3e+E=")</f>
        <v>#REF!</v>
      </c>
      <c r="HS285" t="e">
        <f>AND(#REF!,"AAAAAGn3e+I=")</f>
        <v>#REF!</v>
      </c>
      <c r="HT285" t="e">
        <f>AND(#REF!,"AAAAAGn3e+M=")</f>
        <v>#REF!</v>
      </c>
      <c r="HU285" t="e">
        <f>AND(#REF!,"AAAAAGn3e+Q=")</f>
        <v>#REF!</v>
      </c>
      <c r="HV285" t="e">
        <f>AND(#REF!,"AAAAAGn3e+U=")</f>
        <v>#REF!</v>
      </c>
      <c r="HW285" t="e">
        <f>AND(#REF!,"AAAAAGn3e+Y=")</f>
        <v>#REF!</v>
      </c>
      <c r="HX285" t="e">
        <f>AND(#REF!,"AAAAAGn3e+c=")</f>
        <v>#REF!</v>
      </c>
      <c r="HY285" t="e">
        <f>AND(#REF!,"AAAAAGn3e+g=")</f>
        <v>#REF!</v>
      </c>
      <c r="HZ285" t="e">
        <f>AND(#REF!,"AAAAAGn3e+k=")</f>
        <v>#REF!</v>
      </c>
      <c r="IA285" t="e">
        <f>AND(#REF!,"AAAAAGn3e+o=")</f>
        <v>#REF!</v>
      </c>
      <c r="IB285" t="e">
        <f>AND(#REF!,"AAAAAGn3e+s=")</f>
        <v>#REF!</v>
      </c>
      <c r="IC285" t="e">
        <f>AND(#REF!,"AAAAAGn3e+w=")</f>
        <v>#REF!</v>
      </c>
      <c r="ID285" t="e">
        <f>AND(#REF!,"AAAAAGn3e+0=")</f>
        <v>#REF!</v>
      </c>
      <c r="IE285" t="e">
        <f>AND(#REF!,"AAAAAGn3e+4=")</f>
        <v>#REF!</v>
      </c>
      <c r="IF285" t="e">
        <f>AND(#REF!,"AAAAAGn3e+8=")</f>
        <v>#REF!</v>
      </c>
      <c r="IG285" t="e">
        <f>AND(#REF!,"AAAAAGn3e/A=")</f>
        <v>#REF!</v>
      </c>
      <c r="IH285" t="e">
        <f>AND(#REF!,"AAAAAGn3e/E=")</f>
        <v>#REF!</v>
      </c>
      <c r="II285" t="e">
        <f>IF(#REF!,"AAAAAGn3e/I=",0)</f>
        <v>#REF!</v>
      </c>
      <c r="IJ285" t="e">
        <f>AND(#REF!,"AAAAAGn3e/M=")</f>
        <v>#REF!</v>
      </c>
      <c r="IK285" t="e">
        <f>AND(#REF!,"AAAAAGn3e/Q=")</f>
        <v>#REF!</v>
      </c>
      <c r="IL285" t="e">
        <f>AND(#REF!,"AAAAAGn3e/U=")</f>
        <v>#REF!</v>
      </c>
      <c r="IM285" t="e">
        <f>AND(#REF!,"AAAAAGn3e/Y=")</f>
        <v>#REF!</v>
      </c>
      <c r="IN285" t="e">
        <f>AND(#REF!,"AAAAAGn3e/c=")</f>
        <v>#REF!</v>
      </c>
      <c r="IO285" t="e">
        <f>AND(#REF!,"AAAAAGn3e/g=")</f>
        <v>#REF!</v>
      </c>
      <c r="IP285" t="e">
        <f>AND(#REF!,"AAAAAGn3e/k=")</f>
        <v>#REF!</v>
      </c>
      <c r="IQ285" t="e">
        <f>AND(#REF!,"AAAAAGn3e/o=")</f>
        <v>#REF!</v>
      </c>
      <c r="IR285" t="e">
        <f>AND(#REF!,"AAAAAGn3e/s=")</f>
        <v>#REF!</v>
      </c>
      <c r="IS285" t="e">
        <f>AND(#REF!,"AAAAAGn3e/w=")</f>
        <v>#REF!</v>
      </c>
      <c r="IT285" t="e">
        <f>AND(#REF!,"AAAAAGn3e/0=")</f>
        <v>#REF!</v>
      </c>
      <c r="IU285" t="e">
        <f>AND(#REF!,"AAAAAGn3e/4=")</f>
        <v>#REF!</v>
      </c>
      <c r="IV285" t="e">
        <f>AND(#REF!,"AAAAAGn3e/8=")</f>
        <v>#REF!</v>
      </c>
    </row>
    <row r="286" spans="1:256" x14ac:dyDescent="0.25">
      <c r="A286" t="e">
        <f>AND(#REF!,"AAAAAB//WwA=")</f>
        <v>#REF!</v>
      </c>
      <c r="B286" t="e">
        <f>AND(#REF!,"AAAAAB//WwE=")</f>
        <v>#REF!</v>
      </c>
      <c r="C286" t="e">
        <f>AND(#REF!,"AAAAAB//WwI=")</f>
        <v>#REF!</v>
      </c>
      <c r="D286" t="e">
        <f>AND(#REF!,"AAAAAB//WwM=")</f>
        <v>#REF!</v>
      </c>
      <c r="E286" t="e">
        <f>AND(#REF!,"AAAAAB//WwQ=")</f>
        <v>#REF!</v>
      </c>
      <c r="F286" t="e">
        <f>AND(#REF!,"AAAAAB//WwU=")</f>
        <v>#REF!</v>
      </c>
      <c r="G286" t="e">
        <f>AND(#REF!,"AAAAAB//WwY=")</f>
        <v>#REF!</v>
      </c>
      <c r="H286" t="e">
        <f>AND(#REF!,"AAAAAB//Wwc=")</f>
        <v>#REF!</v>
      </c>
      <c r="I286" t="e">
        <f>AND(#REF!,"AAAAAB//Wwg=")</f>
        <v>#REF!</v>
      </c>
      <c r="J286" t="e">
        <f>AND(#REF!,"AAAAAB//Wwk=")</f>
        <v>#REF!</v>
      </c>
      <c r="K286" t="e">
        <f>AND(#REF!,"AAAAAB//Wwo=")</f>
        <v>#REF!</v>
      </c>
      <c r="L286" t="e">
        <f>AND(#REF!,"AAAAAB//Wws=")</f>
        <v>#REF!</v>
      </c>
      <c r="M286" t="e">
        <f>AND(#REF!,"AAAAAB//Www=")</f>
        <v>#REF!</v>
      </c>
      <c r="N286" t="e">
        <f>AND(#REF!,"AAAAAB//Ww0=")</f>
        <v>#REF!</v>
      </c>
      <c r="O286" t="e">
        <f>AND(#REF!,"AAAAAB//Ww4=")</f>
        <v>#REF!</v>
      </c>
      <c r="P286" t="e">
        <f>AND(#REF!,"AAAAAB//Ww8=")</f>
        <v>#REF!</v>
      </c>
      <c r="Q286" t="e">
        <f>AND(#REF!,"AAAAAB//WxA=")</f>
        <v>#REF!</v>
      </c>
      <c r="R286" t="e">
        <f>AND(#REF!,"AAAAAB//WxE=")</f>
        <v>#REF!</v>
      </c>
      <c r="S286" t="e">
        <f>AND(#REF!,"AAAAAB//WxI=")</f>
        <v>#REF!</v>
      </c>
      <c r="T286" t="e">
        <f>AND(#REF!,"AAAAAB//WxM=")</f>
        <v>#REF!</v>
      </c>
      <c r="U286" t="e">
        <f>AND(#REF!,"AAAAAB//WxQ=")</f>
        <v>#REF!</v>
      </c>
      <c r="V286" t="e">
        <f>AND(#REF!,"AAAAAB//WxU=")</f>
        <v>#REF!</v>
      </c>
      <c r="W286" t="e">
        <f>AND(#REF!,"AAAAAB//WxY=")</f>
        <v>#REF!</v>
      </c>
      <c r="X286" t="e">
        <f>AND(#REF!,"AAAAAB//Wxc=")</f>
        <v>#REF!</v>
      </c>
      <c r="Y286" t="e">
        <f>AND(#REF!,"AAAAAB//Wxg=")</f>
        <v>#REF!</v>
      </c>
      <c r="Z286" t="e">
        <f>AND(#REF!,"AAAAAB//Wxk=")</f>
        <v>#REF!</v>
      </c>
      <c r="AA286" t="e">
        <f>AND(#REF!,"AAAAAB//Wxo=")</f>
        <v>#REF!</v>
      </c>
      <c r="AB286" t="e">
        <f>AND(#REF!,"AAAAAB//Wxs=")</f>
        <v>#REF!</v>
      </c>
      <c r="AC286" t="e">
        <f>AND(#REF!,"AAAAAB//Wxw=")</f>
        <v>#REF!</v>
      </c>
      <c r="AD286" t="e">
        <f>AND(#REF!,"AAAAAB//Wx0=")</f>
        <v>#REF!</v>
      </c>
      <c r="AE286" t="e">
        <f>AND(#REF!,"AAAAAB//Wx4=")</f>
        <v>#REF!</v>
      </c>
      <c r="AF286" t="e">
        <f>AND(#REF!,"AAAAAB//Wx8=")</f>
        <v>#REF!</v>
      </c>
      <c r="AG286" t="e">
        <f>AND(#REF!,"AAAAAB//WyA=")</f>
        <v>#REF!</v>
      </c>
      <c r="AH286" t="e">
        <f>AND(#REF!,"AAAAAB//WyE=")</f>
        <v>#REF!</v>
      </c>
      <c r="AI286" t="e">
        <f>AND(#REF!,"AAAAAB//WyI=")</f>
        <v>#REF!</v>
      </c>
      <c r="AJ286" t="e">
        <f>AND(#REF!,"AAAAAB//WyM=")</f>
        <v>#REF!</v>
      </c>
      <c r="AK286" t="e">
        <f>AND(#REF!,"AAAAAB//WyQ=")</f>
        <v>#REF!</v>
      </c>
      <c r="AL286" t="e">
        <f>AND(#REF!,"AAAAAB//WyU=")</f>
        <v>#REF!</v>
      </c>
      <c r="AM286" t="e">
        <f>AND(#REF!,"AAAAAB//WyY=")</f>
        <v>#REF!</v>
      </c>
      <c r="AN286" t="e">
        <f>AND(#REF!,"AAAAAB//Wyc=")</f>
        <v>#REF!</v>
      </c>
      <c r="AO286" t="e">
        <f>AND(#REF!,"AAAAAB//Wyg=")</f>
        <v>#REF!</v>
      </c>
      <c r="AP286" t="e">
        <f>AND(#REF!,"AAAAAB//Wyk=")</f>
        <v>#REF!</v>
      </c>
      <c r="AQ286" t="e">
        <f>AND(#REF!,"AAAAAB//Wyo=")</f>
        <v>#REF!</v>
      </c>
      <c r="AR286" t="e">
        <f>AND(#REF!,"AAAAAB//Wys=")</f>
        <v>#REF!</v>
      </c>
      <c r="AS286" t="e">
        <f>AND(#REF!,"AAAAAB//Wyw=")</f>
        <v>#REF!</v>
      </c>
      <c r="AT286" t="e">
        <f>AND(#REF!,"AAAAAB//Wy0=")</f>
        <v>#REF!</v>
      </c>
      <c r="AU286" t="e">
        <f>AND(#REF!,"AAAAAB//Wy4=")</f>
        <v>#REF!</v>
      </c>
      <c r="AV286" t="e">
        <f>AND(#REF!,"AAAAAB//Wy8=")</f>
        <v>#REF!</v>
      </c>
      <c r="AW286" t="e">
        <f>AND(#REF!,"AAAAAB//WzA=")</f>
        <v>#REF!</v>
      </c>
      <c r="AX286" t="e">
        <f>AND(#REF!,"AAAAAB//WzE=")</f>
        <v>#REF!</v>
      </c>
      <c r="AY286" t="e">
        <f>AND(#REF!,"AAAAAB//WzI=")</f>
        <v>#REF!</v>
      </c>
      <c r="AZ286" t="e">
        <f>AND(#REF!,"AAAAAB//WzM=")</f>
        <v>#REF!</v>
      </c>
      <c r="BA286" t="e">
        <f>AND(#REF!,"AAAAAB//WzQ=")</f>
        <v>#REF!</v>
      </c>
      <c r="BB286" t="e">
        <f>AND(#REF!,"AAAAAB//WzU=")</f>
        <v>#REF!</v>
      </c>
      <c r="BC286" t="e">
        <f>AND(#REF!,"AAAAAB//WzY=")</f>
        <v>#REF!</v>
      </c>
      <c r="BD286" t="e">
        <f>AND(#REF!,"AAAAAB//Wzc=")</f>
        <v>#REF!</v>
      </c>
      <c r="BE286" t="e">
        <f>AND(#REF!,"AAAAAB//Wzg=")</f>
        <v>#REF!</v>
      </c>
      <c r="BF286" t="e">
        <f>AND(#REF!,"AAAAAB//Wzk=")</f>
        <v>#REF!</v>
      </c>
      <c r="BG286" t="e">
        <f>AND(#REF!,"AAAAAB//Wzo=")</f>
        <v>#REF!</v>
      </c>
      <c r="BH286" t="e">
        <f>AND(#REF!,"AAAAAB//Wzs=")</f>
        <v>#REF!</v>
      </c>
      <c r="BI286" t="e">
        <f>AND(#REF!,"AAAAAB//Wzw=")</f>
        <v>#REF!</v>
      </c>
      <c r="BJ286" t="e">
        <f>AND(#REF!,"AAAAAB//Wz0=")</f>
        <v>#REF!</v>
      </c>
      <c r="BK286" t="e">
        <f>AND(#REF!,"AAAAAB//Wz4=")</f>
        <v>#REF!</v>
      </c>
      <c r="BL286" t="e">
        <f>AND(#REF!,"AAAAAB//Wz8=")</f>
        <v>#REF!</v>
      </c>
      <c r="BM286" t="e">
        <f>AND(#REF!,"AAAAAB//W0A=")</f>
        <v>#REF!</v>
      </c>
      <c r="BN286" t="e">
        <f>AND(#REF!,"AAAAAB//W0E=")</f>
        <v>#REF!</v>
      </c>
      <c r="BO286" t="e">
        <f>AND(#REF!,"AAAAAB//W0I=")</f>
        <v>#REF!</v>
      </c>
      <c r="BP286" t="e">
        <f>AND(#REF!,"AAAAAB//W0M=")</f>
        <v>#REF!</v>
      </c>
      <c r="BQ286" t="e">
        <f>AND(#REF!,"AAAAAB//W0Q=")</f>
        <v>#REF!</v>
      </c>
      <c r="BR286" t="e">
        <f>AND(#REF!,"AAAAAB//W0U=")</f>
        <v>#REF!</v>
      </c>
      <c r="BS286" t="e">
        <f>AND(#REF!,"AAAAAB//W0Y=")</f>
        <v>#REF!</v>
      </c>
      <c r="BT286" t="e">
        <f>AND(#REF!,"AAAAAB//W0c=")</f>
        <v>#REF!</v>
      </c>
      <c r="BU286" t="e">
        <f>AND(#REF!,"AAAAAB//W0g=")</f>
        <v>#REF!</v>
      </c>
      <c r="BV286" t="e">
        <f>AND(#REF!,"AAAAAB//W0k=")</f>
        <v>#REF!</v>
      </c>
      <c r="BW286" t="e">
        <f>AND(#REF!,"AAAAAB//W0o=")</f>
        <v>#REF!</v>
      </c>
      <c r="BX286" t="e">
        <f>AND(#REF!,"AAAAAB//W0s=")</f>
        <v>#REF!</v>
      </c>
      <c r="BY286" t="e">
        <f>AND(#REF!,"AAAAAB//W0w=")</f>
        <v>#REF!</v>
      </c>
      <c r="BZ286" t="e">
        <f>AND(#REF!,"AAAAAB//W00=")</f>
        <v>#REF!</v>
      </c>
      <c r="CA286" t="e">
        <f>AND(#REF!,"AAAAAB//W04=")</f>
        <v>#REF!</v>
      </c>
      <c r="CB286" t="e">
        <f>AND(#REF!,"AAAAAB//W08=")</f>
        <v>#REF!</v>
      </c>
      <c r="CC286" t="e">
        <f>AND(#REF!,"AAAAAB//W1A=")</f>
        <v>#REF!</v>
      </c>
      <c r="CD286" t="e">
        <f>AND(#REF!,"AAAAAB//W1E=")</f>
        <v>#REF!</v>
      </c>
      <c r="CE286" t="e">
        <f>AND(#REF!,"AAAAAB//W1I=")</f>
        <v>#REF!</v>
      </c>
      <c r="CF286" t="e">
        <f>AND(#REF!,"AAAAAB//W1M=")</f>
        <v>#REF!</v>
      </c>
      <c r="CG286" t="e">
        <f>AND(#REF!,"AAAAAB//W1Q=")</f>
        <v>#REF!</v>
      </c>
      <c r="CH286" t="e">
        <f>AND(#REF!,"AAAAAB//W1U=")</f>
        <v>#REF!</v>
      </c>
      <c r="CI286" t="e">
        <f>AND(#REF!,"AAAAAB//W1Y=")</f>
        <v>#REF!</v>
      </c>
      <c r="CJ286" t="e">
        <f>AND(#REF!,"AAAAAB//W1c=")</f>
        <v>#REF!</v>
      </c>
      <c r="CK286" t="e">
        <f>AND(#REF!,"AAAAAB//W1g=")</f>
        <v>#REF!</v>
      </c>
      <c r="CL286" t="e">
        <f>AND(#REF!,"AAAAAB//W1k=")</f>
        <v>#REF!</v>
      </c>
      <c r="CM286" t="e">
        <f>AND(#REF!,"AAAAAB//W1o=")</f>
        <v>#REF!</v>
      </c>
      <c r="CN286" t="e">
        <f>AND(#REF!,"AAAAAB//W1s=")</f>
        <v>#REF!</v>
      </c>
      <c r="CO286" t="e">
        <f>AND(#REF!,"AAAAAB//W1w=")</f>
        <v>#REF!</v>
      </c>
      <c r="CP286" t="e">
        <f>AND(#REF!,"AAAAAB//W10=")</f>
        <v>#REF!</v>
      </c>
      <c r="CQ286" t="e">
        <f>AND(#REF!,"AAAAAB//W14=")</f>
        <v>#REF!</v>
      </c>
      <c r="CR286" t="e">
        <f>AND(#REF!,"AAAAAB//W18=")</f>
        <v>#REF!</v>
      </c>
      <c r="CS286" t="e">
        <f>AND(#REF!,"AAAAAB//W2A=")</f>
        <v>#REF!</v>
      </c>
      <c r="CT286" t="e">
        <f>AND(#REF!,"AAAAAB//W2E=")</f>
        <v>#REF!</v>
      </c>
      <c r="CU286" t="e">
        <f>AND(#REF!,"AAAAAB//W2I=")</f>
        <v>#REF!</v>
      </c>
      <c r="CV286" t="e">
        <f>AND(#REF!,"AAAAAB//W2M=")</f>
        <v>#REF!</v>
      </c>
      <c r="CW286" t="e">
        <f>AND(#REF!,"AAAAAB//W2Q=")</f>
        <v>#REF!</v>
      </c>
      <c r="CX286" t="e">
        <f>AND(#REF!,"AAAAAB//W2U=")</f>
        <v>#REF!</v>
      </c>
      <c r="CY286" t="e">
        <f>AND(#REF!,"AAAAAB//W2Y=")</f>
        <v>#REF!</v>
      </c>
      <c r="CZ286" t="e">
        <f>AND(#REF!,"AAAAAB//W2c=")</f>
        <v>#REF!</v>
      </c>
      <c r="DA286" t="e">
        <f>AND(#REF!,"AAAAAB//W2g=")</f>
        <v>#REF!</v>
      </c>
      <c r="DB286" t="e">
        <f>AND(#REF!,"AAAAAB//W2k=")</f>
        <v>#REF!</v>
      </c>
      <c r="DC286" t="e">
        <f>AND(#REF!,"AAAAAB//W2o=")</f>
        <v>#REF!</v>
      </c>
      <c r="DD286" t="e">
        <f>AND(#REF!,"AAAAAB//W2s=")</f>
        <v>#REF!</v>
      </c>
      <c r="DE286" t="e">
        <f>AND(#REF!,"AAAAAB//W2w=")</f>
        <v>#REF!</v>
      </c>
      <c r="DF286" t="e">
        <f>AND(#REF!,"AAAAAB//W20=")</f>
        <v>#REF!</v>
      </c>
      <c r="DG286" t="e">
        <f>AND(#REF!,"AAAAAB//W24=")</f>
        <v>#REF!</v>
      </c>
      <c r="DH286" t="e">
        <f>AND(#REF!,"AAAAAB//W28=")</f>
        <v>#REF!</v>
      </c>
      <c r="DI286" t="e">
        <f>AND(#REF!,"AAAAAB//W3A=")</f>
        <v>#REF!</v>
      </c>
      <c r="DJ286" t="e">
        <f>AND(#REF!,"AAAAAB//W3E=")</f>
        <v>#REF!</v>
      </c>
      <c r="DK286" t="e">
        <f>AND(#REF!,"AAAAAB//W3I=")</f>
        <v>#REF!</v>
      </c>
      <c r="DL286" t="e">
        <f>AND(#REF!,"AAAAAB//W3M=")</f>
        <v>#REF!</v>
      </c>
      <c r="DM286" t="e">
        <f>AND(#REF!,"AAAAAB//W3Q=")</f>
        <v>#REF!</v>
      </c>
      <c r="DN286" t="e">
        <f>AND(#REF!,"AAAAAB//W3U=")</f>
        <v>#REF!</v>
      </c>
      <c r="DO286" t="e">
        <f>AND(#REF!,"AAAAAB//W3Y=")</f>
        <v>#REF!</v>
      </c>
      <c r="DP286" t="e">
        <f>AND(#REF!,"AAAAAB//W3c=")</f>
        <v>#REF!</v>
      </c>
      <c r="DQ286" t="e">
        <f>AND(#REF!,"AAAAAB//W3g=")</f>
        <v>#REF!</v>
      </c>
      <c r="DR286" t="e">
        <f>AND(#REF!,"AAAAAB//W3k=")</f>
        <v>#REF!</v>
      </c>
      <c r="DS286" t="e">
        <f>AND(#REF!,"AAAAAB//W3o=")</f>
        <v>#REF!</v>
      </c>
      <c r="DT286" t="e">
        <f>AND(#REF!,"AAAAAB//W3s=")</f>
        <v>#REF!</v>
      </c>
      <c r="DU286" t="e">
        <f>AND(#REF!,"AAAAAB//W3w=")</f>
        <v>#REF!</v>
      </c>
      <c r="DV286" t="e">
        <f>AND(#REF!,"AAAAAB//W30=")</f>
        <v>#REF!</v>
      </c>
      <c r="DW286" t="e">
        <f>AND(#REF!,"AAAAAB//W34=")</f>
        <v>#REF!</v>
      </c>
      <c r="DX286" t="e">
        <f>AND(#REF!,"AAAAAB//W38=")</f>
        <v>#REF!</v>
      </c>
      <c r="DY286" t="e">
        <f>AND(#REF!,"AAAAAB//W4A=")</f>
        <v>#REF!</v>
      </c>
      <c r="DZ286" t="e">
        <f>AND(#REF!,"AAAAAB//W4E=")</f>
        <v>#REF!</v>
      </c>
      <c r="EA286" t="e">
        <f>AND(#REF!,"AAAAAB//W4I=")</f>
        <v>#REF!</v>
      </c>
      <c r="EB286" t="e">
        <f>AND(#REF!,"AAAAAB//W4M=")</f>
        <v>#REF!</v>
      </c>
      <c r="EC286" t="e">
        <f>AND(#REF!,"AAAAAB//W4Q=")</f>
        <v>#REF!</v>
      </c>
      <c r="ED286" t="e">
        <f>AND(#REF!,"AAAAAB//W4U=")</f>
        <v>#REF!</v>
      </c>
      <c r="EE286" t="e">
        <f>AND(#REF!,"AAAAAB//W4Y=")</f>
        <v>#REF!</v>
      </c>
      <c r="EF286" t="e">
        <f>AND(#REF!,"AAAAAB//W4c=")</f>
        <v>#REF!</v>
      </c>
      <c r="EG286" t="e">
        <f>AND(#REF!,"AAAAAB//W4g=")</f>
        <v>#REF!</v>
      </c>
      <c r="EH286" t="e">
        <f>AND(#REF!,"AAAAAB//W4k=")</f>
        <v>#REF!</v>
      </c>
      <c r="EI286" t="e">
        <f>AND(#REF!,"AAAAAB//W4o=")</f>
        <v>#REF!</v>
      </c>
      <c r="EJ286" t="e">
        <f>AND(#REF!,"AAAAAB//W4s=")</f>
        <v>#REF!</v>
      </c>
      <c r="EK286" t="e">
        <f>AND(#REF!,"AAAAAB//W4w=")</f>
        <v>#REF!</v>
      </c>
      <c r="EL286" t="e">
        <f>AND(#REF!,"AAAAAB//W40=")</f>
        <v>#REF!</v>
      </c>
      <c r="EM286" t="e">
        <f>AND(#REF!,"AAAAAB//W44=")</f>
        <v>#REF!</v>
      </c>
      <c r="EN286" t="e">
        <f>AND(#REF!,"AAAAAB//W48=")</f>
        <v>#REF!</v>
      </c>
      <c r="EO286" t="e">
        <f>AND(#REF!,"AAAAAB//W5A=")</f>
        <v>#REF!</v>
      </c>
      <c r="EP286" t="e">
        <f>AND(#REF!,"AAAAAB//W5E=")</f>
        <v>#REF!</v>
      </c>
      <c r="EQ286" t="e">
        <f>AND(#REF!,"AAAAAB//W5I=")</f>
        <v>#REF!</v>
      </c>
      <c r="ER286" t="e">
        <f>AND(#REF!,"AAAAAB//W5M=")</f>
        <v>#REF!</v>
      </c>
      <c r="ES286" t="e">
        <f>AND(#REF!,"AAAAAB//W5Q=")</f>
        <v>#REF!</v>
      </c>
      <c r="ET286" t="e">
        <f>AND(#REF!,"AAAAAB//W5U=")</f>
        <v>#REF!</v>
      </c>
      <c r="EU286" t="e">
        <f>AND(#REF!,"AAAAAB//W5Y=")</f>
        <v>#REF!</v>
      </c>
      <c r="EV286" t="e">
        <f>AND(#REF!,"AAAAAB//W5c=")</f>
        <v>#REF!</v>
      </c>
      <c r="EW286" t="e">
        <f>AND(#REF!,"AAAAAB//W5g=")</f>
        <v>#REF!</v>
      </c>
      <c r="EX286" t="e">
        <f>AND(#REF!,"AAAAAB//W5k=")</f>
        <v>#REF!</v>
      </c>
      <c r="EY286" t="e">
        <f>AND(#REF!,"AAAAAB//W5o=")</f>
        <v>#REF!</v>
      </c>
      <c r="EZ286" t="e">
        <f>AND(#REF!,"AAAAAB//W5s=")</f>
        <v>#REF!</v>
      </c>
      <c r="FA286" t="e">
        <f>AND(#REF!,"AAAAAB//W5w=")</f>
        <v>#REF!</v>
      </c>
      <c r="FB286" t="e">
        <f>AND(#REF!,"AAAAAB//W50=")</f>
        <v>#REF!</v>
      </c>
      <c r="FC286" t="e">
        <f>AND(#REF!,"AAAAAB//W54=")</f>
        <v>#REF!</v>
      </c>
      <c r="FD286" t="e">
        <f>AND(#REF!,"AAAAAB//W58=")</f>
        <v>#REF!</v>
      </c>
      <c r="FE286" t="e">
        <f>AND(#REF!,"AAAAAB//W6A=")</f>
        <v>#REF!</v>
      </c>
      <c r="FF286" t="e">
        <f>AND(#REF!,"AAAAAB//W6E=")</f>
        <v>#REF!</v>
      </c>
      <c r="FG286" t="e">
        <f>AND(#REF!,"AAAAAB//W6I=")</f>
        <v>#REF!</v>
      </c>
      <c r="FH286" t="e">
        <f>AND(#REF!,"AAAAAB//W6M=")</f>
        <v>#REF!</v>
      </c>
      <c r="FI286" t="e">
        <f>AND(#REF!,"AAAAAB//W6Q=")</f>
        <v>#REF!</v>
      </c>
      <c r="FJ286" t="e">
        <f>AND(#REF!,"AAAAAB//W6U=")</f>
        <v>#REF!</v>
      </c>
      <c r="FK286" t="e">
        <f>AND(#REF!,"AAAAAB//W6Y=")</f>
        <v>#REF!</v>
      </c>
      <c r="FL286" t="e">
        <f>AND(#REF!,"AAAAAB//W6c=")</f>
        <v>#REF!</v>
      </c>
      <c r="FM286" t="e">
        <f>AND(#REF!,"AAAAAB//W6g=")</f>
        <v>#REF!</v>
      </c>
      <c r="FN286" t="e">
        <f>AND(#REF!,"AAAAAB//W6k=")</f>
        <v>#REF!</v>
      </c>
      <c r="FO286" t="e">
        <f>AND(#REF!,"AAAAAB//W6o=")</f>
        <v>#REF!</v>
      </c>
      <c r="FP286" t="e">
        <f>AND(#REF!,"AAAAAB//W6s=")</f>
        <v>#REF!</v>
      </c>
      <c r="FQ286" t="e">
        <f>AND(#REF!,"AAAAAB//W6w=")</f>
        <v>#REF!</v>
      </c>
      <c r="FR286" t="e">
        <f>AND(#REF!,"AAAAAB//W60=")</f>
        <v>#REF!</v>
      </c>
      <c r="FS286" t="e">
        <f>AND(#REF!,"AAAAAB//W64=")</f>
        <v>#REF!</v>
      </c>
      <c r="FT286" t="e">
        <f>IF(#REF!,"AAAAAB//W68=",0)</f>
        <v>#REF!</v>
      </c>
      <c r="FU286" t="e">
        <f>AND(#REF!,"AAAAAB//W7A=")</f>
        <v>#REF!</v>
      </c>
      <c r="FV286" t="e">
        <f>AND(#REF!,"AAAAAB//W7E=")</f>
        <v>#REF!</v>
      </c>
      <c r="FW286" t="e">
        <f>AND(#REF!,"AAAAAB//W7I=")</f>
        <v>#REF!</v>
      </c>
      <c r="FX286" t="e">
        <f>AND(#REF!,"AAAAAB//W7M=")</f>
        <v>#REF!</v>
      </c>
      <c r="FY286" t="e">
        <f>AND(#REF!,"AAAAAB//W7Q=")</f>
        <v>#REF!</v>
      </c>
      <c r="FZ286" t="e">
        <f>AND(#REF!,"AAAAAB//W7U=")</f>
        <v>#REF!</v>
      </c>
      <c r="GA286" t="e">
        <f>AND(#REF!,"AAAAAB//W7Y=")</f>
        <v>#REF!</v>
      </c>
      <c r="GB286" t="e">
        <f>AND(#REF!,"AAAAAB//W7c=")</f>
        <v>#REF!</v>
      </c>
      <c r="GC286" t="e">
        <f>AND(#REF!,"AAAAAB//W7g=")</f>
        <v>#REF!</v>
      </c>
      <c r="GD286" t="e">
        <f>AND(#REF!,"AAAAAB//W7k=")</f>
        <v>#REF!</v>
      </c>
      <c r="GE286" t="e">
        <f>AND(#REF!,"AAAAAB//W7o=")</f>
        <v>#REF!</v>
      </c>
      <c r="GF286" t="e">
        <f>AND(#REF!,"AAAAAB//W7s=")</f>
        <v>#REF!</v>
      </c>
      <c r="GG286" t="e">
        <f>AND(#REF!,"AAAAAB//W7w=")</f>
        <v>#REF!</v>
      </c>
      <c r="GH286" t="e">
        <f>AND(#REF!,"AAAAAB//W70=")</f>
        <v>#REF!</v>
      </c>
      <c r="GI286" t="e">
        <f>AND(#REF!,"AAAAAB//W74=")</f>
        <v>#REF!</v>
      </c>
      <c r="GJ286" t="e">
        <f>AND(#REF!,"AAAAAB//W78=")</f>
        <v>#REF!</v>
      </c>
      <c r="GK286" t="e">
        <f>AND(#REF!,"AAAAAB//W8A=")</f>
        <v>#REF!</v>
      </c>
      <c r="GL286" t="e">
        <f>AND(#REF!,"AAAAAB//W8E=")</f>
        <v>#REF!</v>
      </c>
      <c r="GM286" t="e">
        <f>AND(#REF!,"AAAAAB//W8I=")</f>
        <v>#REF!</v>
      </c>
      <c r="GN286" t="e">
        <f>AND(#REF!,"AAAAAB//W8M=")</f>
        <v>#REF!</v>
      </c>
      <c r="GO286" t="e">
        <f>AND(#REF!,"AAAAAB//W8Q=")</f>
        <v>#REF!</v>
      </c>
      <c r="GP286" t="e">
        <f>AND(#REF!,"AAAAAB//W8U=")</f>
        <v>#REF!</v>
      </c>
      <c r="GQ286" t="e">
        <f>AND(#REF!,"AAAAAB//W8Y=")</f>
        <v>#REF!</v>
      </c>
      <c r="GR286" t="e">
        <f>AND(#REF!,"AAAAAB//W8c=")</f>
        <v>#REF!</v>
      </c>
      <c r="GS286" t="e">
        <f>AND(#REF!,"AAAAAB//W8g=")</f>
        <v>#REF!</v>
      </c>
      <c r="GT286" t="e">
        <f>AND(#REF!,"AAAAAB//W8k=")</f>
        <v>#REF!</v>
      </c>
      <c r="GU286" t="e">
        <f>AND(#REF!,"AAAAAB//W8o=")</f>
        <v>#REF!</v>
      </c>
      <c r="GV286" t="e">
        <f>AND(#REF!,"AAAAAB//W8s=")</f>
        <v>#REF!</v>
      </c>
      <c r="GW286" t="e">
        <f>AND(#REF!,"AAAAAB//W8w=")</f>
        <v>#REF!</v>
      </c>
      <c r="GX286" t="e">
        <f>AND(#REF!,"AAAAAB//W80=")</f>
        <v>#REF!</v>
      </c>
      <c r="GY286" t="e">
        <f>AND(#REF!,"AAAAAB//W84=")</f>
        <v>#REF!</v>
      </c>
      <c r="GZ286" t="e">
        <f>AND(#REF!,"AAAAAB//W88=")</f>
        <v>#REF!</v>
      </c>
      <c r="HA286" t="e">
        <f>AND(#REF!,"AAAAAB//W9A=")</f>
        <v>#REF!</v>
      </c>
      <c r="HB286" t="e">
        <f>AND(#REF!,"AAAAAB//W9E=")</f>
        <v>#REF!</v>
      </c>
      <c r="HC286" t="e">
        <f>AND(#REF!,"AAAAAB//W9I=")</f>
        <v>#REF!</v>
      </c>
      <c r="HD286" t="e">
        <f>AND(#REF!,"AAAAAB//W9M=")</f>
        <v>#REF!</v>
      </c>
      <c r="HE286" t="e">
        <f>AND(#REF!,"AAAAAB//W9Q=")</f>
        <v>#REF!</v>
      </c>
      <c r="HF286" t="e">
        <f>AND(#REF!,"AAAAAB//W9U=")</f>
        <v>#REF!</v>
      </c>
      <c r="HG286" t="e">
        <f>AND(#REF!,"AAAAAB//W9Y=")</f>
        <v>#REF!</v>
      </c>
      <c r="HH286" t="e">
        <f>AND(#REF!,"AAAAAB//W9c=")</f>
        <v>#REF!</v>
      </c>
      <c r="HI286" t="e">
        <f>AND(#REF!,"AAAAAB//W9g=")</f>
        <v>#REF!</v>
      </c>
      <c r="HJ286" t="e">
        <f>AND(#REF!,"AAAAAB//W9k=")</f>
        <v>#REF!</v>
      </c>
      <c r="HK286" t="e">
        <f>AND(#REF!,"AAAAAB//W9o=")</f>
        <v>#REF!</v>
      </c>
      <c r="HL286" t="e">
        <f>AND(#REF!,"AAAAAB//W9s=")</f>
        <v>#REF!</v>
      </c>
      <c r="HM286" t="e">
        <f>AND(#REF!,"AAAAAB//W9w=")</f>
        <v>#REF!</v>
      </c>
      <c r="HN286" t="e">
        <f>AND(#REF!,"AAAAAB//W90=")</f>
        <v>#REF!</v>
      </c>
      <c r="HO286" t="e">
        <f>AND(#REF!,"AAAAAB//W94=")</f>
        <v>#REF!</v>
      </c>
      <c r="HP286" t="e">
        <f>AND(#REF!,"AAAAAB//W98=")</f>
        <v>#REF!</v>
      </c>
      <c r="HQ286" t="e">
        <f>AND(#REF!,"AAAAAB//W+A=")</f>
        <v>#REF!</v>
      </c>
      <c r="HR286" t="e">
        <f>AND(#REF!,"AAAAAB//W+E=")</f>
        <v>#REF!</v>
      </c>
      <c r="HS286" t="e">
        <f>AND(#REF!,"AAAAAB//W+I=")</f>
        <v>#REF!</v>
      </c>
      <c r="HT286" t="e">
        <f>AND(#REF!,"AAAAAB//W+M=")</f>
        <v>#REF!</v>
      </c>
      <c r="HU286" t="e">
        <f>AND(#REF!,"AAAAAB//W+Q=")</f>
        <v>#REF!</v>
      </c>
      <c r="HV286" t="e">
        <f>AND(#REF!,"AAAAAB//W+U=")</f>
        <v>#REF!</v>
      </c>
      <c r="HW286" t="e">
        <f>AND(#REF!,"AAAAAB//W+Y=")</f>
        <v>#REF!</v>
      </c>
      <c r="HX286" t="e">
        <f>AND(#REF!,"AAAAAB//W+c=")</f>
        <v>#REF!</v>
      </c>
      <c r="HY286" t="e">
        <f>AND(#REF!,"AAAAAB//W+g=")</f>
        <v>#REF!</v>
      </c>
      <c r="HZ286" t="e">
        <f>AND(#REF!,"AAAAAB//W+k=")</f>
        <v>#REF!</v>
      </c>
      <c r="IA286" t="e">
        <f>AND(#REF!,"AAAAAB//W+o=")</f>
        <v>#REF!</v>
      </c>
      <c r="IB286" t="e">
        <f>AND(#REF!,"AAAAAB//W+s=")</f>
        <v>#REF!</v>
      </c>
      <c r="IC286" t="e">
        <f>AND(#REF!,"AAAAAB//W+w=")</f>
        <v>#REF!</v>
      </c>
      <c r="ID286" t="e">
        <f>AND(#REF!,"AAAAAB//W+0=")</f>
        <v>#REF!</v>
      </c>
      <c r="IE286" t="e">
        <f>AND(#REF!,"AAAAAB//W+4=")</f>
        <v>#REF!</v>
      </c>
      <c r="IF286" t="e">
        <f>AND(#REF!,"AAAAAB//W+8=")</f>
        <v>#REF!</v>
      </c>
      <c r="IG286" t="e">
        <f>AND(#REF!,"AAAAAB//W/A=")</f>
        <v>#REF!</v>
      </c>
      <c r="IH286" t="e">
        <f>AND(#REF!,"AAAAAB//W/E=")</f>
        <v>#REF!</v>
      </c>
      <c r="II286" t="e">
        <f>AND(#REF!,"AAAAAB//W/I=")</f>
        <v>#REF!</v>
      </c>
      <c r="IJ286" t="e">
        <f>AND(#REF!,"AAAAAB//W/M=")</f>
        <v>#REF!</v>
      </c>
      <c r="IK286" t="e">
        <f>AND(#REF!,"AAAAAB//W/Q=")</f>
        <v>#REF!</v>
      </c>
      <c r="IL286" t="e">
        <f>AND(#REF!,"AAAAAB//W/U=")</f>
        <v>#REF!</v>
      </c>
      <c r="IM286" t="e">
        <f>AND(#REF!,"AAAAAB//W/Y=")</f>
        <v>#REF!</v>
      </c>
      <c r="IN286" t="e">
        <f>AND(#REF!,"AAAAAB//W/c=")</f>
        <v>#REF!</v>
      </c>
      <c r="IO286" t="e">
        <f>AND(#REF!,"AAAAAB//W/g=")</f>
        <v>#REF!</v>
      </c>
      <c r="IP286" t="e">
        <f>AND(#REF!,"AAAAAB//W/k=")</f>
        <v>#REF!</v>
      </c>
      <c r="IQ286" t="e">
        <f>AND(#REF!,"AAAAAB//W/o=")</f>
        <v>#REF!</v>
      </c>
      <c r="IR286" t="e">
        <f>AND(#REF!,"AAAAAB//W/s=")</f>
        <v>#REF!</v>
      </c>
      <c r="IS286" t="e">
        <f>AND(#REF!,"AAAAAB//W/w=")</f>
        <v>#REF!</v>
      </c>
      <c r="IT286" t="e">
        <f>AND(#REF!,"AAAAAB//W/0=")</f>
        <v>#REF!</v>
      </c>
      <c r="IU286" t="e">
        <f>AND(#REF!,"AAAAAB//W/4=")</f>
        <v>#REF!</v>
      </c>
      <c r="IV286" t="e">
        <f>AND(#REF!,"AAAAAB//W/8=")</f>
        <v>#REF!</v>
      </c>
    </row>
    <row r="287" spans="1:256" x14ac:dyDescent="0.25">
      <c r="A287" t="e">
        <f>AND(#REF!,"AAAAAH5M/wA=")</f>
        <v>#REF!</v>
      </c>
      <c r="B287" t="e">
        <f>AND(#REF!,"AAAAAH5M/wE=")</f>
        <v>#REF!</v>
      </c>
      <c r="C287" t="e">
        <f>AND(#REF!,"AAAAAH5M/wI=")</f>
        <v>#REF!</v>
      </c>
      <c r="D287" t="e">
        <f>AND(#REF!,"AAAAAH5M/wM=")</f>
        <v>#REF!</v>
      </c>
      <c r="E287" t="e">
        <f>AND(#REF!,"AAAAAH5M/wQ=")</f>
        <v>#REF!</v>
      </c>
      <c r="F287" t="e">
        <f>AND(#REF!,"AAAAAH5M/wU=")</f>
        <v>#REF!</v>
      </c>
      <c r="G287" t="e">
        <f>AND(#REF!,"AAAAAH5M/wY=")</f>
        <v>#REF!</v>
      </c>
      <c r="H287" t="e">
        <f>AND(#REF!,"AAAAAH5M/wc=")</f>
        <v>#REF!</v>
      </c>
      <c r="I287" t="e">
        <f>AND(#REF!,"AAAAAH5M/wg=")</f>
        <v>#REF!</v>
      </c>
      <c r="J287" t="e">
        <f>AND(#REF!,"AAAAAH5M/wk=")</f>
        <v>#REF!</v>
      </c>
      <c r="K287" t="e">
        <f>AND(#REF!,"AAAAAH5M/wo=")</f>
        <v>#REF!</v>
      </c>
      <c r="L287" t="e">
        <f>AND(#REF!,"AAAAAH5M/ws=")</f>
        <v>#REF!</v>
      </c>
      <c r="M287" t="e">
        <f>AND(#REF!,"AAAAAH5M/ww=")</f>
        <v>#REF!</v>
      </c>
      <c r="N287" t="e">
        <f>AND(#REF!,"AAAAAH5M/w0=")</f>
        <v>#REF!</v>
      </c>
      <c r="O287" t="e">
        <f>AND(#REF!,"AAAAAH5M/w4=")</f>
        <v>#REF!</v>
      </c>
      <c r="P287" t="e">
        <f>AND(#REF!,"AAAAAH5M/w8=")</f>
        <v>#REF!</v>
      </c>
      <c r="Q287" t="e">
        <f>AND(#REF!,"AAAAAH5M/xA=")</f>
        <v>#REF!</v>
      </c>
      <c r="R287" t="e">
        <f>AND(#REF!,"AAAAAH5M/xE=")</f>
        <v>#REF!</v>
      </c>
      <c r="S287" t="e">
        <f>AND(#REF!,"AAAAAH5M/xI=")</f>
        <v>#REF!</v>
      </c>
      <c r="T287" t="e">
        <f>AND(#REF!,"AAAAAH5M/xM=")</f>
        <v>#REF!</v>
      </c>
      <c r="U287" t="e">
        <f>AND(#REF!,"AAAAAH5M/xQ=")</f>
        <v>#REF!</v>
      </c>
      <c r="V287" t="e">
        <f>AND(#REF!,"AAAAAH5M/xU=")</f>
        <v>#REF!</v>
      </c>
      <c r="W287" t="e">
        <f>AND(#REF!,"AAAAAH5M/xY=")</f>
        <v>#REF!</v>
      </c>
      <c r="X287" t="e">
        <f>AND(#REF!,"AAAAAH5M/xc=")</f>
        <v>#REF!</v>
      </c>
      <c r="Y287" t="e">
        <f>AND(#REF!,"AAAAAH5M/xg=")</f>
        <v>#REF!</v>
      </c>
      <c r="Z287" t="e">
        <f>AND(#REF!,"AAAAAH5M/xk=")</f>
        <v>#REF!</v>
      </c>
      <c r="AA287" t="e">
        <f>AND(#REF!,"AAAAAH5M/xo=")</f>
        <v>#REF!</v>
      </c>
      <c r="AB287" t="e">
        <f>AND(#REF!,"AAAAAH5M/xs=")</f>
        <v>#REF!</v>
      </c>
      <c r="AC287" t="e">
        <f>AND(#REF!,"AAAAAH5M/xw=")</f>
        <v>#REF!</v>
      </c>
      <c r="AD287" t="e">
        <f>AND(#REF!,"AAAAAH5M/x0=")</f>
        <v>#REF!</v>
      </c>
      <c r="AE287" t="e">
        <f>AND(#REF!,"AAAAAH5M/x4=")</f>
        <v>#REF!</v>
      </c>
      <c r="AF287" t="e">
        <f>AND(#REF!,"AAAAAH5M/x8=")</f>
        <v>#REF!</v>
      </c>
      <c r="AG287" t="e">
        <f>AND(#REF!,"AAAAAH5M/yA=")</f>
        <v>#REF!</v>
      </c>
      <c r="AH287" t="e">
        <f>AND(#REF!,"AAAAAH5M/yE=")</f>
        <v>#REF!</v>
      </c>
      <c r="AI287" t="e">
        <f>AND(#REF!,"AAAAAH5M/yI=")</f>
        <v>#REF!</v>
      </c>
      <c r="AJ287" t="e">
        <f>AND(#REF!,"AAAAAH5M/yM=")</f>
        <v>#REF!</v>
      </c>
      <c r="AK287" t="e">
        <f>AND(#REF!,"AAAAAH5M/yQ=")</f>
        <v>#REF!</v>
      </c>
      <c r="AL287" t="e">
        <f>AND(#REF!,"AAAAAH5M/yU=")</f>
        <v>#REF!</v>
      </c>
      <c r="AM287" t="e">
        <f>AND(#REF!,"AAAAAH5M/yY=")</f>
        <v>#REF!</v>
      </c>
      <c r="AN287" t="e">
        <f>AND(#REF!,"AAAAAH5M/yc=")</f>
        <v>#REF!</v>
      </c>
      <c r="AO287" t="e">
        <f>AND(#REF!,"AAAAAH5M/yg=")</f>
        <v>#REF!</v>
      </c>
      <c r="AP287" t="e">
        <f>AND(#REF!,"AAAAAH5M/yk=")</f>
        <v>#REF!</v>
      </c>
      <c r="AQ287" t="e">
        <f>AND(#REF!,"AAAAAH5M/yo=")</f>
        <v>#REF!</v>
      </c>
      <c r="AR287" t="e">
        <f>AND(#REF!,"AAAAAH5M/ys=")</f>
        <v>#REF!</v>
      </c>
      <c r="AS287" t="e">
        <f>AND(#REF!,"AAAAAH5M/yw=")</f>
        <v>#REF!</v>
      </c>
      <c r="AT287" t="e">
        <f>AND(#REF!,"AAAAAH5M/y0=")</f>
        <v>#REF!</v>
      </c>
      <c r="AU287" t="e">
        <f>AND(#REF!,"AAAAAH5M/y4=")</f>
        <v>#REF!</v>
      </c>
      <c r="AV287" t="e">
        <f>AND(#REF!,"AAAAAH5M/y8=")</f>
        <v>#REF!</v>
      </c>
      <c r="AW287" t="e">
        <f>AND(#REF!,"AAAAAH5M/zA=")</f>
        <v>#REF!</v>
      </c>
      <c r="AX287" t="e">
        <f>AND(#REF!,"AAAAAH5M/zE=")</f>
        <v>#REF!</v>
      </c>
      <c r="AY287" t="e">
        <f>AND(#REF!,"AAAAAH5M/zI=")</f>
        <v>#REF!</v>
      </c>
      <c r="AZ287" t="e">
        <f>AND(#REF!,"AAAAAH5M/zM=")</f>
        <v>#REF!</v>
      </c>
      <c r="BA287" t="e">
        <f>AND(#REF!,"AAAAAH5M/zQ=")</f>
        <v>#REF!</v>
      </c>
      <c r="BB287" t="e">
        <f>AND(#REF!,"AAAAAH5M/zU=")</f>
        <v>#REF!</v>
      </c>
      <c r="BC287" t="e">
        <f>AND(#REF!,"AAAAAH5M/zY=")</f>
        <v>#REF!</v>
      </c>
      <c r="BD287" t="e">
        <f>AND(#REF!,"AAAAAH5M/zc=")</f>
        <v>#REF!</v>
      </c>
      <c r="BE287" t="e">
        <f>AND(#REF!,"AAAAAH5M/zg=")</f>
        <v>#REF!</v>
      </c>
      <c r="BF287" t="e">
        <f>AND(#REF!,"AAAAAH5M/zk=")</f>
        <v>#REF!</v>
      </c>
      <c r="BG287" t="e">
        <f>AND(#REF!,"AAAAAH5M/zo=")</f>
        <v>#REF!</v>
      </c>
      <c r="BH287" t="e">
        <f>AND(#REF!,"AAAAAH5M/zs=")</f>
        <v>#REF!</v>
      </c>
      <c r="BI287" t="e">
        <f>AND(#REF!,"AAAAAH5M/zw=")</f>
        <v>#REF!</v>
      </c>
      <c r="BJ287" t="e">
        <f>AND(#REF!,"AAAAAH5M/z0=")</f>
        <v>#REF!</v>
      </c>
      <c r="BK287" t="e">
        <f>AND(#REF!,"AAAAAH5M/z4=")</f>
        <v>#REF!</v>
      </c>
      <c r="BL287" t="e">
        <f>AND(#REF!,"AAAAAH5M/z8=")</f>
        <v>#REF!</v>
      </c>
      <c r="BM287" t="e">
        <f>AND(#REF!,"AAAAAH5M/0A=")</f>
        <v>#REF!</v>
      </c>
      <c r="BN287" t="e">
        <f>AND(#REF!,"AAAAAH5M/0E=")</f>
        <v>#REF!</v>
      </c>
      <c r="BO287" t="e">
        <f>AND(#REF!,"AAAAAH5M/0I=")</f>
        <v>#REF!</v>
      </c>
      <c r="BP287" t="e">
        <f>AND(#REF!,"AAAAAH5M/0M=")</f>
        <v>#REF!</v>
      </c>
      <c r="BQ287" t="e">
        <f>AND(#REF!,"AAAAAH5M/0Q=")</f>
        <v>#REF!</v>
      </c>
      <c r="BR287" t="e">
        <f>AND(#REF!,"AAAAAH5M/0U=")</f>
        <v>#REF!</v>
      </c>
      <c r="BS287" t="e">
        <f>AND(#REF!,"AAAAAH5M/0Y=")</f>
        <v>#REF!</v>
      </c>
      <c r="BT287" t="e">
        <f>AND(#REF!,"AAAAAH5M/0c=")</f>
        <v>#REF!</v>
      </c>
      <c r="BU287" t="e">
        <f>AND(#REF!,"AAAAAH5M/0g=")</f>
        <v>#REF!</v>
      </c>
      <c r="BV287" t="e">
        <f>AND(#REF!,"AAAAAH5M/0k=")</f>
        <v>#REF!</v>
      </c>
      <c r="BW287" t="e">
        <f>AND(#REF!,"AAAAAH5M/0o=")</f>
        <v>#REF!</v>
      </c>
      <c r="BX287" t="e">
        <f>AND(#REF!,"AAAAAH5M/0s=")</f>
        <v>#REF!</v>
      </c>
      <c r="BY287" t="e">
        <f>AND(#REF!,"AAAAAH5M/0w=")</f>
        <v>#REF!</v>
      </c>
      <c r="BZ287" t="e">
        <f>AND(#REF!,"AAAAAH5M/00=")</f>
        <v>#REF!</v>
      </c>
      <c r="CA287" t="e">
        <f>AND(#REF!,"AAAAAH5M/04=")</f>
        <v>#REF!</v>
      </c>
      <c r="CB287" t="e">
        <f>AND(#REF!,"AAAAAH5M/08=")</f>
        <v>#REF!</v>
      </c>
      <c r="CC287" t="e">
        <f>AND(#REF!,"AAAAAH5M/1A=")</f>
        <v>#REF!</v>
      </c>
      <c r="CD287" t="e">
        <f>AND(#REF!,"AAAAAH5M/1E=")</f>
        <v>#REF!</v>
      </c>
      <c r="CE287" t="e">
        <f>AND(#REF!,"AAAAAH5M/1I=")</f>
        <v>#REF!</v>
      </c>
      <c r="CF287" t="e">
        <f>AND(#REF!,"AAAAAH5M/1M=")</f>
        <v>#REF!</v>
      </c>
      <c r="CG287" t="e">
        <f>AND(#REF!,"AAAAAH5M/1Q=")</f>
        <v>#REF!</v>
      </c>
      <c r="CH287" t="e">
        <f>AND(#REF!,"AAAAAH5M/1U=")</f>
        <v>#REF!</v>
      </c>
      <c r="CI287" t="e">
        <f>AND(#REF!,"AAAAAH5M/1Y=")</f>
        <v>#REF!</v>
      </c>
      <c r="CJ287" t="e">
        <f>AND(#REF!,"AAAAAH5M/1c=")</f>
        <v>#REF!</v>
      </c>
      <c r="CK287" t="e">
        <f>AND(#REF!,"AAAAAH5M/1g=")</f>
        <v>#REF!</v>
      </c>
      <c r="CL287" t="e">
        <f>AND(#REF!,"AAAAAH5M/1k=")</f>
        <v>#REF!</v>
      </c>
      <c r="CM287" t="e">
        <f>AND(#REF!,"AAAAAH5M/1o=")</f>
        <v>#REF!</v>
      </c>
      <c r="CN287" t="e">
        <f>AND(#REF!,"AAAAAH5M/1s=")</f>
        <v>#REF!</v>
      </c>
      <c r="CO287" t="e">
        <f>AND(#REF!,"AAAAAH5M/1w=")</f>
        <v>#REF!</v>
      </c>
      <c r="CP287" t="e">
        <f>AND(#REF!,"AAAAAH5M/10=")</f>
        <v>#REF!</v>
      </c>
      <c r="CQ287" t="e">
        <f>AND(#REF!,"AAAAAH5M/14=")</f>
        <v>#REF!</v>
      </c>
      <c r="CR287" t="e">
        <f>AND(#REF!,"AAAAAH5M/18=")</f>
        <v>#REF!</v>
      </c>
      <c r="CS287" t="e">
        <f>AND(#REF!,"AAAAAH5M/2A=")</f>
        <v>#REF!</v>
      </c>
      <c r="CT287" t="e">
        <f>AND(#REF!,"AAAAAH5M/2E=")</f>
        <v>#REF!</v>
      </c>
      <c r="CU287" t="e">
        <f>AND(#REF!,"AAAAAH5M/2I=")</f>
        <v>#REF!</v>
      </c>
      <c r="CV287" t="e">
        <f>AND(#REF!,"AAAAAH5M/2M=")</f>
        <v>#REF!</v>
      </c>
      <c r="CW287" t="e">
        <f>AND(#REF!,"AAAAAH5M/2Q=")</f>
        <v>#REF!</v>
      </c>
      <c r="CX287" t="e">
        <f>AND(#REF!,"AAAAAH5M/2U=")</f>
        <v>#REF!</v>
      </c>
      <c r="CY287" t="e">
        <f>AND(#REF!,"AAAAAH5M/2Y=")</f>
        <v>#REF!</v>
      </c>
      <c r="CZ287" t="e">
        <f>AND(#REF!,"AAAAAH5M/2c=")</f>
        <v>#REF!</v>
      </c>
      <c r="DA287" t="e">
        <f>AND(#REF!,"AAAAAH5M/2g=")</f>
        <v>#REF!</v>
      </c>
      <c r="DB287" t="e">
        <f>AND(#REF!,"AAAAAH5M/2k=")</f>
        <v>#REF!</v>
      </c>
      <c r="DC287" t="e">
        <f>AND(#REF!,"AAAAAH5M/2o=")</f>
        <v>#REF!</v>
      </c>
      <c r="DD287" t="e">
        <f>AND(#REF!,"AAAAAH5M/2s=")</f>
        <v>#REF!</v>
      </c>
      <c r="DE287" t="e">
        <f>IF(#REF!,"AAAAAH5M/2w=",0)</f>
        <v>#REF!</v>
      </c>
      <c r="DF287" t="e">
        <f>AND(#REF!,"AAAAAH5M/20=")</f>
        <v>#REF!</v>
      </c>
      <c r="DG287" t="e">
        <f>AND(#REF!,"AAAAAH5M/24=")</f>
        <v>#REF!</v>
      </c>
      <c r="DH287" t="e">
        <f>AND(#REF!,"AAAAAH5M/28=")</f>
        <v>#REF!</v>
      </c>
      <c r="DI287" t="e">
        <f>AND(#REF!,"AAAAAH5M/3A=")</f>
        <v>#REF!</v>
      </c>
      <c r="DJ287" t="e">
        <f>AND(#REF!,"AAAAAH5M/3E=")</f>
        <v>#REF!</v>
      </c>
      <c r="DK287" t="e">
        <f>AND(#REF!,"AAAAAH5M/3I=")</f>
        <v>#REF!</v>
      </c>
      <c r="DL287" t="e">
        <f>AND(#REF!,"AAAAAH5M/3M=")</f>
        <v>#REF!</v>
      </c>
      <c r="DM287" t="e">
        <f>AND(#REF!,"AAAAAH5M/3Q=")</f>
        <v>#REF!</v>
      </c>
      <c r="DN287" t="e">
        <f>AND(#REF!,"AAAAAH5M/3U=")</f>
        <v>#REF!</v>
      </c>
      <c r="DO287" t="e">
        <f>AND(#REF!,"AAAAAH5M/3Y=")</f>
        <v>#REF!</v>
      </c>
      <c r="DP287" t="e">
        <f>AND(#REF!,"AAAAAH5M/3c=")</f>
        <v>#REF!</v>
      </c>
      <c r="DQ287" t="e">
        <f>AND(#REF!,"AAAAAH5M/3g=")</f>
        <v>#REF!</v>
      </c>
      <c r="DR287" t="e">
        <f>AND(#REF!,"AAAAAH5M/3k=")</f>
        <v>#REF!</v>
      </c>
      <c r="DS287" t="e">
        <f>AND(#REF!,"AAAAAH5M/3o=")</f>
        <v>#REF!</v>
      </c>
      <c r="DT287" t="e">
        <f>AND(#REF!,"AAAAAH5M/3s=")</f>
        <v>#REF!</v>
      </c>
      <c r="DU287" t="e">
        <f>AND(#REF!,"AAAAAH5M/3w=")</f>
        <v>#REF!</v>
      </c>
      <c r="DV287" t="e">
        <f>AND(#REF!,"AAAAAH5M/30=")</f>
        <v>#REF!</v>
      </c>
      <c r="DW287" t="e">
        <f>AND(#REF!,"AAAAAH5M/34=")</f>
        <v>#REF!</v>
      </c>
      <c r="DX287" t="e">
        <f>AND(#REF!,"AAAAAH5M/38=")</f>
        <v>#REF!</v>
      </c>
      <c r="DY287" t="e">
        <f>AND(#REF!,"AAAAAH5M/4A=")</f>
        <v>#REF!</v>
      </c>
      <c r="DZ287" t="e">
        <f>AND(#REF!,"AAAAAH5M/4E=")</f>
        <v>#REF!</v>
      </c>
      <c r="EA287" t="e">
        <f>AND(#REF!,"AAAAAH5M/4I=")</f>
        <v>#REF!</v>
      </c>
      <c r="EB287" t="e">
        <f>AND(#REF!,"AAAAAH5M/4M=")</f>
        <v>#REF!</v>
      </c>
      <c r="EC287" t="e">
        <f>AND(#REF!,"AAAAAH5M/4Q=")</f>
        <v>#REF!</v>
      </c>
      <c r="ED287" t="e">
        <f>AND(#REF!,"AAAAAH5M/4U=")</f>
        <v>#REF!</v>
      </c>
      <c r="EE287" t="e">
        <f>AND(#REF!,"AAAAAH5M/4Y=")</f>
        <v>#REF!</v>
      </c>
      <c r="EF287" t="e">
        <f>AND(#REF!,"AAAAAH5M/4c=")</f>
        <v>#REF!</v>
      </c>
      <c r="EG287" t="e">
        <f>AND(#REF!,"AAAAAH5M/4g=")</f>
        <v>#REF!</v>
      </c>
      <c r="EH287" t="e">
        <f>AND(#REF!,"AAAAAH5M/4k=")</f>
        <v>#REF!</v>
      </c>
      <c r="EI287" t="e">
        <f>AND(#REF!,"AAAAAH5M/4o=")</f>
        <v>#REF!</v>
      </c>
      <c r="EJ287" t="e">
        <f>AND(#REF!,"AAAAAH5M/4s=")</f>
        <v>#REF!</v>
      </c>
      <c r="EK287" t="e">
        <f>AND(#REF!,"AAAAAH5M/4w=")</f>
        <v>#REF!</v>
      </c>
      <c r="EL287" t="e">
        <f>AND(#REF!,"AAAAAH5M/40=")</f>
        <v>#REF!</v>
      </c>
      <c r="EM287" t="e">
        <f>AND(#REF!,"AAAAAH5M/44=")</f>
        <v>#REF!</v>
      </c>
      <c r="EN287" t="e">
        <f>AND(#REF!,"AAAAAH5M/48=")</f>
        <v>#REF!</v>
      </c>
      <c r="EO287" t="e">
        <f>AND(#REF!,"AAAAAH5M/5A=")</f>
        <v>#REF!</v>
      </c>
      <c r="EP287" t="e">
        <f>AND(#REF!,"AAAAAH5M/5E=")</f>
        <v>#REF!</v>
      </c>
      <c r="EQ287" t="e">
        <f>AND(#REF!,"AAAAAH5M/5I=")</f>
        <v>#REF!</v>
      </c>
      <c r="ER287" t="e">
        <f>AND(#REF!,"AAAAAH5M/5M=")</f>
        <v>#REF!</v>
      </c>
      <c r="ES287" t="e">
        <f>AND(#REF!,"AAAAAH5M/5Q=")</f>
        <v>#REF!</v>
      </c>
      <c r="ET287" t="e">
        <f>AND(#REF!,"AAAAAH5M/5U=")</f>
        <v>#REF!</v>
      </c>
      <c r="EU287" t="e">
        <f>AND(#REF!,"AAAAAH5M/5Y=")</f>
        <v>#REF!</v>
      </c>
      <c r="EV287" t="e">
        <f>AND(#REF!,"AAAAAH5M/5c=")</f>
        <v>#REF!</v>
      </c>
      <c r="EW287" t="e">
        <f>AND(#REF!,"AAAAAH5M/5g=")</f>
        <v>#REF!</v>
      </c>
      <c r="EX287" t="e">
        <f>AND(#REF!,"AAAAAH5M/5k=")</f>
        <v>#REF!</v>
      </c>
      <c r="EY287" t="e">
        <f>AND(#REF!,"AAAAAH5M/5o=")</f>
        <v>#REF!</v>
      </c>
      <c r="EZ287" t="e">
        <f>AND(#REF!,"AAAAAH5M/5s=")</f>
        <v>#REF!</v>
      </c>
      <c r="FA287" t="e">
        <f>AND(#REF!,"AAAAAH5M/5w=")</f>
        <v>#REF!</v>
      </c>
      <c r="FB287" t="e">
        <f>AND(#REF!,"AAAAAH5M/50=")</f>
        <v>#REF!</v>
      </c>
      <c r="FC287" t="e">
        <f>AND(#REF!,"AAAAAH5M/54=")</f>
        <v>#REF!</v>
      </c>
      <c r="FD287" t="e">
        <f>AND(#REF!,"AAAAAH5M/58=")</f>
        <v>#REF!</v>
      </c>
      <c r="FE287" t="e">
        <f>AND(#REF!,"AAAAAH5M/6A=")</f>
        <v>#REF!</v>
      </c>
      <c r="FF287" t="e">
        <f>AND(#REF!,"AAAAAH5M/6E=")</f>
        <v>#REF!</v>
      </c>
      <c r="FG287" t="e">
        <f>AND(#REF!,"AAAAAH5M/6I=")</f>
        <v>#REF!</v>
      </c>
      <c r="FH287" t="e">
        <f>AND(#REF!,"AAAAAH5M/6M=")</f>
        <v>#REF!</v>
      </c>
      <c r="FI287" t="e">
        <f>AND(#REF!,"AAAAAH5M/6Q=")</f>
        <v>#REF!</v>
      </c>
      <c r="FJ287" t="e">
        <f>AND(#REF!,"AAAAAH5M/6U=")</f>
        <v>#REF!</v>
      </c>
      <c r="FK287" t="e">
        <f>AND(#REF!,"AAAAAH5M/6Y=")</f>
        <v>#REF!</v>
      </c>
      <c r="FL287" t="e">
        <f>AND(#REF!,"AAAAAH5M/6c=")</f>
        <v>#REF!</v>
      </c>
      <c r="FM287" t="e">
        <f>AND(#REF!,"AAAAAH5M/6g=")</f>
        <v>#REF!</v>
      </c>
      <c r="FN287" t="e">
        <f>AND(#REF!,"AAAAAH5M/6k=")</f>
        <v>#REF!</v>
      </c>
      <c r="FO287" t="e">
        <f>AND(#REF!,"AAAAAH5M/6o=")</f>
        <v>#REF!</v>
      </c>
      <c r="FP287" t="e">
        <f>AND(#REF!,"AAAAAH5M/6s=")</f>
        <v>#REF!</v>
      </c>
      <c r="FQ287" t="e">
        <f>AND(#REF!,"AAAAAH5M/6w=")</f>
        <v>#REF!</v>
      </c>
      <c r="FR287" t="e">
        <f>AND(#REF!,"AAAAAH5M/60=")</f>
        <v>#REF!</v>
      </c>
      <c r="FS287" t="e">
        <f>AND(#REF!,"AAAAAH5M/64=")</f>
        <v>#REF!</v>
      </c>
      <c r="FT287" t="e">
        <f>AND(#REF!,"AAAAAH5M/68=")</f>
        <v>#REF!</v>
      </c>
      <c r="FU287" t="e">
        <f>AND(#REF!,"AAAAAH5M/7A=")</f>
        <v>#REF!</v>
      </c>
      <c r="FV287" t="e">
        <f>AND(#REF!,"AAAAAH5M/7E=")</f>
        <v>#REF!</v>
      </c>
      <c r="FW287" t="e">
        <f>AND(#REF!,"AAAAAH5M/7I=")</f>
        <v>#REF!</v>
      </c>
      <c r="FX287" t="e">
        <f>AND(#REF!,"AAAAAH5M/7M=")</f>
        <v>#REF!</v>
      </c>
      <c r="FY287" t="e">
        <f>AND(#REF!,"AAAAAH5M/7Q=")</f>
        <v>#REF!</v>
      </c>
      <c r="FZ287" t="e">
        <f>AND(#REF!,"AAAAAH5M/7U=")</f>
        <v>#REF!</v>
      </c>
      <c r="GA287" t="e">
        <f>AND(#REF!,"AAAAAH5M/7Y=")</f>
        <v>#REF!</v>
      </c>
      <c r="GB287" t="e">
        <f>AND(#REF!,"AAAAAH5M/7c=")</f>
        <v>#REF!</v>
      </c>
      <c r="GC287" t="e">
        <f>AND(#REF!,"AAAAAH5M/7g=")</f>
        <v>#REF!</v>
      </c>
      <c r="GD287" t="e">
        <f>AND(#REF!,"AAAAAH5M/7k=")</f>
        <v>#REF!</v>
      </c>
      <c r="GE287" t="e">
        <f>AND(#REF!,"AAAAAH5M/7o=")</f>
        <v>#REF!</v>
      </c>
      <c r="GF287" t="e">
        <f>AND(#REF!,"AAAAAH5M/7s=")</f>
        <v>#REF!</v>
      </c>
      <c r="GG287" t="e">
        <f>AND(#REF!,"AAAAAH5M/7w=")</f>
        <v>#REF!</v>
      </c>
      <c r="GH287" t="e">
        <f>AND(#REF!,"AAAAAH5M/70=")</f>
        <v>#REF!</v>
      </c>
      <c r="GI287" t="e">
        <f>AND(#REF!,"AAAAAH5M/74=")</f>
        <v>#REF!</v>
      </c>
      <c r="GJ287" t="e">
        <f>AND(#REF!,"AAAAAH5M/78=")</f>
        <v>#REF!</v>
      </c>
      <c r="GK287" t="e">
        <f>AND(#REF!,"AAAAAH5M/8A=")</f>
        <v>#REF!</v>
      </c>
      <c r="GL287" t="e">
        <f>AND(#REF!,"AAAAAH5M/8E=")</f>
        <v>#REF!</v>
      </c>
      <c r="GM287" t="e">
        <f>AND(#REF!,"AAAAAH5M/8I=")</f>
        <v>#REF!</v>
      </c>
      <c r="GN287" t="e">
        <f>AND(#REF!,"AAAAAH5M/8M=")</f>
        <v>#REF!</v>
      </c>
      <c r="GO287" t="e">
        <f>AND(#REF!,"AAAAAH5M/8Q=")</f>
        <v>#REF!</v>
      </c>
      <c r="GP287" t="e">
        <f>AND(#REF!,"AAAAAH5M/8U=")</f>
        <v>#REF!</v>
      </c>
      <c r="GQ287" t="e">
        <f>AND(#REF!,"AAAAAH5M/8Y=")</f>
        <v>#REF!</v>
      </c>
      <c r="GR287" t="e">
        <f>AND(#REF!,"AAAAAH5M/8c=")</f>
        <v>#REF!</v>
      </c>
      <c r="GS287" t="e">
        <f>AND(#REF!,"AAAAAH5M/8g=")</f>
        <v>#REF!</v>
      </c>
      <c r="GT287" t="e">
        <f>AND(#REF!,"AAAAAH5M/8k=")</f>
        <v>#REF!</v>
      </c>
      <c r="GU287" t="e">
        <f>AND(#REF!,"AAAAAH5M/8o=")</f>
        <v>#REF!</v>
      </c>
      <c r="GV287" t="e">
        <f>AND(#REF!,"AAAAAH5M/8s=")</f>
        <v>#REF!</v>
      </c>
      <c r="GW287" t="e">
        <f>AND(#REF!,"AAAAAH5M/8w=")</f>
        <v>#REF!</v>
      </c>
      <c r="GX287" t="e">
        <f>AND(#REF!,"AAAAAH5M/80=")</f>
        <v>#REF!</v>
      </c>
      <c r="GY287" t="e">
        <f>AND(#REF!,"AAAAAH5M/84=")</f>
        <v>#REF!</v>
      </c>
      <c r="GZ287" t="e">
        <f>AND(#REF!,"AAAAAH5M/88=")</f>
        <v>#REF!</v>
      </c>
      <c r="HA287" t="e">
        <f>AND(#REF!,"AAAAAH5M/9A=")</f>
        <v>#REF!</v>
      </c>
      <c r="HB287" t="e">
        <f>AND(#REF!,"AAAAAH5M/9E=")</f>
        <v>#REF!</v>
      </c>
      <c r="HC287" t="e">
        <f>AND(#REF!,"AAAAAH5M/9I=")</f>
        <v>#REF!</v>
      </c>
      <c r="HD287" t="e">
        <f>AND(#REF!,"AAAAAH5M/9M=")</f>
        <v>#REF!</v>
      </c>
      <c r="HE287" t="e">
        <f>AND(#REF!,"AAAAAH5M/9Q=")</f>
        <v>#REF!</v>
      </c>
      <c r="HF287" t="e">
        <f>AND(#REF!,"AAAAAH5M/9U=")</f>
        <v>#REF!</v>
      </c>
      <c r="HG287" t="e">
        <f>AND(#REF!,"AAAAAH5M/9Y=")</f>
        <v>#REF!</v>
      </c>
      <c r="HH287" t="e">
        <f>AND(#REF!,"AAAAAH5M/9c=")</f>
        <v>#REF!</v>
      </c>
      <c r="HI287" t="e">
        <f>AND(#REF!,"AAAAAH5M/9g=")</f>
        <v>#REF!</v>
      </c>
      <c r="HJ287" t="e">
        <f>AND(#REF!,"AAAAAH5M/9k=")</f>
        <v>#REF!</v>
      </c>
      <c r="HK287" t="e">
        <f>AND(#REF!,"AAAAAH5M/9o=")</f>
        <v>#REF!</v>
      </c>
      <c r="HL287" t="e">
        <f>AND(#REF!,"AAAAAH5M/9s=")</f>
        <v>#REF!</v>
      </c>
      <c r="HM287" t="e">
        <f>AND(#REF!,"AAAAAH5M/9w=")</f>
        <v>#REF!</v>
      </c>
      <c r="HN287" t="e">
        <f>AND(#REF!,"AAAAAH5M/90=")</f>
        <v>#REF!</v>
      </c>
      <c r="HO287" t="e">
        <f>AND(#REF!,"AAAAAH5M/94=")</f>
        <v>#REF!</v>
      </c>
      <c r="HP287" t="e">
        <f>AND(#REF!,"AAAAAH5M/98=")</f>
        <v>#REF!</v>
      </c>
      <c r="HQ287" t="e">
        <f>AND(#REF!,"AAAAAH5M/+A=")</f>
        <v>#REF!</v>
      </c>
      <c r="HR287" t="e">
        <f>AND(#REF!,"AAAAAH5M/+E=")</f>
        <v>#REF!</v>
      </c>
      <c r="HS287" t="e">
        <f>AND(#REF!,"AAAAAH5M/+I=")</f>
        <v>#REF!</v>
      </c>
      <c r="HT287" t="e">
        <f>AND(#REF!,"AAAAAH5M/+M=")</f>
        <v>#REF!</v>
      </c>
      <c r="HU287" t="e">
        <f>AND(#REF!,"AAAAAH5M/+Q=")</f>
        <v>#REF!</v>
      </c>
      <c r="HV287" t="e">
        <f>AND(#REF!,"AAAAAH5M/+U=")</f>
        <v>#REF!</v>
      </c>
      <c r="HW287" t="e">
        <f>AND(#REF!,"AAAAAH5M/+Y=")</f>
        <v>#REF!</v>
      </c>
      <c r="HX287" t="e">
        <f>AND(#REF!,"AAAAAH5M/+c=")</f>
        <v>#REF!</v>
      </c>
      <c r="HY287" t="e">
        <f>AND(#REF!,"AAAAAH5M/+g=")</f>
        <v>#REF!</v>
      </c>
      <c r="HZ287" t="e">
        <f>AND(#REF!,"AAAAAH5M/+k=")</f>
        <v>#REF!</v>
      </c>
      <c r="IA287" t="e">
        <f>AND(#REF!,"AAAAAH5M/+o=")</f>
        <v>#REF!</v>
      </c>
      <c r="IB287" t="e">
        <f>AND(#REF!,"AAAAAH5M/+s=")</f>
        <v>#REF!</v>
      </c>
      <c r="IC287" t="e">
        <f>AND(#REF!,"AAAAAH5M/+w=")</f>
        <v>#REF!</v>
      </c>
      <c r="ID287" t="e">
        <f>AND(#REF!,"AAAAAH5M/+0=")</f>
        <v>#REF!</v>
      </c>
      <c r="IE287" t="e">
        <f>AND(#REF!,"AAAAAH5M/+4=")</f>
        <v>#REF!</v>
      </c>
      <c r="IF287" t="e">
        <f>AND(#REF!,"AAAAAH5M/+8=")</f>
        <v>#REF!</v>
      </c>
      <c r="IG287" t="e">
        <f>AND(#REF!,"AAAAAH5M//A=")</f>
        <v>#REF!</v>
      </c>
      <c r="IH287" t="e">
        <f>AND(#REF!,"AAAAAH5M//E=")</f>
        <v>#REF!</v>
      </c>
      <c r="II287" t="e">
        <f>AND(#REF!,"AAAAAH5M//I=")</f>
        <v>#REF!</v>
      </c>
      <c r="IJ287" t="e">
        <f>AND(#REF!,"AAAAAH5M//M=")</f>
        <v>#REF!</v>
      </c>
      <c r="IK287" t="e">
        <f>AND(#REF!,"AAAAAH5M//Q=")</f>
        <v>#REF!</v>
      </c>
      <c r="IL287" t="e">
        <f>AND(#REF!,"AAAAAH5M//U=")</f>
        <v>#REF!</v>
      </c>
      <c r="IM287" t="e">
        <f>AND(#REF!,"AAAAAH5M//Y=")</f>
        <v>#REF!</v>
      </c>
      <c r="IN287" t="e">
        <f>AND(#REF!,"AAAAAH5M//c=")</f>
        <v>#REF!</v>
      </c>
      <c r="IO287" t="e">
        <f>AND(#REF!,"AAAAAH5M//g=")</f>
        <v>#REF!</v>
      </c>
      <c r="IP287" t="e">
        <f>AND(#REF!,"AAAAAH5M//k=")</f>
        <v>#REF!</v>
      </c>
      <c r="IQ287" t="e">
        <f>AND(#REF!,"AAAAAH5M//o=")</f>
        <v>#REF!</v>
      </c>
      <c r="IR287" t="e">
        <f>AND(#REF!,"AAAAAH5M//s=")</f>
        <v>#REF!</v>
      </c>
      <c r="IS287" t="e">
        <f>AND(#REF!,"AAAAAH5M//w=")</f>
        <v>#REF!</v>
      </c>
      <c r="IT287" t="e">
        <f>AND(#REF!,"AAAAAH5M//0=")</f>
        <v>#REF!</v>
      </c>
      <c r="IU287" t="e">
        <f>AND(#REF!,"AAAAAH5M//4=")</f>
        <v>#REF!</v>
      </c>
      <c r="IV287" t="e">
        <f>AND(#REF!,"AAAAAH5M//8=")</f>
        <v>#REF!</v>
      </c>
    </row>
    <row r="288" spans="1:256" x14ac:dyDescent="0.25">
      <c r="A288" t="e">
        <f>AND(#REF!,"AAAAAEftXwA=")</f>
        <v>#REF!</v>
      </c>
      <c r="B288" t="e">
        <f>AND(#REF!,"AAAAAEftXwE=")</f>
        <v>#REF!</v>
      </c>
      <c r="C288" t="e">
        <f>AND(#REF!,"AAAAAEftXwI=")</f>
        <v>#REF!</v>
      </c>
      <c r="D288" t="e">
        <f>AND(#REF!,"AAAAAEftXwM=")</f>
        <v>#REF!</v>
      </c>
      <c r="E288" t="e">
        <f>AND(#REF!,"AAAAAEftXwQ=")</f>
        <v>#REF!</v>
      </c>
      <c r="F288" t="e">
        <f>AND(#REF!,"AAAAAEftXwU=")</f>
        <v>#REF!</v>
      </c>
      <c r="G288" t="e">
        <f>AND(#REF!,"AAAAAEftXwY=")</f>
        <v>#REF!</v>
      </c>
      <c r="H288" t="e">
        <f>AND(#REF!,"AAAAAEftXwc=")</f>
        <v>#REF!</v>
      </c>
      <c r="I288" t="e">
        <f>AND(#REF!,"AAAAAEftXwg=")</f>
        <v>#REF!</v>
      </c>
      <c r="J288" t="e">
        <f>AND(#REF!,"AAAAAEftXwk=")</f>
        <v>#REF!</v>
      </c>
      <c r="K288" t="e">
        <f>AND(#REF!,"AAAAAEftXwo=")</f>
        <v>#REF!</v>
      </c>
      <c r="L288" t="e">
        <f>AND(#REF!,"AAAAAEftXws=")</f>
        <v>#REF!</v>
      </c>
      <c r="M288" t="e">
        <f>AND(#REF!,"AAAAAEftXww=")</f>
        <v>#REF!</v>
      </c>
      <c r="N288" t="e">
        <f>AND(#REF!,"AAAAAEftXw0=")</f>
        <v>#REF!</v>
      </c>
      <c r="O288" t="e">
        <f>AND(#REF!,"AAAAAEftXw4=")</f>
        <v>#REF!</v>
      </c>
      <c r="P288" t="e">
        <f>AND(#REF!,"AAAAAEftXw8=")</f>
        <v>#REF!</v>
      </c>
      <c r="Q288" t="e">
        <f>AND(#REF!,"AAAAAEftXxA=")</f>
        <v>#REF!</v>
      </c>
      <c r="R288" t="e">
        <f>AND(#REF!,"AAAAAEftXxE=")</f>
        <v>#REF!</v>
      </c>
      <c r="S288" t="e">
        <f>AND(#REF!,"AAAAAEftXxI=")</f>
        <v>#REF!</v>
      </c>
      <c r="T288" t="e">
        <f>AND(#REF!,"AAAAAEftXxM=")</f>
        <v>#REF!</v>
      </c>
      <c r="U288" t="e">
        <f>AND(#REF!,"AAAAAEftXxQ=")</f>
        <v>#REF!</v>
      </c>
      <c r="V288" t="e">
        <f>AND(#REF!,"AAAAAEftXxU=")</f>
        <v>#REF!</v>
      </c>
      <c r="W288" t="e">
        <f>AND(#REF!,"AAAAAEftXxY=")</f>
        <v>#REF!</v>
      </c>
      <c r="X288" t="e">
        <f>AND(#REF!,"AAAAAEftXxc=")</f>
        <v>#REF!</v>
      </c>
      <c r="Y288" t="e">
        <f>AND(#REF!,"AAAAAEftXxg=")</f>
        <v>#REF!</v>
      </c>
      <c r="Z288" t="e">
        <f>AND(#REF!,"AAAAAEftXxk=")</f>
        <v>#REF!</v>
      </c>
      <c r="AA288" t="e">
        <f>AND(#REF!,"AAAAAEftXxo=")</f>
        <v>#REF!</v>
      </c>
      <c r="AB288" t="e">
        <f>AND(#REF!,"AAAAAEftXxs=")</f>
        <v>#REF!</v>
      </c>
      <c r="AC288" t="e">
        <f>AND(#REF!,"AAAAAEftXxw=")</f>
        <v>#REF!</v>
      </c>
      <c r="AD288" t="e">
        <f>AND(#REF!,"AAAAAEftXx0=")</f>
        <v>#REF!</v>
      </c>
      <c r="AE288" t="e">
        <f>AND(#REF!,"AAAAAEftXx4=")</f>
        <v>#REF!</v>
      </c>
      <c r="AF288" t="e">
        <f>AND(#REF!,"AAAAAEftXx8=")</f>
        <v>#REF!</v>
      </c>
      <c r="AG288" t="e">
        <f>AND(#REF!,"AAAAAEftXyA=")</f>
        <v>#REF!</v>
      </c>
      <c r="AH288" t="e">
        <f>AND(#REF!,"AAAAAEftXyE=")</f>
        <v>#REF!</v>
      </c>
      <c r="AI288" t="e">
        <f>AND(#REF!,"AAAAAEftXyI=")</f>
        <v>#REF!</v>
      </c>
      <c r="AJ288" t="e">
        <f>AND(#REF!,"AAAAAEftXyM=")</f>
        <v>#REF!</v>
      </c>
      <c r="AK288" t="e">
        <f>AND(#REF!,"AAAAAEftXyQ=")</f>
        <v>#REF!</v>
      </c>
      <c r="AL288" t="e">
        <f>AND(#REF!,"AAAAAEftXyU=")</f>
        <v>#REF!</v>
      </c>
      <c r="AM288" t="e">
        <f>AND(#REF!,"AAAAAEftXyY=")</f>
        <v>#REF!</v>
      </c>
      <c r="AN288" t="e">
        <f>AND(#REF!,"AAAAAEftXyc=")</f>
        <v>#REF!</v>
      </c>
      <c r="AO288" t="e">
        <f>AND(#REF!,"AAAAAEftXyg=")</f>
        <v>#REF!</v>
      </c>
      <c r="AP288" t="e">
        <f>IF(#REF!,"AAAAAEftXyk=",0)</f>
        <v>#REF!</v>
      </c>
      <c r="AQ288" t="e">
        <f>AND(#REF!,"AAAAAEftXyo=")</f>
        <v>#REF!</v>
      </c>
      <c r="AR288" t="e">
        <f>AND(#REF!,"AAAAAEftXys=")</f>
        <v>#REF!</v>
      </c>
      <c r="AS288" t="e">
        <f>AND(#REF!,"AAAAAEftXyw=")</f>
        <v>#REF!</v>
      </c>
      <c r="AT288" t="e">
        <f>AND(#REF!,"AAAAAEftXy0=")</f>
        <v>#REF!</v>
      </c>
      <c r="AU288" t="e">
        <f>AND(#REF!,"AAAAAEftXy4=")</f>
        <v>#REF!</v>
      </c>
      <c r="AV288" t="e">
        <f>AND(#REF!,"AAAAAEftXy8=")</f>
        <v>#REF!</v>
      </c>
      <c r="AW288" t="e">
        <f>AND(#REF!,"AAAAAEftXzA=")</f>
        <v>#REF!</v>
      </c>
      <c r="AX288" t="e">
        <f>AND(#REF!,"AAAAAEftXzE=")</f>
        <v>#REF!</v>
      </c>
      <c r="AY288" t="e">
        <f>AND(#REF!,"AAAAAEftXzI=")</f>
        <v>#REF!</v>
      </c>
      <c r="AZ288" t="e">
        <f>AND(#REF!,"AAAAAEftXzM=")</f>
        <v>#REF!</v>
      </c>
      <c r="BA288" t="e">
        <f>AND(#REF!,"AAAAAEftXzQ=")</f>
        <v>#REF!</v>
      </c>
      <c r="BB288" t="e">
        <f>AND(#REF!,"AAAAAEftXzU=")</f>
        <v>#REF!</v>
      </c>
      <c r="BC288" t="e">
        <f>AND(#REF!,"AAAAAEftXzY=")</f>
        <v>#REF!</v>
      </c>
      <c r="BD288" t="e">
        <f>AND(#REF!,"AAAAAEftXzc=")</f>
        <v>#REF!</v>
      </c>
      <c r="BE288" t="e">
        <f>AND(#REF!,"AAAAAEftXzg=")</f>
        <v>#REF!</v>
      </c>
      <c r="BF288" t="e">
        <f>AND(#REF!,"AAAAAEftXzk=")</f>
        <v>#REF!</v>
      </c>
      <c r="BG288" t="e">
        <f>AND(#REF!,"AAAAAEftXzo=")</f>
        <v>#REF!</v>
      </c>
      <c r="BH288" t="e">
        <f>AND(#REF!,"AAAAAEftXzs=")</f>
        <v>#REF!</v>
      </c>
      <c r="BI288" t="e">
        <f>AND(#REF!,"AAAAAEftXzw=")</f>
        <v>#REF!</v>
      </c>
      <c r="BJ288" t="e">
        <f>AND(#REF!,"AAAAAEftXz0=")</f>
        <v>#REF!</v>
      </c>
      <c r="BK288" t="e">
        <f>AND(#REF!,"AAAAAEftXz4=")</f>
        <v>#REF!</v>
      </c>
      <c r="BL288" t="e">
        <f>AND(#REF!,"AAAAAEftXz8=")</f>
        <v>#REF!</v>
      </c>
      <c r="BM288" t="e">
        <f>AND(#REF!,"AAAAAEftX0A=")</f>
        <v>#REF!</v>
      </c>
      <c r="BN288" t="e">
        <f>AND(#REF!,"AAAAAEftX0E=")</f>
        <v>#REF!</v>
      </c>
      <c r="BO288" t="e">
        <f>AND(#REF!,"AAAAAEftX0I=")</f>
        <v>#REF!</v>
      </c>
      <c r="BP288" t="e">
        <f>AND(#REF!,"AAAAAEftX0M=")</f>
        <v>#REF!</v>
      </c>
      <c r="BQ288" t="e">
        <f>AND(#REF!,"AAAAAEftX0Q=")</f>
        <v>#REF!</v>
      </c>
      <c r="BR288" t="e">
        <f>AND(#REF!,"AAAAAEftX0U=")</f>
        <v>#REF!</v>
      </c>
      <c r="BS288" t="e">
        <f>AND(#REF!,"AAAAAEftX0Y=")</f>
        <v>#REF!</v>
      </c>
      <c r="BT288" t="e">
        <f>AND(#REF!,"AAAAAEftX0c=")</f>
        <v>#REF!</v>
      </c>
      <c r="BU288" t="e">
        <f>AND(#REF!,"AAAAAEftX0g=")</f>
        <v>#REF!</v>
      </c>
      <c r="BV288" t="e">
        <f>AND(#REF!,"AAAAAEftX0k=")</f>
        <v>#REF!</v>
      </c>
      <c r="BW288" t="e">
        <f>AND(#REF!,"AAAAAEftX0o=")</f>
        <v>#REF!</v>
      </c>
      <c r="BX288" t="e">
        <f>AND(#REF!,"AAAAAEftX0s=")</f>
        <v>#REF!</v>
      </c>
      <c r="BY288" t="e">
        <f>AND(#REF!,"AAAAAEftX0w=")</f>
        <v>#REF!</v>
      </c>
      <c r="BZ288" t="e">
        <f>AND(#REF!,"AAAAAEftX00=")</f>
        <v>#REF!</v>
      </c>
      <c r="CA288" t="e">
        <f>AND(#REF!,"AAAAAEftX04=")</f>
        <v>#REF!</v>
      </c>
      <c r="CB288" t="e">
        <f>AND(#REF!,"AAAAAEftX08=")</f>
        <v>#REF!</v>
      </c>
      <c r="CC288" t="e">
        <f>AND(#REF!,"AAAAAEftX1A=")</f>
        <v>#REF!</v>
      </c>
      <c r="CD288" t="e">
        <f>AND(#REF!,"AAAAAEftX1E=")</f>
        <v>#REF!</v>
      </c>
      <c r="CE288" t="e">
        <f>AND(#REF!,"AAAAAEftX1I=")</f>
        <v>#REF!</v>
      </c>
      <c r="CF288" t="e">
        <f>AND(#REF!,"AAAAAEftX1M=")</f>
        <v>#REF!</v>
      </c>
      <c r="CG288" t="e">
        <f>AND(#REF!,"AAAAAEftX1Q=")</f>
        <v>#REF!</v>
      </c>
      <c r="CH288" t="e">
        <f>AND(#REF!,"AAAAAEftX1U=")</f>
        <v>#REF!</v>
      </c>
      <c r="CI288" t="e">
        <f>AND(#REF!,"AAAAAEftX1Y=")</f>
        <v>#REF!</v>
      </c>
      <c r="CJ288" t="e">
        <f>AND(#REF!,"AAAAAEftX1c=")</f>
        <v>#REF!</v>
      </c>
      <c r="CK288" t="e">
        <f>AND(#REF!,"AAAAAEftX1g=")</f>
        <v>#REF!</v>
      </c>
      <c r="CL288" t="e">
        <f>AND(#REF!,"AAAAAEftX1k=")</f>
        <v>#REF!</v>
      </c>
      <c r="CM288" t="e">
        <f>AND(#REF!,"AAAAAEftX1o=")</f>
        <v>#REF!</v>
      </c>
      <c r="CN288" t="e">
        <f>AND(#REF!,"AAAAAEftX1s=")</f>
        <v>#REF!</v>
      </c>
      <c r="CO288" t="e">
        <f>AND(#REF!,"AAAAAEftX1w=")</f>
        <v>#REF!</v>
      </c>
      <c r="CP288" t="e">
        <f>AND(#REF!,"AAAAAEftX10=")</f>
        <v>#REF!</v>
      </c>
      <c r="CQ288" t="e">
        <f>AND(#REF!,"AAAAAEftX14=")</f>
        <v>#REF!</v>
      </c>
      <c r="CR288" t="e">
        <f>AND(#REF!,"AAAAAEftX18=")</f>
        <v>#REF!</v>
      </c>
      <c r="CS288" t="e">
        <f>AND(#REF!,"AAAAAEftX2A=")</f>
        <v>#REF!</v>
      </c>
      <c r="CT288" t="e">
        <f>AND(#REF!,"AAAAAEftX2E=")</f>
        <v>#REF!</v>
      </c>
      <c r="CU288" t="e">
        <f>AND(#REF!,"AAAAAEftX2I=")</f>
        <v>#REF!</v>
      </c>
      <c r="CV288" t="e">
        <f>AND(#REF!,"AAAAAEftX2M=")</f>
        <v>#REF!</v>
      </c>
      <c r="CW288" t="e">
        <f>AND(#REF!,"AAAAAEftX2Q=")</f>
        <v>#REF!</v>
      </c>
      <c r="CX288" t="e">
        <f>AND(#REF!,"AAAAAEftX2U=")</f>
        <v>#REF!</v>
      </c>
      <c r="CY288" t="e">
        <f>AND(#REF!,"AAAAAEftX2Y=")</f>
        <v>#REF!</v>
      </c>
      <c r="CZ288" t="e">
        <f>AND(#REF!,"AAAAAEftX2c=")</f>
        <v>#REF!</v>
      </c>
      <c r="DA288" t="e">
        <f>AND(#REF!,"AAAAAEftX2g=")</f>
        <v>#REF!</v>
      </c>
      <c r="DB288" t="e">
        <f>AND(#REF!,"AAAAAEftX2k=")</f>
        <v>#REF!</v>
      </c>
      <c r="DC288" t="e">
        <f>AND(#REF!,"AAAAAEftX2o=")</f>
        <v>#REF!</v>
      </c>
      <c r="DD288" t="e">
        <f>AND(#REF!,"AAAAAEftX2s=")</f>
        <v>#REF!</v>
      </c>
      <c r="DE288" t="e">
        <f>AND(#REF!,"AAAAAEftX2w=")</f>
        <v>#REF!</v>
      </c>
      <c r="DF288" t="e">
        <f>AND(#REF!,"AAAAAEftX20=")</f>
        <v>#REF!</v>
      </c>
      <c r="DG288" t="e">
        <f>AND(#REF!,"AAAAAEftX24=")</f>
        <v>#REF!</v>
      </c>
      <c r="DH288" t="e">
        <f>AND(#REF!,"AAAAAEftX28=")</f>
        <v>#REF!</v>
      </c>
      <c r="DI288" t="e">
        <f>AND(#REF!,"AAAAAEftX3A=")</f>
        <v>#REF!</v>
      </c>
      <c r="DJ288" t="e">
        <f>AND(#REF!,"AAAAAEftX3E=")</f>
        <v>#REF!</v>
      </c>
      <c r="DK288" t="e">
        <f>AND(#REF!,"AAAAAEftX3I=")</f>
        <v>#REF!</v>
      </c>
      <c r="DL288" t="e">
        <f>AND(#REF!,"AAAAAEftX3M=")</f>
        <v>#REF!</v>
      </c>
      <c r="DM288" t="e">
        <f>AND(#REF!,"AAAAAEftX3Q=")</f>
        <v>#REF!</v>
      </c>
      <c r="DN288" t="e">
        <f>AND(#REF!,"AAAAAEftX3U=")</f>
        <v>#REF!</v>
      </c>
      <c r="DO288" t="e">
        <f>AND(#REF!,"AAAAAEftX3Y=")</f>
        <v>#REF!</v>
      </c>
      <c r="DP288" t="e">
        <f>AND(#REF!,"AAAAAEftX3c=")</f>
        <v>#REF!</v>
      </c>
      <c r="DQ288" t="e">
        <f>AND(#REF!,"AAAAAEftX3g=")</f>
        <v>#REF!</v>
      </c>
      <c r="DR288" t="e">
        <f>AND(#REF!,"AAAAAEftX3k=")</f>
        <v>#REF!</v>
      </c>
      <c r="DS288" t="e">
        <f>AND(#REF!,"AAAAAEftX3o=")</f>
        <v>#REF!</v>
      </c>
      <c r="DT288" t="e">
        <f>AND(#REF!,"AAAAAEftX3s=")</f>
        <v>#REF!</v>
      </c>
      <c r="DU288" t="e">
        <f>AND(#REF!,"AAAAAEftX3w=")</f>
        <v>#REF!</v>
      </c>
      <c r="DV288" t="e">
        <f>AND(#REF!,"AAAAAEftX30=")</f>
        <v>#REF!</v>
      </c>
      <c r="DW288" t="e">
        <f>AND(#REF!,"AAAAAEftX34=")</f>
        <v>#REF!</v>
      </c>
      <c r="DX288" t="e">
        <f>AND(#REF!,"AAAAAEftX38=")</f>
        <v>#REF!</v>
      </c>
      <c r="DY288" t="e">
        <f>AND(#REF!,"AAAAAEftX4A=")</f>
        <v>#REF!</v>
      </c>
      <c r="DZ288" t="e">
        <f>AND(#REF!,"AAAAAEftX4E=")</f>
        <v>#REF!</v>
      </c>
      <c r="EA288" t="e">
        <f>AND(#REF!,"AAAAAEftX4I=")</f>
        <v>#REF!</v>
      </c>
      <c r="EB288" t="e">
        <f>AND(#REF!,"AAAAAEftX4M=")</f>
        <v>#REF!</v>
      </c>
      <c r="EC288" t="e">
        <f>AND(#REF!,"AAAAAEftX4Q=")</f>
        <v>#REF!</v>
      </c>
      <c r="ED288" t="e">
        <f>AND(#REF!,"AAAAAEftX4U=")</f>
        <v>#REF!</v>
      </c>
      <c r="EE288" t="e">
        <f>AND(#REF!,"AAAAAEftX4Y=")</f>
        <v>#REF!</v>
      </c>
      <c r="EF288" t="e">
        <f>AND(#REF!,"AAAAAEftX4c=")</f>
        <v>#REF!</v>
      </c>
      <c r="EG288" t="e">
        <f>AND(#REF!,"AAAAAEftX4g=")</f>
        <v>#REF!</v>
      </c>
      <c r="EH288" t="e">
        <f>AND(#REF!,"AAAAAEftX4k=")</f>
        <v>#REF!</v>
      </c>
      <c r="EI288" t="e">
        <f>AND(#REF!,"AAAAAEftX4o=")</f>
        <v>#REF!</v>
      </c>
      <c r="EJ288" t="e">
        <f>AND(#REF!,"AAAAAEftX4s=")</f>
        <v>#REF!</v>
      </c>
      <c r="EK288" t="e">
        <f>AND(#REF!,"AAAAAEftX4w=")</f>
        <v>#REF!</v>
      </c>
      <c r="EL288" t="e">
        <f>AND(#REF!,"AAAAAEftX40=")</f>
        <v>#REF!</v>
      </c>
      <c r="EM288" t="e">
        <f>AND(#REF!,"AAAAAEftX44=")</f>
        <v>#REF!</v>
      </c>
      <c r="EN288" t="e">
        <f>AND(#REF!,"AAAAAEftX48=")</f>
        <v>#REF!</v>
      </c>
      <c r="EO288" t="e">
        <f>AND(#REF!,"AAAAAEftX5A=")</f>
        <v>#REF!</v>
      </c>
      <c r="EP288" t="e">
        <f>AND(#REF!,"AAAAAEftX5E=")</f>
        <v>#REF!</v>
      </c>
      <c r="EQ288" t="e">
        <f>AND(#REF!,"AAAAAEftX5I=")</f>
        <v>#REF!</v>
      </c>
      <c r="ER288" t="e">
        <f>AND(#REF!,"AAAAAEftX5M=")</f>
        <v>#REF!</v>
      </c>
      <c r="ES288" t="e">
        <f>AND(#REF!,"AAAAAEftX5Q=")</f>
        <v>#REF!</v>
      </c>
      <c r="ET288" t="e">
        <f>AND(#REF!,"AAAAAEftX5U=")</f>
        <v>#REF!</v>
      </c>
      <c r="EU288" t="e">
        <f>AND(#REF!,"AAAAAEftX5Y=")</f>
        <v>#REF!</v>
      </c>
      <c r="EV288" t="e">
        <f>AND(#REF!,"AAAAAEftX5c=")</f>
        <v>#REF!</v>
      </c>
      <c r="EW288" t="e">
        <f>AND(#REF!,"AAAAAEftX5g=")</f>
        <v>#REF!</v>
      </c>
      <c r="EX288" t="e">
        <f>AND(#REF!,"AAAAAEftX5k=")</f>
        <v>#REF!</v>
      </c>
      <c r="EY288" t="e">
        <f>AND(#REF!,"AAAAAEftX5o=")</f>
        <v>#REF!</v>
      </c>
      <c r="EZ288" t="e">
        <f>AND(#REF!,"AAAAAEftX5s=")</f>
        <v>#REF!</v>
      </c>
      <c r="FA288" t="e">
        <f>AND(#REF!,"AAAAAEftX5w=")</f>
        <v>#REF!</v>
      </c>
      <c r="FB288" t="e">
        <f>AND(#REF!,"AAAAAEftX50=")</f>
        <v>#REF!</v>
      </c>
      <c r="FC288" t="e">
        <f>AND(#REF!,"AAAAAEftX54=")</f>
        <v>#REF!</v>
      </c>
      <c r="FD288" t="e">
        <f>AND(#REF!,"AAAAAEftX58=")</f>
        <v>#REF!</v>
      </c>
      <c r="FE288" t="e">
        <f>AND(#REF!,"AAAAAEftX6A=")</f>
        <v>#REF!</v>
      </c>
      <c r="FF288" t="e">
        <f>AND(#REF!,"AAAAAEftX6E=")</f>
        <v>#REF!</v>
      </c>
      <c r="FG288" t="e">
        <f>AND(#REF!,"AAAAAEftX6I=")</f>
        <v>#REF!</v>
      </c>
      <c r="FH288" t="e">
        <f>AND(#REF!,"AAAAAEftX6M=")</f>
        <v>#REF!</v>
      </c>
      <c r="FI288" t="e">
        <f>AND(#REF!,"AAAAAEftX6Q=")</f>
        <v>#REF!</v>
      </c>
      <c r="FJ288" t="e">
        <f>AND(#REF!,"AAAAAEftX6U=")</f>
        <v>#REF!</v>
      </c>
      <c r="FK288" t="e">
        <f>AND(#REF!,"AAAAAEftX6Y=")</f>
        <v>#REF!</v>
      </c>
      <c r="FL288" t="e">
        <f>AND(#REF!,"AAAAAEftX6c=")</f>
        <v>#REF!</v>
      </c>
      <c r="FM288" t="e">
        <f>AND(#REF!,"AAAAAEftX6g=")</f>
        <v>#REF!</v>
      </c>
      <c r="FN288" t="e">
        <f>AND(#REF!,"AAAAAEftX6k=")</f>
        <v>#REF!</v>
      </c>
      <c r="FO288" t="e">
        <f>AND(#REF!,"AAAAAEftX6o=")</f>
        <v>#REF!</v>
      </c>
      <c r="FP288" t="e">
        <f>AND(#REF!,"AAAAAEftX6s=")</f>
        <v>#REF!</v>
      </c>
      <c r="FQ288" t="e">
        <f>AND(#REF!,"AAAAAEftX6w=")</f>
        <v>#REF!</v>
      </c>
      <c r="FR288" t="e">
        <f>AND(#REF!,"AAAAAEftX60=")</f>
        <v>#REF!</v>
      </c>
      <c r="FS288" t="e">
        <f>AND(#REF!,"AAAAAEftX64=")</f>
        <v>#REF!</v>
      </c>
      <c r="FT288" t="e">
        <f>AND(#REF!,"AAAAAEftX68=")</f>
        <v>#REF!</v>
      </c>
      <c r="FU288" t="e">
        <f>AND(#REF!,"AAAAAEftX7A=")</f>
        <v>#REF!</v>
      </c>
      <c r="FV288" t="e">
        <f>AND(#REF!,"AAAAAEftX7E=")</f>
        <v>#REF!</v>
      </c>
      <c r="FW288" t="e">
        <f>AND(#REF!,"AAAAAEftX7I=")</f>
        <v>#REF!</v>
      </c>
      <c r="FX288" t="e">
        <f>AND(#REF!,"AAAAAEftX7M=")</f>
        <v>#REF!</v>
      </c>
      <c r="FY288" t="e">
        <f>AND(#REF!,"AAAAAEftX7Q=")</f>
        <v>#REF!</v>
      </c>
      <c r="FZ288" t="e">
        <f>AND(#REF!,"AAAAAEftX7U=")</f>
        <v>#REF!</v>
      </c>
      <c r="GA288" t="e">
        <f>AND(#REF!,"AAAAAEftX7Y=")</f>
        <v>#REF!</v>
      </c>
      <c r="GB288" t="e">
        <f>AND(#REF!,"AAAAAEftX7c=")</f>
        <v>#REF!</v>
      </c>
      <c r="GC288" t="e">
        <f>AND(#REF!,"AAAAAEftX7g=")</f>
        <v>#REF!</v>
      </c>
      <c r="GD288" t="e">
        <f>AND(#REF!,"AAAAAEftX7k=")</f>
        <v>#REF!</v>
      </c>
      <c r="GE288" t="e">
        <f>AND(#REF!,"AAAAAEftX7o=")</f>
        <v>#REF!</v>
      </c>
      <c r="GF288" t="e">
        <f>AND(#REF!,"AAAAAEftX7s=")</f>
        <v>#REF!</v>
      </c>
      <c r="GG288" t="e">
        <f>AND(#REF!,"AAAAAEftX7w=")</f>
        <v>#REF!</v>
      </c>
      <c r="GH288" t="e">
        <f>AND(#REF!,"AAAAAEftX70=")</f>
        <v>#REF!</v>
      </c>
      <c r="GI288" t="e">
        <f>AND(#REF!,"AAAAAEftX74=")</f>
        <v>#REF!</v>
      </c>
      <c r="GJ288" t="e">
        <f>AND(#REF!,"AAAAAEftX78=")</f>
        <v>#REF!</v>
      </c>
      <c r="GK288" t="e">
        <f>AND(#REF!,"AAAAAEftX8A=")</f>
        <v>#REF!</v>
      </c>
      <c r="GL288" t="e">
        <f>AND(#REF!,"AAAAAEftX8E=")</f>
        <v>#REF!</v>
      </c>
      <c r="GM288" t="e">
        <f>AND(#REF!,"AAAAAEftX8I=")</f>
        <v>#REF!</v>
      </c>
      <c r="GN288" t="e">
        <f>AND(#REF!,"AAAAAEftX8M=")</f>
        <v>#REF!</v>
      </c>
      <c r="GO288" t="e">
        <f>AND(#REF!,"AAAAAEftX8Q=")</f>
        <v>#REF!</v>
      </c>
      <c r="GP288" t="e">
        <f>AND(#REF!,"AAAAAEftX8U=")</f>
        <v>#REF!</v>
      </c>
      <c r="GQ288" t="e">
        <f>AND(#REF!,"AAAAAEftX8Y=")</f>
        <v>#REF!</v>
      </c>
      <c r="GR288" t="e">
        <f>AND(#REF!,"AAAAAEftX8c=")</f>
        <v>#REF!</v>
      </c>
      <c r="GS288" t="e">
        <f>AND(#REF!,"AAAAAEftX8g=")</f>
        <v>#REF!</v>
      </c>
      <c r="GT288" t="e">
        <f>AND(#REF!,"AAAAAEftX8k=")</f>
        <v>#REF!</v>
      </c>
      <c r="GU288" t="e">
        <f>AND(#REF!,"AAAAAEftX8o=")</f>
        <v>#REF!</v>
      </c>
      <c r="GV288" t="e">
        <f>AND(#REF!,"AAAAAEftX8s=")</f>
        <v>#REF!</v>
      </c>
      <c r="GW288" t="e">
        <f>AND(#REF!,"AAAAAEftX8w=")</f>
        <v>#REF!</v>
      </c>
      <c r="GX288" t="e">
        <f>AND(#REF!,"AAAAAEftX80=")</f>
        <v>#REF!</v>
      </c>
      <c r="GY288" t="e">
        <f>AND(#REF!,"AAAAAEftX84=")</f>
        <v>#REF!</v>
      </c>
      <c r="GZ288" t="e">
        <f>AND(#REF!,"AAAAAEftX88=")</f>
        <v>#REF!</v>
      </c>
      <c r="HA288" t="e">
        <f>AND(#REF!,"AAAAAEftX9A=")</f>
        <v>#REF!</v>
      </c>
      <c r="HB288" t="e">
        <f>AND(#REF!,"AAAAAEftX9E=")</f>
        <v>#REF!</v>
      </c>
      <c r="HC288" t="e">
        <f>AND(#REF!,"AAAAAEftX9I=")</f>
        <v>#REF!</v>
      </c>
      <c r="HD288" t="e">
        <f>AND(#REF!,"AAAAAEftX9M=")</f>
        <v>#REF!</v>
      </c>
      <c r="HE288" t="e">
        <f>AND(#REF!,"AAAAAEftX9Q=")</f>
        <v>#REF!</v>
      </c>
      <c r="HF288" t="e">
        <f>AND(#REF!,"AAAAAEftX9U=")</f>
        <v>#REF!</v>
      </c>
      <c r="HG288" t="e">
        <f>AND(#REF!,"AAAAAEftX9Y=")</f>
        <v>#REF!</v>
      </c>
      <c r="HH288" t="e">
        <f>AND(#REF!,"AAAAAEftX9c=")</f>
        <v>#REF!</v>
      </c>
      <c r="HI288" t="e">
        <f>AND(#REF!,"AAAAAEftX9g=")</f>
        <v>#REF!</v>
      </c>
      <c r="HJ288" t="e">
        <f>AND(#REF!,"AAAAAEftX9k=")</f>
        <v>#REF!</v>
      </c>
      <c r="HK288" t="e">
        <f>AND(#REF!,"AAAAAEftX9o=")</f>
        <v>#REF!</v>
      </c>
      <c r="HL288" t="e">
        <f>AND(#REF!,"AAAAAEftX9s=")</f>
        <v>#REF!</v>
      </c>
      <c r="HM288" t="e">
        <f>AND(#REF!,"AAAAAEftX9w=")</f>
        <v>#REF!</v>
      </c>
      <c r="HN288" t="e">
        <f>AND(#REF!,"AAAAAEftX90=")</f>
        <v>#REF!</v>
      </c>
      <c r="HO288" t="e">
        <f>AND(#REF!,"AAAAAEftX94=")</f>
        <v>#REF!</v>
      </c>
      <c r="HP288" t="e">
        <f>AND(#REF!,"AAAAAEftX98=")</f>
        <v>#REF!</v>
      </c>
      <c r="HQ288" t="e">
        <f>AND(#REF!,"AAAAAEftX+A=")</f>
        <v>#REF!</v>
      </c>
      <c r="HR288" t="e">
        <f>AND(#REF!,"AAAAAEftX+E=")</f>
        <v>#REF!</v>
      </c>
      <c r="HS288" t="e">
        <f>AND(#REF!,"AAAAAEftX+I=")</f>
        <v>#REF!</v>
      </c>
      <c r="HT288" t="e">
        <f>AND(#REF!,"AAAAAEftX+M=")</f>
        <v>#REF!</v>
      </c>
      <c r="HU288" t="e">
        <f>AND(#REF!,"AAAAAEftX+Q=")</f>
        <v>#REF!</v>
      </c>
      <c r="HV288" t="e">
        <f>AND(#REF!,"AAAAAEftX+U=")</f>
        <v>#REF!</v>
      </c>
      <c r="HW288" t="e">
        <f>IF(#REF!,"AAAAAEftX+Y=",0)</f>
        <v>#REF!</v>
      </c>
      <c r="HX288" t="e">
        <f>AND(#REF!,"AAAAAEftX+c=")</f>
        <v>#REF!</v>
      </c>
      <c r="HY288" t="e">
        <f>AND(#REF!,"AAAAAEftX+g=")</f>
        <v>#REF!</v>
      </c>
      <c r="HZ288" t="e">
        <f>AND(#REF!,"AAAAAEftX+k=")</f>
        <v>#REF!</v>
      </c>
      <c r="IA288" t="e">
        <f>AND(#REF!,"AAAAAEftX+o=")</f>
        <v>#REF!</v>
      </c>
      <c r="IB288" t="e">
        <f>AND(#REF!,"AAAAAEftX+s=")</f>
        <v>#REF!</v>
      </c>
      <c r="IC288" t="e">
        <f>AND(#REF!,"AAAAAEftX+w=")</f>
        <v>#REF!</v>
      </c>
      <c r="ID288" t="e">
        <f>AND(#REF!,"AAAAAEftX+0=")</f>
        <v>#REF!</v>
      </c>
      <c r="IE288" t="e">
        <f>AND(#REF!,"AAAAAEftX+4=")</f>
        <v>#REF!</v>
      </c>
      <c r="IF288" t="e">
        <f>AND(#REF!,"AAAAAEftX+8=")</f>
        <v>#REF!</v>
      </c>
      <c r="IG288" t="e">
        <f>AND(#REF!,"AAAAAEftX/A=")</f>
        <v>#REF!</v>
      </c>
      <c r="IH288" t="e">
        <f>AND(#REF!,"AAAAAEftX/E=")</f>
        <v>#REF!</v>
      </c>
      <c r="II288" t="e">
        <f>AND(#REF!,"AAAAAEftX/I=")</f>
        <v>#REF!</v>
      </c>
      <c r="IJ288" t="e">
        <f>AND(#REF!,"AAAAAEftX/M=")</f>
        <v>#REF!</v>
      </c>
      <c r="IK288" t="e">
        <f>AND(#REF!,"AAAAAEftX/Q=")</f>
        <v>#REF!</v>
      </c>
      <c r="IL288" t="e">
        <f>AND(#REF!,"AAAAAEftX/U=")</f>
        <v>#REF!</v>
      </c>
      <c r="IM288" t="e">
        <f>AND(#REF!,"AAAAAEftX/Y=")</f>
        <v>#REF!</v>
      </c>
      <c r="IN288" t="e">
        <f>AND(#REF!,"AAAAAEftX/c=")</f>
        <v>#REF!</v>
      </c>
      <c r="IO288" t="e">
        <f>AND(#REF!,"AAAAAEftX/g=")</f>
        <v>#REF!</v>
      </c>
      <c r="IP288" t="e">
        <f>AND(#REF!,"AAAAAEftX/k=")</f>
        <v>#REF!</v>
      </c>
      <c r="IQ288" t="e">
        <f>AND(#REF!,"AAAAAEftX/o=")</f>
        <v>#REF!</v>
      </c>
      <c r="IR288" t="e">
        <f>AND(#REF!,"AAAAAEftX/s=")</f>
        <v>#REF!</v>
      </c>
      <c r="IS288" t="e">
        <f>AND(#REF!,"AAAAAEftX/w=")</f>
        <v>#REF!</v>
      </c>
      <c r="IT288" t="e">
        <f>AND(#REF!,"AAAAAEftX/0=")</f>
        <v>#REF!</v>
      </c>
      <c r="IU288" t="e">
        <f>AND(#REF!,"AAAAAEftX/4=")</f>
        <v>#REF!</v>
      </c>
      <c r="IV288" t="e">
        <f>AND(#REF!,"AAAAAEftX/8=")</f>
        <v>#REF!</v>
      </c>
    </row>
    <row r="289" spans="1:256" x14ac:dyDescent="0.25">
      <c r="A289" t="e">
        <f>AND(#REF!,"AAAAAH3//wA=")</f>
        <v>#REF!</v>
      </c>
      <c r="B289" t="e">
        <f>AND(#REF!,"AAAAAH3//wE=")</f>
        <v>#REF!</v>
      </c>
      <c r="C289" t="e">
        <f>AND(#REF!,"AAAAAH3//wI=")</f>
        <v>#REF!</v>
      </c>
      <c r="D289" t="e">
        <f>AND(#REF!,"AAAAAH3//wM=")</f>
        <v>#REF!</v>
      </c>
      <c r="E289" t="e">
        <f>AND(#REF!,"AAAAAH3//wQ=")</f>
        <v>#REF!</v>
      </c>
      <c r="F289" t="e">
        <f>AND(#REF!,"AAAAAH3//wU=")</f>
        <v>#REF!</v>
      </c>
      <c r="G289" t="e">
        <f>AND(#REF!,"AAAAAH3//wY=")</f>
        <v>#REF!</v>
      </c>
      <c r="H289" t="e">
        <f>AND(#REF!,"AAAAAH3//wc=")</f>
        <v>#REF!</v>
      </c>
      <c r="I289" t="e">
        <f>AND(#REF!,"AAAAAH3//wg=")</f>
        <v>#REF!</v>
      </c>
      <c r="J289" t="e">
        <f>AND(#REF!,"AAAAAH3//wk=")</f>
        <v>#REF!</v>
      </c>
      <c r="K289" t="e">
        <f>AND(#REF!,"AAAAAH3//wo=")</f>
        <v>#REF!</v>
      </c>
      <c r="L289" t="e">
        <f>AND(#REF!,"AAAAAH3//ws=")</f>
        <v>#REF!</v>
      </c>
      <c r="M289" t="e">
        <f>AND(#REF!,"AAAAAH3//ww=")</f>
        <v>#REF!</v>
      </c>
      <c r="N289" t="e">
        <f>AND(#REF!,"AAAAAH3//w0=")</f>
        <v>#REF!</v>
      </c>
      <c r="O289" t="e">
        <f>AND(#REF!,"AAAAAH3//w4=")</f>
        <v>#REF!</v>
      </c>
      <c r="P289" t="e">
        <f>AND(#REF!,"AAAAAH3//w8=")</f>
        <v>#REF!</v>
      </c>
      <c r="Q289" t="e">
        <f>AND(#REF!,"AAAAAH3//xA=")</f>
        <v>#REF!</v>
      </c>
      <c r="R289" t="e">
        <f>AND(#REF!,"AAAAAH3//xE=")</f>
        <v>#REF!</v>
      </c>
      <c r="S289" t="e">
        <f>AND(#REF!,"AAAAAH3//xI=")</f>
        <v>#REF!</v>
      </c>
      <c r="T289" t="e">
        <f>AND(#REF!,"AAAAAH3//xM=")</f>
        <v>#REF!</v>
      </c>
      <c r="U289" t="e">
        <f>AND(#REF!,"AAAAAH3//xQ=")</f>
        <v>#REF!</v>
      </c>
      <c r="V289" t="e">
        <f>AND(#REF!,"AAAAAH3//xU=")</f>
        <v>#REF!</v>
      </c>
      <c r="W289" t="e">
        <f>AND(#REF!,"AAAAAH3//xY=")</f>
        <v>#REF!</v>
      </c>
      <c r="X289" t="e">
        <f>AND(#REF!,"AAAAAH3//xc=")</f>
        <v>#REF!</v>
      </c>
      <c r="Y289" t="e">
        <f>AND(#REF!,"AAAAAH3//xg=")</f>
        <v>#REF!</v>
      </c>
      <c r="Z289" t="e">
        <f>AND(#REF!,"AAAAAH3//xk=")</f>
        <v>#REF!</v>
      </c>
      <c r="AA289" t="e">
        <f>AND(#REF!,"AAAAAH3//xo=")</f>
        <v>#REF!</v>
      </c>
      <c r="AB289" t="e">
        <f>AND(#REF!,"AAAAAH3//xs=")</f>
        <v>#REF!</v>
      </c>
      <c r="AC289" t="e">
        <f>AND(#REF!,"AAAAAH3//xw=")</f>
        <v>#REF!</v>
      </c>
      <c r="AD289" t="e">
        <f>AND(#REF!,"AAAAAH3//x0=")</f>
        <v>#REF!</v>
      </c>
      <c r="AE289" t="e">
        <f>AND(#REF!,"AAAAAH3//x4=")</f>
        <v>#REF!</v>
      </c>
      <c r="AF289" t="e">
        <f>AND(#REF!,"AAAAAH3//x8=")</f>
        <v>#REF!</v>
      </c>
      <c r="AG289" t="e">
        <f>AND(#REF!,"AAAAAH3//yA=")</f>
        <v>#REF!</v>
      </c>
      <c r="AH289" t="e">
        <f>AND(#REF!,"AAAAAH3//yE=")</f>
        <v>#REF!</v>
      </c>
      <c r="AI289" t="e">
        <f>AND(#REF!,"AAAAAH3//yI=")</f>
        <v>#REF!</v>
      </c>
      <c r="AJ289" t="e">
        <f>AND(#REF!,"AAAAAH3//yM=")</f>
        <v>#REF!</v>
      </c>
      <c r="AK289" t="e">
        <f>AND(#REF!,"AAAAAH3//yQ=")</f>
        <v>#REF!</v>
      </c>
      <c r="AL289" t="e">
        <f>AND(#REF!,"AAAAAH3//yU=")</f>
        <v>#REF!</v>
      </c>
      <c r="AM289" t="e">
        <f>AND(#REF!,"AAAAAH3//yY=")</f>
        <v>#REF!</v>
      </c>
      <c r="AN289" t="e">
        <f>AND(#REF!,"AAAAAH3//yc=")</f>
        <v>#REF!</v>
      </c>
      <c r="AO289" t="e">
        <f>AND(#REF!,"AAAAAH3//yg=")</f>
        <v>#REF!</v>
      </c>
      <c r="AP289" t="e">
        <f>AND(#REF!,"AAAAAH3//yk=")</f>
        <v>#REF!</v>
      </c>
      <c r="AQ289" t="e">
        <f>AND(#REF!,"AAAAAH3//yo=")</f>
        <v>#REF!</v>
      </c>
      <c r="AR289" t="e">
        <f>AND(#REF!,"AAAAAH3//ys=")</f>
        <v>#REF!</v>
      </c>
      <c r="AS289" t="e">
        <f>AND(#REF!,"AAAAAH3//yw=")</f>
        <v>#REF!</v>
      </c>
      <c r="AT289" t="e">
        <f>AND(#REF!,"AAAAAH3//y0=")</f>
        <v>#REF!</v>
      </c>
      <c r="AU289" t="e">
        <f>AND(#REF!,"AAAAAH3//y4=")</f>
        <v>#REF!</v>
      </c>
      <c r="AV289" t="e">
        <f>AND(#REF!,"AAAAAH3//y8=")</f>
        <v>#REF!</v>
      </c>
      <c r="AW289" t="e">
        <f>AND(#REF!,"AAAAAH3//zA=")</f>
        <v>#REF!</v>
      </c>
      <c r="AX289" t="e">
        <f>AND(#REF!,"AAAAAH3//zE=")</f>
        <v>#REF!</v>
      </c>
      <c r="AY289" t="e">
        <f>AND(#REF!,"AAAAAH3//zI=")</f>
        <v>#REF!</v>
      </c>
      <c r="AZ289" t="e">
        <f>AND(#REF!,"AAAAAH3//zM=")</f>
        <v>#REF!</v>
      </c>
      <c r="BA289" t="e">
        <f>AND(#REF!,"AAAAAH3//zQ=")</f>
        <v>#REF!</v>
      </c>
      <c r="BB289" t="e">
        <f>AND(#REF!,"AAAAAH3//zU=")</f>
        <v>#REF!</v>
      </c>
      <c r="BC289" t="e">
        <f>AND(#REF!,"AAAAAH3//zY=")</f>
        <v>#REF!</v>
      </c>
      <c r="BD289" t="e">
        <f>AND(#REF!,"AAAAAH3//zc=")</f>
        <v>#REF!</v>
      </c>
      <c r="BE289" t="e">
        <f>AND(#REF!,"AAAAAH3//zg=")</f>
        <v>#REF!</v>
      </c>
      <c r="BF289" t="e">
        <f>AND(#REF!,"AAAAAH3//zk=")</f>
        <v>#REF!</v>
      </c>
      <c r="BG289" t="e">
        <f>AND(#REF!,"AAAAAH3//zo=")</f>
        <v>#REF!</v>
      </c>
      <c r="BH289" t="e">
        <f>AND(#REF!,"AAAAAH3//zs=")</f>
        <v>#REF!</v>
      </c>
      <c r="BI289" t="e">
        <f>AND(#REF!,"AAAAAH3//zw=")</f>
        <v>#REF!</v>
      </c>
      <c r="BJ289" t="e">
        <f>AND(#REF!,"AAAAAH3//z0=")</f>
        <v>#REF!</v>
      </c>
      <c r="BK289" t="e">
        <f>AND(#REF!,"AAAAAH3//z4=")</f>
        <v>#REF!</v>
      </c>
      <c r="BL289" t="e">
        <f>AND(#REF!,"AAAAAH3//z8=")</f>
        <v>#REF!</v>
      </c>
      <c r="BM289" t="e">
        <f>AND(#REF!,"AAAAAH3//0A=")</f>
        <v>#REF!</v>
      </c>
      <c r="BN289" t="e">
        <f>AND(#REF!,"AAAAAH3//0E=")</f>
        <v>#REF!</v>
      </c>
      <c r="BO289" t="e">
        <f>AND(#REF!,"AAAAAH3//0I=")</f>
        <v>#REF!</v>
      </c>
      <c r="BP289" t="e">
        <f>AND(#REF!,"AAAAAH3//0M=")</f>
        <v>#REF!</v>
      </c>
      <c r="BQ289" t="e">
        <f>AND(#REF!,"AAAAAH3//0Q=")</f>
        <v>#REF!</v>
      </c>
      <c r="BR289" t="e">
        <f>AND(#REF!,"AAAAAH3//0U=")</f>
        <v>#REF!</v>
      </c>
      <c r="BS289" t="e">
        <f>AND(#REF!,"AAAAAH3//0Y=")</f>
        <v>#REF!</v>
      </c>
      <c r="BT289" t="e">
        <f>AND(#REF!,"AAAAAH3//0c=")</f>
        <v>#REF!</v>
      </c>
      <c r="BU289" t="e">
        <f>AND(#REF!,"AAAAAH3//0g=")</f>
        <v>#REF!</v>
      </c>
      <c r="BV289" t="e">
        <f>AND(#REF!,"AAAAAH3//0k=")</f>
        <v>#REF!</v>
      </c>
      <c r="BW289" t="e">
        <f>AND(#REF!,"AAAAAH3//0o=")</f>
        <v>#REF!</v>
      </c>
      <c r="BX289" t="e">
        <f>AND(#REF!,"AAAAAH3//0s=")</f>
        <v>#REF!</v>
      </c>
      <c r="BY289" t="e">
        <f>AND(#REF!,"AAAAAH3//0w=")</f>
        <v>#REF!</v>
      </c>
      <c r="BZ289" t="e">
        <f>AND(#REF!,"AAAAAH3//00=")</f>
        <v>#REF!</v>
      </c>
      <c r="CA289" t="e">
        <f>AND(#REF!,"AAAAAH3//04=")</f>
        <v>#REF!</v>
      </c>
      <c r="CB289" t="e">
        <f>AND(#REF!,"AAAAAH3//08=")</f>
        <v>#REF!</v>
      </c>
      <c r="CC289" t="e">
        <f>AND(#REF!,"AAAAAH3//1A=")</f>
        <v>#REF!</v>
      </c>
      <c r="CD289" t="e">
        <f>AND(#REF!,"AAAAAH3//1E=")</f>
        <v>#REF!</v>
      </c>
      <c r="CE289" t="e">
        <f>AND(#REF!,"AAAAAH3//1I=")</f>
        <v>#REF!</v>
      </c>
      <c r="CF289" t="e">
        <f>AND(#REF!,"AAAAAH3//1M=")</f>
        <v>#REF!</v>
      </c>
      <c r="CG289" t="e">
        <f>AND(#REF!,"AAAAAH3//1Q=")</f>
        <v>#REF!</v>
      </c>
      <c r="CH289" t="e">
        <f>AND(#REF!,"AAAAAH3//1U=")</f>
        <v>#REF!</v>
      </c>
      <c r="CI289" t="e">
        <f>AND(#REF!,"AAAAAH3//1Y=")</f>
        <v>#REF!</v>
      </c>
      <c r="CJ289" t="e">
        <f>AND(#REF!,"AAAAAH3//1c=")</f>
        <v>#REF!</v>
      </c>
      <c r="CK289" t="e">
        <f>AND(#REF!,"AAAAAH3//1g=")</f>
        <v>#REF!</v>
      </c>
      <c r="CL289" t="e">
        <f>AND(#REF!,"AAAAAH3//1k=")</f>
        <v>#REF!</v>
      </c>
      <c r="CM289" t="e">
        <f>AND(#REF!,"AAAAAH3//1o=")</f>
        <v>#REF!</v>
      </c>
      <c r="CN289" t="e">
        <f>AND(#REF!,"AAAAAH3//1s=")</f>
        <v>#REF!</v>
      </c>
      <c r="CO289" t="e">
        <f>AND(#REF!,"AAAAAH3//1w=")</f>
        <v>#REF!</v>
      </c>
      <c r="CP289" t="e">
        <f>AND(#REF!,"AAAAAH3//10=")</f>
        <v>#REF!</v>
      </c>
      <c r="CQ289" t="e">
        <f>AND(#REF!,"AAAAAH3//14=")</f>
        <v>#REF!</v>
      </c>
      <c r="CR289" t="e">
        <f>AND(#REF!,"AAAAAH3//18=")</f>
        <v>#REF!</v>
      </c>
      <c r="CS289" t="e">
        <f>AND(#REF!,"AAAAAH3//2A=")</f>
        <v>#REF!</v>
      </c>
      <c r="CT289" t="e">
        <f>AND(#REF!,"AAAAAH3//2E=")</f>
        <v>#REF!</v>
      </c>
      <c r="CU289" t="e">
        <f>AND(#REF!,"AAAAAH3//2I=")</f>
        <v>#REF!</v>
      </c>
      <c r="CV289" t="e">
        <f>AND(#REF!,"AAAAAH3//2M=")</f>
        <v>#REF!</v>
      </c>
      <c r="CW289" t="e">
        <f>AND(#REF!,"AAAAAH3//2Q=")</f>
        <v>#REF!</v>
      </c>
      <c r="CX289" t="e">
        <f>AND(#REF!,"AAAAAH3//2U=")</f>
        <v>#REF!</v>
      </c>
      <c r="CY289" t="e">
        <f>AND(#REF!,"AAAAAH3//2Y=")</f>
        <v>#REF!</v>
      </c>
      <c r="CZ289" t="e">
        <f>AND(#REF!,"AAAAAH3//2c=")</f>
        <v>#REF!</v>
      </c>
      <c r="DA289" t="e">
        <f>AND(#REF!,"AAAAAH3//2g=")</f>
        <v>#REF!</v>
      </c>
      <c r="DB289" t="e">
        <f>AND(#REF!,"AAAAAH3//2k=")</f>
        <v>#REF!</v>
      </c>
      <c r="DC289" t="e">
        <f>AND(#REF!,"AAAAAH3//2o=")</f>
        <v>#REF!</v>
      </c>
      <c r="DD289" t="e">
        <f>AND(#REF!,"AAAAAH3//2s=")</f>
        <v>#REF!</v>
      </c>
      <c r="DE289" t="e">
        <f>AND(#REF!,"AAAAAH3//2w=")</f>
        <v>#REF!</v>
      </c>
      <c r="DF289" t="e">
        <f>AND(#REF!,"AAAAAH3//20=")</f>
        <v>#REF!</v>
      </c>
      <c r="DG289" t="e">
        <f>AND(#REF!,"AAAAAH3//24=")</f>
        <v>#REF!</v>
      </c>
      <c r="DH289" t="e">
        <f>AND(#REF!,"AAAAAH3//28=")</f>
        <v>#REF!</v>
      </c>
      <c r="DI289" t="e">
        <f>AND(#REF!,"AAAAAH3//3A=")</f>
        <v>#REF!</v>
      </c>
      <c r="DJ289" t="e">
        <f>AND(#REF!,"AAAAAH3//3E=")</f>
        <v>#REF!</v>
      </c>
      <c r="DK289" t="e">
        <f>AND(#REF!,"AAAAAH3//3I=")</f>
        <v>#REF!</v>
      </c>
      <c r="DL289" t="e">
        <f>AND(#REF!,"AAAAAH3//3M=")</f>
        <v>#REF!</v>
      </c>
      <c r="DM289" t="e">
        <f>AND(#REF!,"AAAAAH3//3Q=")</f>
        <v>#REF!</v>
      </c>
      <c r="DN289" t="e">
        <f>AND(#REF!,"AAAAAH3//3U=")</f>
        <v>#REF!</v>
      </c>
      <c r="DO289" t="e">
        <f>AND(#REF!,"AAAAAH3//3Y=")</f>
        <v>#REF!</v>
      </c>
      <c r="DP289" t="e">
        <f>AND(#REF!,"AAAAAH3//3c=")</f>
        <v>#REF!</v>
      </c>
      <c r="DQ289" t="e">
        <f>AND(#REF!,"AAAAAH3//3g=")</f>
        <v>#REF!</v>
      </c>
      <c r="DR289" t="e">
        <f>AND(#REF!,"AAAAAH3//3k=")</f>
        <v>#REF!</v>
      </c>
      <c r="DS289" t="e">
        <f>AND(#REF!,"AAAAAH3//3o=")</f>
        <v>#REF!</v>
      </c>
      <c r="DT289" t="e">
        <f>AND(#REF!,"AAAAAH3//3s=")</f>
        <v>#REF!</v>
      </c>
      <c r="DU289" t="e">
        <f>AND(#REF!,"AAAAAH3//3w=")</f>
        <v>#REF!</v>
      </c>
      <c r="DV289" t="e">
        <f>AND(#REF!,"AAAAAH3//30=")</f>
        <v>#REF!</v>
      </c>
      <c r="DW289" t="e">
        <f>AND(#REF!,"AAAAAH3//34=")</f>
        <v>#REF!</v>
      </c>
      <c r="DX289" t="e">
        <f>AND(#REF!,"AAAAAH3//38=")</f>
        <v>#REF!</v>
      </c>
      <c r="DY289" t="e">
        <f>AND(#REF!,"AAAAAH3//4A=")</f>
        <v>#REF!</v>
      </c>
      <c r="DZ289" t="e">
        <f>AND(#REF!,"AAAAAH3//4E=")</f>
        <v>#REF!</v>
      </c>
      <c r="EA289" t="e">
        <f>AND(#REF!,"AAAAAH3//4I=")</f>
        <v>#REF!</v>
      </c>
      <c r="EB289" t="e">
        <f>AND(#REF!,"AAAAAH3//4M=")</f>
        <v>#REF!</v>
      </c>
      <c r="EC289" t="e">
        <f>AND(#REF!,"AAAAAH3//4Q=")</f>
        <v>#REF!</v>
      </c>
      <c r="ED289" t="e">
        <f>AND(#REF!,"AAAAAH3//4U=")</f>
        <v>#REF!</v>
      </c>
      <c r="EE289" t="e">
        <f>AND(#REF!,"AAAAAH3//4Y=")</f>
        <v>#REF!</v>
      </c>
      <c r="EF289" t="e">
        <f>AND(#REF!,"AAAAAH3//4c=")</f>
        <v>#REF!</v>
      </c>
      <c r="EG289" t="e">
        <f>AND(#REF!,"AAAAAH3//4g=")</f>
        <v>#REF!</v>
      </c>
      <c r="EH289" t="e">
        <f>AND(#REF!,"AAAAAH3//4k=")</f>
        <v>#REF!</v>
      </c>
      <c r="EI289" t="e">
        <f>AND(#REF!,"AAAAAH3//4o=")</f>
        <v>#REF!</v>
      </c>
      <c r="EJ289" t="e">
        <f>AND(#REF!,"AAAAAH3//4s=")</f>
        <v>#REF!</v>
      </c>
      <c r="EK289" t="e">
        <f>AND(#REF!,"AAAAAH3//4w=")</f>
        <v>#REF!</v>
      </c>
      <c r="EL289" t="e">
        <f>AND(#REF!,"AAAAAH3//40=")</f>
        <v>#REF!</v>
      </c>
      <c r="EM289" t="e">
        <f>AND(#REF!,"AAAAAH3//44=")</f>
        <v>#REF!</v>
      </c>
      <c r="EN289" t="e">
        <f>AND(#REF!,"AAAAAH3//48=")</f>
        <v>#REF!</v>
      </c>
      <c r="EO289" t="e">
        <f>AND(#REF!,"AAAAAH3//5A=")</f>
        <v>#REF!</v>
      </c>
      <c r="EP289" t="e">
        <f>AND(#REF!,"AAAAAH3//5E=")</f>
        <v>#REF!</v>
      </c>
      <c r="EQ289" t="e">
        <f>AND(#REF!,"AAAAAH3//5I=")</f>
        <v>#REF!</v>
      </c>
      <c r="ER289" t="e">
        <f>AND(#REF!,"AAAAAH3//5M=")</f>
        <v>#REF!</v>
      </c>
      <c r="ES289" t="e">
        <f>AND(#REF!,"AAAAAH3//5Q=")</f>
        <v>#REF!</v>
      </c>
      <c r="ET289" t="e">
        <f>AND(#REF!,"AAAAAH3//5U=")</f>
        <v>#REF!</v>
      </c>
      <c r="EU289" t="e">
        <f>AND(#REF!,"AAAAAH3//5Y=")</f>
        <v>#REF!</v>
      </c>
      <c r="EV289" t="e">
        <f>AND(#REF!,"AAAAAH3//5c=")</f>
        <v>#REF!</v>
      </c>
      <c r="EW289" t="e">
        <f>AND(#REF!,"AAAAAH3//5g=")</f>
        <v>#REF!</v>
      </c>
      <c r="EX289" t="e">
        <f>AND(#REF!,"AAAAAH3//5k=")</f>
        <v>#REF!</v>
      </c>
      <c r="EY289" t="e">
        <f>AND(#REF!,"AAAAAH3//5o=")</f>
        <v>#REF!</v>
      </c>
      <c r="EZ289" t="e">
        <f>AND(#REF!,"AAAAAH3//5s=")</f>
        <v>#REF!</v>
      </c>
      <c r="FA289" t="e">
        <f>AND(#REF!,"AAAAAH3//5w=")</f>
        <v>#REF!</v>
      </c>
      <c r="FB289" t="e">
        <f>AND(#REF!,"AAAAAH3//50=")</f>
        <v>#REF!</v>
      </c>
      <c r="FC289" t="e">
        <f>AND(#REF!,"AAAAAH3//54=")</f>
        <v>#REF!</v>
      </c>
      <c r="FD289" t="e">
        <f>AND(#REF!,"AAAAAH3//58=")</f>
        <v>#REF!</v>
      </c>
      <c r="FE289" t="e">
        <f>AND(#REF!,"AAAAAH3//6A=")</f>
        <v>#REF!</v>
      </c>
      <c r="FF289" t="e">
        <f>AND(#REF!,"AAAAAH3//6E=")</f>
        <v>#REF!</v>
      </c>
      <c r="FG289" t="e">
        <f>AND(#REF!,"AAAAAH3//6I=")</f>
        <v>#REF!</v>
      </c>
      <c r="FH289" t="e">
        <f>IF(#REF!,"AAAAAH3//6M=",0)</f>
        <v>#REF!</v>
      </c>
      <c r="FI289" t="e">
        <f>AND(#REF!,"AAAAAH3//6Q=")</f>
        <v>#REF!</v>
      </c>
      <c r="FJ289" t="e">
        <f>AND(#REF!,"AAAAAH3//6U=")</f>
        <v>#REF!</v>
      </c>
      <c r="FK289" t="e">
        <f>AND(#REF!,"AAAAAH3//6Y=")</f>
        <v>#REF!</v>
      </c>
      <c r="FL289" t="e">
        <f>AND(#REF!,"AAAAAH3//6c=")</f>
        <v>#REF!</v>
      </c>
      <c r="FM289" t="e">
        <f>AND(#REF!,"AAAAAH3//6g=")</f>
        <v>#REF!</v>
      </c>
      <c r="FN289" t="e">
        <f>AND(#REF!,"AAAAAH3//6k=")</f>
        <v>#REF!</v>
      </c>
      <c r="FO289" t="e">
        <f>AND(#REF!,"AAAAAH3//6o=")</f>
        <v>#REF!</v>
      </c>
      <c r="FP289" t="e">
        <f>AND(#REF!,"AAAAAH3//6s=")</f>
        <v>#REF!</v>
      </c>
      <c r="FQ289" t="e">
        <f>AND(#REF!,"AAAAAH3//6w=")</f>
        <v>#REF!</v>
      </c>
      <c r="FR289" t="e">
        <f>AND(#REF!,"AAAAAH3//60=")</f>
        <v>#REF!</v>
      </c>
      <c r="FS289" t="e">
        <f>AND(#REF!,"AAAAAH3//64=")</f>
        <v>#REF!</v>
      </c>
      <c r="FT289" t="e">
        <f>AND(#REF!,"AAAAAH3//68=")</f>
        <v>#REF!</v>
      </c>
      <c r="FU289" t="e">
        <f>AND(#REF!,"AAAAAH3//7A=")</f>
        <v>#REF!</v>
      </c>
      <c r="FV289" t="e">
        <f>AND(#REF!,"AAAAAH3//7E=")</f>
        <v>#REF!</v>
      </c>
      <c r="FW289" t="e">
        <f>AND(#REF!,"AAAAAH3//7I=")</f>
        <v>#REF!</v>
      </c>
      <c r="FX289" t="e">
        <f>AND(#REF!,"AAAAAH3//7M=")</f>
        <v>#REF!</v>
      </c>
      <c r="FY289" t="e">
        <f>AND(#REF!,"AAAAAH3//7Q=")</f>
        <v>#REF!</v>
      </c>
      <c r="FZ289" t="e">
        <f>AND(#REF!,"AAAAAH3//7U=")</f>
        <v>#REF!</v>
      </c>
      <c r="GA289" t="e">
        <f>AND(#REF!,"AAAAAH3//7Y=")</f>
        <v>#REF!</v>
      </c>
      <c r="GB289" t="e">
        <f>AND(#REF!,"AAAAAH3//7c=")</f>
        <v>#REF!</v>
      </c>
      <c r="GC289" t="e">
        <f>AND(#REF!,"AAAAAH3//7g=")</f>
        <v>#REF!</v>
      </c>
      <c r="GD289" t="e">
        <f>AND(#REF!,"AAAAAH3//7k=")</f>
        <v>#REF!</v>
      </c>
      <c r="GE289" t="e">
        <f>AND(#REF!,"AAAAAH3//7o=")</f>
        <v>#REF!</v>
      </c>
      <c r="GF289" t="e">
        <f>AND(#REF!,"AAAAAH3//7s=")</f>
        <v>#REF!</v>
      </c>
      <c r="GG289" t="e">
        <f>AND(#REF!,"AAAAAH3//7w=")</f>
        <v>#REF!</v>
      </c>
      <c r="GH289" t="e">
        <f>AND(#REF!,"AAAAAH3//70=")</f>
        <v>#REF!</v>
      </c>
      <c r="GI289" t="e">
        <f>AND(#REF!,"AAAAAH3//74=")</f>
        <v>#REF!</v>
      </c>
      <c r="GJ289" t="e">
        <f>AND(#REF!,"AAAAAH3//78=")</f>
        <v>#REF!</v>
      </c>
      <c r="GK289" t="e">
        <f>AND(#REF!,"AAAAAH3//8A=")</f>
        <v>#REF!</v>
      </c>
      <c r="GL289" t="e">
        <f>AND(#REF!,"AAAAAH3//8E=")</f>
        <v>#REF!</v>
      </c>
      <c r="GM289" t="e">
        <f>AND(#REF!,"AAAAAH3//8I=")</f>
        <v>#REF!</v>
      </c>
      <c r="GN289" t="e">
        <f>AND(#REF!,"AAAAAH3//8M=")</f>
        <v>#REF!</v>
      </c>
      <c r="GO289" t="e">
        <f>AND(#REF!,"AAAAAH3//8Q=")</f>
        <v>#REF!</v>
      </c>
      <c r="GP289" t="e">
        <f>AND(#REF!,"AAAAAH3//8U=")</f>
        <v>#REF!</v>
      </c>
      <c r="GQ289" t="e">
        <f>AND(#REF!,"AAAAAH3//8Y=")</f>
        <v>#REF!</v>
      </c>
      <c r="GR289" t="e">
        <f>AND(#REF!,"AAAAAH3//8c=")</f>
        <v>#REF!</v>
      </c>
      <c r="GS289" t="e">
        <f>AND(#REF!,"AAAAAH3//8g=")</f>
        <v>#REF!</v>
      </c>
      <c r="GT289" t="e">
        <f>AND(#REF!,"AAAAAH3//8k=")</f>
        <v>#REF!</v>
      </c>
      <c r="GU289" t="e">
        <f>AND(#REF!,"AAAAAH3//8o=")</f>
        <v>#REF!</v>
      </c>
      <c r="GV289" t="e">
        <f>AND(#REF!,"AAAAAH3//8s=")</f>
        <v>#REF!</v>
      </c>
      <c r="GW289" t="e">
        <f>AND(#REF!,"AAAAAH3//8w=")</f>
        <v>#REF!</v>
      </c>
      <c r="GX289" t="e">
        <f>AND(#REF!,"AAAAAH3//80=")</f>
        <v>#REF!</v>
      </c>
      <c r="GY289" t="e">
        <f>AND(#REF!,"AAAAAH3//84=")</f>
        <v>#REF!</v>
      </c>
      <c r="GZ289" t="e">
        <f>AND(#REF!,"AAAAAH3//88=")</f>
        <v>#REF!</v>
      </c>
      <c r="HA289" t="e">
        <f>AND(#REF!,"AAAAAH3//9A=")</f>
        <v>#REF!</v>
      </c>
      <c r="HB289" t="e">
        <f>AND(#REF!,"AAAAAH3//9E=")</f>
        <v>#REF!</v>
      </c>
      <c r="HC289" t="e">
        <f>AND(#REF!,"AAAAAH3//9I=")</f>
        <v>#REF!</v>
      </c>
      <c r="HD289" t="e">
        <f>AND(#REF!,"AAAAAH3//9M=")</f>
        <v>#REF!</v>
      </c>
      <c r="HE289" t="e">
        <f>AND(#REF!,"AAAAAH3//9Q=")</f>
        <v>#REF!</v>
      </c>
      <c r="HF289" t="e">
        <f>AND(#REF!,"AAAAAH3//9U=")</f>
        <v>#REF!</v>
      </c>
      <c r="HG289" t="e">
        <f>AND(#REF!,"AAAAAH3//9Y=")</f>
        <v>#REF!</v>
      </c>
      <c r="HH289" t="e">
        <f>AND(#REF!,"AAAAAH3//9c=")</f>
        <v>#REF!</v>
      </c>
      <c r="HI289" t="e">
        <f>AND(#REF!,"AAAAAH3//9g=")</f>
        <v>#REF!</v>
      </c>
      <c r="HJ289" t="e">
        <f>AND(#REF!,"AAAAAH3//9k=")</f>
        <v>#REF!</v>
      </c>
      <c r="HK289" t="e">
        <f>AND(#REF!,"AAAAAH3//9o=")</f>
        <v>#REF!</v>
      </c>
      <c r="HL289" t="e">
        <f>AND(#REF!,"AAAAAH3//9s=")</f>
        <v>#REF!</v>
      </c>
      <c r="HM289" t="e">
        <f>AND(#REF!,"AAAAAH3//9w=")</f>
        <v>#REF!</v>
      </c>
      <c r="HN289" t="e">
        <f>AND(#REF!,"AAAAAH3//90=")</f>
        <v>#REF!</v>
      </c>
      <c r="HO289" t="e">
        <f>AND(#REF!,"AAAAAH3//94=")</f>
        <v>#REF!</v>
      </c>
      <c r="HP289" t="e">
        <f>AND(#REF!,"AAAAAH3//98=")</f>
        <v>#REF!</v>
      </c>
      <c r="HQ289" t="e">
        <f>AND(#REF!,"AAAAAH3//+A=")</f>
        <v>#REF!</v>
      </c>
      <c r="HR289" t="e">
        <f>AND(#REF!,"AAAAAH3//+E=")</f>
        <v>#REF!</v>
      </c>
      <c r="HS289" t="e">
        <f>AND(#REF!,"AAAAAH3//+I=")</f>
        <v>#REF!</v>
      </c>
      <c r="HT289" t="e">
        <f>AND(#REF!,"AAAAAH3//+M=")</f>
        <v>#REF!</v>
      </c>
      <c r="HU289" t="e">
        <f>AND(#REF!,"AAAAAH3//+Q=")</f>
        <v>#REF!</v>
      </c>
      <c r="HV289" t="e">
        <f>AND(#REF!,"AAAAAH3//+U=")</f>
        <v>#REF!</v>
      </c>
      <c r="HW289" t="e">
        <f>AND(#REF!,"AAAAAH3//+Y=")</f>
        <v>#REF!</v>
      </c>
      <c r="HX289" t="e">
        <f>AND(#REF!,"AAAAAH3//+c=")</f>
        <v>#REF!</v>
      </c>
      <c r="HY289" t="e">
        <f>AND(#REF!,"AAAAAH3//+g=")</f>
        <v>#REF!</v>
      </c>
      <c r="HZ289" t="e">
        <f>AND(#REF!,"AAAAAH3//+k=")</f>
        <v>#REF!</v>
      </c>
      <c r="IA289" t="e">
        <f>AND(#REF!,"AAAAAH3//+o=")</f>
        <v>#REF!</v>
      </c>
      <c r="IB289" t="e">
        <f>AND(#REF!,"AAAAAH3//+s=")</f>
        <v>#REF!</v>
      </c>
      <c r="IC289" t="e">
        <f>AND(#REF!,"AAAAAH3//+w=")</f>
        <v>#REF!</v>
      </c>
      <c r="ID289" t="e">
        <f>AND(#REF!,"AAAAAH3//+0=")</f>
        <v>#REF!</v>
      </c>
      <c r="IE289" t="e">
        <f>AND(#REF!,"AAAAAH3//+4=")</f>
        <v>#REF!</v>
      </c>
      <c r="IF289" t="e">
        <f>AND(#REF!,"AAAAAH3//+8=")</f>
        <v>#REF!</v>
      </c>
      <c r="IG289" t="e">
        <f>AND(#REF!,"AAAAAH3///A=")</f>
        <v>#REF!</v>
      </c>
      <c r="IH289" t="e">
        <f>AND(#REF!,"AAAAAH3///E=")</f>
        <v>#REF!</v>
      </c>
      <c r="II289" t="e">
        <f>AND(#REF!,"AAAAAH3///I=")</f>
        <v>#REF!</v>
      </c>
      <c r="IJ289" t="e">
        <f>AND(#REF!,"AAAAAH3///M=")</f>
        <v>#REF!</v>
      </c>
      <c r="IK289" t="e">
        <f>AND(#REF!,"AAAAAH3///Q=")</f>
        <v>#REF!</v>
      </c>
      <c r="IL289" t="e">
        <f>AND(#REF!,"AAAAAH3///U=")</f>
        <v>#REF!</v>
      </c>
      <c r="IM289" t="e">
        <f>AND(#REF!,"AAAAAH3///Y=")</f>
        <v>#REF!</v>
      </c>
      <c r="IN289" t="e">
        <f>AND(#REF!,"AAAAAH3///c=")</f>
        <v>#REF!</v>
      </c>
      <c r="IO289" t="e">
        <f>AND(#REF!,"AAAAAH3///g=")</f>
        <v>#REF!</v>
      </c>
      <c r="IP289" t="e">
        <f>AND(#REF!,"AAAAAH3///k=")</f>
        <v>#REF!</v>
      </c>
      <c r="IQ289" t="e">
        <f>AND(#REF!,"AAAAAH3///o=")</f>
        <v>#REF!</v>
      </c>
      <c r="IR289" t="e">
        <f>AND(#REF!,"AAAAAH3///s=")</f>
        <v>#REF!</v>
      </c>
      <c r="IS289" t="e">
        <f>AND(#REF!,"AAAAAH3///w=")</f>
        <v>#REF!</v>
      </c>
      <c r="IT289" t="e">
        <f>AND(#REF!,"AAAAAH3///0=")</f>
        <v>#REF!</v>
      </c>
      <c r="IU289" t="e">
        <f>AND(#REF!,"AAAAAH3///4=")</f>
        <v>#REF!</v>
      </c>
      <c r="IV289" t="e">
        <f>AND(#REF!,"AAAAAH3///8=")</f>
        <v>#REF!</v>
      </c>
    </row>
    <row r="290" spans="1:256" x14ac:dyDescent="0.25">
      <c r="A290" t="e">
        <f>AND(#REF!,"AAAAAHt0/AA=")</f>
        <v>#REF!</v>
      </c>
      <c r="B290" t="e">
        <f>AND(#REF!,"AAAAAHt0/AE=")</f>
        <v>#REF!</v>
      </c>
      <c r="C290" t="e">
        <f>AND(#REF!,"AAAAAHt0/AI=")</f>
        <v>#REF!</v>
      </c>
      <c r="D290" t="e">
        <f>AND(#REF!,"AAAAAHt0/AM=")</f>
        <v>#REF!</v>
      </c>
      <c r="E290" t="e">
        <f>AND(#REF!,"AAAAAHt0/AQ=")</f>
        <v>#REF!</v>
      </c>
      <c r="F290" t="e">
        <f>AND(#REF!,"AAAAAHt0/AU=")</f>
        <v>#REF!</v>
      </c>
      <c r="G290" t="e">
        <f>AND(#REF!,"AAAAAHt0/AY=")</f>
        <v>#REF!</v>
      </c>
      <c r="H290" t="e">
        <f>AND(#REF!,"AAAAAHt0/Ac=")</f>
        <v>#REF!</v>
      </c>
      <c r="I290" t="e">
        <f>AND(#REF!,"AAAAAHt0/Ag=")</f>
        <v>#REF!</v>
      </c>
      <c r="J290" t="e">
        <f>AND(#REF!,"AAAAAHt0/Ak=")</f>
        <v>#REF!</v>
      </c>
      <c r="K290" t="e">
        <f>AND(#REF!,"AAAAAHt0/Ao=")</f>
        <v>#REF!</v>
      </c>
      <c r="L290" t="e">
        <f>AND(#REF!,"AAAAAHt0/As=")</f>
        <v>#REF!</v>
      </c>
      <c r="M290" t="e">
        <f>AND(#REF!,"AAAAAHt0/Aw=")</f>
        <v>#REF!</v>
      </c>
      <c r="N290" t="e">
        <f>AND(#REF!,"AAAAAHt0/A0=")</f>
        <v>#REF!</v>
      </c>
      <c r="O290" t="e">
        <f>AND(#REF!,"AAAAAHt0/A4=")</f>
        <v>#REF!</v>
      </c>
      <c r="P290" t="e">
        <f>AND(#REF!,"AAAAAHt0/A8=")</f>
        <v>#REF!</v>
      </c>
      <c r="Q290" t="e">
        <f>AND(#REF!,"AAAAAHt0/BA=")</f>
        <v>#REF!</v>
      </c>
      <c r="R290" t="e">
        <f>AND(#REF!,"AAAAAHt0/BE=")</f>
        <v>#REF!</v>
      </c>
      <c r="S290" t="e">
        <f>AND(#REF!,"AAAAAHt0/BI=")</f>
        <v>#REF!</v>
      </c>
      <c r="T290" t="e">
        <f>AND(#REF!,"AAAAAHt0/BM=")</f>
        <v>#REF!</v>
      </c>
      <c r="U290" t="e">
        <f>AND(#REF!,"AAAAAHt0/BQ=")</f>
        <v>#REF!</v>
      </c>
      <c r="V290" t="e">
        <f>AND(#REF!,"AAAAAHt0/BU=")</f>
        <v>#REF!</v>
      </c>
      <c r="W290" t="e">
        <f>AND(#REF!,"AAAAAHt0/BY=")</f>
        <v>#REF!</v>
      </c>
      <c r="X290" t="e">
        <f>AND(#REF!,"AAAAAHt0/Bc=")</f>
        <v>#REF!</v>
      </c>
      <c r="Y290" t="e">
        <f>AND(#REF!,"AAAAAHt0/Bg=")</f>
        <v>#REF!</v>
      </c>
      <c r="Z290" t="e">
        <f>AND(#REF!,"AAAAAHt0/Bk=")</f>
        <v>#REF!</v>
      </c>
      <c r="AA290" t="e">
        <f>AND(#REF!,"AAAAAHt0/Bo=")</f>
        <v>#REF!</v>
      </c>
      <c r="AB290" t="e">
        <f>AND(#REF!,"AAAAAHt0/Bs=")</f>
        <v>#REF!</v>
      </c>
      <c r="AC290" t="e">
        <f>AND(#REF!,"AAAAAHt0/Bw=")</f>
        <v>#REF!</v>
      </c>
      <c r="AD290" t="e">
        <f>AND(#REF!,"AAAAAHt0/B0=")</f>
        <v>#REF!</v>
      </c>
      <c r="AE290" t="e">
        <f>AND(#REF!,"AAAAAHt0/B4=")</f>
        <v>#REF!</v>
      </c>
      <c r="AF290" t="e">
        <f>AND(#REF!,"AAAAAHt0/B8=")</f>
        <v>#REF!</v>
      </c>
      <c r="AG290" t="e">
        <f>AND(#REF!,"AAAAAHt0/CA=")</f>
        <v>#REF!</v>
      </c>
      <c r="AH290" t="e">
        <f>AND(#REF!,"AAAAAHt0/CE=")</f>
        <v>#REF!</v>
      </c>
      <c r="AI290" t="e">
        <f>AND(#REF!,"AAAAAHt0/CI=")</f>
        <v>#REF!</v>
      </c>
      <c r="AJ290" t="e">
        <f>AND(#REF!,"AAAAAHt0/CM=")</f>
        <v>#REF!</v>
      </c>
      <c r="AK290" t="e">
        <f>AND(#REF!,"AAAAAHt0/CQ=")</f>
        <v>#REF!</v>
      </c>
      <c r="AL290" t="e">
        <f>AND(#REF!,"AAAAAHt0/CU=")</f>
        <v>#REF!</v>
      </c>
      <c r="AM290" t="e">
        <f>AND(#REF!,"AAAAAHt0/CY=")</f>
        <v>#REF!</v>
      </c>
      <c r="AN290" t="e">
        <f>AND(#REF!,"AAAAAHt0/Cc=")</f>
        <v>#REF!</v>
      </c>
      <c r="AO290" t="e">
        <f>AND(#REF!,"AAAAAHt0/Cg=")</f>
        <v>#REF!</v>
      </c>
      <c r="AP290" t="e">
        <f>AND(#REF!,"AAAAAHt0/Ck=")</f>
        <v>#REF!</v>
      </c>
      <c r="AQ290" t="e">
        <f>AND(#REF!,"AAAAAHt0/Co=")</f>
        <v>#REF!</v>
      </c>
      <c r="AR290" t="e">
        <f>AND(#REF!,"AAAAAHt0/Cs=")</f>
        <v>#REF!</v>
      </c>
      <c r="AS290" t="e">
        <f>AND(#REF!,"AAAAAHt0/Cw=")</f>
        <v>#REF!</v>
      </c>
      <c r="AT290" t="e">
        <f>AND(#REF!,"AAAAAHt0/C0=")</f>
        <v>#REF!</v>
      </c>
      <c r="AU290" t="e">
        <f>AND(#REF!,"AAAAAHt0/C4=")</f>
        <v>#REF!</v>
      </c>
      <c r="AV290" t="e">
        <f>AND(#REF!,"AAAAAHt0/C8=")</f>
        <v>#REF!</v>
      </c>
      <c r="AW290" t="e">
        <f>AND(#REF!,"AAAAAHt0/DA=")</f>
        <v>#REF!</v>
      </c>
      <c r="AX290" t="e">
        <f>AND(#REF!,"AAAAAHt0/DE=")</f>
        <v>#REF!</v>
      </c>
      <c r="AY290" t="e">
        <f>AND(#REF!,"AAAAAHt0/DI=")</f>
        <v>#REF!</v>
      </c>
      <c r="AZ290" t="e">
        <f>AND(#REF!,"AAAAAHt0/DM=")</f>
        <v>#REF!</v>
      </c>
      <c r="BA290" t="e">
        <f>AND(#REF!,"AAAAAHt0/DQ=")</f>
        <v>#REF!</v>
      </c>
      <c r="BB290" t="e">
        <f>AND(#REF!,"AAAAAHt0/DU=")</f>
        <v>#REF!</v>
      </c>
      <c r="BC290" t="e">
        <f>AND(#REF!,"AAAAAHt0/DY=")</f>
        <v>#REF!</v>
      </c>
      <c r="BD290" t="e">
        <f>AND(#REF!,"AAAAAHt0/Dc=")</f>
        <v>#REF!</v>
      </c>
      <c r="BE290" t="e">
        <f>AND(#REF!,"AAAAAHt0/Dg=")</f>
        <v>#REF!</v>
      </c>
      <c r="BF290" t="e">
        <f>AND(#REF!,"AAAAAHt0/Dk=")</f>
        <v>#REF!</v>
      </c>
      <c r="BG290" t="e">
        <f>AND(#REF!,"AAAAAHt0/Do=")</f>
        <v>#REF!</v>
      </c>
      <c r="BH290" t="e">
        <f>AND(#REF!,"AAAAAHt0/Ds=")</f>
        <v>#REF!</v>
      </c>
      <c r="BI290" t="e">
        <f>AND(#REF!,"AAAAAHt0/Dw=")</f>
        <v>#REF!</v>
      </c>
      <c r="BJ290" t="e">
        <f>AND(#REF!,"AAAAAHt0/D0=")</f>
        <v>#REF!</v>
      </c>
      <c r="BK290" t="e">
        <f>AND(#REF!,"AAAAAHt0/D4=")</f>
        <v>#REF!</v>
      </c>
      <c r="BL290" t="e">
        <f>AND(#REF!,"AAAAAHt0/D8=")</f>
        <v>#REF!</v>
      </c>
      <c r="BM290" t="e">
        <f>AND(#REF!,"AAAAAHt0/EA=")</f>
        <v>#REF!</v>
      </c>
      <c r="BN290" t="e">
        <f>AND(#REF!,"AAAAAHt0/EE=")</f>
        <v>#REF!</v>
      </c>
      <c r="BO290" t="e">
        <f>AND(#REF!,"AAAAAHt0/EI=")</f>
        <v>#REF!</v>
      </c>
      <c r="BP290" t="e">
        <f>AND(#REF!,"AAAAAHt0/EM=")</f>
        <v>#REF!</v>
      </c>
      <c r="BQ290" t="e">
        <f>AND(#REF!,"AAAAAHt0/EQ=")</f>
        <v>#REF!</v>
      </c>
      <c r="BR290" t="e">
        <f>AND(#REF!,"AAAAAHt0/EU=")</f>
        <v>#REF!</v>
      </c>
      <c r="BS290" t="e">
        <f>AND(#REF!,"AAAAAHt0/EY=")</f>
        <v>#REF!</v>
      </c>
      <c r="BT290" t="e">
        <f>AND(#REF!,"AAAAAHt0/Ec=")</f>
        <v>#REF!</v>
      </c>
      <c r="BU290" t="e">
        <f>AND(#REF!,"AAAAAHt0/Eg=")</f>
        <v>#REF!</v>
      </c>
      <c r="BV290" t="e">
        <f>AND(#REF!,"AAAAAHt0/Ek=")</f>
        <v>#REF!</v>
      </c>
      <c r="BW290" t="e">
        <f>AND(#REF!,"AAAAAHt0/Eo=")</f>
        <v>#REF!</v>
      </c>
      <c r="BX290" t="e">
        <f>AND(#REF!,"AAAAAHt0/Es=")</f>
        <v>#REF!</v>
      </c>
      <c r="BY290" t="e">
        <f>AND(#REF!,"AAAAAHt0/Ew=")</f>
        <v>#REF!</v>
      </c>
      <c r="BZ290" t="e">
        <f>AND(#REF!,"AAAAAHt0/E0=")</f>
        <v>#REF!</v>
      </c>
      <c r="CA290" t="e">
        <f>AND(#REF!,"AAAAAHt0/E4=")</f>
        <v>#REF!</v>
      </c>
      <c r="CB290" t="e">
        <f>AND(#REF!,"AAAAAHt0/E8=")</f>
        <v>#REF!</v>
      </c>
      <c r="CC290" t="e">
        <f>AND(#REF!,"AAAAAHt0/FA=")</f>
        <v>#REF!</v>
      </c>
      <c r="CD290" t="e">
        <f>AND(#REF!,"AAAAAHt0/FE=")</f>
        <v>#REF!</v>
      </c>
      <c r="CE290" t="e">
        <f>AND(#REF!,"AAAAAHt0/FI=")</f>
        <v>#REF!</v>
      </c>
      <c r="CF290" t="e">
        <f>AND(#REF!,"AAAAAHt0/FM=")</f>
        <v>#REF!</v>
      </c>
      <c r="CG290" t="e">
        <f>AND(#REF!,"AAAAAHt0/FQ=")</f>
        <v>#REF!</v>
      </c>
      <c r="CH290" t="e">
        <f>AND(#REF!,"AAAAAHt0/FU=")</f>
        <v>#REF!</v>
      </c>
      <c r="CI290" t="e">
        <f>AND(#REF!,"AAAAAHt0/FY=")</f>
        <v>#REF!</v>
      </c>
      <c r="CJ290" t="e">
        <f>AND(#REF!,"AAAAAHt0/Fc=")</f>
        <v>#REF!</v>
      </c>
      <c r="CK290" t="e">
        <f>AND(#REF!,"AAAAAHt0/Fg=")</f>
        <v>#REF!</v>
      </c>
      <c r="CL290" t="e">
        <f>AND(#REF!,"AAAAAHt0/Fk=")</f>
        <v>#REF!</v>
      </c>
      <c r="CM290" t="e">
        <f>AND(#REF!,"AAAAAHt0/Fo=")</f>
        <v>#REF!</v>
      </c>
      <c r="CN290" t="e">
        <f>AND(#REF!,"AAAAAHt0/Fs=")</f>
        <v>#REF!</v>
      </c>
      <c r="CO290" t="e">
        <f>AND(#REF!,"AAAAAHt0/Fw=")</f>
        <v>#REF!</v>
      </c>
      <c r="CP290" t="e">
        <f>AND(#REF!,"AAAAAHt0/F0=")</f>
        <v>#REF!</v>
      </c>
      <c r="CQ290" t="e">
        <f>AND(#REF!,"AAAAAHt0/F4=")</f>
        <v>#REF!</v>
      </c>
      <c r="CR290" t="e">
        <f>AND(#REF!,"AAAAAHt0/F8=")</f>
        <v>#REF!</v>
      </c>
      <c r="CS290" t="e">
        <f>IF(#REF!,"AAAAAHt0/GA=",0)</f>
        <v>#REF!</v>
      </c>
      <c r="CT290" t="e">
        <f>AND(#REF!,"AAAAAHt0/GE=")</f>
        <v>#REF!</v>
      </c>
      <c r="CU290" t="e">
        <f>AND(#REF!,"AAAAAHt0/GI=")</f>
        <v>#REF!</v>
      </c>
      <c r="CV290" t="e">
        <f>AND(#REF!,"AAAAAHt0/GM=")</f>
        <v>#REF!</v>
      </c>
      <c r="CW290" t="e">
        <f>AND(#REF!,"AAAAAHt0/GQ=")</f>
        <v>#REF!</v>
      </c>
      <c r="CX290" t="e">
        <f>AND(#REF!,"AAAAAHt0/GU=")</f>
        <v>#REF!</v>
      </c>
      <c r="CY290" t="e">
        <f>AND(#REF!,"AAAAAHt0/GY=")</f>
        <v>#REF!</v>
      </c>
      <c r="CZ290" t="e">
        <f>AND(#REF!,"AAAAAHt0/Gc=")</f>
        <v>#REF!</v>
      </c>
      <c r="DA290" t="e">
        <f>AND(#REF!,"AAAAAHt0/Gg=")</f>
        <v>#REF!</v>
      </c>
      <c r="DB290" t="e">
        <f>AND(#REF!,"AAAAAHt0/Gk=")</f>
        <v>#REF!</v>
      </c>
      <c r="DC290" t="e">
        <f>AND(#REF!,"AAAAAHt0/Go=")</f>
        <v>#REF!</v>
      </c>
      <c r="DD290" t="e">
        <f>AND(#REF!,"AAAAAHt0/Gs=")</f>
        <v>#REF!</v>
      </c>
      <c r="DE290" t="e">
        <f>AND(#REF!,"AAAAAHt0/Gw=")</f>
        <v>#REF!</v>
      </c>
      <c r="DF290" t="e">
        <f>AND(#REF!,"AAAAAHt0/G0=")</f>
        <v>#REF!</v>
      </c>
      <c r="DG290" t="e">
        <f>AND(#REF!,"AAAAAHt0/G4=")</f>
        <v>#REF!</v>
      </c>
      <c r="DH290" t="e">
        <f>AND(#REF!,"AAAAAHt0/G8=")</f>
        <v>#REF!</v>
      </c>
      <c r="DI290" t="e">
        <f>AND(#REF!,"AAAAAHt0/HA=")</f>
        <v>#REF!</v>
      </c>
      <c r="DJ290" t="e">
        <f>AND(#REF!,"AAAAAHt0/HE=")</f>
        <v>#REF!</v>
      </c>
      <c r="DK290" t="e">
        <f>AND(#REF!,"AAAAAHt0/HI=")</f>
        <v>#REF!</v>
      </c>
      <c r="DL290" t="e">
        <f>AND(#REF!,"AAAAAHt0/HM=")</f>
        <v>#REF!</v>
      </c>
      <c r="DM290" t="e">
        <f>AND(#REF!,"AAAAAHt0/HQ=")</f>
        <v>#REF!</v>
      </c>
      <c r="DN290" t="e">
        <f>AND(#REF!,"AAAAAHt0/HU=")</f>
        <v>#REF!</v>
      </c>
      <c r="DO290" t="e">
        <f>AND(#REF!,"AAAAAHt0/HY=")</f>
        <v>#REF!</v>
      </c>
      <c r="DP290" t="e">
        <f>AND(#REF!,"AAAAAHt0/Hc=")</f>
        <v>#REF!</v>
      </c>
      <c r="DQ290" t="e">
        <f>AND(#REF!,"AAAAAHt0/Hg=")</f>
        <v>#REF!</v>
      </c>
      <c r="DR290" t="e">
        <f>AND(#REF!,"AAAAAHt0/Hk=")</f>
        <v>#REF!</v>
      </c>
      <c r="DS290" t="e">
        <f>AND(#REF!,"AAAAAHt0/Ho=")</f>
        <v>#REF!</v>
      </c>
      <c r="DT290" t="e">
        <f>AND(#REF!,"AAAAAHt0/Hs=")</f>
        <v>#REF!</v>
      </c>
      <c r="DU290" t="e">
        <f>AND(#REF!,"AAAAAHt0/Hw=")</f>
        <v>#REF!</v>
      </c>
      <c r="DV290" t="e">
        <f>AND(#REF!,"AAAAAHt0/H0=")</f>
        <v>#REF!</v>
      </c>
      <c r="DW290" t="e">
        <f>AND(#REF!,"AAAAAHt0/H4=")</f>
        <v>#REF!</v>
      </c>
      <c r="DX290" t="e">
        <f>AND(#REF!,"AAAAAHt0/H8=")</f>
        <v>#REF!</v>
      </c>
      <c r="DY290" t="e">
        <f>AND(#REF!,"AAAAAHt0/IA=")</f>
        <v>#REF!</v>
      </c>
      <c r="DZ290" t="e">
        <f>AND(#REF!,"AAAAAHt0/IE=")</f>
        <v>#REF!</v>
      </c>
      <c r="EA290" t="e">
        <f>AND(#REF!,"AAAAAHt0/II=")</f>
        <v>#REF!</v>
      </c>
      <c r="EB290" t="e">
        <f>AND(#REF!,"AAAAAHt0/IM=")</f>
        <v>#REF!</v>
      </c>
      <c r="EC290" t="e">
        <f>AND(#REF!,"AAAAAHt0/IQ=")</f>
        <v>#REF!</v>
      </c>
      <c r="ED290" t="e">
        <f>AND(#REF!,"AAAAAHt0/IU=")</f>
        <v>#REF!</v>
      </c>
      <c r="EE290" t="e">
        <f>AND(#REF!,"AAAAAHt0/IY=")</f>
        <v>#REF!</v>
      </c>
      <c r="EF290" t="e">
        <f>AND(#REF!,"AAAAAHt0/Ic=")</f>
        <v>#REF!</v>
      </c>
      <c r="EG290" t="e">
        <f>AND(#REF!,"AAAAAHt0/Ig=")</f>
        <v>#REF!</v>
      </c>
      <c r="EH290" t="e">
        <f>AND(#REF!,"AAAAAHt0/Ik=")</f>
        <v>#REF!</v>
      </c>
      <c r="EI290" t="e">
        <f>AND(#REF!,"AAAAAHt0/Io=")</f>
        <v>#REF!</v>
      </c>
      <c r="EJ290" t="e">
        <f>AND(#REF!,"AAAAAHt0/Is=")</f>
        <v>#REF!</v>
      </c>
      <c r="EK290" t="e">
        <f>AND(#REF!,"AAAAAHt0/Iw=")</f>
        <v>#REF!</v>
      </c>
      <c r="EL290" t="e">
        <f>AND(#REF!,"AAAAAHt0/I0=")</f>
        <v>#REF!</v>
      </c>
      <c r="EM290" t="e">
        <f>AND(#REF!,"AAAAAHt0/I4=")</f>
        <v>#REF!</v>
      </c>
      <c r="EN290" t="e">
        <f>AND(#REF!,"AAAAAHt0/I8=")</f>
        <v>#REF!</v>
      </c>
      <c r="EO290" t="e">
        <f>AND(#REF!,"AAAAAHt0/JA=")</f>
        <v>#REF!</v>
      </c>
      <c r="EP290" t="e">
        <f>AND(#REF!,"AAAAAHt0/JE=")</f>
        <v>#REF!</v>
      </c>
      <c r="EQ290" t="e">
        <f>AND(#REF!,"AAAAAHt0/JI=")</f>
        <v>#REF!</v>
      </c>
      <c r="ER290" t="e">
        <f>AND(#REF!,"AAAAAHt0/JM=")</f>
        <v>#REF!</v>
      </c>
      <c r="ES290" t="e">
        <f>AND(#REF!,"AAAAAHt0/JQ=")</f>
        <v>#REF!</v>
      </c>
      <c r="ET290" t="e">
        <f>AND(#REF!,"AAAAAHt0/JU=")</f>
        <v>#REF!</v>
      </c>
      <c r="EU290" t="e">
        <f>AND(#REF!,"AAAAAHt0/JY=")</f>
        <v>#REF!</v>
      </c>
      <c r="EV290" t="e">
        <f>AND(#REF!,"AAAAAHt0/Jc=")</f>
        <v>#REF!</v>
      </c>
      <c r="EW290" t="e">
        <f>AND(#REF!,"AAAAAHt0/Jg=")</f>
        <v>#REF!</v>
      </c>
      <c r="EX290" t="e">
        <f>AND(#REF!,"AAAAAHt0/Jk=")</f>
        <v>#REF!</v>
      </c>
      <c r="EY290" t="e">
        <f>AND(#REF!,"AAAAAHt0/Jo=")</f>
        <v>#REF!</v>
      </c>
      <c r="EZ290" t="e">
        <f>AND(#REF!,"AAAAAHt0/Js=")</f>
        <v>#REF!</v>
      </c>
      <c r="FA290" t="e">
        <f>AND(#REF!,"AAAAAHt0/Jw=")</f>
        <v>#REF!</v>
      </c>
      <c r="FB290" t="e">
        <f>AND(#REF!,"AAAAAHt0/J0=")</f>
        <v>#REF!</v>
      </c>
      <c r="FC290" t="e">
        <f>AND(#REF!,"AAAAAHt0/J4=")</f>
        <v>#REF!</v>
      </c>
      <c r="FD290" t="e">
        <f>AND(#REF!,"AAAAAHt0/J8=")</f>
        <v>#REF!</v>
      </c>
      <c r="FE290" t="e">
        <f>AND(#REF!,"AAAAAHt0/KA=")</f>
        <v>#REF!</v>
      </c>
      <c r="FF290" t="e">
        <f>AND(#REF!,"AAAAAHt0/KE=")</f>
        <v>#REF!</v>
      </c>
      <c r="FG290" t="e">
        <f>AND(#REF!,"AAAAAHt0/KI=")</f>
        <v>#REF!</v>
      </c>
      <c r="FH290" t="e">
        <f>AND(#REF!,"AAAAAHt0/KM=")</f>
        <v>#REF!</v>
      </c>
      <c r="FI290" t="e">
        <f>AND(#REF!,"AAAAAHt0/KQ=")</f>
        <v>#REF!</v>
      </c>
      <c r="FJ290" t="e">
        <f>AND(#REF!,"AAAAAHt0/KU=")</f>
        <v>#REF!</v>
      </c>
      <c r="FK290" t="e">
        <f>AND(#REF!,"AAAAAHt0/KY=")</f>
        <v>#REF!</v>
      </c>
      <c r="FL290" t="e">
        <f>AND(#REF!,"AAAAAHt0/Kc=")</f>
        <v>#REF!</v>
      </c>
      <c r="FM290" t="e">
        <f>AND(#REF!,"AAAAAHt0/Kg=")</f>
        <v>#REF!</v>
      </c>
      <c r="FN290" t="e">
        <f>AND(#REF!,"AAAAAHt0/Kk=")</f>
        <v>#REF!</v>
      </c>
      <c r="FO290" t="e">
        <f>AND(#REF!,"AAAAAHt0/Ko=")</f>
        <v>#REF!</v>
      </c>
      <c r="FP290" t="e">
        <f>AND(#REF!,"AAAAAHt0/Ks=")</f>
        <v>#REF!</v>
      </c>
      <c r="FQ290" t="e">
        <f>AND(#REF!,"AAAAAHt0/Kw=")</f>
        <v>#REF!</v>
      </c>
      <c r="FR290" t="e">
        <f>AND(#REF!,"AAAAAHt0/K0=")</f>
        <v>#REF!</v>
      </c>
      <c r="FS290" t="e">
        <f>AND(#REF!,"AAAAAHt0/K4=")</f>
        <v>#REF!</v>
      </c>
      <c r="FT290" t="e">
        <f>AND(#REF!,"AAAAAHt0/K8=")</f>
        <v>#REF!</v>
      </c>
      <c r="FU290" t="e">
        <f>AND(#REF!,"AAAAAHt0/LA=")</f>
        <v>#REF!</v>
      </c>
      <c r="FV290" t="e">
        <f>AND(#REF!,"AAAAAHt0/LE=")</f>
        <v>#REF!</v>
      </c>
      <c r="FW290" t="e">
        <f>AND(#REF!,"AAAAAHt0/LI=")</f>
        <v>#REF!</v>
      </c>
      <c r="FX290" t="e">
        <f>AND(#REF!,"AAAAAHt0/LM=")</f>
        <v>#REF!</v>
      </c>
      <c r="FY290" t="e">
        <f>AND(#REF!,"AAAAAHt0/LQ=")</f>
        <v>#REF!</v>
      </c>
      <c r="FZ290" t="e">
        <f>AND(#REF!,"AAAAAHt0/LU=")</f>
        <v>#REF!</v>
      </c>
      <c r="GA290" t="e">
        <f>AND(#REF!,"AAAAAHt0/LY=")</f>
        <v>#REF!</v>
      </c>
      <c r="GB290" t="e">
        <f>AND(#REF!,"AAAAAHt0/Lc=")</f>
        <v>#REF!</v>
      </c>
      <c r="GC290" t="e">
        <f>AND(#REF!,"AAAAAHt0/Lg=")</f>
        <v>#REF!</v>
      </c>
      <c r="GD290" t="e">
        <f>AND(#REF!,"AAAAAHt0/Lk=")</f>
        <v>#REF!</v>
      </c>
      <c r="GE290" t="e">
        <f>AND(#REF!,"AAAAAHt0/Lo=")</f>
        <v>#REF!</v>
      </c>
      <c r="GF290" t="e">
        <f>AND(#REF!,"AAAAAHt0/Ls=")</f>
        <v>#REF!</v>
      </c>
      <c r="GG290" t="e">
        <f>AND(#REF!,"AAAAAHt0/Lw=")</f>
        <v>#REF!</v>
      </c>
      <c r="GH290" t="e">
        <f>AND(#REF!,"AAAAAHt0/L0=")</f>
        <v>#REF!</v>
      </c>
      <c r="GI290" t="e">
        <f>AND(#REF!,"AAAAAHt0/L4=")</f>
        <v>#REF!</v>
      </c>
      <c r="GJ290" t="e">
        <f>AND(#REF!,"AAAAAHt0/L8=")</f>
        <v>#REF!</v>
      </c>
      <c r="GK290" t="e">
        <f>AND(#REF!,"AAAAAHt0/MA=")</f>
        <v>#REF!</v>
      </c>
      <c r="GL290" t="e">
        <f>AND(#REF!,"AAAAAHt0/ME=")</f>
        <v>#REF!</v>
      </c>
      <c r="GM290" t="e">
        <f>AND(#REF!,"AAAAAHt0/MI=")</f>
        <v>#REF!</v>
      </c>
      <c r="GN290" t="e">
        <f>AND(#REF!,"AAAAAHt0/MM=")</f>
        <v>#REF!</v>
      </c>
      <c r="GO290" t="e">
        <f>AND(#REF!,"AAAAAHt0/MQ=")</f>
        <v>#REF!</v>
      </c>
      <c r="GP290" t="e">
        <f>AND(#REF!,"AAAAAHt0/MU=")</f>
        <v>#REF!</v>
      </c>
      <c r="GQ290" t="e">
        <f>AND(#REF!,"AAAAAHt0/MY=")</f>
        <v>#REF!</v>
      </c>
      <c r="GR290" t="e">
        <f>AND(#REF!,"AAAAAHt0/Mc=")</f>
        <v>#REF!</v>
      </c>
      <c r="GS290" t="e">
        <f>AND(#REF!,"AAAAAHt0/Mg=")</f>
        <v>#REF!</v>
      </c>
      <c r="GT290" t="e">
        <f>AND(#REF!,"AAAAAHt0/Mk=")</f>
        <v>#REF!</v>
      </c>
      <c r="GU290" t="e">
        <f>AND(#REF!,"AAAAAHt0/Mo=")</f>
        <v>#REF!</v>
      </c>
      <c r="GV290" t="e">
        <f>AND(#REF!,"AAAAAHt0/Ms=")</f>
        <v>#REF!</v>
      </c>
      <c r="GW290" t="e">
        <f>AND(#REF!,"AAAAAHt0/Mw=")</f>
        <v>#REF!</v>
      </c>
      <c r="GX290" t="e">
        <f>AND(#REF!,"AAAAAHt0/M0=")</f>
        <v>#REF!</v>
      </c>
      <c r="GY290" t="e">
        <f>AND(#REF!,"AAAAAHt0/M4=")</f>
        <v>#REF!</v>
      </c>
      <c r="GZ290" t="e">
        <f>AND(#REF!,"AAAAAHt0/M8=")</f>
        <v>#REF!</v>
      </c>
      <c r="HA290" t="e">
        <f>AND(#REF!,"AAAAAHt0/NA=")</f>
        <v>#REF!</v>
      </c>
      <c r="HB290" t="e">
        <f>AND(#REF!,"AAAAAHt0/NE=")</f>
        <v>#REF!</v>
      </c>
      <c r="HC290" t="e">
        <f>AND(#REF!,"AAAAAHt0/NI=")</f>
        <v>#REF!</v>
      </c>
      <c r="HD290" t="e">
        <f>AND(#REF!,"AAAAAHt0/NM=")</f>
        <v>#REF!</v>
      </c>
      <c r="HE290" t="e">
        <f>AND(#REF!,"AAAAAHt0/NQ=")</f>
        <v>#REF!</v>
      </c>
      <c r="HF290" t="e">
        <f>AND(#REF!,"AAAAAHt0/NU=")</f>
        <v>#REF!</v>
      </c>
      <c r="HG290" t="e">
        <f>AND(#REF!,"AAAAAHt0/NY=")</f>
        <v>#REF!</v>
      </c>
      <c r="HH290" t="e">
        <f>AND(#REF!,"AAAAAHt0/Nc=")</f>
        <v>#REF!</v>
      </c>
      <c r="HI290" t="e">
        <f>AND(#REF!,"AAAAAHt0/Ng=")</f>
        <v>#REF!</v>
      </c>
      <c r="HJ290" t="e">
        <f>AND(#REF!,"AAAAAHt0/Nk=")</f>
        <v>#REF!</v>
      </c>
      <c r="HK290" t="e">
        <f>AND(#REF!,"AAAAAHt0/No=")</f>
        <v>#REF!</v>
      </c>
      <c r="HL290" t="e">
        <f>AND(#REF!,"AAAAAHt0/Ns=")</f>
        <v>#REF!</v>
      </c>
      <c r="HM290" t="e">
        <f>AND(#REF!,"AAAAAHt0/Nw=")</f>
        <v>#REF!</v>
      </c>
      <c r="HN290" t="e">
        <f>AND(#REF!,"AAAAAHt0/N0=")</f>
        <v>#REF!</v>
      </c>
      <c r="HO290" t="e">
        <f>AND(#REF!,"AAAAAHt0/N4=")</f>
        <v>#REF!</v>
      </c>
      <c r="HP290" t="e">
        <f>AND(#REF!,"AAAAAHt0/N8=")</f>
        <v>#REF!</v>
      </c>
      <c r="HQ290" t="e">
        <f>AND(#REF!,"AAAAAHt0/OA=")</f>
        <v>#REF!</v>
      </c>
      <c r="HR290" t="e">
        <f>AND(#REF!,"AAAAAHt0/OE=")</f>
        <v>#REF!</v>
      </c>
      <c r="HS290" t="e">
        <f>AND(#REF!,"AAAAAHt0/OI=")</f>
        <v>#REF!</v>
      </c>
      <c r="HT290" t="e">
        <f>AND(#REF!,"AAAAAHt0/OM=")</f>
        <v>#REF!</v>
      </c>
      <c r="HU290" t="e">
        <f>AND(#REF!,"AAAAAHt0/OQ=")</f>
        <v>#REF!</v>
      </c>
      <c r="HV290" t="e">
        <f>AND(#REF!,"AAAAAHt0/OU=")</f>
        <v>#REF!</v>
      </c>
      <c r="HW290" t="e">
        <f>AND(#REF!,"AAAAAHt0/OY=")</f>
        <v>#REF!</v>
      </c>
      <c r="HX290" t="e">
        <f>AND(#REF!,"AAAAAHt0/Oc=")</f>
        <v>#REF!</v>
      </c>
      <c r="HY290" t="e">
        <f>AND(#REF!,"AAAAAHt0/Og=")</f>
        <v>#REF!</v>
      </c>
      <c r="HZ290" t="e">
        <f>AND(#REF!,"AAAAAHt0/Ok=")</f>
        <v>#REF!</v>
      </c>
      <c r="IA290" t="e">
        <f>AND(#REF!,"AAAAAHt0/Oo=")</f>
        <v>#REF!</v>
      </c>
      <c r="IB290" t="e">
        <f>AND(#REF!,"AAAAAHt0/Os=")</f>
        <v>#REF!</v>
      </c>
      <c r="IC290" t="e">
        <f>AND(#REF!,"AAAAAHt0/Ow=")</f>
        <v>#REF!</v>
      </c>
      <c r="ID290" t="e">
        <f>AND(#REF!,"AAAAAHt0/O0=")</f>
        <v>#REF!</v>
      </c>
      <c r="IE290" t="e">
        <f>AND(#REF!,"AAAAAHt0/O4=")</f>
        <v>#REF!</v>
      </c>
      <c r="IF290" t="e">
        <f>AND(#REF!,"AAAAAHt0/O8=")</f>
        <v>#REF!</v>
      </c>
      <c r="IG290" t="e">
        <f>AND(#REF!,"AAAAAHt0/PA=")</f>
        <v>#REF!</v>
      </c>
      <c r="IH290" t="e">
        <f>AND(#REF!,"AAAAAHt0/PE=")</f>
        <v>#REF!</v>
      </c>
      <c r="II290" t="e">
        <f>AND(#REF!,"AAAAAHt0/PI=")</f>
        <v>#REF!</v>
      </c>
      <c r="IJ290" t="e">
        <f>AND(#REF!,"AAAAAHt0/PM=")</f>
        <v>#REF!</v>
      </c>
      <c r="IK290" t="e">
        <f>AND(#REF!,"AAAAAHt0/PQ=")</f>
        <v>#REF!</v>
      </c>
      <c r="IL290" t="e">
        <f>AND(#REF!,"AAAAAHt0/PU=")</f>
        <v>#REF!</v>
      </c>
      <c r="IM290" t="e">
        <f>AND(#REF!,"AAAAAHt0/PY=")</f>
        <v>#REF!</v>
      </c>
      <c r="IN290" t="e">
        <f>AND(#REF!,"AAAAAHt0/Pc=")</f>
        <v>#REF!</v>
      </c>
      <c r="IO290" t="e">
        <f>AND(#REF!,"AAAAAHt0/Pg=")</f>
        <v>#REF!</v>
      </c>
      <c r="IP290" t="e">
        <f>AND(#REF!,"AAAAAHt0/Pk=")</f>
        <v>#REF!</v>
      </c>
      <c r="IQ290" t="e">
        <f>AND(#REF!,"AAAAAHt0/Po=")</f>
        <v>#REF!</v>
      </c>
      <c r="IR290" t="e">
        <f>AND(#REF!,"AAAAAHt0/Ps=")</f>
        <v>#REF!</v>
      </c>
      <c r="IS290" t="e">
        <f>AND(#REF!,"AAAAAHt0/Pw=")</f>
        <v>#REF!</v>
      </c>
      <c r="IT290" t="e">
        <f>AND(#REF!,"AAAAAHt0/P0=")</f>
        <v>#REF!</v>
      </c>
      <c r="IU290" t="e">
        <f>AND(#REF!,"AAAAAHt0/P4=")</f>
        <v>#REF!</v>
      </c>
      <c r="IV290" t="e">
        <f>AND(#REF!,"AAAAAHt0/P8=")</f>
        <v>#REF!</v>
      </c>
    </row>
    <row r="291" spans="1:256" x14ac:dyDescent="0.25">
      <c r="A291" t="e">
        <f>AND(#REF!,"AAAAAH/uzwA=")</f>
        <v>#REF!</v>
      </c>
      <c r="B291" t="e">
        <f>AND(#REF!,"AAAAAH/uzwE=")</f>
        <v>#REF!</v>
      </c>
      <c r="C291" t="e">
        <f>AND(#REF!,"AAAAAH/uzwI=")</f>
        <v>#REF!</v>
      </c>
      <c r="D291" t="e">
        <f>AND(#REF!,"AAAAAH/uzwM=")</f>
        <v>#REF!</v>
      </c>
      <c r="E291" t="e">
        <f>AND(#REF!,"AAAAAH/uzwQ=")</f>
        <v>#REF!</v>
      </c>
      <c r="F291" t="e">
        <f>AND(#REF!,"AAAAAH/uzwU=")</f>
        <v>#REF!</v>
      </c>
      <c r="G291" t="e">
        <f>AND(#REF!,"AAAAAH/uzwY=")</f>
        <v>#REF!</v>
      </c>
      <c r="H291" t="e">
        <f>AND(#REF!,"AAAAAH/uzwc=")</f>
        <v>#REF!</v>
      </c>
      <c r="I291" t="e">
        <f>AND(#REF!,"AAAAAH/uzwg=")</f>
        <v>#REF!</v>
      </c>
      <c r="J291" t="e">
        <f>AND(#REF!,"AAAAAH/uzwk=")</f>
        <v>#REF!</v>
      </c>
      <c r="K291" t="e">
        <f>AND(#REF!,"AAAAAH/uzwo=")</f>
        <v>#REF!</v>
      </c>
      <c r="L291" t="e">
        <f>AND(#REF!,"AAAAAH/uzws=")</f>
        <v>#REF!</v>
      </c>
      <c r="M291" t="e">
        <f>AND(#REF!,"AAAAAH/uzww=")</f>
        <v>#REF!</v>
      </c>
      <c r="N291" t="e">
        <f>AND(#REF!,"AAAAAH/uzw0=")</f>
        <v>#REF!</v>
      </c>
      <c r="O291" t="e">
        <f>AND(#REF!,"AAAAAH/uzw4=")</f>
        <v>#REF!</v>
      </c>
      <c r="P291" t="e">
        <f>AND(#REF!,"AAAAAH/uzw8=")</f>
        <v>#REF!</v>
      </c>
      <c r="Q291" t="e">
        <f>AND(#REF!,"AAAAAH/uzxA=")</f>
        <v>#REF!</v>
      </c>
      <c r="R291" t="e">
        <f>AND(#REF!,"AAAAAH/uzxE=")</f>
        <v>#REF!</v>
      </c>
      <c r="S291" t="e">
        <f>AND(#REF!,"AAAAAH/uzxI=")</f>
        <v>#REF!</v>
      </c>
      <c r="T291" t="e">
        <f>AND(#REF!,"AAAAAH/uzxM=")</f>
        <v>#REF!</v>
      </c>
      <c r="U291" t="e">
        <f>AND(#REF!,"AAAAAH/uzxQ=")</f>
        <v>#REF!</v>
      </c>
      <c r="V291" t="e">
        <f>AND(#REF!,"AAAAAH/uzxU=")</f>
        <v>#REF!</v>
      </c>
      <c r="W291" t="e">
        <f>AND(#REF!,"AAAAAH/uzxY=")</f>
        <v>#REF!</v>
      </c>
      <c r="X291" t="e">
        <f>AND(#REF!,"AAAAAH/uzxc=")</f>
        <v>#REF!</v>
      </c>
      <c r="Y291" t="e">
        <f>AND(#REF!,"AAAAAH/uzxg=")</f>
        <v>#REF!</v>
      </c>
      <c r="Z291" t="e">
        <f>AND(#REF!,"AAAAAH/uzxk=")</f>
        <v>#REF!</v>
      </c>
      <c r="AA291" t="e">
        <f>AND(#REF!,"AAAAAH/uzxo=")</f>
        <v>#REF!</v>
      </c>
      <c r="AB291" t="e">
        <f>AND(#REF!,"AAAAAH/uzxs=")</f>
        <v>#REF!</v>
      </c>
      <c r="AC291" t="e">
        <f>AND(#REF!,"AAAAAH/uzxw=")</f>
        <v>#REF!</v>
      </c>
      <c r="AD291" t="e">
        <f>IF(#REF!,"AAAAAH/uzx0=",0)</f>
        <v>#REF!</v>
      </c>
      <c r="AE291" t="e">
        <f>AND(#REF!,"AAAAAH/uzx4=")</f>
        <v>#REF!</v>
      </c>
      <c r="AF291" t="e">
        <f>AND(#REF!,"AAAAAH/uzx8=")</f>
        <v>#REF!</v>
      </c>
      <c r="AG291" t="e">
        <f>AND(#REF!,"AAAAAH/uzyA=")</f>
        <v>#REF!</v>
      </c>
      <c r="AH291" t="e">
        <f>AND(#REF!,"AAAAAH/uzyE=")</f>
        <v>#REF!</v>
      </c>
      <c r="AI291" t="e">
        <f>AND(#REF!,"AAAAAH/uzyI=")</f>
        <v>#REF!</v>
      </c>
      <c r="AJ291" t="e">
        <f>AND(#REF!,"AAAAAH/uzyM=")</f>
        <v>#REF!</v>
      </c>
      <c r="AK291" t="e">
        <f>AND(#REF!,"AAAAAH/uzyQ=")</f>
        <v>#REF!</v>
      </c>
      <c r="AL291" t="e">
        <f>AND(#REF!,"AAAAAH/uzyU=")</f>
        <v>#REF!</v>
      </c>
      <c r="AM291" t="e">
        <f>AND(#REF!,"AAAAAH/uzyY=")</f>
        <v>#REF!</v>
      </c>
      <c r="AN291" t="e">
        <f>AND(#REF!,"AAAAAH/uzyc=")</f>
        <v>#REF!</v>
      </c>
      <c r="AO291" t="e">
        <f>AND(#REF!,"AAAAAH/uzyg=")</f>
        <v>#REF!</v>
      </c>
      <c r="AP291" t="e">
        <f>AND(#REF!,"AAAAAH/uzyk=")</f>
        <v>#REF!</v>
      </c>
      <c r="AQ291" t="e">
        <f>AND(#REF!,"AAAAAH/uzyo=")</f>
        <v>#REF!</v>
      </c>
      <c r="AR291" t="e">
        <f>AND(#REF!,"AAAAAH/uzys=")</f>
        <v>#REF!</v>
      </c>
      <c r="AS291" t="e">
        <f>AND(#REF!,"AAAAAH/uzyw=")</f>
        <v>#REF!</v>
      </c>
      <c r="AT291" t="e">
        <f>AND(#REF!,"AAAAAH/uzy0=")</f>
        <v>#REF!</v>
      </c>
      <c r="AU291" t="e">
        <f>AND(#REF!,"AAAAAH/uzy4=")</f>
        <v>#REF!</v>
      </c>
      <c r="AV291" t="e">
        <f>AND(#REF!,"AAAAAH/uzy8=")</f>
        <v>#REF!</v>
      </c>
      <c r="AW291" t="e">
        <f>AND(#REF!,"AAAAAH/uzzA=")</f>
        <v>#REF!</v>
      </c>
      <c r="AX291" t="e">
        <f>AND(#REF!,"AAAAAH/uzzE=")</f>
        <v>#REF!</v>
      </c>
      <c r="AY291" t="e">
        <f>AND(#REF!,"AAAAAH/uzzI=")</f>
        <v>#REF!</v>
      </c>
      <c r="AZ291" t="e">
        <f>AND(#REF!,"AAAAAH/uzzM=")</f>
        <v>#REF!</v>
      </c>
      <c r="BA291" t="e">
        <f>AND(#REF!,"AAAAAH/uzzQ=")</f>
        <v>#REF!</v>
      </c>
      <c r="BB291" t="e">
        <f>AND(#REF!,"AAAAAH/uzzU=")</f>
        <v>#REF!</v>
      </c>
      <c r="BC291" t="e">
        <f>AND(#REF!,"AAAAAH/uzzY=")</f>
        <v>#REF!</v>
      </c>
      <c r="BD291" t="e">
        <f>AND(#REF!,"AAAAAH/uzzc=")</f>
        <v>#REF!</v>
      </c>
      <c r="BE291" t="e">
        <f>AND(#REF!,"AAAAAH/uzzg=")</f>
        <v>#REF!</v>
      </c>
      <c r="BF291" t="e">
        <f>AND(#REF!,"AAAAAH/uzzk=")</f>
        <v>#REF!</v>
      </c>
      <c r="BG291" t="e">
        <f>AND(#REF!,"AAAAAH/uzzo=")</f>
        <v>#REF!</v>
      </c>
      <c r="BH291" t="e">
        <f>AND(#REF!,"AAAAAH/uzzs=")</f>
        <v>#REF!</v>
      </c>
      <c r="BI291" t="e">
        <f>AND(#REF!,"AAAAAH/uzzw=")</f>
        <v>#REF!</v>
      </c>
      <c r="BJ291" t="e">
        <f>AND(#REF!,"AAAAAH/uzz0=")</f>
        <v>#REF!</v>
      </c>
      <c r="BK291" t="e">
        <f>AND(#REF!,"AAAAAH/uzz4=")</f>
        <v>#REF!</v>
      </c>
      <c r="BL291" t="e">
        <f>AND(#REF!,"AAAAAH/uzz8=")</f>
        <v>#REF!</v>
      </c>
      <c r="BM291" t="e">
        <f>AND(#REF!,"AAAAAH/uz0A=")</f>
        <v>#REF!</v>
      </c>
      <c r="BN291" t="e">
        <f>AND(#REF!,"AAAAAH/uz0E=")</f>
        <v>#REF!</v>
      </c>
      <c r="BO291" t="e">
        <f>AND(#REF!,"AAAAAH/uz0I=")</f>
        <v>#REF!</v>
      </c>
      <c r="BP291" t="e">
        <f>AND(#REF!,"AAAAAH/uz0M=")</f>
        <v>#REF!</v>
      </c>
      <c r="BQ291" t="e">
        <f>AND(#REF!,"AAAAAH/uz0Q=")</f>
        <v>#REF!</v>
      </c>
      <c r="BR291" t="e">
        <f>AND(#REF!,"AAAAAH/uz0U=")</f>
        <v>#REF!</v>
      </c>
      <c r="BS291" t="e">
        <f>AND(#REF!,"AAAAAH/uz0Y=")</f>
        <v>#REF!</v>
      </c>
      <c r="BT291" t="e">
        <f>AND(#REF!,"AAAAAH/uz0c=")</f>
        <v>#REF!</v>
      </c>
      <c r="BU291" t="e">
        <f>AND(#REF!,"AAAAAH/uz0g=")</f>
        <v>#REF!</v>
      </c>
      <c r="BV291" t="e">
        <f>AND(#REF!,"AAAAAH/uz0k=")</f>
        <v>#REF!</v>
      </c>
      <c r="BW291" t="e">
        <f>AND(#REF!,"AAAAAH/uz0o=")</f>
        <v>#REF!</v>
      </c>
      <c r="BX291" t="e">
        <f>AND(#REF!,"AAAAAH/uz0s=")</f>
        <v>#REF!</v>
      </c>
      <c r="BY291" t="e">
        <f>AND(#REF!,"AAAAAH/uz0w=")</f>
        <v>#REF!</v>
      </c>
      <c r="BZ291" t="e">
        <f>AND(#REF!,"AAAAAH/uz00=")</f>
        <v>#REF!</v>
      </c>
      <c r="CA291" t="e">
        <f>AND(#REF!,"AAAAAH/uz04=")</f>
        <v>#REF!</v>
      </c>
      <c r="CB291" t="e">
        <f>AND(#REF!,"AAAAAH/uz08=")</f>
        <v>#REF!</v>
      </c>
      <c r="CC291" t="e">
        <f>AND(#REF!,"AAAAAH/uz1A=")</f>
        <v>#REF!</v>
      </c>
      <c r="CD291" t="e">
        <f>AND(#REF!,"AAAAAH/uz1E=")</f>
        <v>#REF!</v>
      </c>
      <c r="CE291" t="e">
        <f>AND(#REF!,"AAAAAH/uz1I=")</f>
        <v>#REF!</v>
      </c>
      <c r="CF291" t="e">
        <f>AND(#REF!,"AAAAAH/uz1M=")</f>
        <v>#REF!</v>
      </c>
      <c r="CG291" t="e">
        <f>AND(#REF!,"AAAAAH/uz1Q=")</f>
        <v>#REF!</v>
      </c>
      <c r="CH291" t="e">
        <f>AND(#REF!,"AAAAAH/uz1U=")</f>
        <v>#REF!</v>
      </c>
      <c r="CI291" t="e">
        <f>AND(#REF!,"AAAAAH/uz1Y=")</f>
        <v>#REF!</v>
      </c>
      <c r="CJ291" t="e">
        <f>AND(#REF!,"AAAAAH/uz1c=")</f>
        <v>#REF!</v>
      </c>
      <c r="CK291" t="e">
        <f>AND(#REF!,"AAAAAH/uz1g=")</f>
        <v>#REF!</v>
      </c>
      <c r="CL291" t="e">
        <f>AND(#REF!,"AAAAAH/uz1k=")</f>
        <v>#REF!</v>
      </c>
      <c r="CM291" t="e">
        <f>AND(#REF!,"AAAAAH/uz1o=")</f>
        <v>#REF!</v>
      </c>
      <c r="CN291" t="e">
        <f>AND(#REF!,"AAAAAH/uz1s=")</f>
        <v>#REF!</v>
      </c>
      <c r="CO291" t="e">
        <f>AND(#REF!,"AAAAAH/uz1w=")</f>
        <v>#REF!</v>
      </c>
      <c r="CP291" t="e">
        <f>AND(#REF!,"AAAAAH/uz10=")</f>
        <v>#REF!</v>
      </c>
      <c r="CQ291" t="e">
        <f>AND(#REF!,"AAAAAH/uz14=")</f>
        <v>#REF!</v>
      </c>
      <c r="CR291" t="e">
        <f>AND(#REF!,"AAAAAH/uz18=")</f>
        <v>#REF!</v>
      </c>
      <c r="CS291" t="e">
        <f>AND(#REF!,"AAAAAH/uz2A=")</f>
        <v>#REF!</v>
      </c>
      <c r="CT291" t="e">
        <f>AND(#REF!,"AAAAAH/uz2E=")</f>
        <v>#REF!</v>
      </c>
      <c r="CU291" t="e">
        <f>AND(#REF!,"AAAAAH/uz2I=")</f>
        <v>#REF!</v>
      </c>
      <c r="CV291" t="e">
        <f>AND(#REF!,"AAAAAH/uz2M=")</f>
        <v>#REF!</v>
      </c>
      <c r="CW291" t="e">
        <f>AND(#REF!,"AAAAAH/uz2Q=")</f>
        <v>#REF!</v>
      </c>
      <c r="CX291" t="e">
        <f>AND(#REF!,"AAAAAH/uz2U=")</f>
        <v>#REF!</v>
      </c>
      <c r="CY291" t="e">
        <f>AND(#REF!,"AAAAAH/uz2Y=")</f>
        <v>#REF!</v>
      </c>
      <c r="CZ291" t="e">
        <f>AND(#REF!,"AAAAAH/uz2c=")</f>
        <v>#REF!</v>
      </c>
      <c r="DA291" t="e">
        <f>AND(#REF!,"AAAAAH/uz2g=")</f>
        <v>#REF!</v>
      </c>
      <c r="DB291" t="e">
        <f>AND(#REF!,"AAAAAH/uz2k=")</f>
        <v>#REF!</v>
      </c>
      <c r="DC291" t="e">
        <f>AND(#REF!,"AAAAAH/uz2o=")</f>
        <v>#REF!</v>
      </c>
      <c r="DD291" t="e">
        <f>AND(#REF!,"AAAAAH/uz2s=")</f>
        <v>#REF!</v>
      </c>
      <c r="DE291" t="e">
        <f>AND(#REF!,"AAAAAH/uz2w=")</f>
        <v>#REF!</v>
      </c>
      <c r="DF291" t="e">
        <f>AND(#REF!,"AAAAAH/uz20=")</f>
        <v>#REF!</v>
      </c>
      <c r="DG291" t="e">
        <f>AND(#REF!,"AAAAAH/uz24=")</f>
        <v>#REF!</v>
      </c>
      <c r="DH291" t="e">
        <f>AND(#REF!,"AAAAAH/uz28=")</f>
        <v>#REF!</v>
      </c>
      <c r="DI291" t="e">
        <f>AND(#REF!,"AAAAAH/uz3A=")</f>
        <v>#REF!</v>
      </c>
      <c r="DJ291" t="e">
        <f>AND(#REF!,"AAAAAH/uz3E=")</f>
        <v>#REF!</v>
      </c>
      <c r="DK291" t="e">
        <f>AND(#REF!,"AAAAAH/uz3I=")</f>
        <v>#REF!</v>
      </c>
      <c r="DL291" t="e">
        <f>AND(#REF!,"AAAAAH/uz3M=")</f>
        <v>#REF!</v>
      </c>
      <c r="DM291" t="e">
        <f>AND(#REF!,"AAAAAH/uz3Q=")</f>
        <v>#REF!</v>
      </c>
      <c r="DN291" t="e">
        <f>AND(#REF!,"AAAAAH/uz3U=")</f>
        <v>#REF!</v>
      </c>
      <c r="DO291" t="e">
        <f>AND(#REF!,"AAAAAH/uz3Y=")</f>
        <v>#REF!</v>
      </c>
      <c r="DP291" t="e">
        <f>AND(#REF!,"AAAAAH/uz3c=")</f>
        <v>#REF!</v>
      </c>
      <c r="DQ291" t="e">
        <f>AND(#REF!,"AAAAAH/uz3g=")</f>
        <v>#REF!</v>
      </c>
      <c r="DR291" t="e">
        <f>AND(#REF!,"AAAAAH/uz3k=")</f>
        <v>#REF!</v>
      </c>
      <c r="DS291" t="e">
        <f>AND(#REF!,"AAAAAH/uz3o=")</f>
        <v>#REF!</v>
      </c>
      <c r="DT291" t="e">
        <f>AND(#REF!,"AAAAAH/uz3s=")</f>
        <v>#REF!</v>
      </c>
      <c r="DU291" t="e">
        <f>AND(#REF!,"AAAAAH/uz3w=")</f>
        <v>#REF!</v>
      </c>
      <c r="DV291" t="e">
        <f>AND(#REF!,"AAAAAH/uz30=")</f>
        <v>#REF!</v>
      </c>
      <c r="DW291" t="e">
        <f>AND(#REF!,"AAAAAH/uz34=")</f>
        <v>#REF!</v>
      </c>
      <c r="DX291" t="e">
        <f>AND(#REF!,"AAAAAH/uz38=")</f>
        <v>#REF!</v>
      </c>
      <c r="DY291" t="e">
        <f>AND(#REF!,"AAAAAH/uz4A=")</f>
        <v>#REF!</v>
      </c>
      <c r="DZ291" t="e">
        <f>AND(#REF!,"AAAAAH/uz4E=")</f>
        <v>#REF!</v>
      </c>
      <c r="EA291" t="e">
        <f>AND(#REF!,"AAAAAH/uz4I=")</f>
        <v>#REF!</v>
      </c>
      <c r="EB291" t="e">
        <f>AND(#REF!,"AAAAAH/uz4M=")</f>
        <v>#REF!</v>
      </c>
      <c r="EC291" t="e">
        <f>AND(#REF!,"AAAAAH/uz4Q=")</f>
        <v>#REF!</v>
      </c>
      <c r="ED291" t="e">
        <f>AND(#REF!,"AAAAAH/uz4U=")</f>
        <v>#REF!</v>
      </c>
      <c r="EE291" t="e">
        <f>AND(#REF!,"AAAAAH/uz4Y=")</f>
        <v>#REF!</v>
      </c>
      <c r="EF291" t="e">
        <f>AND(#REF!,"AAAAAH/uz4c=")</f>
        <v>#REF!</v>
      </c>
      <c r="EG291" t="e">
        <f>AND(#REF!,"AAAAAH/uz4g=")</f>
        <v>#REF!</v>
      </c>
      <c r="EH291" t="e">
        <f>AND(#REF!,"AAAAAH/uz4k=")</f>
        <v>#REF!</v>
      </c>
      <c r="EI291" t="e">
        <f>AND(#REF!,"AAAAAH/uz4o=")</f>
        <v>#REF!</v>
      </c>
      <c r="EJ291" t="e">
        <f>AND(#REF!,"AAAAAH/uz4s=")</f>
        <v>#REF!</v>
      </c>
      <c r="EK291" t="e">
        <f>AND(#REF!,"AAAAAH/uz4w=")</f>
        <v>#REF!</v>
      </c>
      <c r="EL291" t="e">
        <f>AND(#REF!,"AAAAAH/uz40=")</f>
        <v>#REF!</v>
      </c>
      <c r="EM291" t="e">
        <f>AND(#REF!,"AAAAAH/uz44=")</f>
        <v>#REF!</v>
      </c>
      <c r="EN291" t="e">
        <f>AND(#REF!,"AAAAAH/uz48=")</f>
        <v>#REF!</v>
      </c>
      <c r="EO291" t="e">
        <f>AND(#REF!,"AAAAAH/uz5A=")</f>
        <v>#REF!</v>
      </c>
      <c r="EP291" t="e">
        <f>AND(#REF!,"AAAAAH/uz5E=")</f>
        <v>#REF!</v>
      </c>
      <c r="EQ291" t="e">
        <f>AND(#REF!,"AAAAAH/uz5I=")</f>
        <v>#REF!</v>
      </c>
      <c r="ER291" t="e">
        <f>AND(#REF!,"AAAAAH/uz5M=")</f>
        <v>#REF!</v>
      </c>
      <c r="ES291" t="e">
        <f>AND(#REF!,"AAAAAH/uz5Q=")</f>
        <v>#REF!</v>
      </c>
      <c r="ET291" t="e">
        <f>AND(#REF!,"AAAAAH/uz5U=")</f>
        <v>#REF!</v>
      </c>
      <c r="EU291" t="e">
        <f>AND(#REF!,"AAAAAH/uz5Y=")</f>
        <v>#REF!</v>
      </c>
      <c r="EV291" t="e">
        <f>AND(#REF!,"AAAAAH/uz5c=")</f>
        <v>#REF!</v>
      </c>
      <c r="EW291" t="e">
        <f>AND(#REF!,"AAAAAH/uz5g=")</f>
        <v>#REF!</v>
      </c>
      <c r="EX291" t="e">
        <f>AND(#REF!,"AAAAAH/uz5k=")</f>
        <v>#REF!</v>
      </c>
      <c r="EY291" t="e">
        <f>AND(#REF!,"AAAAAH/uz5o=")</f>
        <v>#REF!</v>
      </c>
      <c r="EZ291" t="e">
        <f>AND(#REF!,"AAAAAH/uz5s=")</f>
        <v>#REF!</v>
      </c>
      <c r="FA291" t="e">
        <f>AND(#REF!,"AAAAAH/uz5w=")</f>
        <v>#REF!</v>
      </c>
      <c r="FB291" t="e">
        <f>AND(#REF!,"AAAAAH/uz50=")</f>
        <v>#REF!</v>
      </c>
      <c r="FC291" t="e">
        <f>AND(#REF!,"AAAAAH/uz54=")</f>
        <v>#REF!</v>
      </c>
      <c r="FD291" t="e">
        <f>AND(#REF!,"AAAAAH/uz58=")</f>
        <v>#REF!</v>
      </c>
      <c r="FE291" t="e">
        <f>AND(#REF!,"AAAAAH/uz6A=")</f>
        <v>#REF!</v>
      </c>
      <c r="FF291" t="e">
        <f>AND(#REF!,"AAAAAH/uz6E=")</f>
        <v>#REF!</v>
      </c>
      <c r="FG291" t="e">
        <f>AND(#REF!,"AAAAAH/uz6I=")</f>
        <v>#REF!</v>
      </c>
      <c r="FH291" t="e">
        <f>AND(#REF!,"AAAAAH/uz6M=")</f>
        <v>#REF!</v>
      </c>
      <c r="FI291" t="e">
        <f>AND(#REF!,"AAAAAH/uz6Q=")</f>
        <v>#REF!</v>
      </c>
      <c r="FJ291" t="e">
        <f>AND(#REF!,"AAAAAH/uz6U=")</f>
        <v>#REF!</v>
      </c>
      <c r="FK291" t="e">
        <f>AND(#REF!,"AAAAAH/uz6Y=")</f>
        <v>#REF!</v>
      </c>
      <c r="FL291" t="e">
        <f>AND(#REF!,"AAAAAH/uz6c=")</f>
        <v>#REF!</v>
      </c>
      <c r="FM291" t="e">
        <f>AND(#REF!,"AAAAAH/uz6g=")</f>
        <v>#REF!</v>
      </c>
      <c r="FN291" t="e">
        <f>AND(#REF!,"AAAAAH/uz6k=")</f>
        <v>#REF!</v>
      </c>
      <c r="FO291" t="e">
        <f>AND(#REF!,"AAAAAH/uz6o=")</f>
        <v>#REF!</v>
      </c>
      <c r="FP291" t="e">
        <f>AND(#REF!,"AAAAAH/uz6s=")</f>
        <v>#REF!</v>
      </c>
      <c r="FQ291" t="e">
        <f>AND(#REF!,"AAAAAH/uz6w=")</f>
        <v>#REF!</v>
      </c>
      <c r="FR291" t="e">
        <f>AND(#REF!,"AAAAAH/uz60=")</f>
        <v>#REF!</v>
      </c>
      <c r="FS291" t="e">
        <f>AND(#REF!,"AAAAAH/uz64=")</f>
        <v>#REF!</v>
      </c>
      <c r="FT291" t="e">
        <f>AND(#REF!,"AAAAAH/uz68=")</f>
        <v>#REF!</v>
      </c>
      <c r="FU291" t="e">
        <f>AND(#REF!,"AAAAAH/uz7A=")</f>
        <v>#REF!</v>
      </c>
      <c r="FV291" t="e">
        <f>AND(#REF!,"AAAAAH/uz7E=")</f>
        <v>#REF!</v>
      </c>
      <c r="FW291" t="e">
        <f>AND(#REF!,"AAAAAH/uz7I=")</f>
        <v>#REF!</v>
      </c>
      <c r="FX291" t="e">
        <f>AND(#REF!,"AAAAAH/uz7M=")</f>
        <v>#REF!</v>
      </c>
      <c r="FY291" t="e">
        <f>AND(#REF!,"AAAAAH/uz7Q=")</f>
        <v>#REF!</v>
      </c>
      <c r="FZ291" t="e">
        <f>AND(#REF!,"AAAAAH/uz7U=")</f>
        <v>#REF!</v>
      </c>
      <c r="GA291" t="e">
        <f>AND(#REF!,"AAAAAH/uz7Y=")</f>
        <v>#REF!</v>
      </c>
      <c r="GB291" t="e">
        <f>AND(#REF!,"AAAAAH/uz7c=")</f>
        <v>#REF!</v>
      </c>
      <c r="GC291" t="e">
        <f>AND(#REF!,"AAAAAH/uz7g=")</f>
        <v>#REF!</v>
      </c>
      <c r="GD291" t="e">
        <f>AND(#REF!,"AAAAAH/uz7k=")</f>
        <v>#REF!</v>
      </c>
      <c r="GE291" t="e">
        <f>AND(#REF!,"AAAAAH/uz7o=")</f>
        <v>#REF!</v>
      </c>
      <c r="GF291" t="e">
        <f>AND(#REF!,"AAAAAH/uz7s=")</f>
        <v>#REF!</v>
      </c>
      <c r="GG291" t="e">
        <f>AND(#REF!,"AAAAAH/uz7w=")</f>
        <v>#REF!</v>
      </c>
      <c r="GH291" t="e">
        <f>AND(#REF!,"AAAAAH/uz70=")</f>
        <v>#REF!</v>
      </c>
      <c r="GI291" t="e">
        <f>AND(#REF!,"AAAAAH/uz74=")</f>
        <v>#REF!</v>
      </c>
      <c r="GJ291" t="e">
        <f>AND(#REF!,"AAAAAH/uz78=")</f>
        <v>#REF!</v>
      </c>
      <c r="GK291" t="e">
        <f>AND(#REF!,"AAAAAH/uz8A=")</f>
        <v>#REF!</v>
      </c>
      <c r="GL291" t="e">
        <f>AND(#REF!,"AAAAAH/uz8E=")</f>
        <v>#REF!</v>
      </c>
      <c r="GM291" t="e">
        <f>AND(#REF!,"AAAAAH/uz8I=")</f>
        <v>#REF!</v>
      </c>
      <c r="GN291" t="e">
        <f>AND(#REF!,"AAAAAH/uz8M=")</f>
        <v>#REF!</v>
      </c>
      <c r="GO291" t="e">
        <f>AND(#REF!,"AAAAAH/uz8Q=")</f>
        <v>#REF!</v>
      </c>
      <c r="GP291" t="e">
        <f>AND(#REF!,"AAAAAH/uz8U=")</f>
        <v>#REF!</v>
      </c>
      <c r="GQ291" t="e">
        <f>AND(#REF!,"AAAAAH/uz8Y=")</f>
        <v>#REF!</v>
      </c>
      <c r="GR291" t="e">
        <f>AND(#REF!,"AAAAAH/uz8c=")</f>
        <v>#REF!</v>
      </c>
      <c r="GS291" t="e">
        <f>AND(#REF!,"AAAAAH/uz8g=")</f>
        <v>#REF!</v>
      </c>
      <c r="GT291" t="e">
        <f>AND(#REF!,"AAAAAH/uz8k=")</f>
        <v>#REF!</v>
      </c>
      <c r="GU291" t="e">
        <f>AND(#REF!,"AAAAAH/uz8o=")</f>
        <v>#REF!</v>
      </c>
      <c r="GV291" t="e">
        <f>AND(#REF!,"AAAAAH/uz8s=")</f>
        <v>#REF!</v>
      </c>
      <c r="GW291" t="e">
        <f>AND(#REF!,"AAAAAH/uz8w=")</f>
        <v>#REF!</v>
      </c>
      <c r="GX291" t="e">
        <f>AND(#REF!,"AAAAAH/uz80=")</f>
        <v>#REF!</v>
      </c>
      <c r="GY291" t="e">
        <f>AND(#REF!,"AAAAAH/uz84=")</f>
        <v>#REF!</v>
      </c>
      <c r="GZ291" t="e">
        <f>AND(#REF!,"AAAAAH/uz88=")</f>
        <v>#REF!</v>
      </c>
      <c r="HA291" t="e">
        <f>AND(#REF!,"AAAAAH/uz9A=")</f>
        <v>#REF!</v>
      </c>
      <c r="HB291" t="e">
        <f>AND(#REF!,"AAAAAH/uz9E=")</f>
        <v>#REF!</v>
      </c>
      <c r="HC291" t="e">
        <f>AND(#REF!,"AAAAAH/uz9I=")</f>
        <v>#REF!</v>
      </c>
      <c r="HD291" t="e">
        <f>AND(#REF!,"AAAAAH/uz9M=")</f>
        <v>#REF!</v>
      </c>
      <c r="HE291" t="e">
        <f>AND(#REF!,"AAAAAH/uz9Q=")</f>
        <v>#REF!</v>
      </c>
      <c r="HF291" t="e">
        <f>AND(#REF!,"AAAAAH/uz9U=")</f>
        <v>#REF!</v>
      </c>
      <c r="HG291" t="e">
        <f>AND(#REF!,"AAAAAH/uz9Y=")</f>
        <v>#REF!</v>
      </c>
      <c r="HH291" t="e">
        <f>AND(#REF!,"AAAAAH/uz9c=")</f>
        <v>#REF!</v>
      </c>
      <c r="HI291" t="e">
        <f>AND(#REF!,"AAAAAH/uz9g=")</f>
        <v>#REF!</v>
      </c>
      <c r="HJ291" t="e">
        <f>AND(#REF!,"AAAAAH/uz9k=")</f>
        <v>#REF!</v>
      </c>
      <c r="HK291" t="e">
        <f>IF(#REF!,"AAAAAH/uz9o=",0)</f>
        <v>#REF!</v>
      </c>
      <c r="HL291" t="e">
        <f>AND(#REF!,"AAAAAH/uz9s=")</f>
        <v>#REF!</v>
      </c>
      <c r="HM291" t="e">
        <f>AND(#REF!,"AAAAAH/uz9w=")</f>
        <v>#REF!</v>
      </c>
      <c r="HN291" t="e">
        <f>AND(#REF!,"AAAAAH/uz90=")</f>
        <v>#REF!</v>
      </c>
      <c r="HO291" t="e">
        <f>AND(#REF!,"AAAAAH/uz94=")</f>
        <v>#REF!</v>
      </c>
      <c r="HP291" t="e">
        <f>AND(#REF!,"AAAAAH/uz98=")</f>
        <v>#REF!</v>
      </c>
      <c r="HQ291" t="e">
        <f>AND(#REF!,"AAAAAH/uz+A=")</f>
        <v>#REF!</v>
      </c>
      <c r="HR291" t="e">
        <f>AND(#REF!,"AAAAAH/uz+E=")</f>
        <v>#REF!</v>
      </c>
      <c r="HS291" t="e">
        <f>AND(#REF!,"AAAAAH/uz+I=")</f>
        <v>#REF!</v>
      </c>
      <c r="HT291" t="e">
        <f>AND(#REF!,"AAAAAH/uz+M=")</f>
        <v>#REF!</v>
      </c>
      <c r="HU291" t="e">
        <f>AND(#REF!,"AAAAAH/uz+Q=")</f>
        <v>#REF!</v>
      </c>
      <c r="HV291" t="e">
        <f>AND(#REF!,"AAAAAH/uz+U=")</f>
        <v>#REF!</v>
      </c>
      <c r="HW291" t="e">
        <f>AND(#REF!,"AAAAAH/uz+Y=")</f>
        <v>#REF!</v>
      </c>
      <c r="HX291" t="e">
        <f>AND(#REF!,"AAAAAH/uz+c=")</f>
        <v>#REF!</v>
      </c>
      <c r="HY291" t="e">
        <f>AND(#REF!,"AAAAAH/uz+g=")</f>
        <v>#REF!</v>
      </c>
      <c r="HZ291" t="e">
        <f>AND(#REF!,"AAAAAH/uz+k=")</f>
        <v>#REF!</v>
      </c>
      <c r="IA291" t="e">
        <f>AND(#REF!,"AAAAAH/uz+o=")</f>
        <v>#REF!</v>
      </c>
      <c r="IB291" t="e">
        <f>AND(#REF!,"AAAAAH/uz+s=")</f>
        <v>#REF!</v>
      </c>
      <c r="IC291" t="e">
        <f>AND(#REF!,"AAAAAH/uz+w=")</f>
        <v>#REF!</v>
      </c>
      <c r="ID291" t="e">
        <f>AND(#REF!,"AAAAAH/uz+0=")</f>
        <v>#REF!</v>
      </c>
      <c r="IE291" t="e">
        <f>AND(#REF!,"AAAAAH/uz+4=")</f>
        <v>#REF!</v>
      </c>
      <c r="IF291" t="e">
        <f>AND(#REF!,"AAAAAH/uz+8=")</f>
        <v>#REF!</v>
      </c>
      <c r="IG291" t="e">
        <f>AND(#REF!,"AAAAAH/uz/A=")</f>
        <v>#REF!</v>
      </c>
      <c r="IH291" t="e">
        <f>AND(#REF!,"AAAAAH/uz/E=")</f>
        <v>#REF!</v>
      </c>
      <c r="II291" t="e">
        <f>AND(#REF!,"AAAAAH/uz/I=")</f>
        <v>#REF!</v>
      </c>
      <c r="IJ291" t="e">
        <f>AND(#REF!,"AAAAAH/uz/M=")</f>
        <v>#REF!</v>
      </c>
      <c r="IK291" t="e">
        <f>AND(#REF!,"AAAAAH/uz/Q=")</f>
        <v>#REF!</v>
      </c>
      <c r="IL291" t="e">
        <f>AND(#REF!,"AAAAAH/uz/U=")</f>
        <v>#REF!</v>
      </c>
      <c r="IM291" t="e">
        <f>AND(#REF!,"AAAAAH/uz/Y=")</f>
        <v>#REF!</v>
      </c>
      <c r="IN291" t="e">
        <f>AND(#REF!,"AAAAAH/uz/c=")</f>
        <v>#REF!</v>
      </c>
      <c r="IO291" t="e">
        <f>AND(#REF!,"AAAAAH/uz/g=")</f>
        <v>#REF!</v>
      </c>
      <c r="IP291" t="e">
        <f>AND(#REF!,"AAAAAH/uz/k=")</f>
        <v>#REF!</v>
      </c>
      <c r="IQ291" t="e">
        <f>AND(#REF!,"AAAAAH/uz/o=")</f>
        <v>#REF!</v>
      </c>
      <c r="IR291" t="e">
        <f>AND(#REF!,"AAAAAH/uz/s=")</f>
        <v>#REF!</v>
      </c>
      <c r="IS291" t="e">
        <f>AND(#REF!,"AAAAAH/uz/w=")</f>
        <v>#REF!</v>
      </c>
      <c r="IT291" t="e">
        <f>AND(#REF!,"AAAAAH/uz/0=")</f>
        <v>#REF!</v>
      </c>
      <c r="IU291" t="e">
        <f>AND(#REF!,"AAAAAH/uz/4=")</f>
        <v>#REF!</v>
      </c>
      <c r="IV291" t="e">
        <f>AND(#REF!,"AAAAAH/uz/8=")</f>
        <v>#REF!</v>
      </c>
    </row>
    <row r="292" spans="1:256" x14ac:dyDescent="0.25">
      <c r="A292" t="e">
        <f>AND(#REF!,"AAAAAC//qwA=")</f>
        <v>#REF!</v>
      </c>
      <c r="B292" t="e">
        <f>AND(#REF!,"AAAAAC//qwE=")</f>
        <v>#REF!</v>
      </c>
      <c r="C292" t="e">
        <f>AND(#REF!,"AAAAAC//qwI=")</f>
        <v>#REF!</v>
      </c>
      <c r="D292" t="e">
        <f>AND(#REF!,"AAAAAC//qwM=")</f>
        <v>#REF!</v>
      </c>
      <c r="E292" t="e">
        <f>AND(#REF!,"AAAAAC//qwQ=")</f>
        <v>#REF!</v>
      </c>
      <c r="F292" t="e">
        <f>AND(#REF!,"AAAAAC//qwU=")</f>
        <v>#REF!</v>
      </c>
      <c r="G292" t="e">
        <f>AND(#REF!,"AAAAAC//qwY=")</f>
        <v>#REF!</v>
      </c>
      <c r="H292" t="e">
        <f>AND(#REF!,"AAAAAC//qwc=")</f>
        <v>#REF!</v>
      </c>
      <c r="I292" t="e">
        <f>AND(#REF!,"AAAAAC//qwg=")</f>
        <v>#REF!</v>
      </c>
      <c r="J292" t="e">
        <f>AND(#REF!,"AAAAAC//qwk=")</f>
        <v>#REF!</v>
      </c>
      <c r="K292" t="e">
        <f>AND(#REF!,"AAAAAC//qwo=")</f>
        <v>#REF!</v>
      </c>
      <c r="L292" t="e">
        <f>AND(#REF!,"AAAAAC//qws=")</f>
        <v>#REF!</v>
      </c>
      <c r="M292" t="e">
        <f>AND(#REF!,"AAAAAC//qww=")</f>
        <v>#REF!</v>
      </c>
      <c r="N292" t="e">
        <f>AND(#REF!,"AAAAAC//qw0=")</f>
        <v>#REF!</v>
      </c>
      <c r="O292" t="e">
        <f>AND(#REF!,"AAAAAC//qw4=")</f>
        <v>#REF!</v>
      </c>
      <c r="P292" t="e">
        <f>AND(#REF!,"AAAAAC//qw8=")</f>
        <v>#REF!</v>
      </c>
      <c r="Q292" t="e">
        <f>AND(#REF!,"AAAAAC//qxA=")</f>
        <v>#REF!</v>
      </c>
      <c r="R292" t="e">
        <f>AND(#REF!,"AAAAAC//qxE=")</f>
        <v>#REF!</v>
      </c>
      <c r="S292" t="e">
        <f>AND(#REF!,"AAAAAC//qxI=")</f>
        <v>#REF!</v>
      </c>
      <c r="T292" t="e">
        <f>AND(#REF!,"AAAAAC//qxM=")</f>
        <v>#REF!</v>
      </c>
      <c r="U292" t="e">
        <f>AND(#REF!,"AAAAAC//qxQ=")</f>
        <v>#REF!</v>
      </c>
      <c r="V292" t="e">
        <f>AND(#REF!,"AAAAAC//qxU=")</f>
        <v>#REF!</v>
      </c>
      <c r="W292" t="e">
        <f>AND(#REF!,"AAAAAC//qxY=")</f>
        <v>#REF!</v>
      </c>
      <c r="X292" t="e">
        <f>AND(#REF!,"AAAAAC//qxc=")</f>
        <v>#REF!</v>
      </c>
      <c r="Y292" t="e">
        <f>AND(#REF!,"AAAAAC//qxg=")</f>
        <v>#REF!</v>
      </c>
      <c r="Z292" t="e">
        <f>AND(#REF!,"AAAAAC//qxk=")</f>
        <v>#REF!</v>
      </c>
      <c r="AA292" t="e">
        <f>AND(#REF!,"AAAAAC//qxo=")</f>
        <v>#REF!</v>
      </c>
      <c r="AB292" t="e">
        <f>AND(#REF!,"AAAAAC//qxs=")</f>
        <v>#REF!</v>
      </c>
      <c r="AC292" t="e">
        <f>AND(#REF!,"AAAAAC//qxw=")</f>
        <v>#REF!</v>
      </c>
      <c r="AD292" t="e">
        <f>AND(#REF!,"AAAAAC//qx0=")</f>
        <v>#REF!</v>
      </c>
      <c r="AE292" t="e">
        <f>AND(#REF!,"AAAAAC//qx4=")</f>
        <v>#REF!</v>
      </c>
      <c r="AF292" t="e">
        <f>AND(#REF!,"AAAAAC//qx8=")</f>
        <v>#REF!</v>
      </c>
      <c r="AG292" t="e">
        <f>AND(#REF!,"AAAAAC//qyA=")</f>
        <v>#REF!</v>
      </c>
      <c r="AH292" t="e">
        <f>AND(#REF!,"AAAAAC//qyE=")</f>
        <v>#REF!</v>
      </c>
      <c r="AI292" t="e">
        <f>AND(#REF!,"AAAAAC//qyI=")</f>
        <v>#REF!</v>
      </c>
      <c r="AJ292" t="e">
        <f>AND(#REF!,"AAAAAC//qyM=")</f>
        <v>#REF!</v>
      </c>
      <c r="AK292" t="e">
        <f>AND(#REF!,"AAAAAC//qyQ=")</f>
        <v>#REF!</v>
      </c>
      <c r="AL292" t="e">
        <f>AND(#REF!,"AAAAAC//qyU=")</f>
        <v>#REF!</v>
      </c>
      <c r="AM292" t="e">
        <f>AND(#REF!,"AAAAAC//qyY=")</f>
        <v>#REF!</v>
      </c>
      <c r="AN292" t="e">
        <f>AND(#REF!,"AAAAAC//qyc=")</f>
        <v>#REF!</v>
      </c>
      <c r="AO292" t="e">
        <f>AND(#REF!,"AAAAAC//qyg=")</f>
        <v>#REF!</v>
      </c>
      <c r="AP292" t="e">
        <f>AND(#REF!,"AAAAAC//qyk=")</f>
        <v>#REF!</v>
      </c>
      <c r="AQ292" t="e">
        <f>AND(#REF!,"AAAAAC//qyo=")</f>
        <v>#REF!</v>
      </c>
      <c r="AR292" t="e">
        <f>AND(#REF!,"AAAAAC//qys=")</f>
        <v>#REF!</v>
      </c>
      <c r="AS292" t="e">
        <f>AND(#REF!,"AAAAAC//qyw=")</f>
        <v>#REF!</v>
      </c>
      <c r="AT292" t="e">
        <f>AND(#REF!,"AAAAAC//qy0=")</f>
        <v>#REF!</v>
      </c>
      <c r="AU292" t="e">
        <f>AND(#REF!,"AAAAAC//qy4=")</f>
        <v>#REF!</v>
      </c>
      <c r="AV292" t="e">
        <f>AND(#REF!,"AAAAAC//qy8=")</f>
        <v>#REF!</v>
      </c>
      <c r="AW292" t="e">
        <f>AND(#REF!,"AAAAAC//qzA=")</f>
        <v>#REF!</v>
      </c>
      <c r="AX292" t="e">
        <f>AND(#REF!,"AAAAAC//qzE=")</f>
        <v>#REF!</v>
      </c>
      <c r="AY292" t="e">
        <f>AND(#REF!,"AAAAAC//qzI=")</f>
        <v>#REF!</v>
      </c>
      <c r="AZ292" t="e">
        <f>AND(#REF!,"AAAAAC//qzM=")</f>
        <v>#REF!</v>
      </c>
      <c r="BA292" t="e">
        <f>AND(#REF!,"AAAAAC//qzQ=")</f>
        <v>#REF!</v>
      </c>
      <c r="BB292" t="e">
        <f>AND(#REF!,"AAAAAC//qzU=")</f>
        <v>#REF!</v>
      </c>
      <c r="BC292" t="e">
        <f>AND(#REF!,"AAAAAC//qzY=")</f>
        <v>#REF!</v>
      </c>
      <c r="BD292" t="e">
        <f>AND(#REF!,"AAAAAC//qzc=")</f>
        <v>#REF!</v>
      </c>
      <c r="BE292" t="e">
        <f>AND(#REF!,"AAAAAC//qzg=")</f>
        <v>#REF!</v>
      </c>
      <c r="BF292" t="e">
        <f>AND(#REF!,"AAAAAC//qzk=")</f>
        <v>#REF!</v>
      </c>
      <c r="BG292" t="e">
        <f>AND(#REF!,"AAAAAC//qzo=")</f>
        <v>#REF!</v>
      </c>
      <c r="BH292" t="e">
        <f>AND(#REF!,"AAAAAC//qzs=")</f>
        <v>#REF!</v>
      </c>
      <c r="BI292" t="e">
        <f>AND(#REF!,"AAAAAC//qzw=")</f>
        <v>#REF!</v>
      </c>
      <c r="BJ292" t="e">
        <f>AND(#REF!,"AAAAAC//qz0=")</f>
        <v>#REF!</v>
      </c>
      <c r="BK292" t="e">
        <f>AND(#REF!,"AAAAAC//qz4=")</f>
        <v>#REF!</v>
      </c>
      <c r="BL292" t="e">
        <f>AND(#REF!,"AAAAAC//qz8=")</f>
        <v>#REF!</v>
      </c>
      <c r="BM292" t="e">
        <f>AND(#REF!,"AAAAAC//q0A=")</f>
        <v>#REF!</v>
      </c>
      <c r="BN292" t="e">
        <f>AND(#REF!,"AAAAAC//q0E=")</f>
        <v>#REF!</v>
      </c>
      <c r="BO292" t="e">
        <f>AND(#REF!,"AAAAAC//q0I=")</f>
        <v>#REF!</v>
      </c>
      <c r="BP292" t="e">
        <f>AND(#REF!,"AAAAAC//q0M=")</f>
        <v>#REF!</v>
      </c>
      <c r="BQ292" t="e">
        <f>AND(#REF!,"AAAAAC//q0Q=")</f>
        <v>#REF!</v>
      </c>
      <c r="BR292" t="e">
        <f>AND(#REF!,"AAAAAC//q0U=")</f>
        <v>#REF!</v>
      </c>
      <c r="BS292" t="e">
        <f>AND(#REF!,"AAAAAC//q0Y=")</f>
        <v>#REF!</v>
      </c>
      <c r="BT292" t="e">
        <f>AND(#REF!,"AAAAAC//q0c=")</f>
        <v>#REF!</v>
      </c>
      <c r="BU292" t="e">
        <f>AND(#REF!,"AAAAAC//q0g=")</f>
        <v>#REF!</v>
      </c>
      <c r="BV292" t="e">
        <f>AND(#REF!,"AAAAAC//q0k=")</f>
        <v>#REF!</v>
      </c>
      <c r="BW292" t="e">
        <f>AND(#REF!,"AAAAAC//q0o=")</f>
        <v>#REF!</v>
      </c>
      <c r="BX292" t="e">
        <f>AND(#REF!,"AAAAAC//q0s=")</f>
        <v>#REF!</v>
      </c>
      <c r="BY292" t="e">
        <f>AND(#REF!,"AAAAAC//q0w=")</f>
        <v>#REF!</v>
      </c>
      <c r="BZ292" t="e">
        <f>AND(#REF!,"AAAAAC//q00=")</f>
        <v>#REF!</v>
      </c>
      <c r="CA292" t="e">
        <f>AND(#REF!,"AAAAAC//q04=")</f>
        <v>#REF!</v>
      </c>
      <c r="CB292" t="e">
        <f>AND(#REF!,"AAAAAC//q08=")</f>
        <v>#REF!</v>
      </c>
      <c r="CC292" t="e">
        <f>AND(#REF!,"AAAAAC//q1A=")</f>
        <v>#REF!</v>
      </c>
      <c r="CD292" t="e">
        <f>AND(#REF!,"AAAAAC//q1E=")</f>
        <v>#REF!</v>
      </c>
      <c r="CE292" t="e">
        <f>AND(#REF!,"AAAAAC//q1I=")</f>
        <v>#REF!</v>
      </c>
      <c r="CF292" t="e">
        <f>AND(#REF!,"AAAAAC//q1M=")</f>
        <v>#REF!</v>
      </c>
      <c r="CG292" t="e">
        <f>AND(#REF!,"AAAAAC//q1Q=")</f>
        <v>#REF!</v>
      </c>
      <c r="CH292" t="e">
        <f>AND(#REF!,"AAAAAC//q1U=")</f>
        <v>#REF!</v>
      </c>
      <c r="CI292" t="e">
        <f>AND(#REF!,"AAAAAC//q1Y=")</f>
        <v>#REF!</v>
      </c>
      <c r="CJ292" t="e">
        <f>AND(#REF!,"AAAAAC//q1c=")</f>
        <v>#REF!</v>
      </c>
      <c r="CK292" t="e">
        <f>AND(#REF!,"AAAAAC//q1g=")</f>
        <v>#REF!</v>
      </c>
      <c r="CL292" t="e">
        <f>AND(#REF!,"AAAAAC//q1k=")</f>
        <v>#REF!</v>
      </c>
      <c r="CM292" t="e">
        <f>AND(#REF!,"AAAAAC//q1o=")</f>
        <v>#REF!</v>
      </c>
      <c r="CN292" t="e">
        <f>AND(#REF!,"AAAAAC//q1s=")</f>
        <v>#REF!</v>
      </c>
      <c r="CO292" t="e">
        <f>AND(#REF!,"AAAAAC//q1w=")</f>
        <v>#REF!</v>
      </c>
      <c r="CP292" t="e">
        <f>AND(#REF!,"AAAAAC//q10=")</f>
        <v>#REF!</v>
      </c>
      <c r="CQ292" t="e">
        <f>AND(#REF!,"AAAAAC//q14=")</f>
        <v>#REF!</v>
      </c>
      <c r="CR292" t="e">
        <f>AND(#REF!,"AAAAAC//q18=")</f>
        <v>#REF!</v>
      </c>
      <c r="CS292" t="e">
        <f>AND(#REF!,"AAAAAC//q2A=")</f>
        <v>#REF!</v>
      </c>
      <c r="CT292" t="e">
        <f>AND(#REF!,"AAAAAC//q2E=")</f>
        <v>#REF!</v>
      </c>
      <c r="CU292" t="e">
        <f>AND(#REF!,"AAAAAC//q2I=")</f>
        <v>#REF!</v>
      </c>
      <c r="CV292" t="e">
        <f>AND(#REF!,"AAAAAC//q2M=")</f>
        <v>#REF!</v>
      </c>
      <c r="CW292" t="e">
        <f>AND(#REF!,"AAAAAC//q2Q=")</f>
        <v>#REF!</v>
      </c>
      <c r="CX292" t="e">
        <f>AND(#REF!,"AAAAAC//q2U=")</f>
        <v>#REF!</v>
      </c>
      <c r="CY292" t="e">
        <f>AND(#REF!,"AAAAAC//q2Y=")</f>
        <v>#REF!</v>
      </c>
      <c r="CZ292" t="e">
        <f>AND(#REF!,"AAAAAC//q2c=")</f>
        <v>#REF!</v>
      </c>
      <c r="DA292" t="e">
        <f>AND(#REF!,"AAAAAC//q2g=")</f>
        <v>#REF!</v>
      </c>
      <c r="DB292" t="e">
        <f>AND(#REF!,"AAAAAC//q2k=")</f>
        <v>#REF!</v>
      </c>
      <c r="DC292" t="e">
        <f>AND(#REF!,"AAAAAC//q2o=")</f>
        <v>#REF!</v>
      </c>
      <c r="DD292" t="e">
        <f>AND(#REF!,"AAAAAC//q2s=")</f>
        <v>#REF!</v>
      </c>
      <c r="DE292" t="e">
        <f>AND(#REF!,"AAAAAC//q2w=")</f>
        <v>#REF!</v>
      </c>
      <c r="DF292" t="e">
        <f>AND(#REF!,"AAAAAC//q20=")</f>
        <v>#REF!</v>
      </c>
      <c r="DG292" t="e">
        <f>AND(#REF!,"AAAAAC//q24=")</f>
        <v>#REF!</v>
      </c>
      <c r="DH292" t="e">
        <f>AND(#REF!,"AAAAAC//q28=")</f>
        <v>#REF!</v>
      </c>
      <c r="DI292" t="e">
        <f>AND(#REF!,"AAAAAC//q3A=")</f>
        <v>#REF!</v>
      </c>
      <c r="DJ292" t="e">
        <f>AND(#REF!,"AAAAAC//q3E=")</f>
        <v>#REF!</v>
      </c>
      <c r="DK292" t="e">
        <f>AND(#REF!,"AAAAAC//q3I=")</f>
        <v>#REF!</v>
      </c>
      <c r="DL292" t="e">
        <f>AND(#REF!,"AAAAAC//q3M=")</f>
        <v>#REF!</v>
      </c>
      <c r="DM292" t="e">
        <f>AND(#REF!,"AAAAAC//q3Q=")</f>
        <v>#REF!</v>
      </c>
      <c r="DN292" t="e">
        <f>AND(#REF!,"AAAAAC//q3U=")</f>
        <v>#REF!</v>
      </c>
      <c r="DO292" t="e">
        <f>AND(#REF!,"AAAAAC//q3Y=")</f>
        <v>#REF!</v>
      </c>
      <c r="DP292" t="e">
        <f>AND(#REF!,"AAAAAC//q3c=")</f>
        <v>#REF!</v>
      </c>
      <c r="DQ292" t="e">
        <f>AND(#REF!,"AAAAAC//q3g=")</f>
        <v>#REF!</v>
      </c>
      <c r="DR292" t="e">
        <f>AND(#REF!,"AAAAAC//q3k=")</f>
        <v>#REF!</v>
      </c>
      <c r="DS292" t="e">
        <f>AND(#REF!,"AAAAAC//q3o=")</f>
        <v>#REF!</v>
      </c>
      <c r="DT292" t="e">
        <f>AND(#REF!,"AAAAAC//q3s=")</f>
        <v>#REF!</v>
      </c>
      <c r="DU292" t="e">
        <f>AND(#REF!,"AAAAAC//q3w=")</f>
        <v>#REF!</v>
      </c>
      <c r="DV292" t="e">
        <f>AND(#REF!,"AAAAAC//q30=")</f>
        <v>#REF!</v>
      </c>
      <c r="DW292" t="e">
        <f>AND(#REF!,"AAAAAC//q34=")</f>
        <v>#REF!</v>
      </c>
      <c r="DX292" t="e">
        <f>AND(#REF!,"AAAAAC//q38=")</f>
        <v>#REF!</v>
      </c>
      <c r="DY292" t="e">
        <f>AND(#REF!,"AAAAAC//q4A=")</f>
        <v>#REF!</v>
      </c>
      <c r="DZ292" t="e">
        <f>AND(#REF!,"AAAAAC//q4E=")</f>
        <v>#REF!</v>
      </c>
      <c r="EA292" t="e">
        <f>AND(#REF!,"AAAAAC//q4I=")</f>
        <v>#REF!</v>
      </c>
      <c r="EB292" t="e">
        <f>AND(#REF!,"AAAAAC//q4M=")</f>
        <v>#REF!</v>
      </c>
      <c r="EC292" t="e">
        <f>AND(#REF!,"AAAAAC//q4Q=")</f>
        <v>#REF!</v>
      </c>
      <c r="ED292" t="e">
        <f>AND(#REF!,"AAAAAC//q4U=")</f>
        <v>#REF!</v>
      </c>
      <c r="EE292" t="e">
        <f>AND(#REF!,"AAAAAC//q4Y=")</f>
        <v>#REF!</v>
      </c>
      <c r="EF292" t="e">
        <f>AND(#REF!,"AAAAAC//q4c=")</f>
        <v>#REF!</v>
      </c>
      <c r="EG292" t="e">
        <f>AND(#REF!,"AAAAAC//q4g=")</f>
        <v>#REF!</v>
      </c>
      <c r="EH292" t="e">
        <f>AND(#REF!,"AAAAAC//q4k=")</f>
        <v>#REF!</v>
      </c>
      <c r="EI292" t="e">
        <f>AND(#REF!,"AAAAAC//q4o=")</f>
        <v>#REF!</v>
      </c>
      <c r="EJ292" t="e">
        <f>AND(#REF!,"AAAAAC//q4s=")</f>
        <v>#REF!</v>
      </c>
      <c r="EK292" t="e">
        <f>AND(#REF!,"AAAAAC//q4w=")</f>
        <v>#REF!</v>
      </c>
      <c r="EL292" t="e">
        <f>AND(#REF!,"AAAAAC//q40=")</f>
        <v>#REF!</v>
      </c>
      <c r="EM292" t="e">
        <f>AND(#REF!,"AAAAAC//q44=")</f>
        <v>#REF!</v>
      </c>
      <c r="EN292" t="e">
        <f>AND(#REF!,"AAAAAC//q48=")</f>
        <v>#REF!</v>
      </c>
      <c r="EO292" t="e">
        <f>AND(#REF!,"AAAAAC//q5A=")</f>
        <v>#REF!</v>
      </c>
      <c r="EP292" t="e">
        <f>AND(#REF!,"AAAAAC//q5E=")</f>
        <v>#REF!</v>
      </c>
      <c r="EQ292" t="e">
        <f>AND(#REF!,"AAAAAC//q5I=")</f>
        <v>#REF!</v>
      </c>
      <c r="ER292" t="e">
        <f>AND(#REF!,"AAAAAC//q5M=")</f>
        <v>#REF!</v>
      </c>
      <c r="ES292" t="e">
        <f>AND(#REF!,"AAAAAC//q5Q=")</f>
        <v>#REF!</v>
      </c>
      <c r="ET292" t="e">
        <f>AND(#REF!,"AAAAAC//q5U=")</f>
        <v>#REF!</v>
      </c>
      <c r="EU292" t="e">
        <f>AND(#REF!,"AAAAAC//q5Y=")</f>
        <v>#REF!</v>
      </c>
      <c r="EV292" t="e">
        <f>IF(#REF!,"AAAAAC//q5c=",0)</f>
        <v>#REF!</v>
      </c>
      <c r="EW292" t="e">
        <f>AND(#REF!,"AAAAAC//q5g=")</f>
        <v>#REF!</v>
      </c>
      <c r="EX292" t="e">
        <f>AND(#REF!,"AAAAAC//q5k=")</f>
        <v>#REF!</v>
      </c>
      <c r="EY292" t="e">
        <f>AND(#REF!,"AAAAAC//q5o=")</f>
        <v>#REF!</v>
      </c>
      <c r="EZ292" t="e">
        <f>AND(#REF!,"AAAAAC//q5s=")</f>
        <v>#REF!</v>
      </c>
      <c r="FA292" t="e">
        <f>AND(#REF!,"AAAAAC//q5w=")</f>
        <v>#REF!</v>
      </c>
      <c r="FB292" t="e">
        <f>AND(#REF!,"AAAAAC//q50=")</f>
        <v>#REF!</v>
      </c>
      <c r="FC292" t="e">
        <f>AND(#REF!,"AAAAAC//q54=")</f>
        <v>#REF!</v>
      </c>
      <c r="FD292" t="e">
        <f>AND(#REF!,"AAAAAC//q58=")</f>
        <v>#REF!</v>
      </c>
      <c r="FE292" t="e">
        <f>AND(#REF!,"AAAAAC//q6A=")</f>
        <v>#REF!</v>
      </c>
      <c r="FF292" t="e">
        <f>AND(#REF!,"AAAAAC//q6E=")</f>
        <v>#REF!</v>
      </c>
      <c r="FG292" t="e">
        <f>AND(#REF!,"AAAAAC//q6I=")</f>
        <v>#REF!</v>
      </c>
      <c r="FH292" t="e">
        <f>AND(#REF!,"AAAAAC//q6M=")</f>
        <v>#REF!</v>
      </c>
      <c r="FI292" t="e">
        <f>AND(#REF!,"AAAAAC//q6Q=")</f>
        <v>#REF!</v>
      </c>
      <c r="FJ292" t="e">
        <f>AND(#REF!,"AAAAAC//q6U=")</f>
        <v>#REF!</v>
      </c>
      <c r="FK292" t="e">
        <f>AND(#REF!,"AAAAAC//q6Y=")</f>
        <v>#REF!</v>
      </c>
      <c r="FL292" t="e">
        <f>AND(#REF!,"AAAAAC//q6c=")</f>
        <v>#REF!</v>
      </c>
      <c r="FM292" t="e">
        <f>AND(#REF!,"AAAAAC//q6g=")</f>
        <v>#REF!</v>
      </c>
      <c r="FN292" t="e">
        <f>AND(#REF!,"AAAAAC//q6k=")</f>
        <v>#REF!</v>
      </c>
      <c r="FO292" t="e">
        <f>AND(#REF!,"AAAAAC//q6o=")</f>
        <v>#REF!</v>
      </c>
      <c r="FP292" t="e">
        <f>AND(#REF!,"AAAAAC//q6s=")</f>
        <v>#REF!</v>
      </c>
      <c r="FQ292" t="e">
        <f>AND(#REF!,"AAAAAC//q6w=")</f>
        <v>#REF!</v>
      </c>
      <c r="FR292" t="e">
        <f>AND(#REF!,"AAAAAC//q60=")</f>
        <v>#REF!</v>
      </c>
      <c r="FS292" t="e">
        <f>AND(#REF!,"AAAAAC//q64=")</f>
        <v>#REF!</v>
      </c>
      <c r="FT292" t="e">
        <f>AND(#REF!,"AAAAAC//q68=")</f>
        <v>#REF!</v>
      </c>
      <c r="FU292" t="e">
        <f>AND(#REF!,"AAAAAC//q7A=")</f>
        <v>#REF!</v>
      </c>
      <c r="FV292" t="e">
        <f>AND(#REF!,"AAAAAC//q7E=")</f>
        <v>#REF!</v>
      </c>
      <c r="FW292" t="e">
        <f>AND(#REF!,"AAAAAC//q7I=")</f>
        <v>#REF!</v>
      </c>
      <c r="FX292" t="e">
        <f>AND(#REF!,"AAAAAC//q7M=")</f>
        <v>#REF!</v>
      </c>
      <c r="FY292" t="e">
        <f>AND(#REF!,"AAAAAC//q7Q=")</f>
        <v>#REF!</v>
      </c>
      <c r="FZ292" t="e">
        <f>AND(#REF!,"AAAAAC//q7U=")</f>
        <v>#REF!</v>
      </c>
      <c r="GA292" t="e">
        <f>AND(#REF!,"AAAAAC//q7Y=")</f>
        <v>#REF!</v>
      </c>
      <c r="GB292" t="e">
        <f>AND(#REF!,"AAAAAC//q7c=")</f>
        <v>#REF!</v>
      </c>
      <c r="GC292" t="e">
        <f>AND(#REF!,"AAAAAC//q7g=")</f>
        <v>#REF!</v>
      </c>
      <c r="GD292" t="e">
        <f>AND(#REF!,"AAAAAC//q7k=")</f>
        <v>#REF!</v>
      </c>
      <c r="GE292" t="e">
        <f>AND(#REF!,"AAAAAC//q7o=")</f>
        <v>#REF!</v>
      </c>
      <c r="GF292" t="e">
        <f>AND(#REF!,"AAAAAC//q7s=")</f>
        <v>#REF!</v>
      </c>
      <c r="GG292" t="e">
        <f>AND(#REF!,"AAAAAC//q7w=")</f>
        <v>#REF!</v>
      </c>
      <c r="GH292" t="e">
        <f>AND(#REF!,"AAAAAC//q70=")</f>
        <v>#REF!</v>
      </c>
      <c r="GI292" t="e">
        <f>AND(#REF!,"AAAAAC//q74=")</f>
        <v>#REF!</v>
      </c>
      <c r="GJ292" t="e">
        <f>AND(#REF!,"AAAAAC//q78=")</f>
        <v>#REF!</v>
      </c>
      <c r="GK292" t="e">
        <f>AND(#REF!,"AAAAAC//q8A=")</f>
        <v>#REF!</v>
      </c>
      <c r="GL292" t="e">
        <f>AND(#REF!,"AAAAAC//q8E=")</f>
        <v>#REF!</v>
      </c>
      <c r="GM292" t="e">
        <f>AND(#REF!,"AAAAAC//q8I=")</f>
        <v>#REF!</v>
      </c>
      <c r="GN292" t="e">
        <f>AND(#REF!,"AAAAAC//q8M=")</f>
        <v>#REF!</v>
      </c>
      <c r="GO292" t="e">
        <f>AND(#REF!,"AAAAAC//q8Q=")</f>
        <v>#REF!</v>
      </c>
      <c r="GP292" t="e">
        <f>AND(#REF!,"AAAAAC//q8U=")</f>
        <v>#REF!</v>
      </c>
      <c r="GQ292" t="e">
        <f>AND(#REF!,"AAAAAC//q8Y=")</f>
        <v>#REF!</v>
      </c>
      <c r="GR292" t="e">
        <f>AND(#REF!,"AAAAAC//q8c=")</f>
        <v>#REF!</v>
      </c>
      <c r="GS292" t="e">
        <f>AND(#REF!,"AAAAAC//q8g=")</f>
        <v>#REF!</v>
      </c>
      <c r="GT292" t="e">
        <f>AND(#REF!,"AAAAAC//q8k=")</f>
        <v>#REF!</v>
      </c>
      <c r="GU292" t="e">
        <f>AND(#REF!,"AAAAAC//q8o=")</f>
        <v>#REF!</v>
      </c>
      <c r="GV292" t="e">
        <f>AND(#REF!,"AAAAAC//q8s=")</f>
        <v>#REF!</v>
      </c>
      <c r="GW292" t="e">
        <f>AND(#REF!,"AAAAAC//q8w=")</f>
        <v>#REF!</v>
      </c>
      <c r="GX292" t="e">
        <f>AND(#REF!,"AAAAAC//q80=")</f>
        <v>#REF!</v>
      </c>
      <c r="GY292" t="e">
        <f>AND(#REF!,"AAAAAC//q84=")</f>
        <v>#REF!</v>
      </c>
      <c r="GZ292" t="e">
        <f>AND(#REF!,"AAAAAC//q88=")</f>
        <v>#REF!</v>
      </c>
      <c r="HA292" t="e">
        <f>AND(#REF!,"AAAAAC//q9A=")</f>
        <v>#REF!</v>
      </c>
      <c r="HB292" t="e">
        <f>AND(#REF!,"AAAAAC//q9E=")</f>
        <v>#REF!</v>
      </c>
      <c r="HC292" t="e">
        <f>AND(#REF!,"AAAAAC//q9I=")</f>
        <v>#REF!</v>
      </c>
      <c r="HD292" t="e">
        <f>AND(#REF!,"AAAAAC//q9M=")</f>
        <v>#REF!</v>
      </c>
      <c r="HE292" t="e">
        <f>AND(#REF!,"AAAAAC//q9Q=")</f>
        <v>#REF!</v>
      </c>
      <c r="HF292" t="e">
        <f>AND(#REF!,"AAAAAC//q9U=")</f>
        <v>#REF!</v>
      </c>
      <c r="HG292" t="e">
        <f>AND(#REF!,"AAAAAC//q9Y=")</f>
        <v>#REF!</v>
      </c>
      <c r="HH292" t="e">
        <f>AND(#REF!,"AAAAAC//q9c=")</f>
        <v>#REF!</v>
      </c>
      <c r="HI292" t="e">
        <f>AND(#REF!,"AAAAAC//q9g=")</f>
        <v>#REF!</v>
      </c>
      <c r="HJ292" t="e">
        <f>AND(#REF!,"AAAAAC//q9k=")</f>
        <v>#REF!</v>
      </c>
      <c r="HK292" t="e">
        <f>AND(#REF!,"AAAAAC//q9o=")</f>
        <v>#REF!</v>
      </c>
      <c r="HL292" t="e">
        <f>AND(#REF!,"AAAAAC//q9s=")</f>
        <v>#REF!</v>
      </c>
      <c r="HM292" t="e">
        <f>AND(#REF!,"AAAAAC//q9w=")</f>
        <v>#REF!</v>
      </c>
      <c r="HN292" t="e">
        <f>AND(#REF!,"AAAAAC//q90=")</f>
        <v>#REF!</v>
      </c>
      <c r="HO292" t="e">
        <f>AND(#REF!,"AAAAAC//q94=")</f>
        <v>#REF!</v>
      </c>
      <c r="HP292" t="e">
        <f>AND(#REF!,"AAAAAC//q98=")</f>
        <v>#REF!</v>
      </c>
      <c r="HQ292" t="e">
        <f>AND(#REF!,"AAAAAC//q+A=")</f>
        <v>#REF!</v>
      </c>
      <c r="HR292" t="e">
        <f>AND(#REF!,"AAAAAC//q+E=")</f>
        <v>#REF!</v>
      </c>
      <c r="HS292" t="e">
        <f>AND(#REF!,"AAAAAC//q+I=")</f>
        <v>#REF!</v>
      </c>
      <c r="HT292" t="e">
        <f>AND(#REF!,"AAAAAC//q+M=")</f>
        <v>#REF!</v>
      </c>
      <c r="HU292" t="e">
        <f>AND(#REF!,"AAAAAC//q+Q=")</f>
        <v>#REF!</v>
      </c>
      <c r="HV292" t="e">
        <f>AND(#REF!,"AAAAAC//q+U=")</f>
        <v>#REF!</v>
      </c>
      <c r="HW292" t="e">
        <f>AND(#REF!,"AAAAAC//q+Y=")</f>
        <v>#REF!</v>
      </c>
      <c r="HX292" t="e">
        <f>AND(#REF!,"AAAAAC//q+c=")</f>
        <v>#REF!</v>
      </c>
      <c r="HY292" t="e">
        <f>AND(#REF!,"AAAAAC//q+g=")</f>
        <v>#REF!</v>
      </c>
      <c r="HZ292" t="e">
        <f>AND(#REF!,"AAAAAC//q+k=")</f>
        <v>#REF!</v>
      </c>
      <c r="IA292" t="e">
        <f>AND(#REF!,"AAAAAC//q+o=")</f>
        <v>#REF!</v>
      </c>
      <c r="IB292" t="e">
        <f>AND(#REF!,"AAAAAC//q+s=")</f>
        <v>#REF!</v>
      </c>
      <c r="IC292" t="e">
        <f>AND(#REF!,"AAAAAC//q+w=")</f>
        <v>#REF!</v>
      </c>
      <c r="ID292" t="e">
        <f>AND(#REF!,"AAAAAC//q+0=")</f>
        <v>#REF!</v>
      </c>
      <c r="IE292" t="e">
        <f>AND(#REF!,"AAAAAC//q+4=")</f>
        <v>#REF!</v>
      </c>
      <c r="IF292" t="e">
        <f>AND(#REF!,"AAAAAC//q+8=")</f>
        <v>#REF!</v>
      </c>
      <c r="IG292" t="e">
        <f>AND(#REF!,"AAAAAC//q/A=")</f>
        <v>#REF!</v>
      </c>
      <c r="IH292" t="e">
        <f>AND(#REF!,"AAAAAC//q/E=")</f>
        <v>#REF!</v>
      </c>
      <c r="II292" t="e">
        <f>AND(#REF!,"AAAAAC//q/I=")</f>
        <v>#REF!</v>
      </c>
      <c r="IJ292" t="e">
        <f>AND(#REF!,"AAAAAC//q/M=")</f>
        <v>#REF!</v>
      </c>
      <c r="IK292" t="e">
        <f>AND(#REF!,"AAAAAC//q/Q=")</f>
        <v>#REF!</v>
      </c>
      <c r="IL292" t="e">
        <f>AND(#REF!,"AAAAAC//q/U=")</f>
        <v>#REF!</v>
      </c>
      <c r="IM292" t="e">
        <f>AND(#REF!,"AAAAAC//q/Y=")</f>
        <v>#REF!</v>
      </c>
      <c r="IN292" t="e">
        <f>AND(#REF!,"AAAAAC//q/c=")</f>
        <v>#REF!</v>
      </c>
      <c r="IO292" t="e">
        <f>AND(#REF!,"AAAAAC//q/g=")</f>
        <v>#REF!</v>
      </c>
      <c r="IP292" t="e">
        <f>AND(#REF!,"AAAAAC//q/k=")</f>
        <v>#REF!</v>
      </c>
      <c r="IQ292" t="e">
        <f>AND(#REF!,"AAAAAC//q/o=")</f>
        <v>#REF!</v>
      </c>
      <c r="IR292" t="e">
        <f>AND(#REF!,"AAAAAC//q/s=")</f>
        <v>#REF!</v>
      </c>
      <c r="IS292" t="e">
        <f>AND(#REF!,"AAAAAC//q/w=")</f>
        <v>#REF!</v>
      </c>
      <c r="IT292" t="e">
        <f>AND(#REF!,"AAAAAC//q/0=")</f>
        <v>#REF!</v>
      </c>
      <c r="IU292" t="e">
        <f>AND(#REF!,"AAAAAC//q/4=")</f>
        <v>#REF!</v>
      </c>
      <c r="IV292" t="e">
        <f>AND(#REF!,"AAAAAC//q/8=")</f>
        <v>#REF!</v>
      </c>
    </row>
    <row r="293" spans="1:256" x14ac:dyDescent="0.25">
      <c r="A293" t="e">
        <f>AND(#REF!,"AAAAAG7uTwA=")</f>
        <v>#REF!</v>
      </c>
      <c r="B293" t="e">
        <f>AND(#REF!,"AAAAAG7uTwE=")</f>
        <v>#REF!</v>
      </c>
      <c r="C293" t="e">
        <f>AND(#REF!,"AAAAAG7uTwI=")</f>
        <v>#REF!</v>
      </c>
      <c r="D293" t="e">
        <f>AND(#REF!,"AAAAAG7uTwM=")</f>
        <v>#REF!</v>
      </c>
      <c r="E293" t="e">
        <f>AND(#REF!,"AAAAAG7uTwQ=")</f>
        <v>#REF!</v>
      </c>
      <c r="F293" t="e">
        <f>AND(#REF!,"AAAAAG7uTwU=")</f>
        <v>#REF!</v>
      </c>
      <c r="G293" t="e">
        <f>AND(#REF!,"AAAAAG7uTwY=")</f>
        <v>#REF!</v>
      </c>
      <c r="H293" t="e">
        <f>AND(#REF!,"AAAAAG7uTwc=")</f>
        <v>#REF!</v>
      </c>
      <c r="I293" t="e">
        <f>AND(#REF!,"AAAAAG7uTwg=")</f>
        <v>#REF!</v>
      </c>
      <c r="J293" t="e">
        <f>AND(#REF!,"AAAAAG7uTwk=")</f>
        <v>#REF!</v>
      </c>
      <c r="K293" t="e">
        <f>AND(#REF!,"AAAAAG7uTwo=")</f>
        <v>#REF!</v>
      </c>
      <c r="L293" t="e">
        <f>AND(#REF!,"AAAAAG7uTws=")</f>
        <v>#REF!</v>
      </c>
      <c r="M293" t="e">
        <f>AND(#REF!,"AAAAAG7uTww=")</f>
        <v>#REF!</v>
      </c>
      <c r="N293" t="e">
        <f>AND(#REF!,"AAAAAG7uTw0=")</f>
        <v>#REF!</v>
      </c>
      <c r="O293" t="e">
        <f>AND(#REF!,"AAAAAG7uTw4=")</f>
        <v>#REF!</v>
      </c>
      <c r="P293" t="e">
        <f>AND(#REF!,"AAAAAG7uTw8=")</f>
        <v>#REF!</v>
      </c>
      <c r="Q293" t="e">
        <f>AND(#REF!,"AAAAAG7uTxA=")</f>
        <v>#REF!</v>
      </c>
      <c r="R293" t="e">
        <f>AND(#REF!,"AAAAAG7uTxE=")</f>
        <v>#REF!</v>
      </c>
      <c r="S293" t="e">
        <f>AND(#REF!,"AAAAAG7uTxI=")</f>
        <v>#REF!</v>
      </c>
      <c r="T293" t="e">
        <f>AND(#REF!,"AAAAAG7uTxM=")</f>
        <v>#REF!</v>
      </c>
      <c r="U293" t="e">
        <f>AND(#REF!,"AAAAAG7uTxQ=")</f>
        <v>#REF!</v>
      </c>
      <c r="V293" t="e">
        <f>AND(#REF!,"AAAAAG7uTxU=")</f>
        <v>#REF!</v>
      </c>
      <c r="W293" t="e">
        <f>AND(#REF!,"AAAAAG7uTxY=")</f>
        <v>#REF!</v>
      </c>
      <c r="X293" t="e">
        <f>AND(#REF!,"AAAAAG7uTxc=")</f>
        <v>#REF!</v>
      </c>
      <c r="Y293" t="e">
        <f>AND(#REF!,"AAAAAG7uTxg=")</f>
        <v>#REF!</v>
      </c>
      <c r="Z293" t="e">
        <f>AND(#REF!,"AAAAAG7uTxk=")</f>
        <v>#REF!</v>
      </c>
      <c r="AA293" t="e">
        <f>AND(#REF!,"AAAAAG7uTxo=")</f>
        <v>#REF!</v>
      </c>
      <c r="AB293" t="e">
        <f>AND(#REF!,"AAAAAG7uTxs=")</f>
        <v>#REF!</v>
      </c>
      <c r="AC293" t="e">
        <f>AND(#REF!,"AAAAAG7uTxw=")</f>
        <v>#REF!</v>
      </c>
      <c r="AD293" t="e">
        <f>AND(#REF!,"AAAAAG7uTx0=")</f>
        <v>#REF!</v>
      </c>
      <c r="AE293" t="e">
        <f>AND(#REF!,"AAAAAG7uTx4=")</f>
        <v>#REF!</v>
      </c>
      <c r="AF293" t="e">
        <f>AND(#REF!,"AAAAAG7uTx8=")</f>
        <v>#REF!</v>
      </c>
      <c r="AG293" t="e">
        <f>AND(#REF!,"AAAAAG7uTyA=")</f>
        <v>#REF!</v>
      </c>
      <c r="AH293" t="e">
        <f>AND(#REF!,"AAAAAG7uTyE=")</f>
        <v>#REF!</v>
      </c>
      <c r="AI293" t="e">
        <f>AND(#REF!,"AAAAAG7uTyI=")</f>
        <v>#REF!</v>
      </c>
      <c r="AJ293" t="e">
        <f>AND(#REF!,"AAAAAG7uTyM=")</f>
        <v>#REF!</v>
      </c>
      <c r="AK293" t="e">
        <f>AND(#REF!,"AAAAAG7uTyQ=")</f>
        <v>#REF!</v>
      </c>
      <c r="AL293" t="e">
        <f>AND(#REF!,"AAAAAG7uTyU=")</f>
        <v>#REF!</v>
      </c>
      <c r="AM293" t="e">
        <f>AND(#REF!,"AAAAAG7uTyY=")</f>
        <v>#REF!</v>
      </c>
      <c r="AN293" t="e">
        <f>AND(#REF!,"AAAAAG7uTyc=")</f>
        <v>#REF!</v>
      </c>
      <c r="AO293" t="e">
        <f>AND(#REF!,"AAAAAG7uTyg=")</f>
        <v>#REF!</v>
      </c>
      <c r="AP293" t="e">
        <f>AND(#REF!,"AAAAAG7uTyk=")</f>
        <v>#REF!</v>
      </c>
      <c r="AQ293" t="e">
        <f>AND(#REF!,"AAAAAG7uTyo=")</f>
        <v>#REF!</v>
      </c>
      <c r="AR293" t="e">
        <f>AND(#REF!,"AAAAAG7uTys=")</f>
        <v>#REF!</v>
      </c>
      <c r="AS293" t="e">
        <f>AND(#REF!,"AAAAAG7uTyw=")</f>
        <v>#REF!</v>
      </c>
      <c r="AT293" t="e">
        <f>AND(#REF!,"AAAAAG7uTy0=")</f>
        <v>#REF!</v>
      </c>
      <c r="AU293" t="e">
        <f>AND(#REF!,"AAAAAG7uTy4=")</f>
        <v>#REF!</v>
      </c>
      <c r="AV293" t="e">
        <f>AND(#REF!,"AAAAAG7uTy8=")</f>
        <v>#REF!</v>
      </c>
      <c r="AW293" t="e">
        <f>AND(#REF!,"AAAAAG7uTzA=")</f>
        <v>#REF!</v>
      </c>
      <c r="AX293" t="e">
        <f>AND(#REF!,"AAAAAG7uTzE=")</f>
        <v>#REF!</v>
      </c>
      <c r="AY293" t="e">
        <f>AND(#REF!,"AAAAAG7uTzI=")</f>
        <v>#REF!</v>
      </c>
      <c r="AZ293" t="e">
        <f>AND(#REF!,"AAAAAG7uTzM=")</f>
        <v>#REF!</v>
      </c>
      <c r="BA293" t="e">
        <f>AND(#REF!,"AAAAAG7uTzQ=")</f>
        <v>#REF!</v>
      </c>
      <c r="BB293" t="e">
        <f>AND(#REF!,"AAAAAG7uTzU=")</f>
        <v>#REF!</v>
      </c>
      <c r="BC293" t="e">
        <f>AND(#REF!,"AAAAAG7uTzY=")</f>
        <v>#REF!</v>
      </c>
      <c r="BD293" t="e">
        <f>AND(#REF!,"AAAAAG7uTzc=")</f>
        <v>#REF!</v>
      </c>
      <c r="BE293" t="e">
        <f>AND(#REF!,"AAAAAG7uTzg=")</f>
        <v>#REF!</v>
      </c>
      <c r="BF293" t="e">
        <f>AND(#REF!,"AAAAAG7uTzk=")</f>
        <v>#REF!</v>
      </c>
      <c r="BG293" t="e">
        <f>AND(#REF!,"AAAAAG7uTzo=")</f>
        <v>#REF!</v>
      </c>
      <c r="BH293" t="e">
        <f>AND(#REF!,"AAAAAG7uTzs=")</f>
        <v>#REF!</v>
      </c>
      <c r="BI293" t="e">
        <f>AND(#REF!,"AAAAAG7uTzw=")</f>
        <v>#REF!</v>
      </c>
      <c r="BJ293" t="e">
        <f>AND(#REF!,"AAAAAG7uTz0=")</f>
        <v>#REF!</v>
      </c>
      <c r="BK293" t="e">
        <f>AND(#REF!,"AAAAAG7uTz4=")</f>
        <v>#REF!</v>
      </c>
      <c r="BL293" t="e">
        <f>AND(#REF!,"AAAAAG7uTz8=")</f>
        <v>#REF!</v>
      </c>
      <c r="BM293" t="e">
        <f>AND(#REF!,"AAAAAG7uT0A=")</f>
        <v>#REF!</v>
      </c>
      <c r="BN293" t="e">
        <f>AND(#REF!,"AAAAAG7uT0E=")</f>
        <v>#REF!</v>
      </c>
      <c r="BO293" t="e">
        <f>AND(#REF!,"AAAAAG7uT0I=")</f>
        <v>#REF!</v>
      </c>
      <c r="BP293" t="e">
        <f>AND(#REF!,"AAAAAG7uT0M=")</f>
        <v>#REF!</v>
      </c>
      <c r="BQ293" t="e">
        <f>AND(#REF!,"AAAAAG7uT0Q=")</f>
        <v>#REF!</v>
      </c>
      <c r="BR293" t="e">
        <f>AND(#REF!,"AAAAAG7uT0U=")</f>
        <v>#REF!</v>
      </c>
      <c r="BS293" t="e">
        <f>AND(#REF!,"AAAAAG7uT0Y=")</f>
        <v>#REF!</v>
      </c>
      <c r="BT293" t="e">
        <f>AND(#REF!,"AAAAAG7uT0c=")</f>
        <v>#REF!</v>
      </c>
      <c r="BU293" t="e">
        <f>AND(#REF!,"AAAAAG7uT0g=")</f>
        <v>#REF!</v>
      </c>
      <c r="BV293" t="e">
        <f>AND(#REF!,"AAAAAG7uT0k=")</f>
        <v>#REF!</v>
      </c>
      <c r="BW293" t="e">
        <f>AND(#REF!,"AAAAAG7uT0o=")</f>
        <v>#REF!</v>
      </c>
      <c r="BX293" t="e">
        <f>AND(#REF!,"AAAAAG7uT0s=")</f>
        <v>#REF!</v>
      </c>
      <c r="BY293" t="e">
        <f>AND(#REF!,"AAAAAG7uT0w=")</f>
        <v>#REF!</v>
      </c>
      <c r="BZ293" t="e">
        <f>AND(#REF!,"AAAAAG7uT00=")</f>
        <v>#REF!</v>
      </c>
      <c r="CA293" t="e">
        <f>AND(#REF!,"AAAAAG7uT04=")</f>
        <v>#REF!</v>
      </c>
      <c r="CB293" t="e">
        <f>AND(#REF!,"AAAAAG7uT08=")</f>
        <v>#REF!</v>
      </c>
      <c r="CC293" t="e">
        <f>AND(#REF!,"AAAAAG7uT1A=")</f>
        <v>#REF!</v>
      </c>
      <c r="CD293" t="e">
        <f>AND(#REF!,"AAAAAG7uT1E=")</f>
        <v>#REF!</v>
      </c>
      <c r="CE293" t="e">
        <f>AND(#REF!,"AAAAAG7uT1I=")</f>
        <v>#REF!</v>
      </c>
      <c r="CF293" t="e">
        <f>AND(#REF!,"AAAAAG7uT1M=")</f>
        <v>#REF!</v>
      </c>
      <c r="CG293" t="e">
        <f>IF(#REF!,"AAAAAG7uT1Q=",0)</f>
        <v>#REF!</v>
      </c>
      <c r="CH293" t="e">
        <f>AND(#REF!,"AAAAAG7uT1U=")</f>
        <v>#REF!</v>
      </c>
      <c r="CI293" t="e">
        <f>AND(#REF!,"AAAAAG7uT1Y=")</f>
        <v>#REF!</v>
      </c>
      <c r="CJ293" t="e">
        <f>AND(#REF!,"AAAAAG7uT1c=")</f>
        <v>#REF!</v>
      </c>
      <c r="CK293" t="e">
        <f>AND(#REF!,"AAAAAG7uT1g=")</f>
        <v>#REF!</v>
      </c>
      <c r="CL293" t="e">
        <f>AND(#REF!,"AAAAAG7uT1k=")</f>
        <v>#REF!</v>
      </c>
      <c r="CM293" t="e">
        <f>AND(#REF!,"AAAAAG7uT1o=")</f>
        <v>#REF!</v>
      </c>
      <c r="CN293" t="e">
        <f>AND(#REF!,"AAAAAG7uT1s=")</f>
        <v>#REF!</v>
      </c>
      <c r="CO293" t="e">
        <f>AND(#REF!,"AAAAAG7uT1w=")</f>
        <v>#REF!</v>
      </c>
      <c r="CP293" t="e">
        <f>AND(#REF!,"AAAAAG7uT10=")</f>
        <v>#REF!</v>
      </c>
      <c r="CQ293" t="e">
        <f>AND(#REF!,"AAAAAG7uT14=")</f>
        <v>#REF!</v>
      </c>
      <c r="CR293" t="e">
        <f>AND(#REF!,"AAAAAG7uT18=")</f>
        <v>#REF!</v>
      </c>
      <c r="CS293" t="e">
        <f>AND(#REF!,"AAAAAG7uT2A=")</f>
        <v>#REF!</v>
      </c>
      <c r="CT293" t="e">
        <f>AND(#REF!,"AAAAAG7uT2E=")</f>
        <v>#REF!</v>
      </c>
      <c r="CU293" t="e">
        <f>AND(#REF!,"AAAAAG7uT2I=")</f>
        <v>#REF!</v>
      </c>
      <c r="CV293" t="e">
        <f>AND(#REF!,"AAAAAG7uT2M=")</f>
        <v>#REF!</v>
      </c>
      <c r="CW293" t="e">
        <f>AND(#REF!,"AAAAAG7uT2Q=")</f>
        <v>#REF!</v>
      </c>
      <c r="CX293" t="e">
        <f>AND(#REF!,"AAAAAG7uT2U=")</f>
        <v>#REF!</v>
      </c>
      <c r="CY293" t="e">
        <f>AND(#REF!,"AAAAAG7uT2Y=")</f>
        <v>#REF!</v>
      </c>
      <c r="CZ293" t="e">
        <f>AND(#REF!,"AAAAAG7uT2c=")</f>
        <v>#REF!</v>
      </c>
      <c r="DA293" t="e">
        <f>AND(#REF!,"AAAAAG7uT2g=")</f>
        <v>#REF!</v>
      </c>
      <c r="DB293" t="e">
        <f>AND(#REF!,"AAAAAG7uT2k=")</f>
        <v>#REF!</v>
      </c>
      <c r="DC293" t="e">
        <f>AND(#REF!,"AAAAAG7uT2o=")</f>
        <v>#REF!</v>
      </c>
      <c r="DD293" t="e">
        <f>AND(#REF!,"AAAAAG7uT2s=")</f>
        <v>#REF!</v>
      </c>
      <c r="DE293" t="e">
        <f>AND(#REF!,"AAAAAG7uT2w=")</f>
        <v>#REF!</v>
      </c>
      <c r="DF293" t="e">
        <f>AND(#REF!,"AAAAAG7uT20=")</f>
        <v>#REF!</v>
      </c>
      <c r="DG293" t="e">
        <f>AND(#REF!,"AAAAAG7uT24=")</f>
        <v>#REF!</v>
      </c>
      <c r="DH293" t="e">
        <f>AND(#REF!,"AAAAAG7uT28=")</f>
        <v>#REF!</v>
      </c>
      <c r="DI293" t="e">
        <f>AND(#REF!,"AAAAAG7uT3A=")</f>
        <v>#REF!</v>
      </c>
      <c r="DJ293" t="e">
        <f>AND(#REF!,"AAAAAG7uT3E=")</f>
        <v>#REF!</v>
      </c>
      <c r="DK293" t="e">
        <f>AND(#REF!,"AAAAAG7uT3I=")</f>
        <v>#REF!</v>
      </c>
      <c r="DL293" t="e">
        <f>AND(#REF!,"AAAAAG7uT3M=")</f>
        <v>#REF!</v>
      </c>
      <c r="DM293" t="e">
        <f>AND(#REF!,"AAAAAG7uT3Q=")</f>
        <v>#REF!</v>
      </c>
      <c r="DN293" t="e">
        <f>AND(#REF!,"AAAAAG7uT3U=")</f>
        <v>#REF!</v>
      </c>
      <c r="DO293" t="e">
        <f>AND(#REF!,"AAAAAG7uT3Y=")</f>
        <v>#REF!</v>
      </c>
      <c r="DP293" t="e">
        <f>AND(#REF!,"AAAAAG7uT3c=")</f>
        <v>#REF!</v>
      </c>
      <c r="DQ293" t="e">
        <f>AND(#REF!,"AAAAAG7uT3g=")</f>
        <v>#REF!</v>
      </c>
      <c r="DR293" t="e">
        <f>AND(#REF!,"AAAAAG7uT3k=")</f>
        <v>#REF!</v>
      </c>
      <c r="DS293" t="e">
        <f>AND(#REF!,"AAAAAG7uT3o=")</f>
        <v>#REF!</v>
      </c>
      <c r="DT293" t="e">
        <f>AND(#REF!,"AAAAAG7uT3s=")</f>
        <v>#REF!</v>
      </c>
      <c r="DU293" t="e">
        <f>AND(#REF!,"AAAAAG7uT3w=")</f>
        <v>#REF!</v>
      </c>
      <c r="DV293" t="e">
        <f>AND(#REF!,"AAAAAG7uT30=")</f>
        <v>#REF!</v>
      </c>
      <c r="DW293" t="e">
        <f>AND(#REF!,"AAAAAG7uT34=")</f>
        <v>#REF!</v>
      </c>
      <c r="DX293" t="e">
        <f>AND(#REF!,"AAAAAG7uT38=")</f>
        <v>#REF!</v>
      </c>
      <c r="DY293" t="e">
        <f>AND(#REF!,"AAAAAG7uT4A=")</f>
        <v>#REF!</v>
      </c>
      <c r="DZ293" t="e">
        <f>AND(#REF!,"AAAAAG7uT4E=")</f>
        <v>#REF!</v>
      </c>
      <c r="EA293" t="e">
        <f>AND(#REF!,"AAAAAG7uT4I=")</f>
        <v>#REF!</v>
      </c>
      <c r="EB293" t="e">
        <f>AND(#REF!,"AAAAAG7uT4M=")</f>
        <v>#REF!</v>
      </c>
      <c r="EC293" t="e">
        <f>AND(#REF!,"AAAAAG7uT4Q=")</f>
        <v>#REF!</v>
      </c>
      <c r="ED293" t="e">
        <f>AND(#REF!,"AAAAAG7uT4U=")</f>
        <v>#REF!</v>
      </c>
      <c r="EE293" t="e">
        <f>AND(#REF!,"AAAAAG7uT4Y=")</f>
        <v>#REF!</v>
      </c>
      <c r="EF293" t="e">
        <f>AND(#REF!,"AAAAAG7uT4c=")</f>
        <v>#REF!</v>
      </c>
      <c r="EG293" t="e">
        <f>AND(#REF!,"AAAAAG7uT4g=")</f>
        <v>#REF!</v>
      </c>
      <c r="EH293" t="e">
        <f>AND(#REF!,"AAAAAG7uT4k=")</f>
        <v>#REF!</v>
      </c>
      <c r="EI293" t="e">
        <f>AND(#REF!,"AAAAAG7uT4o=")</f>
        <v>#REF!</v>
      </c>
      <c r="EJ293" t="e">
        <f>AND(#REF!,"AAAAAG7uT4s=")</f>
        <v>#REF!</v>
      </c>
      <c r="EK293" t="e">
        <f>AND(#REF!,"AAAAAG7uT4w=")</f>
        <v>#REF!</v>
      </c>
      <c r="EL293" t="e">
        <f>AND(#REF!,"AAAAAG7uT40=")</f>
        <v>#REF!</v>
      </c>
      <c r="EM293" t="e">
        <f>AND(#REF!,"AAAAAG7uT44=")</f>
        <v>#REF!</v>
      </c>
      <c r="EN293" t="e">
        <f>AND(#REF!,"AAAAAG7uT48=")</f>
        <v>#REF!</v>
      </c>
      <c r="EO293" t="e">
        <f>AND(#REF!,"AAAAAG7uT5A=")</f>
        <v>#REF!</v>
      </c>
      <c r="EP293" t="e">
        <f>AND(#REF!,"AAAAAG7uT5E=")</f>
        <v>#REF!</v>
      </c>
      <c r="EQ293" t="e">
        <f>AND(#REF!,"AAAAAG7uT5I=")</f>
        <v>#REF!</v>
      </c>
      <c r="ER293" t="e">
        <f>AND(#REF!,"AAAAAG7uT5M=")</f>
        <v>#REF!</v>
      </c>
      <c r="ES293" t="e">
        <f>AND(#REF!,"AAAAAG7uT5Q=")</f>
        <v>#REF!</v>
      </c>
      <c r="ET293" t="e">
        <f>AND(#REF!,"AAAAAG7uT5U=")</f>
        <v>#REF!</v>
      </c>
      <c r="EU293" t="e">
        <f>AND(#REF!,"AAAAAG7uT5Y=")</f>
        <v>#REF!</v>
      </c>
      <c r="EV293" t="e">
        <f>AND(#REF!,"AAAAAG7uT5c=")</f>
        <v>#REF!</v>
      </c>
      <c r="EW293" t="e">
        <f>AND(#REF!,"AAAAAG7uT5g=")</f>
        <v>#REF!</v>
      </c>
      <c r="EX293" t="e">
        <f>AND(#REF!,"AAAAAG7uT5k=")</f>
        <v>#REF!</v>
      </c>
      <c r="EY293" t="e">
        <f>AND(#REF!,"AAAAAG7uT5o=")</f>
        <v>#REF!</v>
      </c>
      <c r="EZ293" t="e">
        <f>AND(#REF!,"AAAAAG7uT5s=")</f>
        <v>#REF!</v>
      </c>
      <c r="FA293" t="e">
        <f>AND(#REF!,"AAAAAG7uT5w=")</f>
        <v>#REF!</v>
      </c>
      <c r="FB293" t="e">
        <f>AND(#REF!,"AAAAAG7uT50=")</f>
        <v>#REF!</v>
      </c>
      <c r="FC293" t="e">
        <f>AND(#REF!,"AAAAAG7uT54=")</f>
        <v>#REF!</v>
      </c>
      <c r="FD293" t="e">
        <f>AND(#REF!,"AAAAAG7uT58=")</f>
        <v>#REF!</v>
      </c>
      <c r="FE293" t="e">
        <f>AND(#REF!,"AAAAAG7uT6A=")</f>
        <v>#REF!</v>
      </c>
      <c r="FF293" t="e">
        <f>AND(#REF!,"AAAAAG7uT6E=")</f>
        <v>#REF!</v>
      </c>
      <c r="FG293" t="e">
        <f>AND(#REF!,"AAAAAG7uT6I=")</f>
        <v>#REF!</v>
      </c>
      <c r="FH293" t="e">
        <f>AND(#REF!,"AAAAAG7uT6M=")</f>
        <v>#REF!</v>
      </c>
      <c r="FI293" t="e">
        <f>AND(#REF!,"AAAAAG7uT6Q=")</f>
        <v>#REF!</v>
      </c>
      <c r="FJ293" t="e">
        <f>AND(#REF!,"AAAAAG7uT6U=")</f>
        <v>#REF!</v>
      </c>
      <c r="FK293" t="e">
        <f>AND(#REF!,"AAAAAG7uT6Y=")</f>
        <v>#REF!</v>
      </c>
      <c r="FL293" t="e">
        <f>AND(#REF!,"AAAAAG7uT6c=")</f>
        <v>#REF!</v>
      </c>
      <c r="FM293" t="e">
        <f>AND(#REF!,"AAAAAG7uT6g=")</f>
        <v>#REF!</v>
      </c>
      <c r="FN293" t="e">
        <f>AND(#REF!,"AAAAAG7uT6k=")</f>
        <v>#REF!</v>
      </c>
      <c r="FO293" t="e">
        <f>AND(#REF!,"AAAAAG7uT6o=")</f>
        <v>#REF!</v>
      </c>
      <c r="FP293" t="e">
        <f>AND(#REF!,"AAAAAG7uT6s=")</f>
        <v>#REF!</v>
      </c>
      <c r="FQ293" t="e">
        <f>AND(#REF!,"AAAAAG7uT6w=")</f>
        <v>#REF!</v>
      </c>
      <c r="FR293" t="e">
        <f>AND(#REF!,"AAAAAG7uT60=")</f>
        <v>#REF!</v>
      </c>
      <c r="FS293" t="e">
        <f>AND(#REF!,"AAAAAG7uT64=")</f>
        <v>#REF!</v>
      </c>
      <c r="FT293" t="e">
        <f>AND(#REF!,"AAAAAG7uT68=")</f>
        <v>#REF!</v>
      </c>
      <c r="FU293" t="e">
        <f>AND(#REF!,"AAAAAG7uT7A=")</f>
        <v>#REF!</v>
      </c>
      <c r="FV293" t="e">
        <f>AND(#REF!,"AAAAAG7uT7E=")</f>
        <v>#REF!</v>
      </c>
      <c r="FW293" t="e">
        <f>AND(#REF!,"AAAAAG7uT7I=")</f>
        <v>#REF!</v>
      </c>
      <c r="FX293" t="e">
        <f>AND(#REF!,"AAAAAG7uT7M=")</f>
        <v>#REF!</v>
      </c>
      <c r="FY293" t="e">
        <f>AND(#REF!,"AAAAAG7uT7Q=")</f>
        <v>#REF!</v>
      </c>
      <c r="FZ293" t="e">
        <f>AND(#REF!,"AAAAAG7uT7U=")</f>
        <v>#REF!</v>
      </c>
      <c r="GA293" t="e">
        <f>AND(#REF!,"AAAAAG7uT7Y=")</f>
        <v>#REF!</v>
      </c>
      <c r="GB293" t="e">
        <f>AND(#REF!,"AAAAAG7uT7c=")</f>
        <v>#REF!</v>
      </c>
      <c r="GC293" t="e">
        <f>AND(#REF!,"AAAAAG7uT7g=")</f>
        <v>#REF!</v>
      </c>
      <c r="GD293" t="e">
        <f>AND(#REF!,"AAAAAG7uT7k=")</f>
        <v>#REF!</v>
      </c>
      <c r="GE293" t="e">
        <f>AND(#REF!,"AAAAAG7uT7o=")</f>
        <v>#REF!</v>
      </c>
      <c r="GF293" t="e">
        <f>AND(#REF!,"AAAAAG7uT7s=")</f>
        <v>#REF!</v>
      </c>
      <c r="GG293" t="e">
        <f>AND(#REF!,"AAAAAG7uT7w=")</f>
        <v>#REF!</v>
      </c>
      <c r="GH293" t="e">
        <f>AND(#REF!,"AAAAAG7uT70=")</f>
        <v>#REF!</v>
      </c>
      <c r="GI293" t="e">
        <f>AND(#REF!,"AAAAAG7uT74=")</f>
        <v>#REF!</v>
      </c>
      <c r="GJ293" t="e">
        <f>AND(#REF!,"AAAAAG7uT78=")</f>
        <v>#REF!</v>
      </c>
      <c r="GK293" t="e">
        <f>AND(#REF!,"AAAAAG7uT8A=")</f>
        <v>#REF!</v>
      </c>
      <c r="GL293" t="e">
        <f>AND(#REF!,"AAAAAG7uT8E=")</f>
        <v>#REF!</v>
      </c>
      <c r="GM293" t="e">
        <f>AND(#REF!,"AAAAAG7uT8I=")</f>
        <v>#REF!</v>
      </c>
      <c r="GN293" t="e">
        <f>AND(#REF!,"AAAAAG7uT8M=")</f>
        <v>#REF!</v>
      </c>
      <c r="GO293" t="e">
        <f>AND(#REF!,"AAAAAG7uT8Q=")</f>
        <v>#REF!</v>
      </c>
      <c r="GP293" t="e">
        <f>AND(#REF!,"AAAAAG7uT8U=")</f>
        <v>#REF!</v>
      </c>
      <c r="GQ293" t="e">
        <f>AND(#REF!,"AAAAAG7uT8Y=")</f>
        <v>#REF!</v>
      </c>
      <c r="GR293" t="e">
        <f>AND(#REF!,"AAAAAG7uT8c=")</f>
        <v>#REF!</v>
      </c>
      <c r="GS293" t="e">
        <f>AND(#REF!,"AAAAAG7uT8g=")</f>
        <v>#REF!</v>
      </c>
      <c r="GT293" t="e">
        <f>AND(#REF!,"AAAAAG7uT8k=")</f>
        <v>#REF!</v>
      </c>
      <c r="GU293" t="e">
        <f>AND(#REF!,"AAAAAG7uT8o=")</f>
        <v>#REF!</v>
      </c>
      <c r="GV293" t="e">
        <f>AND(#REF!,"AAAAAG7uT8s=")</f>
        <v>#REF!</v>
      </c>
      <c r="GW293" t="e">
        <f>AND(#REF!,"AAAAAG7uT8w=")</f>
        <v>#REF!</v>
      </c>
      <c r="GX293" t="e">
        <f>AND(#REF!,"AAAAAG7uT80=")</f>
        <v>#REF!</v>
      </c>
      <c r="GY293" t="e">
        <f>AND(#REF!,"AAAAAG7uT84=")</f>
        <v>#REF!</v>
      </c>
      <c r="GZ293" t="e">
        <f>AND(#REF!,"AAAAAG7uT88=")</f>
        <v>#REF!</v>
      </c>
      <c r="HA293" t="e">
        <f>AND(#REF!,"AAAAAG7uT9A=")</f>
        <v>#REF!</v>
      </c>
      <c r="HB293" t="e">
        <f>AND(#REF!,"AAAAAG7uT9E=")</f>
        <v>#REF!</v>
      </c>
      <c r="HC293" t="e">
        <f>AND(#REF!,"AAAAAG7uT9I=")</f>
        <v>#REF!</v>
      </c>
      <c r="HD293" t="e">
        <f>AND(#REF!,"AAAAAG7uT9M=")</f>
        <v>#REF!</v>
      </c>
      <c r="HE293" t="e">
        <f>AND(#REF!,"AAAAAG7uT9Q=")</f>
        <v>#REF!</v>
      </c>
      <c r="HF293" t="e">
        <f>AND(#REF!,"AAAAAG7uT9U=")</f>
        <v>#REF!</v>
      </c>
      <c r="HG293" t="e">
        <f>AND(#REF!,"AAAAAG7uT9Y=")</f>
        <v>#REF!</v>
      </c>
      <c r="HH293" t="e">
        <f>AND(#REF!,"AAAAAG7uT9c=")</f>
        <v>#REF!</v>
      </c>
      <c r="HI293" t="e">
        <f>AND(#REF!,"AAAAAG7uT9g=")</f>
        <v>#REF!</v>
      </c>
      <c r="HJ293" t="e">
        <f>AND(#REF!,"AAAAAG7uT9k=")</f>
        <v>#REF!</v>
      </c>
      <c r="HK293" t="e">
        <f>AND(#REF!,"AAAAAG7uT9o=")</f>
        <v>#REF!</v>
      </c>
      <c r="HL293" t="e">
        <f>AND(#REF!,"AAAAAG7uT9s=")</f>
        <v>#REF!</v>
      </c>
      <c r="HM293" t="e">
        <f>AND(#REF!,"AAAAAG7uT9w=")</f>
        <v>#REF!</v>
      </c>
      <c r="HN293" t="e">
        <f>AND(#REF!,"AAAAAG7uT90=")</f>
        <v>#REF!</v>
      </c>
      <c r="HO293" t="e">
        <f>AND(#REF!,"AAAAAG7uT94=")</f>
        <v>#REF!</v>
      </c>
      <c r="HP293" t="e">
        <f>AND(#REF!,"AAAAAG7uT98=")</f>
        <v>#REF!</v>
      </c>
      <c r="HQ293" t="e">
        <f>AND(#REF!,"AAAAAG7uT+A=")</f>
        <v>#REF!</v>
      </c>
      <c r="HR293" t="e">
        <f>AND(#REF!,"AAAAAG7uT+E=")</f>
        <v>#REF!</v>
      </c>
      <c r="HS293" t="e">
        <f>AND(#REF!,"AAAAAG7uT+I=")</f>
        <v>#REF!</v>
      </c>
      <c r="HT293" t="e">
        <f>AND(#REF!,"AAAAAG7uT+M=")</f>
        <v>#REF!</v>
      </c>
      <c r="HU293" t="e">
        <f>AND(#REF!,"AAAAAG7uT+Q=")</f>
        <v>#REF!</v>
      </c>
      <c r="HV293" t="e">
        <f>AND(#REF!,"AAAAAG7uT+U=")</f>
        <v>#REF!</v>
      </c>
      <c r="HW293" t="e">
        <f>AND(#REF!,"AAAAAG7uT+Y=")</f>
        <v>#REF!</v>
      </c>
      <c r="HX293" t="e">
        <f>AND(#REF!,"AAAAAG7uT+c=")</f>
        <v>#REF!</v>
      </c>
      <c r="HY293" t="e">
        <f>AND(#REF!,"AAAAAG7uT+g=")</f>
        <v>#REF!</v>
      </c>
      <c r="HZ293" t="e">
        <f>AND(#REF!,"AAAAAG7uT+k=")</f>
        <v>#REF!</v>
      </c>
      <c r="IA293" t="e">
        <f>AND(#REF!,"AAAAAG7uT+o=")</f>
        <v>#REF!</v>
      </c>
      <c r="IB293" t="e">
        <f>AND(#REF!,"AAAAAG7uT+s=")</f>
        <v>#REF!</v>
      </c>
      <c r="IC293" t="e">
        <f>AND(#REF!,"AAAAAG7uT+w=")</f>
        <v>#REF!</v>
      </c>
      <c r="ID293" t="e">
        <f>AND(#REF!,"AAAAAG7uT+0=")</f>
        <v>#REF!</v>
      </c>
      <c r="IE293" t="e">
        <f>AND(#REF!,"AAAAAG7uT+4=")</f>
        <v>#REF!</v>
      </c>
      <c r="IF293" t="e">
        <f>AND(#REF!,"AAAAAG7uT+8=")</f>
        <v>#REF!</v>
      </c>
      <c r="IG293" t="e">
        <f>AND(#REF!,"AAAAAG7uT/A=")</f>
        <v>#REF!</v>
      </c>
      <c r="IH293" t="e">
        <f>AND(#REF!,"AAAAAG7uT/E=")</f>
        <v>#REF!</v>
      </c>
      <c r="II293" t="e">
        <f>AND(#REF!,"AAAAAG7uT/I=")</f>
        <v>#REF!</v>
      </c>
      <c r="IJ293" t="e">
        <f>AND(#REF!,"AAAAAG7uT/M=")</f>
        <v>#REF!</v>
      </c>
      <c r="IK293" t="e">
        <f>AND(#REF!,"AAAAAG7uT/Q=")</f>
        <v>#REF!</v>
      </c>
      <c r="IL293" t="e">
        <f>AND(#REF!,"AAAAAG7uT/U=")</f>
        <v>#REF!</v>
      </c>
      <c r="IM293" t="e">
        <f>AND(#REF!,"AAAAAG7uT/Y=")</f>
        <v>#REF!</v>
      </c>
      <c r="IN293" t="e">
        <f>AND(#REF!,"AAAAAG7uT/c=")</f>
        <v>#REF!</v>
      </c>
      <c r="IO293" t="e">
        <f>AND(#REF!,"AAAAAG7uT/g=")</f>
        <v>#REF!</v>
      </c>
      <c r="IP293" t="e">
        <f>AND(#REF!,"AAAAAG7uT/k=")</f>
        <v>#REF!</v>
      </c>
      <c r="IQ293" t="e">
        <f>AND(#REF!,"AAAAAG7uT/o=")</f>
        <v>#REF!</v>
      </c>
      <c r="IR293" t="e">
        <f>AND(#REF!,"AAAAAG7uT/s=")</f>
        <v>#REF!</v>
      </c>
      <c r="IS293" t="e">
        <f>AND(#REF!,"AAAAAG7uT/w=")</f>
        <v>#REF!</v>
      </c>
      <c r="IT293" t="e">
        <f>AND(#REF!,"AAAAAG7uT/0=")</f>
        <v>#REF!</v>
      </c>
      <c r="IU293" t="e">
        <f>AND(#REF!,"AAAAAG7uT/4=")</f>
        <v>#REF!</v>
      </c>
      <c r="IV293" t="e">
        <f>AND(#REF!,"AAAAAG7uT/8=")</f>
        <v>#REF!</v>
      </c>
    </row>
    <row r="294" spans="1:256" x14ac:dyDescent="0.25">
      <c r="A294" t="e">
        <f>AND(#REF!,"AAAAAHW5fQA=")</f>
        <v>#REF!</v>
      </c>
      <c r="B294" t="e">
        <f>AND(#REF!,"AAAAAHW5fQE=")</f>
        <v>#REF!</v>
      </c>
      <c r="C294" t="e">
        <f>AND(#REF!,"AAAAAHW5fQI=")</f>
        <v>#REF!</v>
      </c>
      <c r="D294" t="e">
        <f>AND(#REF!,"AAAAAHW5fQM=")</f>
        <v>#REF!</v>
      </c>
      <c r="E294" t="e">
        <f>AND(#REF!,"AAAAAHW5fQQ=")</f>
        <v>#REF!</v>
      </c>
      <c r="F294" t="e">
        <f>AND(#REF!,"AAAAAHW5fQU=")</f>
        <v>#REF!</v>
      </c>
      <c r="G294" t="e">
        <f>AND(#REF!,"AAAAAHW5fQY=")</f>
        <v>#REF!</v>
      </c>
      <c r="H294" t="e">
        <f>AND(#REF!,"AAAAAHW5fQc=")</f>
        <v>#REF!</v>
      </c>
      <c r="I294" t="e">
        <f>AND(#REF!,"AAAAAHW5fQg=")</f>
        <v>#REF!</v>
      </c>
      <c r="J294" t="e">
        <f>AND(#REF!,"AAAAAHW5fQk=")</f>
        <v>#REF!</v>
      </c>
      <c r="K294" t="e">
        <f>AND(#REF!,"AAAAAHW5fQo=")</f>
        <v>#REF!</v>
      </c>
      <c r="L294" t="e">
        <f>AND(#REF!,"AAAAAHW5fQs=")</f>
        <v>#REF!</v>
      </c>
      <c r="M294" t="e">
        <f>AND(#REF!,"AAAAAHW5fQw=")</f>
        <v>#REF!</v>
      </c>
      <c r="N294" t="e">
        <f>AND(#REF!,"AAAAAHW5fQ0=")</f>
        <v>#REF!</v>
      </c>
      <c r="O294" t="e">
        <f>AND(#REF!,"AAAAAHW5fQ4=")</f>
        <v>#REF!</v>
      </c>
      <c r="P294" t="e">
        <f>AND(#REF!,"AAAAAHW5fQ8=")</f>
        <v>#REF!</v>
      </c>
      <c r="Q294" t="e">
        <f>AND(#REF!,"AAAAAHW5fRA=")</f>
        <v>#REF!</v>
      </c>
      <c r="R294" t="e">
        <f>IF(#REF!,"AAAAAHW5fRE=",0)</f>
        <v>#REF!</v>
      </c>
      <c r="S294" t="e">
        <f>AND(#REF!,"AAAAAHW5fRI=")</f>
        <v>#REF!</v>
      </c>
      <c r="T294" t="e">
        <f>AND(#REF!,"AAAAAHW5fRM=")</f>
        <v>#REF!</v>
      </c>
      <c r="U294" t="e">
        <f>AND(#REF!,"AAAAAHW5fRQ=")</f>
        <v>#REF!</v>
      </c>
      <c r="V294" t="e">
        <f>AND(#REF!,"AAAAAHW5fRU=")</f>
        <v>#REF!</v>
      </c>
      <c r="W294" t="e">
        <f>AND(#REF!,"AAAAAHW5fRY=")</f>
        <v>#REF!</v>
      </c>
      <c r="X294" t="e">
        <f>AND(#REF!,"AAAAAHW5fRc=")</f>
        <v>#REF!</v>
      </c>
      <c r="Y294" t="e">
        <f>AND(#REF!,"AAAAAHW5fRg=")</f>
        <v>#REF!</v>
      </c>
      <c r="Z294" t="e">
        <f>AND(#REF!,"AAAAAHW5fRk=")</f>
        <v>#REF!</v>
      </c>
      <c r="AA294" t="e">
        <f>AND(#REF!,"AAAAAHW5fRo=")</f>
        <v>#REF!</v>
      </c>
      <c r="AB294" t="e">
        <f>AND(#REF!,"AAAAAHW5fRs=")</f>
        <v>#REF!</v>
      </c>
      <c r="AC294" t="e">
        <f>AND(#REF!,"AAAAAHW5fRw=")</f>
        <v>#REF!</v>
      </c>
      <c r="AD294" t="e">
        <f>AND(#REF!,"AAAAAHW5fR0=")</f>
        <v>#REF!</v>
      </c>
      <c r="AE294" t="e">
        <f>AND(#REF!,"AAAAAHW5fR4=")</f>
        <v>#REF!</v>
      </c>
      <c r="AF294" t="e">
        <f>AND(#REF!,"AAAAAHW5fR8=")</f>
        <v>#REF!</v>
      </c>
      <c r="AG294" t="e">
        <f>AND(#REF!,"AAAAAHW5fSA=")</f>
        <v>#REF!</v>
      </c>
      <c r="AH294" t="e">
        <f>AND(#REF!,"AAAAAHW5fSE=")</f>
        <v>#REF!</v>
      </c>
      <c r="AI294" t="e">
        <f>AND(#REF!,"AAAAAHW5fSI=")</f>
        <v>#REF!</v>
      </c>
      <c r="AJ294" t="e">
        <f>AND(#REF!,"AAAAAHW5fSM=")</f>
        <v>#REF!</v>
      </c>
      <c r="AK294" t="e">
        <f>AND(#REF!,"AAAAAHW5fSQ=")</f>
        <v>#REF!</v>
      </c>
      <c r="AL294" t="e">
        <f>AND(#REF!,"AAAAAHW5fSU=")</f>
        <v>#REF!</v>
      </c>
      <c r="AM294" t="e">
        <f>AND(#REF!,"AAAAAHW5fSY=")</f>
        <v>#REF!</v>
      </c>
      <c r="AN294" t="e">
        <f>AND(#REF!,"AAAAAHW5fSc=")</f>
        <v>#REF!</v>
      </c>
      <c r="AO294" t="e">
        <f>AND(#REF!,"AAAAAHW5fSg=")</f>
        <v>#REF!</v>
      </c>
      <c r="AP294" t="e">
        <f>AND(#REF!,"AAAAAHW5fSk=")</f>
        <v>#REF!</v>
      </c>
      <c r="AQ294" t="e">
        <f>AND(#REF!,"AAAAAHW5fSo=")</f>
        <v>#REF!</v>
      </c>
      <c r="AR294" t="e">
        <f>AND(#REF!,"AAAAAHW5fSs=")</f>
        <v>#REF!</v>
      </c>
      <c r="AS294" t="e">
        <f>AND(#REF!,"AAAAAHW5fSw=")</f>
        <v>#REF!</v>
      </c>
      <c r="AT294" t="e">
        <f>AND(#REF!,"AAAAAHW5fS0=")</f>
        <v>#REF!</v>
      </c>
      <c r="AU294" t="e">
        <f>AND(#REF!,"AAAAAHW5fS4=")</f>
        <v>#REF!</v>
      </c>
      <c r="AV294" t="e">
        <f>AND(#REF!,"AAAAAHW5fS8=")</f>
        <v>#REF!</v>
      </c>
      <c r="AW294" t="e">
        <f>AND(#REF!,"AAAAAHW5fTA=")</f>
        <v>#REF!</v>
      </c>
      <c r="AX294" t="e">
        <f>AND(#REF!,"AAAAAHW5fTE=")</f>
        <v>#REF!</v>
      </c>
      <c r="AY294" t="e">
        <f>AND(#REF!,"AAAAAHW5fTI=")</f>
        <v>#REF!</v>
      </c>
      <c r="AZ294" t="e">
        <f>AND(#REF!,"AAAAAHW5fTM=")</f>
        <v>#REF!</v>
      </c>
      <c r="BA294" t="e">
        <f>AND(#REF!,"AAAAAHW5fTQ=")</f>
        <v>#REF!</v>
      </c>
      <c r="BB294" t="e">
        <f>AND(#REF!,"AAAAAHW5fTU=")</f>
        <v>#REF!</v>
      </c>
      <c r="BC294" t="e">
        <f>AND(#REF!,"AAAAAHW5fTY=")</f>
        <v>#REF!</v>
      </c>
      <c r="BD294" t="e">
        <f>AND(#REF!,"AAAAAHW5fTc=")</f>
        <v>#REF!</v>
      </c>
      <c r="BE294" t="e">
        <f>AND(#REF!,"AAAAAHW5fTg=")</f>
        <v>#REF!</v>
      </c>
      <c r="BF294" t="e">
        <f>AND(#REF!,"AAAAAHW5fTk=")</f>
        <v>#REF!</v>
      </c>
      <c r="BG294" t="e">
        <f>AND(#REF!,"AAAAAHW5fTo=")</f>
        <v>#REF!</v>
      </c>
      <c r="BH294" t="e">
        <f>AND(#REF!,"AAAAAHW5fTs=")</f>
        <v>#REF!</v>
      </c>
      <c r="BI294" t="e">
        <f>AND(#REF!,"AAAAAHW5fTw=")</f>
        <v>#REF!</v>
      </c>
      <c r="BJ294" t="e">
        <f>AND(#REF!,"AAAAAHW5fT0=")</f>
        <v>#REF!</v>
      </c>
      <c r="BK294" t="e">
        <f>AND(#REF!,"AAAAAHW5fT4=")</f>
        <v>#REF!</v>
      </c>
      <c r="BL294" t="e">
        <f>AND(#REF!,"AAAAAHW5fT8=")</f>
        <v>#REF!</v>
      </c>
      <c r="BM294" t="e">
        <f>AND(#REF!,"AAAAAHW5fUA=")</f>
        <v>#REF!</v>
      </c>
      <c r="BN294" t="e">
        <f>AND(#REF!,"AAAAAHW5fUE=")</f>
        <v>#REF!</v>
      </c>
      <c r="BO294" t="e">
        <f>AND(#REF!,"AAAAAHW5fUI=")</f>
        <v>#REF!</v>
      </c>
      <c r="BP294" t="e">
        <f>AND(#REF!,"AAAAAHW5fUM=")</f>
        <v>#REF!</v>
      </c>
      <c r="BQ294" t="e">
        <f>AND(#REF!,"AAAAAHW5fUQ=")</f>
        <v>#REF!</v>
      </c>
      <c r="BR294" t="e">
        <f>AND(#REF!,"AAAAAHW5fUU=")</f>
        <v>#REF!</v>
      </c>
      <c r="BS294" t="e">
        <f>AND(#REF!,"AAAAAHW5fUY=")</f>
        <v>#REF!</v>
      </c>
      <c r="BT294" t="e">
        <f>AND(#REF!,"AAAAAHW5fUc=")</f>
        <v>#REF!</v>
      </c>
      <c r="BU294" t="e">
        <f>AND(#REF!,"AAAAAHW5fUg=")</f>
        <v>#REF!</v>
      </c>
      <c r="BV294" t="e">
        <f>AND(#REF!,"AAAAAHW5fUk=")</f>
        <v>#REF!</v>
      </c>
      <c r="BW294" t="e">
        <f>AND(#REF!,"AAAAAHW5fUo=")</f>
        <v>#REF!</v>
      </c>
      <c r="BX294" t="e">
        <f>AND(#REF!,"AAAAAHW5fUs=")</f>
        <v>#REF!</v>
      </c>
      <c r="BY294" t="e">
        <f>AND(#REF!,"AAAAAHW5fUw=")</f>
        <v>#REF!</v>
      </c>
      <c r="BZ294" t="e">
        <f>AND(#REF!,"AAAAAHW5fU0=")</f>
        <v>#REF!</v>
      </c>
      <c r="CA294" t="e">
        <f>AND(#REF!,"AAAAAHW5fU4=")</f>
        <v>#REF!</v>
      </c>
      <c r="CB294" t="e">
        <f>AND(#REF!,"AAAAAHW5fU8=")</f>
        <v>#REF!</v>
      </c>
      <c r="CC294" t="e">
        <f>AND(#REF!,"AAAAAHW5fVA=")</f>
        <v>#REF!</v>
      </c>
      <c r="CD294" t="e">
        <f>AND(#REF!,"AAAAAHW5fVE=")</f>
        <v>#REF!</v>
      </c>
      <c r="CE294" t="e">
        <f>AND(#REF!,"AAAAAHW5fVI=")</f>
        <v>#REF!</v>
      </c>
      <c r="CF294" t="e">
        <f>AND(#REF!,"AAAAAHW5fVM=")</f>
        <v>#REF!</v>
      </c>
      <c r="CG294" t="e">
        <f>AND(#REF!,"AAAAAHW5fVQ=")</f>
        <v>#REF!</v>
      </c>
      <c r="CH294" t="e">
        <f>AND(#REF!,"AAAAAHW5fVU=")</f>
        <v>#REF!</v>
      </c>
      <c r="CI294" t="e">
        <f>AND(#REF!,"AAAAAHW5fVY=")</f>
        <v>#REF!</v>
      </c>
      <c r="CJ294" t="e">
        <f>AND(#REF!,"AAAAAHW5fVc=")</f>
        <v>#REF!</v>
      </c>
      <c r="CK294" t="e">
        <f>AND(#REF!,"AAAAAHW5fVg=")</f>
        <v>#REF!</v>
      </c>
      <c r="CL294" t="e">
        <f>AND(#REF!,"AAAAAHW5fVk=")</f>
        <v>#REF!</v>
      </c>
      <c r="CM294" t="e">
        <f>AND(#REF!,"AAAAAHW5fVo=")</f>
        <v>#REF!</v>
      </c>
      <c r="CN294" t="e">
        <f>AND(#REF!,"AAAAAHW5fVs=")</f>
        <v>#REF!</v>
      </c>
      <c r="CO294" t="e">
        <f>AND(#REF!,"AAAAAHW5fVw=")</f>
        <v>#REF!</v>
      </c>
      <c r="CP294" t="e">
        <f>AND(#REF!,"AAAAAHW5fV0=")</f>
        <v>#REF!</v>
      </c>
      <c r="CQ294" t="e">
        <f>AND(#REF!,"AAAAAHW5fV4=")</f>
        <v>#REF!</v>
      </c>
      <c r="CR294" t="e">
        <f>AND(#REF!,"AAAAAHW5fV8=")</f>
        <v>#REF!</v>
      </c>
      <c r="CS294" t="e">
        <f>AND(#REF!,"AAAAAHW5fWA=")</f>
        <v>#REF!</v>
      </c>
      <c r="CT294" t="e">
        <f>AND(#REF!,"AAAAAHW5fWE=")</f>
        <v>#REF!</v>
      </c>
      <c r="CU294" t="e">
        <f>AND(#REF!,"AAAAAHW5fWI=")</f>
        <v>#REF!</v>
      </c>
      <c r="CV294" t="e">
        <f>AND(#REF!,"AAAAAHW5fWM=")</f>
        <v>#REF!</v>
      </c>
      <c r="CW294" t="e">
        <f>AND(#REF!,"AAAAAHW5fWQ=")</f>
        <v>#REF!</v>
      </c>
      <c r="CX294" t="e">
        <f>AND(#REF!,"AAAAAHW5fWU=")</f>
        <v>#REF!</v>
      </c>
      <c r="CY294" t="e">
        <f>AND(#REF!,"AAAAAHW5fWY=")</f>
        <v>#REF!</v>
      </c>
      <c r="CZ294" t="e">
        <f>AND(#REF!,"AAAAAHW5fWc=")</f>
        <v>#REF!</v>
      </c>
      <c r="DA294" t="e">
        <f>AND(#REF!,"AAAAAHW5fWg=")</f>
        <v>#REF!</v>
      </c>
      <c r="DB294" t="e">
        <f>AND(#REF!,"AAAAAHW5fWk=")</f>
        <v>#REF!</v>
      </c>
      <c r="DC294" t="e">
        <f>AND(#REF!,"AAAAAHW5fWo=")</f>
        <v>#REF!</v>
      </c>
      <c r="DD294" t="e">
        <f>AND(#REF!,"AAAAAHW5fWs=")</f>
        <v>#REF!</v>
      </c>
      <c r="DE294" t="e">
        <f>AND(#REF!,"AAAAAHW5fWw=")</f>
        <v>#REF!</v>
      </c>
      <c r="DF294" t="e">
        <f>AND(#REF!,"AAAAAHW5fW0=")</f>
        <v>#REF!</v>
      </c>
      <c r="DG294" t="e">
        <f>AND(#REF!,"AAAAAHW5fW4=")</f>
        <v>#REF!</v>
      </c>
      <c r="DH294" t="e">
        <f>AND(#REF!,"AAAAAHW5fW8=")</f>
        <v>#REF!</v>
      </c>
      <c r="DI294" t="e">
        <f>AND(#REF!,"AAAAAHW5fXA=")</f>
        <v>#REF!</v>
      </c>
      <c r="DJ294" t="e">
        <f>AND(#REF!,"AAAAAHW5fXE=")</f>
        <v>#REF!</v>
      </c>
      <c r="DK294" t="e">
        <f>AND(#REF!,"AAAAAHW5fXI=")</f>
        <v>#REF!</v>
      </c>
      <c r="DL294" t="e">
        <f>AND(#REF!,"AAAAAHW5fXM=")</f>
        <v>#REF!</v>
      </c>
      <c r="DM294" t="e">
        <f>AND(#REF!,"AAAAAHW5fXQ=")</f>
        <v>#REF!</v>
      </c>
      <c r="DN294" t="e">
        <f>AND(#REF!,"AAAAAHW5fXU=")</f>
        <v>#REF!</v>
      </c>
      <c r="DO294" t="e">
        <f>AND(#REF!,"AAAAAHW5fXY=")</f>
        <v>#REF!</v>
      </c>
      <c r="DP294" t="e">
        <f>AND(#REF!,"AAAAAHW5fXc=")</f>
        <v>#REF!</v>
      </c>
      <c r="DQ294" t="e">
        <f>AND(#REF!,"AAAAAHW5fXg=")</f>
        <v>#REF!</v>
      </c>
      <c r="DR294" t="e">
        <f>AND(#REF!,"AAAAAHW5fXk=")</f>
        <v>#REF!</v>
      </c>
      <c r="DS294" t="e">
        <f>AND(#REF!,"AAAAAHW5fXo=")</f>
        <v>#REF!</v>
      </c>
      <c r="DT294" t="e">
        <f>AND(#REF!,"AAAAAHW5fXs=")</f>
        <v>#REF!</v>
      </c>
      <c r="DU294" t="e">
        <f>AND(#REF!,"AAAAAHW5fXw=")</f>
        <v>#REF!</v>
      </c>
      <c r="DV294" t="e">
        <f>AND(#REF!,"AAAAAHW5fX0=")</f>
        <v>#REF!</v>
      </c>
      <c r="DW294" t="e">
        <f>AND(#REF!,"AAAAAHW5fX4=")</f>
        <v>#REF!</v>
      </c>
      <c r="DX294" t="e">
        <f>AND(#REF!,"AAAAAHW5fX8=")</f>
        <v>#REF!</v>
      </c>
      <c r="DY294" t="e">
        <f>AND(#REF!,"AAAAAHW5fYA=")</f>
        <v>#REF!</v>
      </c>
      <c r="DZ294" t="e">
        <f>AND(#REF!,"AAAAAHW5fYE=")</f>
        <v>#REF!</v>
      </c>
      <c r="EA294" t="e">
        <f>AND(#REF!,"AAAAAHW5fYI=")</f>
        <v>#REF!</v>
      </c>
      <c r="EB294" t="e">
        <f>AND(#REF!,"AAAAAHW5fYM=")</f>
        <v>#REF!</v>
      </c>
      <c r="EC294" t="e">
        <f>AND(#REF!,"AAAAAHW5fYQ=")</f>
        <v>#REF!</v>
      </c>
      <c r="ED294" t="e">
        <f>AND(#REF!,"AAAAAHW5fYU=")</f>
        <v>#REF!</v>
      </c>
      <c r="EE294" t="e">
        <f>AND(#REF!,"AAAAAHW5fYY=")</f>
        <v>#REF!</v>
      </c>
      <c r="EF294" t="e">
        <f>AND(#REF!,"AAAAAHW5fYc=")</f>
        <v>#REF!</v>
      </c>
      <c r="EG294" t="e">
        <f>AND(#REF!,"AAAAAHW5fYg=")</f>
        <v>#REF!</v>
      </c>
      <c r="EH294" t="e">
        <f>AND(#REF!,"AAAAAHW5fYk=")</f>
        <v>#REF!</v>
      </c>
      <c r="EI294" t="e">
        <f>AND(#REF!,"AAAAAHW5fYo=")</f>
        <v>#REF!</v>
      </c>
      <c r="EJ294" t="e">
        <f>AND(#REF!,"AAAAAHW5fYs=")</f>
        <v>#REF!</v>
      </c>
      <c r="EK294" t="e">
        <f>AND(#REF!,"AAAAAHW5fYw=")</f>
        <v>#REF!</v>
      </c>
      <c r="EL294" t="e">
        <f>AND(#REF!,"AAAAAHW5fY0=")</f>
        <v>#REF!</v>
      </c>
      <c r="EM294" t="e">
        <f>AND(#REF!,"AAAAAHW5fY4=")</f>
        <v>#REF!</v>
      </c>
      <c r="EN294" t="e">
        <f>AND(#REF!,"AAAAAHW5fY8=")</f>
        <v>#REF!</v>
      </c>
      <c r="EO294" t="e">
        <f>AND(#REF!,"AAAAAHW5fZA=")</f>
        <v>#REF!</v>
      </c>
      <c r="EP294" t="e">
        <f>AND(#REF!,"AAAAAHW5fZE=")</f>
        <v>#REF!</v>
      </c>
      <c r="EQ294" t="e">
        <f>AND(#REF!,"AAAAAHW5fZI=")</f>
        <v>#REF!</v>
      </c>
      <c r="ER294" t="e">
        <f>AND(#REF!,"AAAAAHW5fZM=")</f>
        <v>#REF!</v>
      </c>
      <c r="ES294" t="e">
        <f>AND(#REF!,"AAAAAHW5fZQ=")</f>
        <v>#REF!</v>
      </c>
      <c r="ET294" t="e">
        <f>AND(#REF!,"AAAAAHW5fZU=")</f>
        <v>#REF!</v>
      </c>
      <c r="EU294" t="e">
        <f>AND(#REF!,"AAAAAHW5fZY=")</f>
        <v>#REF!</v>
      </c>
      <c r="EV294" t="e">
        <f>AND(#REF!,"AAAAAHW5fZc=")</f>
        <v>#REF!</v>
      </c>
      <c r="EW294" t="e">
        <f>AND(#REF!,"AAAAAHW5fZg=")</f>
        <v>#REF!</v>
      </c>
      <c r="EX294" t="e">
        <f>AND(#REF!,"AAAAAHW5fZk=")</f>
        <v>#REF!</v>
      </c>
      <c r="EY294" t="e">
        <f>AND(#REF!,"AAAAAHW5fZo=")</f>
        <v>#REF!</v>
      </c>
      <c r="EZ294" t="e">
        <f>AND(#REF!,"AAAAAHW5fZs=")</f>
        <v>#REF!</v>
      </c>
      <c r="FA294" t="e">
        <f>AND(#REF!,"AAAAAHW5fZw=")</f>
        <v>#REF!</v>
      </c>
      <c r="FB294" t="e">
        <f>AND(#REF!,"AAAAAHW5fZ0=")</f>
        <v>#REF!</v>
      </c>
      <c r="FC294" t="e">
        <f>AND(#REF!,"AAAAAHW5fZ4=")</f>
        <v>#REF!</v>
      </c>
      <c r="FD294" t="e">
        <f>AND(#REF!,"AAAAAHW5fZ8=")</f>
        <v>#REF!</v>
      </c>
      <c r="FE294" t="e">
        <f>AND(#REF!,"AAAAAHW5faA=")</f>
        <v>#REF!</v>
      </c>
      <c r="FF294" t="e">
        <f>AND(#REF!,"AAAAAHW5faE=")</f>
        <v>#REF!</v>
      </c>
      <c r="FG294" t="e">
        <f>AND(#REF!,"AAAAAHW5faI=")</f>
        <v>#REF!</v>
      </c>
      <c r="FH294" t="e">
        <f>AND(#REF!,"AAAAAHW5faM=")</f>
        <v>#REF!</v>
      </c>
      <c r="FI294" t="e">
        <f>AND(#REF!,"AAAAAHW5faQ=")</f>
        <v>#REF!</v>
      </c>
      <c r="FJ294" t="e">
        <f>AND(#REF!,"AAAAAHW5faU=")</f>
        <v>#REF!</v>
      </c>
      <c r="FK294" t="e">
        <f>AND(#REF!,"AAAAAHW5faY=")</f>
        <v>#REF!</v>
      </c>
      <c r="FL294" t="e">
        <f>AND(#REF!,"AAAAAHW5fac=")</f>
        <v>#REF!</v>
      </c>
      <c r="FM294" t="e">
        <f>AND(#REF!,"AAAAAHW5fag=")</f>
        <v>#REF!</v>
      </c>
      <c r="FN294" t="e">
        <f>AND(#REF!,"AAAAAHW5fak=")</f>
        <v>#REF!</v>
      </c>
      <c r="FO294" t="e">
        <f>AND(#REF!,"AAAAAHW5fao=")</f>
        <v>#REF!</v>
      </c>
      <c r="FP294" t="e">
        <f>AND(#REF!,"AAAAAHW5fas=")</f>
        <v>#REF!</v>
      </c>
      <c r="FQ294" t="e">
        <f>AND(#REF!,"AAAAAHW5faw=")</f>
        <v>#REF!</v>
      </c>
      <c r="FR294" t="e">
        <f>AND(#REF!,"AAAAAHW5fa0=")</f>
        <v>#REF!</v>
      </c>
      <c r="FS294" t="e">
        <f>AND(#REF!,"AAAAAHW5fa4=")</f>
        <v>#REF!</v>
      </c>
      <c r="FT294" t="e">
        <f>AND(#REF!,"AAAAAHW5fa8=")</f>
        <v>#REF!</v>
      </c>
      <c r="FU294" t="e">
        <f>AND(#REF!,"AAAAAHW5fbA=")</f>
        <v>#REF!</v>
      </c>
      <c r="FV294" t="e">
        <f>AND(#REF!,"AAAAAHW5fbE=")</f>
        <v>#REF!</v>
      </c>
      <c r="FW294" t="e">
        <f>AND(#REF!,"AAAAAHW5fbI=")</f>
        <v>#REF!</v>
      </c>
      <c r="FX294" t="e">
        <f>AND(#REF!,"AAAAAHW5fbM=")</f>
        <v>#REF!</v>
      </c>
      <c r="FY294" t="e">
        <f>AND(#REF!,"AAAAAHW5fbQ=")</f>
        <v>#REF!</v>
      </c>
      <c r="FZ294" t="e">
        <f>AND(#REF!,"AAAAAHW5fbU=")</f>
        <v>#REF!</v>
      </c>
      <c r="GA294" t="e">
        <f>AND(#REF!,"AAAAAHW5fbY=")</f>
        <v>#REF!</v>
      </c>
      <c r="GB294" t="e">
        <f>AND(#REF!,"AAAAAHW5fbc=")</f>
        <v>#REF!</v>
      </c>
      <c r="GC294" t="e">
        <f>AND(#REF!,"AAAAAHW5fbg=")</f>
        <v>#REF!</v>
      </c>
      <c r="GD294" t="e">
        <f>AND(#REF!,"AAAAAHW5fbk=")</f>
        <v>#REF!</v>
      </c>
      <c r="GE294" t="e">
        <f>AND(#REF!,"AAAAAHW5fbo=")</f>
        <v>#REF!</v>
      </c>
      <c r="GF294" t="e">
        <f>AND(#REF!,"AAAAAHW5fbs=")</f>
        <v>#REF!</v>
      </c>
      <c r="GG294" t="e">
        <f>AND(#REF!,"AAAAAHW5fbw=")</f>
        <v>#REF!</v>
      </c>
      <c r="GH294" t="e">
        <f>AND(#REF!,"AAAAAHW5fb0=")</f>
        <v>#REF!</v>
      </c>
      <c r="GI294" t="e">
        <f>AND(#REF!,"AAAAAHW5fb4=")</f>
        <v>#REF!</v>
      </c>
      <c r="GJ294" t="e">
        <f>AND(#REF!,"AAAAAHW5fb8=")</f>
        <v>#REF!</v>
      </c>
      <c r="GK294" t="e">
        <f>AND(#REF!,"AAAAAHW5fcA=")</f>
        <v>#REF!</v>
      </c>
      <c r="GL294" t="e">
        <f>AND(#REF!,"AAAAAHW5fcE=")</f>
        <v>#REF!</v>
      </c>
      <c r="GM294" t="e">
        <f>AND(#REF!,"AAAAAHW5fcI=")</f>
        <v>#REF!</v>
      </c>
      <c r="GN294" t="e">
        <f>AND(#REF!,"AAAAAHW5fcM=")</f>
        <v>#REF!</v>
      </c>
      <c r="GO294" t="e">
        <f>AND(#REF!,"AAAAAHW5fcQ=")</f>
        <v>#REF!</v>
      </c>
      <c r="GP294" t="e">
        <f>AND(#REF!,"AAAAAHW5fcU=")</f>
        <v>#REF!</v>
      </c>
      <c r="GQ294" t="e">
        <f>AND(#REF!,"AAAAAHW5fcY=")</f>
        <v>#REF!</v>
      </c>
      <c r="GR294" t="e">
        <f>AND(#REF!,"AAAAAHW5fcc=")</f>
        <v>#REF!</v>
      </c>
      <c r="GS294" t="e">
        <f>AND(#REF!,"AAAAAHW5fcg=")</f>
        <v>#REF!</v>
      </c>
      <c r="GT294" t="e">
        <f>AND(#REF!,"AAAAAHW5fck=")</f>
        <v>#REF!</v>
      </c>
      <c r="GU294" t="e">
        <f>AND(#REF!,"AAAAAHW5fco=")</f>
        <v>#REF!</v>
      </c>
      <c r="GV294" t="e">
        <f>AND(#REF!,"AAAAAHW5fcs=")</f>
        <v>#REF!</v>
      </c>
      <c r="GW294" t="e">
        <f>AND(#REF!,"AAAAAHW5fcw=")</f>
        <v>#REF!</v>
      </c>
      <c r="GX294" t="e">
        <f>AND(#REF!,"AAAAAHW5fc0=")</f>
        <v>#REF!</v>
      </c>
      <c r="GY294" t="e">
        <f>IF(#REF!,"AAAAAHW5fc4=",0)</f>
        <v>#REF!</v>
      </c>
      <c r="GZ294" t="e">
        <f>AND(#REF!,"AAAAAHW5fc8=")</f>
        <v>#REF!</v>
      </c>
      <c r="HA294" t="e">
        <f>AND(#REF!,"AAAAAHW5fdA=")</f>
        <v>#REF!</v>
      </c>
      <c r="HB294" t="e">
        <f>AND(#REF!,"AAAAAHW5fdE=")</f>
        <v>#REF!</v>
      </c>
      <c r="HC294" t="e">
        <f>AND(#REF!,"AAAAAHW5fdI=")</f>
        <v>#REF!</v>
      </c>
      <c r="HD294" t="e">
        <f>AND(#REF!,"AAAAAHW5fdM=")</f>
        <v>#REF!</v>
      </c>
      <c r="HE294" t="e">
        <f>AND(#REF!,"AAAAAHW5fdQ=")</f>
        <v>#REF!</v>
      </c>
      <c r="HF294" t="e">
        <f>AND(#REF!,"AAAAAHW5fdU=")</f>
        <v>#REF!</v>
      </c>
      <c r="HG294" t="e">
        <f>AND(#REF!,"AAAAAHW5fdY=")</f>
        <v>#REF!</v>
      </c>
      <c r="HH294" t="e">
        <f>AND(#REF!,"AAAAAHW5fdc=")</f>
        <v>#REF!</v>
      </c>
      <c r="HI294" t="e">
        <f>AND(#REF!,"AAAAAHW5fdg=")</f>
        <v>#REF!</v>
      </c>
      <c r="HJ294" t="e">
        <f>AND(#REF!,"AAAAAHW5fdk=")</f>
        <v>#REF!</v>
      </c>
      <c r="HK294" t="e">
        <f>AND(#REF!,"AAAAAHW5fdo=")</f>
        <v>#REF!</v>
      </c>
      <c r="HL294" t="e">
        <f>AND(#REF!,"AAAAAHW5fds=")</f>
        <v>#REF!</v>
      </c>
      <c r="HM294" t="e">
        <f>AND(#REF!,"AAAAAHW5fdw=")</f>
        <v>#REF!</v>
      </c>
      <c r="HN294" t="e">
        <f>AND(#REF!,"AAAAAHW5fd0=")</f>
        <v>#REF!</v>
      </c>
      <c r="HO294" t="e">
        <f>AND(#REF!,"AAAAAHW5fd4=")</f>
        <v>#REF!</v>
      </c>
      <c r="HP294" t="e">
        <f>AND(#REF!,"AAAAAHW5fd8=")</f>
        <v>#REF!</v>
      </c>
      <c r="HQ294" t="e">
        <f>AND(#REF!,"AAAAAHW5feA=")</f>
        <v>#REF!</v>
      </c>
      <c r="HR294" t="e">
        <f>AND(#REF!,"AAAAAHW5feE=")</f>
        <v>#REF!</v>
      </c>
      <c r="HS294" t="e">
        <f>AND(#REF!,"AAAAAHW5feI=")</f>
        <v>#REF!</v>
      </c>
      <c r="HT294" t="e">
        <f>AND(#REF!,"AAAAAHW5feM=")</f>
        <v>#REF!</v>
      </c>
      <c r="HU294" t="e">
        <f>AND(#REF!,"AAAAAHW5feQ=")</f>
        <v>#REF!</v>
      </c>
      <c r="HV294" t="e">
        <f>AND(#REF!,"AAAAAHW5feU=")</f>
        <v>#REF!</v>
      </c>
      <c r="HW294" t="e">
        <f>AND(#REF!,"AAAAAHW5feY=")</f>
        <v>#REF!</v>
      </c>
      <c r="HX294" t="e">
        <f>AND(#REF!,"AAAAAHW5fec=")</f>
        <v>#REF!</v>
      </c>
      <c r="HY294" t="e">
        <f>AND(#REF!,"AAAAAHW5feg=")</f>
        <v>#REF!</v>
      </c>
      <c r="HZ294" t="e">
        <f>AND(#REF!,"AAAAAHW5fek=")</f>
        <v>#REF!</v>
      </c>
      <c r="IA294" t="e">
        <f>AND(#REF!,"AAAAAHW5feo=")</f>
        <v>#REF!</v>
      </c>
      <c r="IB294" t="e">
        <f>AND(#REF!,"AAAAAHW5fes=")</f>
        <v>#REF!</v>
      </c>
      <c r="IC294" t="e">
        <f>AND(#REF!,"AAAAAHW5few=")</f>
        <v>#REF!</v>
      </c>
      <c r="ID294" t="e">
        <f>AND(#REF!,"AAAAAHW5fe0=")</f>
        <v>#REF!</v>
      </c>
      <c r="IE294" t="e">
        <f>AND(#REF!,"AAAAAHW5fe4=")</f>
        <v>#REF!</v>
      </c>
      <c r="IF294" t="e">
        <f>AND(#REF!,"AAAAAHW5fe8=")</f>
        <v>#REF!</v>
      </c>
      <c r="IG294" t="e">
        <f>AND(#REF!,"AAAAAHW5ffA=")</f>
        <v>#REF!</v>
      </c>
      <c r="IH294" t="e">
        <f>AND(#REF!,"AAAAAHW5ffE=")</f>
        <v>#REF!</v>
      </c>
      <c r="II294" t="e">
        <f>AND(#REF!,"AAAAAHW5ffI=")</f>
        <v>#REF!</v>
      </c>
      <c r="IJ294" t="e">
        <f>AND(#REF!,"AAAAAHW5ffM=")</f>
        <v>#REF!</v>
      </c>
      <c r="IK294" t="e">
        <f>AND(#REF!,"AAAAAHW5ffQ=")</f>
        <v>#REF!</v>
      </c>
      <c r="IL294" t="e">
        <f>AND(#REF!,"AAAAAHW5ffU=")</f>
        <v>#REF!</v>
      </c>
      <c r="IM294" t="e">
        <f>AND(#REF!,"AAAAAHW5ffY=")</f>
        <v>#REF!</v>
      </c>
      <c r="IN294" t="e">
        <f>AND(#REF!,"AAAAAHW5ffc=")</f>
        <v>#REF!</v>
      </c>
      <c r="IO294" t="e">
        <f>AND(#REF!,"AAAAAHW5ffg=")</f>
        <v>#REF!</v>
      </c>
      <c r="IP294" t="e">
        <f>AND(#REF!,"AAAAAHW5ffk=")</f>
        <v>#REF!</v>
      </c>
      <c r="IQ294" t="e">
        <f>AND(#REF!,"AAAAAHW5ffo=")</f>
        <v>#REF!</v>
      </c>
      <c r="IR294" t="e">
        <f>AND(#REF!,"AAAAAHW5ffs=")</f>
        <v>#REF!</v>
      </c>
      <c r="IS294" t="e">
        <f>AND(#REF!,"AAAAAHW5ffw=")</f>
        <v>#REF!</v>
      </c>
      <c r="IT294" t="e">
        <f>AND(#REF!,"AAAAAHW5ff0=")</f>
        <v>#REF!</v>
      </c>
      <c r="IU294" t="e">
        <f>AND(#REF!,"AAAAAHW5ff4=")</f>
        <v>#REF!</v>
      </c>
      <c r="IV294" t="e">
        <f>AND(#REF!,"AAAAAHW5ff8=")</f>
        <v>#REF!</v>
      </c>
    </row>
    <row r="295" spans="1:256" x14ac:dyDescent="0.25">
      <c r="A295" t="e">
        <f>AND(#REF!,"AAAAADT/9wA=")</f>
        <v>#REF!</v>
      </c>
      <c r="B295" t="e">
        <f>AND(#REF!,"AAAAADT/9wE=")</f>
        <v>#REF!</v>
      </c>
      <c r="C295" t="e">
        <f>AND(#REF!,"AAAAADT/9wI=")</f>
        <v>#REF!</v>
      </c>
      <c r="D295" t="e">
        <f>AND(#REF!,"AAAAADT/9wM=")</f>
        <v>#REF!</v>
      </c>
      <c r="E295" t="e">
        <f>AND(#REF!,"AAAAADT/9wQ=")</f>
        <v>#REF!</v>
      </c>
      <c r="F295" t="e">
        <f>AND(#REF!,"AAAAADT/9wU=")</f>
        <v>#REF!</v>
      </c>
      <c r="G295" t="e">
        <f>AND(#REF!,"AAAAADT/9wY=")</f>
        <v>#REF!</v>
      </c>
      <c r="H295" t="e">
        <f>AND(#REF!,"AAAAADT/9wc=")</f>
        <v>#REF!</v>
      </c>
      <c r="I295" t="e">
        <f>AND(#REF!,"AAAAADT/9wg=")</f>
        <v>#REF!</v>
      </c>
      <c r="J295" t="e">
        <f>AND(#REF!,"AAAAADT/9wk=")</f>
        <v>#REF!</v>
      </c>
      <c r="K295" t="e">
        <f>AND(#REF!,"AAAAADT/9wo=")</f>
        <v>#REF!</v>
      </c>
      <c r="L295" t="e">
        <f>AND(#REF!,"AAAAADT/9ws=")</f>
        <v>#REF!</v>
      </c>
      <c r="M295" t="e">
        <f>AND(#REF!,"AAAAADT/9ww=")</f>
        <v>#REF!</v>
      </c>
      <c r="N295" t="e">
        <f>AND(#REF!,"AAAAADT/9w0=")</f>
        <v>#REF!</v>
      </c>
      <c r="O295" t="e">
        <f>AND(#REF!,"AAAAADT/9w4=")</f>
        <v>#REF!</v>
      </c>
      <c r="P295" t="e">
        <f>AND(#REF!,"AAAAADT/9w8=")</f>
        <v>#REF!</v>
      </c>
      <c r="Q295" t="e">
        <f>AND(#REF!,"AAAAADT/9xA=")</f>
        <v>#REF!</v>
      </c>
      <c r="R295" t="e">
        <f>AND(#REF!,"AAAAADT/9xE=")</f>
        <v>#REF!</v>
      </c>
      <c r="S295" t="e">
        <f>AND(#REF!,"AAAAADT/9xI=")</f>
        <v>#REF!</v>
      </c>
      <c r="T295" t="e">
        <f>AND(#REF!,"AAAAADT/9xM=")</f>
        <v>#REF!</v>
      </c>
      <c r="U295" t="e">
        <f>AND(#REF!,"AAAAADT/9xQ=")</f>
        <v>#REF!</v>
      </c>
      <c r="V295" t="e">
        <f>AND(#REF!,"AAAAADT/9xU=")</f>
        <v>#REF!</v>
      </c>
      <c r="W295" t="e">
        <f>AND(#REF!,"AAAAADT/9xY=")</f>
        <v>#REF!</v>
      </c>
      <c r="X295" t="e">
        <f>AND(#REF!,"AAAAADT/9xc=")</f>
        <v>#REF!</v>
      </c>
      <c r="Y295" t="e">
        <f>AND(#REF!,"AAAAADT/9xg=")</f>
        <v>#REF!</v>
      </c>
      <c r="Z295" t="e">
        <f>AND(#REF!,"AAAAADT/9xk=")</f>
        <v>#REF!</v>
      </c>
      <c r="AA295" t="e">
        <f>AND(#REF!,"AAAAADT/9xo=")</f>
        <v>#REF!</v>
      </c>
      <c r="AB295" t="e">
        <f>AND(#REF!,"AAAAADT/9xs=")</f>
        <v>#REF!</v>
      </c>
      <c r="AC295" t="e">
        <f>AND(#REF!,"AAAAADT/9xw=")</f>
        <v>#REF!</v>
      </c>
      <c r="AD295" t="e">
        <f>AND(#REF!,"AAAAADT/9x0=")</f>
        <v>#REF!</v>
      </c>
      <c r="AE295" t="e">
        <f>AND(#REF!,"AAAAADT/9x4=")</f>
        <v>#REF!</v>
      </c>
      <c r="AF295" t="e">
        <f>AND(#REF!,"AAAAADT/9x8=")</f>
        <v>#REF!</v>
      </c>
      <c r="AG295" t="e">
        <f>AND(#REF!,"AAAAADT/9yA=")</f>
        <v>#REF!</v>
      </c>
      <c r="AH295" t="e">
        <f>AND(#REF!,"AAAAADT/9yE=")</f>
        <v>#REF!</v>
      </c>
      <c r="AI295" t="e">
        <f>AND(#REF!,"AAAAADT/9yI=")</f>
        <v>#REF!</v>
      </c>
      <c r="AJ295" t="e">
        <f>AND(#REF!,"AAAAADT/9yM=")</f>
        <v>#REF!</v>
      </c>
      <c r="AK295" t="e">
        <f>AND(#REF!,"AAAAADT/9yQ=")</f>
        <v>#REF!</v>
      </c>
      <c r="AL295" t="e">
        <f>AND(#REF!,"AAAAADT/9yU=")</f>
        <v>#REF!</v>
      </c>
      <c r="AM295" t="e">
        <f>AND(#REF!,"AAAAADT/9yY=")</f>
        <v>#REF!</v>
      </c>
      <c r="AN295" t="e">
        <f>AND(#REF!,"AAAAADT/9yc=")</f>
        <v>#REF!</v>
      </c>
      <c r="AO295" t="e">
        <f>AND(#REF!,"AAAAADT/9yg=")</f>
        <v>#REF!</v>
      </c>
      <c r="AP295" t="e">
        <f>AND(#REF!,"AAAAADT/9yk=")</f>
        <v>#REF!</v>
      </c>
      <c r="AQ295" t="e">
        <f>AND(#REF!,"AAAAADT/9yo=")</f>
        <v>#REF!</v>
      </c>
      <c r="AR295" t="e">
        <f>AND(#REF!,"AAAAADT/9ys=")</f>
        <v>#REF!</v>
      </c>
      <c r="AS295" t="e">
        <f>AND(#REF!,"AAAAADT/9yw=")</f>
        <v>#REF!</v>
      </c>
      <c r="AT295" t="e">
        <f>AND(#REF!,"AAAAADT/9y0=")</f>
        <v>#REF!</v>
      </c>
      <c r="AU295" t="e">
        <f>AND(#REF!,"AAAAADT/9y4=")</f>
        <v>#REF!</v>
      </c>
      <c r="AV295" t="e">
        <f>AND(#REF!,"AAAAADT/9y8=")</f>
        <v>#REF!</v>
      </c>
      <c r="AW295" t="e">
        <f>AND(#REF!,"AAAAADT/9zA=")</f>
        <v>#REF!</v>
      </c>
      <c r="AX295" t="e">
        <f>AND(#REF!,"AAAAADT/9zE=")</f>
        <v>#REF!</v>
      </c>
      <c r="AY295" t="e">
        <f>AND(#REF!,"AAAAADT/9zI=")</f>
        <v>#REF!</v>
      </c>
      <c r="AZ295" t="e">
        <f>AND(#REF!,"AAAAADT/9zM=")</f>
        <v>#REF!</v>
      </c>
      <c r="BA295" t="e">
        <f>AND(#REF!,"AAAAADT/9zQ=")</f>
        <v>#REF!</v>
      </c>
      <c r="BB295" t="e">
        <f>AND(#REF!,"AAAAADT/9zU=")</f>
        <v>#REF!</v>
      </c>
      <c r="BC295" t="e">
        <f>AND(#REF!,"AAAAADT/9zY=")</f>
        <v>#REF!</v>
      </c>
      <c r="BD295" t="e">
        <f>AND(#REF!,"AAAAADT/9zc=")</f>
        <v>#REF!</v>
      </c>
      <c r="BE295" t="e">
        <f>AND(#REF!,"AAAAADT/9zg=")</f>
        <v>#REF!</v>
      </c>
      <c r="BF295" t="e">
        <f>AND(#REF!,"AAAAADT/9zk=")</f>
        <v>#REF!</v>
      </c>
      <c r="BG295" t="e">
        <f>AND(#REF!,"AAAAADT/9zo=")</f>
        <v>#REF!</v>
      </c>
      <c r="BH295" t="e">
        <f>AND(#REF!,"AAAAADT/9zs=")</f>
        <v>#REF!</v>
      </c>
      <c r="BI295" t="e">
        <f>AND(#REF!,"AAAAADT/9zw=")</f>
        <v>#REF!</v>
      </c>
      <c r="BJ295" t="e">
        <f>AND(#REF!,"AAAAADT/9z0=")</f>
        <v>#REF!</v>
      </c>
      <c r="BK295" t="e">
        <f>AND(#REF!,"AAAAADT/9z4=")</f>
        <v>#REF!</v>
      </c>
      <c r="BL295" t="e">
        <f>AND(#REF!,"AAAAADT/9z8=")</f>
        <v>#REF!</v>
      </c>
      <c r="BM295" t="e">
        <f>AND(#REF!,"AAAAADT/90A=")</f>
        <v>#REF!</v>
      </c>
      <c r="BN295" t="e">
        <f>AND(#REF!,"AAAAADT/90E=")</f>
        <v>#REF!</v>
      </c>
      <c r="BO295" t="e">
        <f>AND(#REF!,"AAAAADT/90I=")</f>
        <v>#REF!</v>
      </c>
      <c r="BP295" t="e">
        <f>AND(#REF!,"AAAAADT/90M=")</f>
        <v>#REF!</v>
      </c>
      <c r="BQ295" t="e">
        <f>AND(#REF!,"AAAAADT/90Q=")</f>
        <v>#REF!</v>
      </c>
      <c r="BR295" t="e">
        <f>AND(#REF!,"AAAAADT/90U=")</f>
        <v>#REF!</v>
      </c>
      <c r="BS295" t="e">
        <f>AND(#REF!,"AAAAADT/90Y=")</f>
        <v>#REF!</v>
      </c>
      <c r="BT295" t="e">
        <f>AND(#REF!,"AAAAADT/90c=")</f>
        <v>#REF!</v>
      </c>
      <c r="BU295" t="e">
        <f>AND(#REF!,"AAAAADT/90g=")</f>
        <v>#REF!</v>
      </c>
      <c r="BV295" t="e">
        <f>AND(#REF!,"AAAAADT/90k=")</f>
        <v>#REF!</v>
      </c>
      <c r="BW295" t="e">
        <f>AND(#REF!,"AAAAADT/90o=")</f>
        <v>#REF!</v>
      </c>
      <c r="BX295" t="e">
        <f>AND(#REF!,"AAAAADT/90s=")</f>
        <v>#REF!</v>
      </c>
      <c r="BY295" t="e">
        <f>AND(#REF!,"AAAAADT/90w=")</f>
        <v>#REF!</v>
      </c>
      <c r="BZ295" t="e">
        <f>AND(#REF!,"AAAAADT/900=")</f>
        <v>#REF!</v>
      </c>
      <c r="CA295" t="e">
        <f>AND(#REF!,"AAAAADT/904=")</f>
        <v>#REF!</v>
      </c>
      <c r="CB295" t="e">
        <f>AND(#REF!,"AAAAADT/908=")</f>
        <v>#REF!</v>
      </c>
      <c r="CC295" t="e">
        <f>AND(#REF!,"AAAAADT/91A=")</f>
        <v>#REF!</v>
      </c>
      <c r="CD295" t="e">
        <f>AND(#REF!,"AAAAADT/91E=")</f>
        <v>#REF!</v>
      </c>
      <c r="CE295" t="e">
        <f>AND(#REF!,"AAAAADT/91I=")</f>
        <v>#REF!</v>
      </c>
      <c r="CF295" t="e">
        <f>AND(#REF!,"AAAAADT/91M=")</f>
        <v>#REF!</v>
      </c>
      <c r="CG295" t="e">
        <f>AND(#REF!,"AAAAADT/91Q=")</f>
        <v>#REF!</v>
      </c>
      <c r="CH295" t="e">
        <f>AND(#REF!,"AAAAADT/91U=")</f>
        <v>#REF!</v>
      </c>
      <c r="CI295" t="e">
        <f>AND(#REF!,"AAAAADT/91Y=")</f>
        <v>#REF!</v>
      </c>
      <c r="CJ295" t="e">
        <f>AND(#REF!,"AAAAADT/91c=")</f>
        <v>#REF!</v>
      </c>
      <c r="CK295" t="e">
        <f>AND(#REF!,"AAAAADT/91g=")</f>
        <v>#REF!</v>
      </c>
      <c r="CL295" t="e">
        <f>AND(#REF!,"AAAAADT/91k=")</f>
        <v>#REF!</v>
      </c>
      <c r="CM295" t="e">
        <f>AND(#REF!,"AAAAADT/91o=")</f>
        <v>#REF!</v>
      </c>
      <c r="CN295" t="e">
        <f>AND(#REF!,"AAAAADT/91s=")</f>
        <v>#REF!</v>
      </c>
      <c r="CO295" t="e">
        <f>AND(#REF!,"AAAAADT/91w=")</f>
        <v>#REF!</v>
      </c>
      <c r="CP295" t="e">
        <f>AND(#REF!,"AAAAADT/910=")</f>
        <v>#REF!</v>
      </c>
      <c r="CQ295" t="e">
        <f>AND(#REF!,"AAAAADT/914=")</f>
        <v>#REF!</v>
      </c>
      <c r="CR295" t="e">
        <f>AND(#REF!,"AAAAADT/918=")</f>
        <v>#REF!</v>
      </c>
      <c r="CS295" t="e">
        <f>AND(#REF!,"AAAAADT/92A=")</f>
        <v>#REF!</v>
      </c>
      <c r="CT295" t="e">
        <f>AND(#REF!,"AAAAADT/92E=")</f>
        <v>#REF!</v>
      </c>
      <c r="CU295" t="e">
        <f>AND(#REF!,"AAAAADT/92I=")</f>
        <v>#REF!</v>
      </c>
      <c r="CV295" t="e">
        <f>AND(#REF!,"AAAAADT/92M=")</f>
        <v>#REF!</v>
      </c>
      <c r="CW295" t="e">
        <f>AND(#REF!,"AAAAADT/92Q=")</f>
        <v>#REF!</v>
      </c>
      <c r="CX295" t="e">
        <f>AND(#REF!,"AAAAADT/92U=")</f>
        <v>#REF!</v>
      </c>
      <c r="CY295" t="e">
        <f>AND(#REF!,"AAAAADT/92Y=")</f>
        <v>#REF!</v>
      </c>
      <c r="CZ295" t="e">
        <f>AND(#REF!,"AAAAADT/92c=")</f>
        <v>#REF!</v>
      </c>
      <c r="DA295" t="e">
        <f>AND(#REF!,"AAAAADT/92g=")</f>
        <v>#REF!</v>
      </c>
      <c r="DB295" t="e">
        <f>AND(#REF!,"AAAAADT/92k=")</f>
        <v>#REF!</v>
      </c>
      <c r="DC295" t="e">
        <f>AND(#REF!,"AAAAADT/92o=")</f>
        <v>#REF!</v>
      </c>
      <c r="DD295" t="e">
        <f>AND(#REF!,"AAAAADT/92s=")</f>
        <v>#REF!</v>
      </c>
      <c r="DE295" t="e">
        <f>AND(#REF!,"AAAAADT/92w=")</f>
        <v>#REF!</v>
      </c>
      <c r="DF295" t="e">
        <f>AND(#REF!,"AAAAADT/920=")</f>
        <v>#REF!</v>
      </c>
      <c r="DG295" t="e">
        <f>AND(#REF!,"AAAAADT/924=")</f>
        <v>#REF!</v>
      </c>
      <c r="DH295" t="e">
        <f>AND(#REF!,"AAAAADT/928=")</f>
        <v>#REF!</v>
      </c>
      <c r="DI295" t="e">
        <f>AND(#REF!,"AAAAADT/93A=")</f>
        <v>#REF!</v>
      </c>
      <c r="DJ295" t="e">
        <f>AND(#REF!,"AAAAADT/93E=")</f>
        <v>#REF!</v>
      </c>
      <c r="DK295" t="e">
        <f>AND(#REF!,"AAAAADT/93I=")</f>
        <v>#REF!</v>
      </c>
      <c r="DL295" t="e">
        <f>AND(#REF!,"AAAAADT/93M=")</f>
        <v>#REF!</v>
      </c>
      <c r="DM295" t="e">
        <f>AND(#REF!,"AAAAADT/93Q=")</f>
        <v>#REF!</v>
      </c>
      <c r="DN295" t="e">
        <f>AND(#REF!,"AAAAADT/93U=")</f>
        <v>#REF!</v>
      </c>
      <c r="DO295" t="e">
        <f>AND(#REF!,"AAAAADT/93Y=")</f>
        <v>#REF!</v>
      </c>
      <c r="DP295" t="e">
        <f>AND(#REF!,"AAAAADT/93c=")</f>
        <v>#REF!</v>
      </c>
      <c r="DQ295" t="e">
        <f>AND(#REF!,"AAAAADT/93g=")</f>
        <v>#REF!</v>
      </c>
      <c r="DR295" t="e">
        <f>AND(#REF!,"AAAAADT/93k=")</f>
        <v>#REF!</v>
      </c>
      <c r="DS295" t="e">
        <f>AND(#REF!,"AAAAADT/93o=")</f>
        <v>#REF!</v>
      </c>
      <c r="DT295" t="e">
        <f>AND(#REF!,"AAAAADT/93s=")</f>
        <v>#REF!</v>
      </c>
      <c r="DU295" t="e">
        <f>AND(#REF!,"AAAAADT/93w=")</f>
        <v>#REF!</v>
      </c>
      <c r="DV295" t="e">
        <f>AND(#REF!,"AAAAADT/930=")</f>
        <v>#REF!</v>
      </c>
      <c r="DW295" t="e">
        <f>AND(#REF!,"AAAAADT/934=")</f>
        <v>#REF!</v>
      </c>
      <c r="DX295" t="e">
        <f>AND(#REF!,"AAAAADT/938=")</f>
        <v>#REF!</v>
      </c>
      <c r="DY295" t="e">
        <f>AND(#REF!,"AAAAADT/94A=")</f>
        <v>#REF!</v>
      </c>
      <c r="DZ295" t="e">
        <f>AND(#REF!,"AAAAADT/94E=")</f>
        <v>#REF!</v>
      </c>
      <c r="EA295" t="e">
        <f>AND(#REF!,"AAAAADT/94I=")</f>
        <v>#REF!</v>
      </c>
      <c r="EB295" t="e">
        <f>AND(#REF!,"AAAAADT/94M=")</f>
        <v>#REF!</v>
      </c>
      <c r="EC295" t="e">
        <f>AND(#REF!,"AAAAADT/94Q=")</f>
        <v>#REF!</v>
      </c>
      <c r="ED295" t="e">
        <f>AND(#REF!,"AAAAADT/94U=")</f>
        <v>#REF!</v>
      </c>
      <c r="EE295" t="e">
        <f>AND(#REF!,"AAAAADT/94Y=")</f>
        <v>#REF!</v>
      </c>
      <c r="EF295" t="e">
        <f>AND(#REF!,"AAAAADT/94c=")</f>
        <v>#REF!</v>
      </c>
      <c r="EG295" t="e">
        <f>AND(#REF!,"AAAAADT/94g=")</f>
        <v>#REF!</v>
      </c>
      <c r="EH295" t="e">
        <f>AND(#REF!,"AAAAADT/94k=")</f>
        <v>#REF!</v>
      </c>
      <c r="EI295" t="e">
        <f>AND(#REF!,"AAAAADT/94o=")</f>
        <v>#REF!</v>
      </c>
      <c r="EJ295" t="e">
        <f>IF(#REF!,"AAAAADT/94s=",0)</f>
        <v>#REF!</v>
      </c>
      <c r="EK295" t="e">
        <f>AND(#REF!,"AAAAADT/94w=")</f>
        <v>#REF!</v>
      </c>
      <c r="EL295" t="e">
        <f>AND(#REF!,"AAAAADT/940=")</f>
        <v>#REF!</v>
      </c>
      <c r="EM295" t="e">
        <f>AND(#REF!,"AAAAADT/944=")</f>
        <v>#REF!</v>
      </c>
      <c r="EN295" t="e">
        <f>AND(#REF!,"AAAAADT/948=")</f>
        <v>#REF!</v>
      </c>
      <c r="EO295" t="e">
        <f>AND(#REF!,"AAAAADT/95A=")</f>
        <v>#REF!</v>
      </c>
      <c r="EP295" t="e">
        <f>AND(#REF!,"AAAAADT/95E=")</f>
        <v>#REF!</v>
      </c>
      <c r="EQ295" t="e">
        <f>AND(#REF!,"AAAAADT/95I=")</f>
        <v>#REF!</v>
      </c>
      <c r="ER295" t="e">
        <f>AND(#REF!,"AAAAADT/95M=")</f>
        <v>#REF!</v>
      </c>
      <c r="ES295" t="e">
        <f>AND(#REF!,"AAAAADT/95Q=")</f>
        <v>#REF!</v>
      </c>
      <c r="ET295" t="e">
        <f>AND(#REF!,"AAAAADT/95U=")</f>
        <v>#REF!</v>
      </c>
      <c r="EU295" t="e">
        <f>AND(#REF!,"AAAAADT/95Y=")</f>
        <v>#REF!</v>
      </c>
      <c r="EV295" t="e">
        <f>AND(#REF!,"AAAAADT/95c=")</f>
        <v>#REF!</v>
      </c>
      <c r="EW295" t="e">
        <f>AND(#REF!,"AAAAADT/95g=")</f>
        <v>#REF!</v>
      </c>
      <c r="EX295" t="e">
        <f>AND(#REF!,"AAAAADT/95k=")</f>
        <v>#REF!</v>
      </c>
      <c r="EY295" t="e">
        <f>AND(#REF!,"AAAAADT/95o=")</f>
        <v>#REF!</v>
      </c>
      <c r="EZ295" t="e">
        <f>AND(#REF!,"AAAAADT/95s=")</f>
        <v>#REF!</v>
      </c>
      <c r="FA295" t="e">
        <f>AND(#REF!,"AAAAADT/95w=")</f>
        <v>#REF!</v>
      </c>
      <c r="FB295" t="e">
        <f>AND(#REF!,"AAAAADT/950=")</f>
        <v>#REF!</v>
      </c>
      <c r="FC295" t="e">
        <f>AND(#REF!,"AAAAADT/954=")</f>
        <v>#REF!</v>
      </c>
      <c r="FD295" t="e">
        <f>AND(#REF!,"AAAAADT/958=")</f>
        <v>#REF!</v>
      </c>
      <c r="FE295" t="e">
        <f>AND(#REF!,"AAAAADT/96A=")</f>
        <v>#REF!</v>
      </c>
      <c r="FF295" t="e">
        <f>AND(#REF!,"AAAAADT/96E=")</f>
        <v>#REF!</v>
      </c>
      <c r="FG295" t="e">
        <f>AND(#REF!,"AAAAADT/96I=")</f>
        <v>#REF!</v>
      </c>
      <c r="FH295" t="e">
        <f>AND(#REF!,"AAAAADT/96M=")</f>
        <v>#REF!</v>
      </c>
      <c r="FI295" t="e">
        <f>AND(#REF!,"AAAAADT/96Q=")</f>
        <v>#REF!</v>
      </c>
      <c r="FJ295" t="e">
        <f>AND(#REF!,"AAAAADT/96U=")</f>
        <v>#REF!</v>
      </c>
      <c r="FK295" t="e">
        <f>AND(#REF!,"AAAAADT/96Y=")</f>
        <v>#REF!</v>
      </c>
      <c r="FL295" t="e">
        <f>AND(#REF!,"AAAAADT/96c=")</f>
        <v>#REF!</v>
      </c>
      <c r="FM295" t="e">
        <f>AND(#REF!,"AAAAADT/96g=")</f>
        <v>#REF!</v>
      </c>
      <c r="FN295" t="e">
        <f>AND(#REF!,"AAAAADT/96k=")</f>
        <v>#REF!</v>
      </c>
      <c r="FO295" t="e">
        <f>AND(#REF!,"AAAAADT/96o=")</f>
        <v>#REF!</v>
      </c>
      <c r="FP295" t="e">
        <f>AND(#REF!,"AAAAADT/96s=")</f>
        <v>#REF!</v>
      </c>
      <c r="FQ295" t="e">
        <f>AND(#REF!,"AAAAADT/96w=")</f>
        <v>#REF!</v>
      </c>
      <c r="FR295" t="e">
        <f>AND(#REF!,"AAAAADT/960=")</f>
        <v>#REF!</v>
      </c>
      <c r="FS295" t="e">
        <f>AND(#REF!,"AAAAADT/964=")</f>
        <v>#REF!</v>
      </c>
      <c r="FT295" t="e">
        <f>AND(#REF!,"AAAAADT/968=")</f>
        <v>#REF!</v>
      </c>
      <c r="FU295" t="e">
        <f>AND(#REF!,"AAAAADT/97A=")</f>
        <v>#REF!</v>
      </c>
      <c r="FV295" t="e">
        <f>AND(#REF!,"AAAAADT/97E=")</f>
        <v>#REF!</v>
      </c>
      <c r="FW295" t="e">
        <f>AND(#REF!,"AAAAADT/97I=")</f>
        <v>#REF!</v>
      </c>
      <c r="FX295" t="e">
        <f>AND(#REF!,"AAAAADT/97M=")</f>
        <v>#REF!</v>
      </c>
      <c r="FY295" t="e">
        <f>AND(#REF!,"AAAAADT/97Q=")</f>
        <v>#REF!</v>
      </c>
      <c r="FZ295" t="e">
        <f>AND(#REF!,"AAAAADT/97U=")</f>
        <v>#REF!</v>
      </c>
      <c r="GA295" t="e">
        <f>AND(#REF!,"AAAAADT/97Y=")</f>
        <v>#REF!</v>
      </c>
      <c r="GB295" t="e">
        <f>AND(#REF!,"AAAAADT/97c=")</f>
        <v>#REF!</v>
      </c>
      <c r="GC295" t="e">
        <f>AND(#REF!,"AAAAADT/97g=")</f>
        <v>#REF!</v>
      </c>
      <c r="GD295" t="e">
        <f>AND(#REF!,"AAAAADT/97k=")</f>
        <v>#REF!</v>
      </c>
      <c r="GE295" t="e">
        <f>AND(#REF!,"AAAAADT/97o=")</f>
        <v>#REF!</v>
      </c>
      <c r="GF295" t="e">
        <f>AND(#REF!,"AAAAADT/97s=")</f>
        <v>#REF!</v>
      </c>
      <c r="GG295" t="e">
        <f>AND(#REF!,"AAAAADT/97w=")</f>
        <v>#REF!</v>
      </c>
      <c r="GH295" t="e">
        <f>AND(#REF!,"AAAAADT/970=")</f>
        <v>#REF!</v>
      </c>
      <c r="GI295" t="e">
        <f>AND(#REF!,"AAAAADT/974=")</f>
        <v>#REF!</v>
      </c>
      <c r="GJ295" t="e">
        <f>AND(#REF!,"AAAAADT/978=")</f>
        <v>#REF!</v>
      </c>
      <c r="GK295" t="e">
        <f>AND(#REF!,"AAAAADT/98A=")</f>
        <v>#REF!</v>
      </c>
      <c r="GL295" t="e">
        <f>AND(#REF!,"AAAAADT/98E=")</f>
        <v>#REF!</v>
      </c>
      <c r="GM295" t="e">
        <f>AND(#REF!,"AAAAADT/98I=")</f>
        <v>#REF!</v>
      </c>
      <c r="GN295" t="e">
        <f>AND(#REF!,"AAAAADT/98M=")</f>
        <v>#REF!</v>
      </c>
      <c r="GO295" t="e">
        <f>AND(#REF!,"AAAAADT/98Q=")</f>
        <v>#REF!</v>
      </c>
      <c r="GP295" t="e">
        <f>AND(#REF!,"AAAAADT/98U=")</f>
        <v>#REF!</v>
      </c>
      <c r="GQ295" t="e">
        <f>AND(#REF!,"AAAAADT/98Y=")</f>
        <v>#REF!</v>
      </c>
      <c r="GR295" t="e">
        <f>AND(#REF!,"AAAAADT/98c=")</f>
        <v>#REF!</v>
      </c>
      <c r="GS295" t="e">
        <f>AND(#REF!,"AAAAADT/98g=")</f>
        <v>#REF!</v>
      </c>
      <c r="GT295" t="e">
        <f>AND(#REF!,"AAAAADT/98k=")</f>
        <v>#REF!</v>
      </c>
      <c r="GU295" t="e">
        <f>AND(#REF!,"AAAAADT/98o=")</f>
        <v>#REF!</v>
      </c>
      <c r="GV295" t="e">
        <f>AND(#REF!,"AAAAADT/98s=")</f>
        <v>#REF!</v>
      </c>
      <c r="GW295" t="e">
        <f>AND(#REF!,"AAAAADT/98w=")</f>
        <v>#REF!</v>
      </c>
      <c r="GX295" t="e">
        <f>AND(#REF!,"AAAAADT/980=")</f>
        <v>#REF!</v>
      </c>
      <c r="GY295" t="e">
        <f>AND(#REF!,"AAAAADT/984=")</f>
        <v>#REF!</v>
      </c>
      <c r="GZ295" t="e">
        <f>AND(#REF!,"AAAAADT/988=")</f>
        <v>#REF!</v>
      </c>
      <c r="HA295" t="e">
        <f>AND(#REF!,"AAAAADT/99A=")</f>
        <v>#REF!</v>
      </c>
      <c r="HB295" t="e">
        <f>AND(#REF!,"AAAAADT/99E=")</f>
        <v>#REF!</v>
      </c>
      <c r="HC295" t="e">
        <f>AND(#REF!,"AAAAADT/99I=")</f>
        <v>#REF!</v>
      </c>
      <c r="HD295" t="e">
        <f>AND(#REF!,"AAAAADT/99M=")</f>
        <v>#REF!</v>
      </c>
      <c r="HE295" t="e">
        <f>AND(#REF!,"AAAAADT/99Q=")</f>
        <v>#REF!</v>
      </c>
      <c r="HF295" t="e">
        <f>AND(#REF!,"AAAAADT/99U=")</f>
        <v>#REF!</v>
      </c>
      <c r="HG295" t="e">
        <f>AND(#REF!,"AAAAADT/99Y=")</f>
        <v>#REF!</v>
      </c>
      <c r="HH295" t="e">
        <f>AND(#REF!,"AAAAADT/99c=")</f>
        <v>#REF!</v>
      </c>
      <c r="HI295" t="e">
        <f>AND(#REF!,"AAAAADT/99g=")</f>
        <v>#REF!</v>
      </c>
      <c r="HJ295" t="e">
        <f>AND(#REF!,"AAAAADT/99k=")</f>
        <v>#REF!</v>
      </c>
      <c r="HK295" t="e">
        <f>AND(#REF!,"AAAAADT/99o=")</f>
        <v>#REF!</v>
      </c>
      <c r="HL295" t="e">
        <f>AND(#REF!,"AAAAADT/99s=")</f>
        <v>#REF!</v>
      </c>
      <c r="HM295" t="e">
        <f>AND(#REF!,"AAAAADT/99w=")</f>
        <v>#REF!</v>
      </c>
      <c r="HN295" t="e">
        <f>AND(#REF!,"AAAAADT/990=")</f>
        <v>#REF!</v>
      </c>
      <c r="HO295" t="e">
        <f>AND(#REF!,"AAAAADT/994=")</f>
        <v>#REF!</v>
      </c>
      <c r="HP295" t="e">
        <f>AND(#REF!,"AAAAADT/998=")</f>
        <v>#REF!</v>
      </c>
      <c r="HQ295" t="e">
        <f>AND(#REF!,"AAAAADT/9+A=")</f>
        <v>#REF!</v>
      </c>
      <c r="HR295" t="e">
        <f>AND(#REF!,"AAAAADT/9+E=")</f>
        <v>#REF!</v>
      </c>
      <c r="HS295" t="e">
        <f>AND(#REF!,"AAAAADT/9+I=")</f>
        <v>#REF!</v>
      </c>
      <c r="HT295" t="e">
        <f>AND(#REF!,"AAAAADT/9+M=")</f>
        <v>#REF!</v>
      </c>
      <c r="HU295" t="e">
        <f>AND(#REF!,"AAAAADT/9+Q=")</f>
        <v>#REF!</v>
      </c>
      <c r="HV295" t="e">
        <f>AND(#REF!,"AAAAADT/9+U=")</f>
        <v>#REF!</v>
      </c>
      <c r="HW295" t="e">
        <f>AND(#REF!,"AAAAADT/9+Y=")</f>
        <v>#REF!</v>
      </c>
      <c r="HX295" t="e">
        <f>AND(#REF!,"AAAAADT/9+c=")</f>
        <v>#REF!</v>
      </c>
      <c r="HY295" t="e">
        <f>AND(#REF!,"AAAAADT/9+g=")</f>
        <v>#REF!</v>
      </c>
      <c r="HZ295" t="e">
        <f>AND(#REF!,"AAAAADT/9+k=")</f>
        <v>#REF!</v>
      </c>
      <c r="IA295" t="e">
        <f>AND(#REF!,"AAAAADT/9+o=")</f>
        <v>#REF!</v>
      </c>
      <c r="IB295" t="e">
        <f>AND(#REF!,"AAAAADT/9+s=")</f>
        <v>#REF!</v>
      </c>
      <c r="IC295" t="e">
        <f>AND(#REF!,"AAAAADT/9+w=")</f>
        <v>#REF!</v>
      </c>
      <c r="ID295" t="e">
        <f>AND(#REF!,"AAAAADT/9+0=")</f>
        <v>#REF!</v>
      </c>
      <c r="IE295" t="e">
        <f>AND(#REF!,"AAAAADT/9+4=")</f>
        <v>#REF!</v>
      </c>
      <c r="IF295" t="e">
        <f>AND(#REF!,"AAAAADT/9+8=")</f>
        <v>#REF!</v>
      </c>
      <c r="IG295" t="e">
        <f>AND(#REF!,"AAAAADT/9/A=")</f>
        <v>#REF!</v>
      </c>
      <c r="IH295" t="e">
        <f>AND(#REF!,"AAAAADT/9/E=")</f>
        <v>#REF!</v>
      </c>
      <c r="II295" t="e">
        <f>AND(#REF!,"AAAAADT/9/I=")</f>
        <v>#REF!</v>
      </c>
      <c r="IJ295" t="e">
        <f>AND(#REF!,"AAAAADT/9/M=")</f>
        <v>#REF!</v>
      </c>
      <c r="IK295" t="e">
        <f>AND(#REF!,"AAAAADT/9/Q=")</f>
        <v>#REF!</v>
      </c>
      <c r="IL295" t="e">
        <f>AND(#REF!,"AAAAADT/9/U=")</f>
        <v>#REF!</v>
      </c>
      <c r="IM295" t="e">
        <f>AND(#REF!,"AAAAADT/9/Y=")</f>
        <v>#REF!</v>
      </c>
      <c r="IN295" t="e">
        <f>AND(#REF!,"AAAAADT/9/c=")</f>
        <v>#REF!</v>
      </c>
      <c r="IO295" t="e">
        <f>AND(#REF!,"AAAAADT/9/g=")</f>
        <v>#REF!</v>
      </c>
      <c r="IP295" t="e">
        <f>AND(#REF!,"AAAAADT/9/k=")</f>
        <v>#REF!</v>
      </c>
      <c r="IQ295" t="e">
        <f>AND(#REF!,"AAAAADT/9/o=")</f>
        <v>#REF!</v>
      </c>
      <c r="IR295" t="e">
        <f>AND(#REF!,"AAAAADT/9/s=")</f>
        <v>#REF!</v>
      </c>
      <c r="IS295" t="e">
        <f>AND(#REF!,"AAAAADT/9/w=")</f>
        <v>#REF!</v>
      </c>
      <c r="IT295" t="e">
        <f>AND(#REF!,"AAAAADT/9/0=")</f>
        <v>#REF!</v>
      </c>
      <c r="IU295" t="e">
        <f>AND(#REF!,"AAAAADT/9/4=")</f>
        <v>#REF!</v>
      </c>
      <c r="IV295" t="e">
        <f>AND(#REF!,"AAAAADT/9/8=")</f>
        <v>#REF!</v>
      </c>
    </row>
    <row r="296" spans="1:256" x14ac:dyDescent="0.25">
      <c r="A296" t="e">
        <f>AND(#REF!,"AAAAAG792wA=")</f>
        <v>#REF!</v>
      </c>
      <c r="B296" t="e">
        <f>AND(#REF!,"AAAAAG792wE=")</f>
        <v>#REF!</v>
      </c>
      <c r="C296" t="e">
        <f>AND(#REF!,"AAAAAG792wI=")</f>
        <v>#REF!</v>
      </c>
      <c r="D296" t="e">
        <f>AND(#REF!,"AAAAAG792wM=")</f>
        <v>#REF!</v>
      </c>
      <c r="E296" t="e">
        <f>AND(#REF!,"AAAAAG792wQ=")</f>
        <v>#REF!</v>
      </c>
      <c r="F296" t="e">
        <f>AND(#REF!,"AAAAAG792wU=")</f>
        <v>#REF!</v>
      </c>
      <c r="G296" t="e">
        <f>AND(#REF!,"AAAAAG792wY=")</f>
        <v>#REF!</v>
      </c>
      <c r="H296" t="e">
        <f>AND(#REF!,"AAAAAG792wc=")</f>
        <v>#REF!</v>
      </c>
      <c r="I296" t="e">
        <f>AND(#REF!,"AAAAAG792wg=")</f>
        <v>#REF!</v>
      </c>
      <c r="J296" t="e">
        <f>AND(#REF!,"AAAAAG792wk=")</f>
        <v>#REF!</v>
      </c>
      <c r="K296" t="e">
        <f>AND(#REF!,"AAAAAG792wo=")</f>
        <v>#REF!</v>
      </c>
      <c r="L296" t="e">
        <f>AND(#REF!,"AAAAAG792ws=")</f>
        <v>#REF!</v>
      </c>
      <c r="M296" t="e">
        <f>AND(#REF!,"AAAAAG792ww=")</f>
        <v>#REF!</v>
      </c>
      <c r="N296" t="e">
        <f>AND(#REF!,"AAAAAG792w0=")</f>
        <v>#REF!</v>
      </c>
      <c r="O296" t="e">
        <f>AND(#REF!,"AAAAAG792w4=")</f>
        <v>#REF!</v>
      </c>
      <c r="P296" t="e">
        <f>AND(#REF!,"AAAAAG792w8=")</f>
        <v>#REF!</v>
      </c>
      <c r="Q296" t="e">
        <f>AND(#REF!,"AAAAAG792xA=")</f>
        <v>#REF!</v>
      </c>
      <c r="R296" t="e">
        <f>AND(#REF!,"AAAAAG792xE=")</f>
        <v>#REF!</v>
      </c>
      <c r="S296" t="e">
        <f>AND(#REF!,"AAAAAG792xI=")</f>
        <v>#REF!</v>
      </c>
      <c r="T296" t="e">
        <f>AND(#REF!,"AAAAAG792xM=")</f>
        <v>#REF!</v>
      </c>
      <c r="U296" t="e">
        <f>AND(#REF!,"AAAAAG792xQ=")</f>
        <v>#REF!</v>
      </c>
      <c r="V296" t="e">
        <f>AND(#REF!,"AAAAAG792xU=")</f>
        <v>#REF!</v>
      </c>
      <c r="W296" t="e">
        <f>AND(#REF!,"AAAAAG792xY=")</f>
        <v>#REF!</v>
      </c>
      <c r="X296" t="e">
        <f>AND(#REF!,"AAAAAG792xc=")</f>
        <v>#REF!</v>
      </c>
      <c r="Y296" t="e">
        <f>AND(#REF!,"AAAAAG792xg=")</f>
        <v>#REF!</v>
      </c>
      <c r="Z296" t="e">
        <f>AND(#REF!,"AAAAAG792xk=")</f>
        <v>#REF!</v>
      </c>
      <c r="AA296" t="e">
        <f>AND(#REF!,"AAAAAG792xo=")</f>
        <v>#REF!</v>
      </c>
      <c r="AB296" t="e">
        <f>AND(#REF!,"AAAAAG792xs=")</f>
        <v>#REF!</v>
      </c>
      <c r="AC296" t="e">
        <f>AND(#REF!,"AAAAAG792xw=")</f>
        <v>#REF!</v>
      </c>
      <c r="AD296" t="e">
        <f>AND(#REF!,"AAAAAG792x0=")</f>
        <v>#REF!</v>
      </c>
      <c r="AE296" t="e">
        <f>AND(#REF!,"AAAAAG792x4=")</f>
        <v>#REF!</v>
      </c>
      <c r="AF296" t="e">
        <f>AND(#REF!,"AAAAAG792x8=")</f>
        <v>#REF!</v>
      </c>
      <c r="AG296" t="e">
        <f>AND(#REF!,"AAAAAG792yA=")</f>
        <v>#REF!</v>
      </c>
      <c r="AH296" t="e">
        <f>AND(#REF!,"AAAAAG792yE=")</f>
        <v>#REF!</v>
      </c>
      <c r="AI296" t="e">
        <f>AND(#REF!,"AAAAAG792yI=")</f>
        <v>#REF!</v>
      </c>
      <c r="AJ296" t="e">
        <f>AND(#REF!,"AAAAAG792yM=")</f>
        <v>#REF!</v>
      </c>
      <c r="AK296" t="e">
        <f>AND(#REF!,"AAAAAG792yQ=")</f>
        <v>#REF!</v>
      </c>
      <c r="AL296" t="e">
        <f>AND(#REF!,"AAAAAG792yU=")</f>
        <v>#REF!</v>
      </c>
      <c r="AM296" t="e">
        <f>AND(#REF!,"AAAAAG792yY=")</f>
        <v>#REF!</v>
      </c>
      <c r="AN296" t="e">
        <f>AND(#REF!,"AAAAAG792yc=")</f>
        <v>#REF!</v>
      </c>
      <c r="AO296" t="e">
        <f>AND(#REF!,"AAAAAG792yg=")</f>
        <v>#REF!</v>
      </c>
      <c r="AP296" t="e">
        <f>AND(#REF!,"AAAAAG792yk=")</f>
        <v>#REF!</v>
      </c>
      <c r="AQ296" t="e">
        <f>AND(#REF!,"AAAAAG792yo=")</f>
        <v>#REF!</v>
      </c>
      <c r="AR296" t="e">
        <f>AND(#REF!,"AAAAAG792ys=")</f>
        <v>#REF!</v>
      </c>
      <c r="AS296" t="e">
        <f>AND(#REF!,"AAAAAG792yw=")</f>
        <v>#REF!</v>
      </c>
      <c r="AT296" t="e">
        <f>AND(#REF!,"AAAAAG792y0=")</f>
        <v>#REF!</v>
      </c>
      <c r="AU296" t="e">
        <f>AND(#REF!,"AAAAAG792y4=")</f>
        <v>#REF!</v>
      </c>
      <c r="AV296" t="e">
        <f>AND(#REF!,"AAAAAG792y8=")</f>
        <v>#REF!</v>
      </c>
      <c r="AW296" t="e">
        <f>AND(#REF!,"AAAAAG792zA=")</f>
        <v>#REF!</v>
      </c>
      <c r="AX296" t="e">
        <f>AND(#REF!,"AAAAAG792zE=")</f>
        <v>#REF!</v>
      </c>
      <c r="AY296" t="e">
        <f>AND(#REF!,"AAAAAG792zI=")</f>
        <v>#REF!</v>
      </c>
      <c r="AZ296" t="e">
        <f>AND(#REF!,"AAAAAG792zM=")</f>
        <v>#REF!</v>
      </c>
      <c r="BA296" t="e">
        <f>AND(#REF!,"AAAAAG792zQ=")</f>
        <v>#REF!</v>
      </c>
      <c r="BB296" t="e">
        <f>AND(#REF!,"AAAAAG792zU=")</f>
        <v>#REF!</v>
      </c>
      <c r="BC296" t="e">
        <f>AND(#REF!,"AAAAAG792zY=")</f>
        <v>#REF!</v>
      </c>
      <c r="BD296" t="e">
        <f>AND(#REF!,"AAAAAG792zc=")</f>
        <v>#REF!</v>
      </c>
      <c r="BE296" t="e">
        <f>AND(#REF!,"AAAAAG792zg=")</f>
        <v>#REF!</v>
      </c>
      <c r="BF296" t="e">
        <f>AND(#REF!,"AAAAAG792zk=")</f>
        <v>#REF!</v>
      </c>
      <c r="BG296" t="e">
        <f>AND(#REF!,"AAAAAG792zo=")</f>
        <v>#REF!</v>
      </c>
      <c r="BH296" t="e">
        <f>AND(#REF!,"AAAAAG792zs=")</f>
        <v>#REF!</v>
      </c>
      <c r="BI296" t="e">
        <f>AND(#REF!,"AAAAAG792zw=")</f>
        <v>#REF!</v>
      </c>
      <c r="BJ296" t="e">
        <f>AND(#REF!,"AAAAAG792z0=")</f>
        <v>#REF!</v>
      </c>
      <c r="BK296" t="e">
        <f>AND(#REF!,"AAAAAG792z4=")</f>
        <v>#REF!</v>
      </c>
      <c r="BL296" t="e">
        <f>AND(#REF!,"AAAAAG792z8=")</f>
        <v>#REF!</v>
      </c>
      <c r="BM296" t="e">
        <f>AND(#REF!,"AAAAAG7920A=")</f>
        <v>#REF!</v>
      </c>
      <c r="BN296" t="e">
        <f>AND(#REF!,"AAAAAG7920E=")</f>
        <v>#REF!</v>
      </c>
      <c r="BO296" t="e">
        <f>AND(#REF!,"AAAAAG7920I=")</f>
        <v>#REF!</v>
      </c>
      <c r="BP296" t="e">
        <f>AND(#REF!,"AAAAAG7920M=")</f>
        <v>#REF!</v>
      </c>
      <c r="BQ296" t="e">
        <f>AND(#REF!,"AAAAAG7920Q=")</f>
        <v>#REF!</v>
      </c>
      <c r="BR296" t="e">
        <f>AND(#REF!,"AAAAAG7920U=")</f>
        <v>#REF!</v>
      </c>
      <c r="BS296" t="e">
        <f>AND(#REF!,"AAAAAG7920Y=")</f>
        <v>#REF!</v>
      </c>
      <c r="BT296" t="e">
        <f>AND(#REF!,"AAAAAG7920c=")</f>
        <v>#REF!</v>
      </c>
      <c r="BU296" t="e">
        <f>IF(#REF!,"AAAAAG7920g=",0)</f>
        <v>#REF!</v>
      </c>
      <c r="BV296" t="e">
        <f>AND(#REF!,"AAAAAG7920k=")</f>
        <v>#REF!</v>
      </c>
      <c r="BW296" t="e">
        <f>AND(#REF!,"AAAAAG7920o=")</f>
        <v>#REF!</v>
      </c>
      <c r="BX296" t="e">
        <f>AND(#REF!,"AAAAAG7920s=")</f>
        <v>#REF!</v>
      </c>
      <c r="BY296" t="e">
        <f>AND(#REF!,"AAAAAG7920w=")</f>
        <v>#REF!</v>
      </c>
      <c r="BZ296" t="e">
        <f>AND(#REF!,"AAAAAG79200=")</f>
        <v>#REF!</v>
      </c>
      <c r="CA296" t="e">
        <f>AND(#REF!,"AAAAAG79204=")</f>
        <v>#REF!</v>
      </c>
      <c r="CB296" t="e">
        <f>AND(#REF!,"AAAAAG79208=")</f>
        <v>#REF!</v>
      </c>
      <c r="CC296" t="e">
        <f>AND(#REF!,"AAAAAG7921A=")</f>
        <v>#REF!</v>
      </c>
      <c r="CD296" t="e">
        <f>AND(#REF!,"AAAAAG7921E=")</f>
        <v>#REF!</v>
      </c>
      <c r="CE296" t="e">
        <f>AND(#REF!,"AAAAAG7921I=")</f>
        <v>#REF!</v>
      </c>
      <c r="CF296" t="e">
        <f>AND(#REF!,"AAAAAG7921M=")</f>
        <v>#REF!</v>
      </c>
      <c r="CG296" t="e">
        <f>AND(#REF!,"AAAAAG7921Q=")</f>
        <v>#REF!</v>
      </c>
      <c r="CH296" t="e">
        <f>AND(#REF!,"AAAAAG7921U=")</f>
        <v>#REF!</v>
      </c>
      <c r="CI296" t="e">
        <f>AND(#REF!,"AAAAAG7921Y=")</f>
        <v>#REF!</v>
      </c>
      <c r="CJ296" t="e">
        <f>AND(#REF!,"AAAAAG7921c=")</f>
        <v>#REF!</v>
      </c>
      <c r="CK296" t="e">
        <f>AND(#REF!,"AAAAAG7921g=")</f>
        <v>#REF!</v>
      </c>
      <c r="CL296" t="e">
        <f>AND(#REF!,"AAAAAG7921k=")</f>
        <v>#REF!</v>
      </c>
      <c r="CM296" t="e">
        <f>AND(#REF!,"AAAAAG7921o=")</f>
        <v>#REF!</v>
      </c>
      <c r="CN296" t="e">
        <f>AND(#REF!,"AAAAAG7921s=")</f>
        <v>#REF!</v>
      </c>
      <c r="CO296" t="e">
        <f>AND(#REF!,"AAAAAG7921w=")</f>
        <v>#REF!</v>
      </c>
      <c r="CP296" t="e">
        <f>AND(#REF!,"AAAAAG79210=")</f>
        <v>#REF!</v>
      </c>
      <c r="CQ296" t="e">
        <f>AND(#REF!,"AAAAAG79214=")</f>
        <v>#REF!</v>
      </c>
      <c r="CR296" t="e">
        <f>AND(#REF!,"AAAAAG79218=")</f>
        <v>#REF!</v>
      </c>
      <c r="CS296" t="e">
        <f>AND(#REF!,"AAAAAG7922A=")</f>
        <v>#REF!</v>
      </c>
      <c r="CT296" t="e">
        <f>AND(#REF!,"AAAAAG7922E=")</f>
        <v>#REF!</v>
      </c>
      <c r="CU296" t="e">
        <f>AND(#REF!,"AAAAAG7922I=")</f>
        <v>#REF!</v>
      </c>
      <c r="CV296" t="e">
        <f>AND(#REF!,"AAAAAG7922M=")</f>
        <v>#REF!</v>
      </c>
      <c r="CW296" t="e">
        <f>AND(#REF!,"AAAAAG7922Q=")</f>
        <v>#REF!</v>
      </c>
      <c r="CX296" t="e">
        <f>AND(#REF!,"AAAAAG7922U=")</f>
        <v>#REF!</v>
      </c>
      <c r="CY296" t="e">
        <f>AND(#REF!,"AAAAAG7922Y=")</f>
        <v>#REF!</v>
      </c>
      <c r="CZ296" t="e">
        <f>AND(#REF!,"AAAAAG7922c=")</f>
        <v>#REF!</v>
      </c>
      <c r="DA296" t="e">
        <f>AND(#REF!,"AAAAAG7922g=")</f>
        <v>#REF!</v>
      </c>
      <c r="DB296" t="e">
        <f>AND(#REF!,"AAAAAG7922k=")</f>
        <v>#REF!</v>
      </c>
      <c r="DC296" t="e">
        <f>AND(#REF!,"AAAAAG7922o=")</f>
        <v>#REF!</v>
      </c>
      <c r="DD296" t="e">
        <f>AND(#REF!,"AAAAAG7922s=")</f>
        <v>#REF!</v>
      </c>
      <c r="DE296" t="e">
        <f>AND(#REF!,"AAAAAG7922w=")</f>
        <v>#REF!</v>
      </c>
      <c r="DF296" t="e">
        <f>AND(#REF!,"AAAAAG79220=")</f>
        <v>#REF!</v>
      </c>
      <c r="DG296" t="e">
        <f>AND(#REF!,"AAAAAG79224=")</f>
        <v>#REF!</v>
      </c>
      <c r="DH296" t="e">
        <f>AND(#REF!,"AAAAAG79228=")</f>
        <v>#REF!</v>
      </c>
      <c r="DI296" t="e">
        <f>AND(#REF!,"AAAAAG7923A=")</f>
        <v>#REF!</v>
      </c>
      <c r="DJ296" t="e">
        <f>AND(#REF!,"AAAAAG7923E=")</f>
        <v>#REF!</v>
      </c>
      <c r="DK296" t="e">
        <f>AND(#REF!,"AAAAAG7923I=")</f>
        <v>#REF!</v>
      </c>
      <c r="DL296" t="e">
        <f>AND(#REF!,"AAAAAG7923M=")</f>
        <v>#REF!</v>
      </c>
      <c r="DM296" t="e">
        <f>AND(#REF!,"AAAAAG7923Q=")</f>
        <v>#REF!</v>
      </c>
      <c r="DN296" t="e">
        <f>AND(#REF!,"AAAAAG7923U=")</f>
        <v>#REF!</v>
      </c>
      <c r="DO296" t="e">
        <f>AND(#REF!,"AAAAAG7923Y=")</f>
        <v>#REF!</v>
      </c>
      <c r="DP296" t="e">
        <f>AND(#REF!,"AAAAAG7923c=")</f>
        <v>#REF!</v>
      </c>
      <c r="DQ296" t="e">
        <f>AND(#REF!,"AAAAAG7923g=")</f>
        <v>#REF!</v>
      </c>
      <c r="DR296" t="e">
        <f>AND(#REF!,"AAAAAG7923k=")</f>
        <v>#REF!</v>
      </c>
      <c r="DS296" t="e">
        <f>AND(#REF!,"AAAAAG7923o=")</f>
        <v>#REF!</v>
      </c>
      <c r="DT296" t="e">
        <f>AND(#REF!,"AAAAAG7923s=")</f>
        <v>#REF!</v>
      </c>
      <c r="DU296" t="e">
        <f>AND(#REF!,"AAAAAG7923w=")</f>
        <v>#REF!</v>
      </c>
      <c r="DV296" t="e">
        <f>AND(#REF!,"AAAAAG79230=")</f>
        <v>#REF!</v>
      </c>
      <c r="DW296" t="e">
        <f>AND(#REF!,"AAAAAG79234=")</f>
        <v>#REF!</v>
      </c>
      <c r="DX296" t="e">
        <f>AND(#REF!,"AAAAAG79238=")</f>
        <v>#REF!</v>
      </c>
      <c r="DY296" t="e">
        <f>AND(#REF!,"AAAAAG7924A=")</f>
        <v>#REF!</v>
      </c>
      <c r="DZ296" t="e">
        <f>AND(#REF!,"AAAAAG7924E=")</f>
        <v>#REF!</v>
      </c>
      <c r="EA296" t="e">
        <f>AND(#REF!,"AAAAAG7924I=")</f>
        <v>#REF!</v>
      </c>
      <c r="EB296" t="e">
        <f>AND(#REF!,"AAAAAG7924M=")</f>
        <v>#REF!</v>
      </c>
      <c r="EC296" t="e">
        <f>AND(#REF!,"AAAAAG7924Q=")</f>
        <v>#REF!</v>
      </c>
      <c r="ED296" t="e">
        <f>AND(#REF!,"AAAAAG7924U=")</f>
        <v>#REF!</v>
      </c>
      <c r="EE296" t="e">
        <f>AND(#REF!,"AAAAAG7924Y=")</f>
        <v>#REF!</v>
      </c>
      <c r="EF296" t="e">
        <f>AND(#REF!,"AAAAAG7924c=")</f>
        <v>#REF!</v>
      </c>
      <c r="EG296" t="e">
        <f>AND(#REF!,"AAAAAG7924g=")</f>
        <v>#REF!</v>
      </c>
      <c r="EH296" t="e">
        <f>AND(#REF!,"AAAAAG7924k=")</f>
        <v>#REF!</v>
      </c>
      <c r="EI296" t="e">
        <f>AND(#REF!,"AAAAAG7924o=")</f>
        <v>#REF!</v>
      </c>
      <c r="EJ296" t="e">
        <f>AND(#REF!,"AAAAAG7924s=")</f>
        <v>#REF!</v>
      </c>
      <c r="EK296" t="e">
        <f>AND(#REF!,"AAAAAG7924w=")</f>
        <v>#REF!</v>
      </c>
      <c r="EL296" t="e">
        <f>AND(#REF!,"AAAAAG79240=")</f>
        <v>#REF!</v>
      </c>
      <c r="EM296" t="e">
        <f>AND(#REF!,"AAAAAG79244=")</f>
        <v>#REF!</v>
      </c>
      <c r="EN296" t="e">
        <f>AND(#REF!,"AAAAAG79248=")</f>
        <v>#REF!</v>
      </c>
      <c r="EO296" t="e">
        <f>AND(#REF!,"AAAAAG7925A=")</f>
        <v>#REF!</v>
      </c>
      <c r="EP296" t="e">
        <f>AND(#REF!,"AAAAAG7925E=")</f>
        <v>#REF!</v>
      </c>
      <c r="EQ296" t="e">
        <f>AND(#REF!,"AAAAAG7925I=")</f>
        <v>#REF!</v>
      </c>
      <c r="ER296" t="e">
        <f>AND(#REF!,"AAAAAG7925M=")</f>
        <v>#REF!</v>
      </c>
      <c r="ES296" t="e">
        <f>AND(#REF!,"AAAAAG7925Q=")</f>
        <v>#REF!</v>
      </c>
      <c r="ET296" t="e">
        <f>AND(#REF!,"AAAAAG7925U=")</f>
        <v>#REF!</v>
      </c>
      <c r="EU296" t="e">
        <f>AND(#REF!,"AAAAAG7925Y=")</f>
        <v>#REF!</v>
      </c>
      <c r="EV296" t="e">
        <f>AND(#REF!,"AAAAAG7925c=")</f>
        <v>#REF!</v>
      </c>
      <c r="EW296" t="e">
        <f>AND(#REF!,"AAAAAG7925g=")</f>
        <v>#REF!</v>
      </c>
      <c r="EX296" t="e">
        <f>AND(#REF!,"AAAAAG7925k=")</f>
        <v>#REF!</v>
      </c>
      <c r="EY296" t="e">
        <f>AND(#REF!,"AAAAAG7925o=")</f>
        <v>#REF!</v>
      </c>
      <c r="EZ296" t="e">
        <f>AND(#REF!,"AAAAAG7925s=")</f>
        <v>#REF!</v>
      </c>
      <c r="FA296" t="e">
        <f>AND(#REF!,"AAAAAG7925w=")</f>
        <v>#REF!</v>
      </c>
      <c r="FB296" t="e">
        <f>AND(#REF!,"AAAAAG79250=")</f>
        <v>#REF!</v>
      </c>
      <c r="FC296" t="e">
        <f>AND(#REF!,"AAAAAG79254=")</f>
        <v>#REF!</v>
      </c>
      <c r="FD296" t="e">
        <f>AND(#REF!,"AAAAAG79258=")</f>
        <v>#REF!</v>
      </c>
      <c r="FE296" t="e">
        <f>AND(#REF!,"AAAAAG7926A=")</f>
        <v>#REF!</v>
      </c>
      <c r="FF296" t="e">
        <f>AND(#REF!,"AAAAAG7926E=")</f>
        <v>#REF!</v>
      </c>
      <c r="FG296" t="e">
        <f>AND(#REF!,"AAAAAG7926I=")</f>
        <v>#REF!</v>
      </c>
      <c r="FH296" t="e">
        <f>AND(#REF!,"AAAAAG7926M=")</f>
        <v>#REF!</v>
      </c>
      <c r="FI296" t="e">
        <f>AND(#REF!,"AAAAAG7926Q=")</f>
        <v>#REF!</v>
      </c>
      <c r="FJ296" t="e">
        <f>AND(#REF!,"AAAAAG7926U=")</f>
        <v>#REF!</v>
      </c>
      <c r="FK296" t="e">
        <f>AND(#REF!,"AAAAAG7926Y=")</f>
        <v>#REF!</v>
      </c>
      <c r="FL296" t="e">
        <f>AND(#REF!,"AAAAAG7926c=")</f>
        <v>#REF!</v>
      </c>
      <c r="FM296" t="e">
        <f>AND(#REF!,"AAAAAG7926g=")</f>
        <v>#REF!</v>
      </c>
      <c r="FN296" t="e">
        <f>AND(#REF!,"AAAAAG7926k=")</f>
        <v>#REF!</v>
      </c>
      <c r="FO296" t="e">
        <f>AND(#REF!,"AAAAAG7926o=")</f>
        <v>#REF!</v>
      </c>
      <c r="FP296" t="e">
        <f>AND(#REF!,"AAAAAG7926s=")</f>
        <v>#REF!</v>
      </c>
      <c r="FQ296" t="e">
        <f>AND(#REF!,"AAAAAG7926w=")</f>
        <v>#REF!</v>
      </c>
      <c r="FR296" t="e">
        <f>AND(#REF!,"AAAAAG79260=")</f>
        <v>#REF!</v>
      </c>
      <c r="FS296" t="e">
        <f>AND(#REF!,"AAAAAG79264=")</f>
        <v>#REF!</v>
      </c>
      <c r="FT296" t="e">
        <f>AND(#REF!,"AAAAAG79268=")</f>
        <v>#REF!</v>
      </c>
      <c r="FU296" t="e">
        <f>AND(#REF!,"AAAAAG7927A=")</f>
        <v>#REF!</v>
      </c>
      <c r="FV296" t="e">
        <f>AND(#REF!,"AAAAAG7927E=")</f>
        <v>#REF!</v>
      </c>
      <c r="FW296" t="e">
        <f>AND(#REF!,"AAAAAG7927I=")</f>
        <v>#REF!</v>
      </c>
      <c r="FX296" t="e">
        <f>AND(#REF!,"AAAAAG7927M=")</f>
        <v>#REF!</v>
      </c>
      <c r="FY296" t="e">
        <f>AND(#REF!,"AAAAAG7927Q=")</f>
        <v>#REF!</v>
      </c>
      <c r="FZ296" t="e">
        <f>AND(#REF!,"AAAAAG7927U=")</f>
        <v>#REF!</v>
      </c>
      <c r="GA296" t="e">
        <f>AND(#REF!,"AAAAAG7927Y=")</f>
        <v>#REF!</v>
      </c>
      <c r="GB296" t="e">
        <f>AND(#REF!,"AAAAAG7927c=")</f>
        <v>#REF!</v>
      </c>
      <c r="GC296" t="e">
        <f>AND(#REF!,"AAAAAG7927g=")</f>
        <v>#REF!</v>
      </c>
      <c r="GD296" t="e">
        <f>AND(#REF!,"AAAAAG7927k=")</f>
        <v>#REF!</v>
      </c>
      <c r="GE296" t="e">
        <f>AND(#REF!,"AAAAAG7927o=")</f>
        <v>#REF!</v>
      </c>
      <c r="GF296" t="e">
        <f>AND(#REF!,"AAAAAG7927s=")</f>
        <v>#REF!</v>
      </c>
      <c r="GG296" t="e">
        <f>AND(#REF!,"AAAAAG7927w=")</f>
        <v>#REF!</v>
      </c>
      <c r="GH296" t="e">
        <f>AND(#REF!,"AAAAAG79270=")</f>
        <v>#REF!</v>
      </c>
      <c r="GI296" t="e">
        <f>AND(#REF!,"AAAAAG79274=")</f>
        <v>#REF!</v>
      </c>
      <c r="GJ296" t="e">
        <f>AND(#REF!,"AAAAAG79278=")</f>
        <v>#REF!</v>
      </c>
      <c r="GK296" t="e">
        <f>AND(#REF!,"AAAAAG7928A=")</f>
        <v>#REF!</v>
      </c>
      <c r="GL296" t="e">
        <f>AND(#REF!,"AAAAAG7928E=")</f>
        <v>#REF!</v>
      </c>
      <c r="GM296" t="e">
        <f>AND(#REF!,"AAAAAG7928I=")</f>
        <v>#REF!</v>
      </c>
      <c r="GN296" t="e">
        <f>AND(#REF!,"AAAAAG7928M=")</f>
        <v>#REF!</v>
      </c>
      <c r="GO296" t="e">
        <f>AND(#REF!,"AAAAAG7928Q=")</f>
        <v>#REF!</v>
      </c>
      <c r="GP296" t="e">
        <f>AND(#REF!,"AAAAAG7928U=")</f>
        <v>#REF!</v>
      </c>
      <c r="GQ296" t="e">
        <f>AND(#REF!,"AAAAAG7928Y=")</f>
        <v>#REF!</v>
      </c>
      <c r="GR296" t="e">
        <f>AND(#REF!,"AAAAAG7928c=")</f>
        <v>#REF!</v>
      </c>
      <c r="GS296" t="e">
        <f>AND(#REF!,"AAAAAG7928g=")</f>
        <v>#REF!</v>
      </c>
      <c r="GT296" t="e">
        <f>AND(#REF!,"AAAAAG7928k=")</f>
        <v>#REF!</v>
      </c>
      <c r="GU296" t="e">
        <f>AND(#REF!,"AAAAAG7928o=")</f>
        <v>#REF!</v>
      </c>
      <c r="GV296" t="e">
        <f>AND(#REF!,"AAAAAG7928s=")</f>
        <v>#REF!</v>
      </c>
      <c r="GW296" t="e">
        <f>AND(#REF!,"AAAAAG7928w=")</f>
        <v>#REF!</v>
      </c>
      <c r="GX296" t="e">
        <f>AND(#REF!,"AAAAAG79280=")</f>
        <v>#REF!</v>
      </c>
      <c r="GY296" t="e">
        <f>AND(#REF!,"AAAAAG79284=")</f>
        <v>#REF!</v>
      </c>
      <c r="GZ296" t="e">
        <f>AND(#REF!,"AAAAAG79288=")</f>
        <v>#REF!</v>
      </c>
      <c r="HA296" t="e">
        <f>AND(#REF!,"AAAAAG7929A=")</f>
        <v>#REF!</v>
      </c>
      <c r="HB296" t="e">
        <f>AND(#REF!,"AAAAAG7929E=")</f>
        <v>#REF!</v>
      </c>
      <c r="HC296" t="e">
        <f>AND(#REF!,"AAAAAG7929I=")</f>
        <v>#REF!</v>
      </c>
      <c r="HD296" t="e">
        <f>AND(#REF!,"AAAAAG7929M=")</f>
        <v>#REF!</v>
      </c>
      <c r="HE296" t="e">
        <f>AND(#REF!,"AAAAAG7929Q=")</f>
        <v>#REF!</v>
      </c>
      <c r="HF296" t="e">
        <f>AND(#REF!,"AAAAAG7929U=")</f>
        <v>#REF!</v>
      </c>
      <c r="HG296" t="e">
        <f>AND(#REF!,"AAAAAG7929Y=")</f>
        <v>#REF!</v>
      </c>
      <c r="HH296" t="e">
        <f>AND(#REF!,"AAAAAG7929c=")</f>
        <v>#REF!</v>
      </c>
      <c r="HI296" t="e">
        <f>AND(#REF!,"AAAAAG7929g=")</f>
        <v>#REF!</v>
      </c>
      <c r="HJ296" t="e">
        <f>AND(#REF!,"AAAAAG7929k=")</f>
        <v>#REF!</v>
      </c>
      <c r="HK296" t="e">
        <f>AND(#REF!,"AAAAAG7929o=")</f>
        <v>#REF!</v>
      </c>
      <c r="HL296" t="e">
        <f>AND(#REF!,"AAAAAG7929s=")</f>
        <v>#REF!</v>
      </c>
      <c r="HM296" t="e">
        <f>AND(#REF!,"AAAAAG7929w=")</f>
        <v>#REF!</v>
      </c>
      <c r="HN296" t="e">
        <f>AND(#REF!,"AAAAAG79290=")</f>
        <v>#REF!</v>
      </c>
      <c r="HO296" t="e">
        <f>AND(#REF!,"AAAAAG79294=")</f>
        <v>#REF!</v>
      </c>
      <c r="HP296" t="e">
        <f>AND(#REF!,"AAAAAG79298=")</f>
        <v>#REF!</v>
      </c>
      <c r="HQ296" t="e">
        <f>AND(#REF!,"AAAAAG792+A=")</f>
        <v>#REF!</v>
      </c>
      <c r="HR296" t="e">
        <f>AND(#REF!,"AAAAAG792+E=")</f>
        <v>#REF!</v>
      </c>
      <c r="HS296" t="e">
        <f>AND(#REF!,"AAAAAG792+I=")</f>
        <v>#REF!</v>
      </c>
      <c r="HT296" t="e">
        <f>AND(#REF!,"AAAAAG792+M=")</f>
        <v>#REF!</v>
      </c>
      <c r="HU296" t="e">
        <f>AND(#REF!,"AAAAAG792+Q=")</f>
        <v>#REF!</v>
      </c>
      <c r="HV296" t="e">
        <f>AND(#REF!,"AAAAAG792+U=")</f>
        <v>#REF!</v>
      </c>
      <c r="HW296" t="e">
        <f>AND(#REF!,"AAAAAG792+Y=")</f>
        <v>#REF!</v>
      </c>
      <c r="HX296" t="e">
        <f>AND(#REF!,"AAAAAG792+c=")</f>
        <v>#REF!</v>
      </c>
      <c r="HY296" t="e">
        <f>AND(#REF!,"AAAAAG792+g=")</f>
        <v>#REF!</v>
      </c>
      <c r="HZ296" t="e">
        <f>AND(#REF!,"AAAAAG792+k=")</f>
        <v>#REF!</v>
      </c>
      <c r="IA296" t="e">
        <f>AND(#REF!,"AAAAAG792+o=")</f>
        <v>#REF!</v>
      </c>
      <c r="IB296" t="e">
        <f>AND(#REF!,"AAAAAG792+s=")</f>
        <v>#REF!</v>
      </c>
      <c r="IC296" t="e">
        <f>AND(#REF!,"AAAAAG792+w=")</f>
        <v>#REF!</v>
      </c>
      <c r="ID296" t="e">
        <f>AND(#REF!,"AAAAAG792+0=")</f>
        <v>#REF!</v>
      </c>
      <c r="IE296" t="e">
        <f>AND(#REF!,"AAAAAG792+4=")</f>
        <v>#REF!</v>
      </c>
      <c r="IF296" t="e">
        <f>AND(#REF!,"AAAAAG792+8=")</f>
        <v>#REF!</v>
      </c>
      <c r="IG296" t="e">
        <f>AND(#REF!,"AAAAAG792/A=")</f>
        <v>#REF!</v>
      </c>
      <c r="IH296" t="e">
        <f>AND(#REF!,"AAAAAG792/E=")</f>
        <v>#REF!</v>
      </c>
      <c r="II296" t="e">
        <f>AND(#REF!,"AAAAAG792/I=")</f>
        <v>#REF!</v>
      </c>
      <c r="IJ296" t="e">
        <f>AND(#REF!,"AAAAAG792/M=")</f>
        <v>#REF!</v>
      </c>
      <c r="IK296" t="e">
        <f>AND(#REF!,"AAAAAG792/Q=")</f>
        <v>#REF!</v>
      </c>
      <c r="IL296" t="e">
        <f>AND(#REF!,"AAAAAG792/U=")</f>
        <v>#REF!</v>
      </c>
      <c r="IM296" t="e">
        <f>AND(#REF!,"AAAAAG792/Y=")</f>
        <v>#REF!</v>
      </c>
      <c r="IN296" t="e">
        <f>AND(#REF!,"AAAAAG792/c=")</f>
        <v>#REF!</v>
      </c>
      <c r="IO296" t="e">
        <f>AND(#REF!,"AAAAAG792/g=")</f>
        <v>#REF!</v>
      </c>
      <c r="IP296" t="e">
        <f>AND(#REF!,"AAAAAG792/k=")</f>
        <v>#REF!</v>
      </c>
      <c r="IQ296" t="e">
        <f>AND(#REF!,"AAAAAG792/o=")</f>
        <v>#REF!</v>
      </c>
      <c r="IR296" t="e">
        <f>AND(#REF!,"AAAAAG792/s=")</f>
        <v>#REF!</v>
      </c>
      <c r="IS296" t="e">
        <f>AND(#REF!,"AAAAAG792/w=")</f>
        <v>#REF!</v>
      </c>
      <c r="IT296" t="e">
        <f>AND(#REF!,"AAAAAG792/0=")</f>
        <v>#REF!</v>
      </c>
      <c r="IU296" t="e">
        <f>AND(#REF!,"AAAAAG792/4=")</f>
        <v>#REF!</v>
      </c>
      <c r="IV296" t="e">
        <f>AND(#REF!,"AAAAAG792/8=")</f>
        <v>#REF!</v>
      </c>
    </row>
    <row r="297" spans="1:256" x14ac:dyDescent="0.25">
      <c r="A297" t="e">
        <f>AND(#REF!,"AAAAAHl6TwA=")</f>
        <v>#REF!</v>
      </c>
      <c r="B297" t="e">
        <f>AND(#REF!,"AAAAAHl6TwE=")</f>
        <v>#REF!</v>
      </c>
      <c r="C297" t="e">
        <f>AND(#REF!,"AAAAAHl6TwI=")</f>
        <v>#REF!</v>
      </c>
      <c r="D297" t="e">
        <f>AND(#REF!,"AAAAAHl6TwM=")</f>
        <v>#REF!</v>
      </c>
      <c r="E297" t="e">
        <f>AND(#REF!,"AAAAAHl6TwQ=")</f>
        <v>#REF!</v>
      </c>
      <c r="F297" t="e">
        <f>IF(#REF!,"AAAAAHl6TwU=",0)</f>
        <v>#REF!</v>
      </c>
      <c r="G297" t="e">
        <f>AND(#REF!,"AAAAAHl6TwY=")</f>
        <v>#REF!</v>
      </c>
      <c r="H297" t="e">
        <f>AND(#REF!,"AAAAAHl6Twc=")</f>
        <v>#REF!</v>
      </c>
      <c r="I297" t="e">
        <f>AND(#REF!,"AAAAAHl6Twg=")</f>
        <v>#REF!</v>
      </c>
      <c r="J297" t="e">
        <f>AND(#REF!,"AAAAAHl6Twk=")</f>
        <v>#REF!</v>
      </c>
      <c r="K297" t="e">
        <f>AND(#REF!,"AAAAAHl6Two=")</f>
        <v>#REF!</v>
      </c>
      <c r="L297" t="e">
        <f>AND(#REF!,"AAAAAHl6Tws=")</f>
        <v>#REF!</v>
      </c>
      <c r="M297" t="e">
        <f>AND(#REF!,"AAAAAHl6Tww=")</f>
        <v>#REF!</v>
      </c>
      <c r="N297" t="e">
        <f>AND(#REF!,"AAAAAHl6Tw0=")</f>
        <v>#REF!</v>
      </c>
      <c r="O297" t="e">
        <f>AND(#REF!,"AAAAAHl6Tw4=")</f>
        <v>#REF!</v>
      </c>
      <c r="P297" t="e">
        <f>AND(#REF!,"AAAAAHl6Tw8=")</f>
        <v>#REF!</v>
      </c>
      <c r="Q297" t="e">
        <f>AND(#REF!,"AAAAAHl6TxA=")</f>
        <v>#REF!</v>
      </c>
      <c r="R297" t="e">
        <f>AND(#REF!,"AAAAAHl6TxE=")</f>
        <v>#REF!</v>
      </c>
      <c r="S297" t="e">
        <f>AND(#REF!,"AAAAAHl6TxI=")</f>
        <v>#REF!</v>
      </c>
      <c r="T297" t="e">
        <f>AND(#REF!,"AAAAAHl6TxM=")</f>
        <v>#REF!</v>
      </c>
      <c r="U297" t="e">
        <f>AND(#REF!,"AAAAAHl6TxQ=")</f>
        <v>#REF!</v>
      </c>
      <c r="V297" t="e">
        <f>AND(#REF!,"AAAAAHl6TxU=")</f>
        <v>#REF!</v>
      </c>
      <c r="W297" t="e">
        <f>AND(#REF!,"AAAAAHl6TxY=")</f>
        <v>#REF!</v>
      </c>
      <c r="X297" t="e">
        <f>AND(#REF!,"AAAAAHl6Txc=")</f>
        <v>#REF!</v>
      </c>
      <c r="Y297" t="e">
        <f>AND(#REF!,"AAAAAHl6Txg=")</f>
        <v>#REF!</v>
      </c>
      <c r="Z297" t="e">
        <f>AND(#REF!,"AAAAAHl6Txk=")</f>
        <v>#REF!</v>
      </c>
      <c r="AA297" t="e">
        <f>AND(#REF!,"AAAAAHl6Txo=")</f>
        <v>#REF!</v>
      </c>
      <c r="AB297" t="e">
        <f>AND(#REF!,"AAAAAHl6Txs=")</f>
        <v>#REF!</v>
      </c>
      <c r="AC297" t="e">
        <f>AND(#REF!,"AAAAAHl6Txw=")</f>
        <v>#REF!</v>
      </c>
      <c r="AD297" t="e">
        <f>AND(#REF!,"AAAAAHl6Tx0=")</f>
        <v>#REF!</v>
      </c>
      <c r="AE297" t="e">
        <f>AND(#REF!,"AAAAAHl6Tx4=")</f>
        <v>#REF!</v>
      </c>
      <c r="AF297" t="e">
        <f>AND(#REF!,"AAAAAHl6Tx8=")</f>
        <v>#REF!</v>
      </c>
      <c r="AG297" t="e">
        <f>AND(#REF!,"AAAAAHl6TyA=")</f>
        <v>#REF!</v>
      </c>
      <c r="AH297" t="e">
        <f>AND(#REF!,"AAAAAHl6TyE=")</f>
        <v>#REF!</v>
      </c>
      <c r="AI297" t="e">
        <f>AND(#REF!,"AAAAAHl6TyI=")</f>
        <v>#REF!</v>
      </c>
      <c r="AJ297" t="e">
        <f>AND(#REF!,"AAAAAHl6TyM=")</f>
        <v>#REF!</v>
      </c>
      <c r="AK297" t="e">
        <f>AND(#REF!,"AAAAAHl6TyQ=")</f>
        <v>#REF!</v>
      </c>
      <c r="AL297" t="e">
        <f>AND(#REF!,"AAAAAHl6TyU=")</f>
        <v>#REF!</v>
      </c>
      <c r="AM297" t="e">
        <f>AND(#REF!,"AAAAAHl6TyY=")</f>
        <v>#REF!</v>
      </c>
      <c r="AN297" t="e">
        <f>AND(#REF!,"AAAAAHl6Tyc=")</f>
        <v>#REF!</v>
      </c>
      <c r="AO297" t="e">
        <f>AND(#REF!,"AAAAAHl6Tyg=")</f>
        <v>#REF!</v>
      </c>
      <c r="AP297" t="e">
        <f>AND(#REF!,"AAAAAHl6Tyk=")</f>
        <v>#REF!</v>
      </c>
      <c r="AQ297" t="e">
        <f>AND(#REF!,"AAAAAHl6Tyo=")</f>
        <v>#REF!</v>
      </c>
      <c r="AR297" t="e">
        <f>AND(#REF!,"AAAAAHl6Tys=")</f>
        <v>#REF!</v>
      </c>
      <c r="AS297" t="e">
        <f>AND(#REF!,"AAAAAHl6Tyw=")</f>
        <v>#REF!</v>
      </c>
      <c r="AT297" t="e">
        <f>AND(#REF!,"AAAAAHl6Ty0=")</f>
        <v>#REF!</v>
      </c>
      <c r="AU297" t="e">
        <f>AND(#REF!,"AAAAAHl6Ty4=")</f>
        <v>#REF!</v>
      </c>
      <c r="AV297" t="e">
        <f>AND(#REF!,"AAAAAHl6Ty8=")</f>
        <v>#REF!</v>
      </c>
      <c r="AW297" t="e">
        <f>AND(#REF!,"AAAAAHl6TzA=")</f>
        <v>#REF!</v>
      </c>
      <c r="AX297" t="e">
        <f>AND(#REF!,"AAAAAHl6TzE=")</f>
        <v>#REF!</v>
      </c>
      <c r="AY297" t="e">
        <f>AND(#REF!,"AAAAAHl6TzI=")</f>
        <v>#REF!</v>
      </c>
      <c r="AZ297" t="e">
        <f>AND(#REF!,"AAAAAHl6TzM=")</f>
        <v>#REF!</v>
      </c>
      <c r="BA297" t="e">
        <f>AND(#REF!,"AAAAAHl6TzQ=")</f>
        <v>#REF!</v>
      </c>
      <c r="BB297" t="e">
        <f>AND(#REF!,"AAAAAHl6TzU=")</f>
        <v>#REF!</v>
      </c>
      <c r="BC297" t="e">
        <f>AND(#REF!,"AAAAAHl6TzY=")</f>
        <v>#REF!</v>
      </c>
      <c r="BD297" t="e">
        <f>AND(#REF!,"AAAAAHl6Tzc=")</f>
        <v>#REF!</v>
      </c>
      <c r="BE297" t="e">
        <f>AND(#REF!,"AAAAAHl6Tzg=")</f>
        <v>#REF!</v>
      </c>
      <c r="BF297" t="e">
        <f>AND(#REF!,"AAAAAHl6Tzk=")</f>
        <v>#REF!</v>
      </c>
      <c r="BG297" t="e">
        <f>AND(#REF!,"AAAAAHl6Tzo=")</f>
        <v>#REF!</v>
      </c>
      <c r="BH297" t="e">
        <f>AND(#REF!,"AAAAAHl6Tzs=")</f>
        <v>#REF!</v>
      </c>
      <c r="BI297" t="e">
        <f>AND(#REF!,"AAAAAHl6Tzw=")</f>
        <v>#REF!</v>
      </c>
      <c r="BJ297" t="e">
        <f>AND(#REF!,"AAAAAHl6Tz0=")</f>
        <v>#REF!</v>
      </c>
      <c r="BK297" t="e">
        <f>AND(#REF!,"AAAAAHl6Tz4=")</f>
        <v>#REF!</v>
      </c>
      <c r="BL297" t="e">
        <f>AND(#REF!,"AAAAAHl6Tz8=")</f>
        <v>#REF!</v>
      </c>
      <c r="BM297" t="e">
        <f>AND(#REF!,"AAAAAHl6T0A=")</f>
        <v>#REF!</v>
      </c>
      <c r="BN297" t="e">
        <f>AND(#REF!,"AAAAAHl6T0E=")</f>
        <v>#REF!</v>
      </c>
      <c r="BO297" t="e">
        <f>AND(#REF!,"AAAAAHl6T0I=")</f>
        <v>#REF!</v>
      </c>
      <c r="BP297" t="e">
        <f>AND(#REF!,"AAAAAHl6T0M=")</f>
        <v>#REF!</v>
      </c>
      <c r="BQ297" t="e">
        <f>AND(#REF!,"AAAAAHl6T0Q=")</f>
        <v>#REF!</v>
      </c>
      <c r="BR297" t="e">
        <f>AND(#REF!,"AAAAAHl6T0U=")</f>
        <v>#REF!</v>
      </c>
      <c r="BS297" t="e">
        <f>AND(#REF!,"AAAAAHl6T0Y=")</f>
        <v>#REF!</v>
      </c>
      <c r="BT297" t="e">
        <f>AND(#REF!,"AAAAAHl6T0c=")</f>
        <v>#REF!</v>
      </c>
      <c r="BU297" t="e">
        <f>AND(#REF!,"AAAAAHl6T0g=")</f>
        <v>#REF!</v>
      </c>
      <c r="BV297" t="e">
        <f>AND(#REF!,"AAAAAHl6T0k=")</f>
        <v>#REF!</v>
      </c>
      <c r="BW297" t="e">
        <f>AND(#REF!,"AAAAAHl6T0o=")</f>
        <v>#REF!</v>
      </c>
      <c r="BX297" t="e">
        <f>AND(#REF!,"AAAAAHl6T0s=")</f>
        <v>#REF!</v>
      </c>
      <c r="BY297" t="e">
        <f>AND(#REF!,"AAAAAHl6T0w=")</f>
        <v>#REF!</v>
      </c>
      <c r="BZ297" t="e">
        <f>AND(#REF!,"AAAAAHl6T00=")</f>
        <v>#REF!</v>
      </c>
      <c r="CA297" t="e">
        <f>AND(#REF!,"AAAAAHl6T04=")</f>
        <v>#REF!</v>
      </c>
      <c r="CB297" t="e">
        <f>AND(#REF!,"AAAAAHl6T08=")</f>
        <v>#REF!</v>
      </c>
      <c r="CC297" t="e">
        <f>AND(#REF!,"AAAAAHl6T1A=")</f>
        <v>#REF!</v>
      </c>
      <c r="CD297" t="e">
        <f>AND(#REF!,"AAAAAHl6T1E=")</f>
        <v>#REF!</v>
      </c>
      <c r="CE297" t="e">
        <f>AND(#REF!,"AAAAAHl6T1I=")</f>
        <v>#REF!</v>
      </c>
      <c r="CF297" t="e">
        <f>AND(#REF!,"AAAAAHl6T1M=")</f>
        <v>#REF!</v>
      </c>
      <c r="CG297" t="e">
        <f>AND(#REF!,"AAAAAHl6T1Q=")</f>
        <v>#REF!</v>
      </c>
      <c r="CH297" t="e">
        <f>AND(#REF!,"AAAAAHl6T1U=")</f>
        <v>#REF!</v>
      </c>
      <c r="CI297" t="e">
        <f>AND(#REF!,"AAAAAHl6T1Y=")</f>
        <v>#REF!</v>
      </c>
      <c r="CJ297" t="e">
        <f>AND(#REF!,"AAAAAHl6T1c=")</f>
        <v>#REF!</v>
      </c>
      <c r="CK297" t="e">
        <f>AND(#REF!,"AAAAAHl6T1g=")</f>
        <v>#REF!</v>
      </c>
      <c r="CL297" t="e">
        <f>AND(#REF!,"AAAAAHl6T1k=")</f>
        <v>#REF!</v>
      </c>
      <c r="CM297" t="e">
        <f>AND(#REF!,"AAAAAHl6T1o=")</f>
        <v>#REF!</v>
      </c>
      <c r="CN297" t="e">
        <f>AND(#REF!,"AAAAAHl6T1s=")</f>
        <v>#REF!</v>
      </c>
      <c r="CO297" t="e">
        <f>AND(#REF!,"AAAAAHl6T1w=")</f>
        <v>#REF!</v>
      </c>
      <c r="CP297" t="e">
        <f>AND(#REF!,"AAAAAHl6T10=")</f>
        <v>#REF!</v>
      </c>
      <c r="CQ297" t="e">
        <f>AND(#REF!,"AAAAAHl6T14=")</f>
        <v>#REF!</v>
      </c>
      <c r="CR297" t="e">
        <f>AND(#REF!,"AAAAAHl6T18=")</f>
        <v>#REF!</v>
      </c>
      <c r="CS297" t="e">
        <f>AND(#REF!,"AAAAAHl6T2A=")</f>
        <v>#REF!</v>
      </c>
      <c r="CT297" t="e">
        <f>AND(#REF!,"AAAAAHl6T2E=")</f>
        <v>#REF!</v>
      </c>
      <c r="CU297" t="e">
        <f>AND(#REF!,"AAAAAHl6T2I=")</f>
        <v>#REF!</v>
      </c>
      <c r="CV297" t="e">
        <f>AND(#REF!,"AAAAAHl6T2M=")</f>
        <v>#REF!</v>
      </c>
      <c r="CW297" t="e">
        <f>AND(#REF!,"AAAAAHl6T2Q=")</f>
        <v>#REF!</v>
      </c>
      <c r="CX297" t="e">
        <f>AND(#REF!,"AAAAAHl6T2U=")</f>
        <v>#REF!</v>
      </c>
      <c r="CY297" t="e">
        <f>AND(#REF!,"AAAAAHl6T2Y=")</f>
        <v>#REF!</v>
      </c>
      <c r="CZ297" t="e">
        <f>AND(#REF!,"AAAAAHl6T2c=")</f>
        <v>#REF!</v>
      </c>
      <c r="DA297" t="e">
        <f>AND(#REF!,"AAAAAHl6T2g=")</f>
        <v>#REF!</v>
      </c>
      <c r="DB297" t="e">
        <f>AND(#REF!,"AAAAAHl6T2k=")</f>
        <v>#REF!</v>
      </c>
      <c r="DC297" t="e">
        <f>AND(#REF!,"AAAAAHl6T2o=")</f>
        <v>#REF!</v>
      </c>
      <c r="DD297" t="e">
        <f>AND(#REF!,"AAAAAHl6T2s=")</f>
        <v>#REF!</v>
      </c>
      <c r="DE297" t="e">
        <f>AND(#REF!,"AAAAAHl6T2w=")</f>
        <v>#REF!</v>
      </c>
      <c r="DF297" t="e">
        <f>AND(#REF!,"AAAAAHl6T20=")</f>
        <v>#REF!</v>
      </c>
      <c r="DG297" t="e">
        <f>AND(#REF!,"AAAAAHl6T24=")</f>
        <v>#REF!</v>
      </c>
      <c r="DH297" t="e">
        <f>AND(#REF!,"AAAAAHl6T28=")</f>
        <v>#REF!</v>
      </c>
      <c r="DI297" t="e">
        <f>AND(#REF!,"AAAAAHl6T3A=")</f>
        <v>#REF!</v>
      </c>
      <c r="DJ297" t="e">
        <f>AND(#REF!,"AAAAAHl6T3E=")</f>
        <v>#REF!</v>
      </c>
      <c r="DK297" t="e">
        <f>AND(#REF!,"AAAAAHl6T3I=")</f>
        <v>#REF!</v>
      </c>
      <c r="DL297" t="e">
        <f>AND(#REF!,"AAAAAHl6T3M=")</f>
        <v>#REF!</v>
      </c>
      <c r="DM297" t="e">
        <f>AND(#REF!,"AAAAAHl6T3Q=")</f>
        <v>#REF!</v>
      </c>
      <c r="DN297" t="e">
        <f>AND(#REF!,"AAAAAHl6T3U=")</f>
        <v>#REF!</v>
      </c>
      <c r="DO297" t="e">
        <f>AND(#REF!,"AAAAAHl6T3Y=")</f>
        <v>#REF!</v>
      </c>
      <c r="DP297" t="e">
        <f>AND(#REF!,"AAAAAHl6T3c=")</f>
        <v>#REF!</v>
      </c>
      <c r="DQ297" t="e">
        <f>AND(#REF!,"AAAAAHl6T3g=")</f>
        <v>#REF!</v>
      </c>
      <c r="DR297" t="e">
        <f>AND(#REF!,"AAAAAHl6T3k=")</f>
        <v>#REF!</v>
      </c>
      <c r="DS297" t="e">
        <f>AND(#REF!,"AAAAAHl6T3o=")</f>
        <v>#REF!</v>
      </c>
      <c r="DT297" t="e">
        <f>AND(#REF!,"AAAAAHl6T3s=")</f>
        <v>#REF!</v>
      </c>
      <c r="DU297" t="e">
        <f>AND(#REF!,"AAAAAHl6T3w=")</f>
        <v>#REF!</v>
      </c>
      <c r="DV297" t="e">
        <f>AND(#REF!,"AAAAAHl6T30=")</f>
        <v>#REF!</v>
      </c>
      <c r="DW297" t="e">
        <f>AND(#REF!,"AAAAAHl6T34=")</f>
        <v>#REF!</v>
      </c>
      <c r="DX297" t="e">
        <f>AND(#REF!,"AAAAAHl6T38=")</f>
        <v>#REF!</v>
      </c>
      <c r="DY297" t="e">
        <f>AND(#REF!,"AAAAAHl6T4A=")</f>
        <v>#REF!</v>
      </c>
      <c r="DZ297" t="e">
        <f>AND(#REF!,"AAAAAHl6T4E=")</f>
        <v>#REF!</v>
      </c>
      <c r="EA297" t="e">
        <f>AND(#REF!,"AAAAAHl6T4I=")</f>
        <v>#REF!</v>
      </c>
      <c r="EB297" t="e">
        <f>AND(#REF!,"AAAAAHl6T4M=")</f>
        <v>#REF!</v>
      </c>
      <c r="EC297" t="e">
        <f>AND(#REF!,"AAAAAHl6T4Q=")</f>
        <v>#REF!</v>
      </c>
      <c r="ED297" t="e">
        <f>AND(#REF!,"AAAAAHl6T4U=")</f>
        <v>#REF!</v>
      </c>
      <c r="EE297" t="e">
        <f>AND(#REF!,"AAAAAHl6T4Y=")</f>
        <v>#REF!</v>
      </c>
      <c r="EF297" t="e">
        <f>AND(#REF!,"AAAAAHl6T4c=")</f>
        <v>#REF!</v>
      </c>
      <c r="EG297" t="e">
        <f>AND(#REF!,"AAAAAHl6T4g=")</f>
        <v>#REF!</v>
      </c>
      <c r="EH297" t="e">
        <f>AND(#REF!,"AAAAAHl6T4k=")</f>
        <v>#REF!</v>
      </c>
      <c r="EI297" t="e">
        <f>AND(#REF!,"AAAAAHl6T4o=")</f>
        <v>#REF!</v>
      </c>
      <c r="EJ297" t="e">
        <f>AND(#REF!,"AAAAAHl6T4s=")</f>
        <v>#REF!</v>
      </c>
      <c r="EK297" t="e">
        <f>AND(#REF!,"AAAAAHl6T4w=")</f>
        <v>#REF!</v>
      </c>
      <c r="EL297" t="e">
        <f>AND(#REF!,"AAAAAHl6T40=")</f>
        <v>#REF!</v>
      </c>
      <c r="EM297" t="e">
        <f>AND(#REF!,"AAAAAHl6T44=")</f>
        <v>#REF!</v>
      </c>
      <c r="EN297" t="e">
        <f>AND(#REF!,"AAAAAHl6T48=")</f>
        <v>#REF!</v>
      </c>
      <c r="EO297" t="e">
        <f>AND(#REF!,"AAAAAHl6T5A=")</f>
        <v>#REF!</v>
      </c>
      <c r="EP297" t="e">
        <f>AND(#REF!,"AAAAAHl6T5E=")</f>
        <v>#REF!</v>
      </c>
      <c r="EQ297" t="e">
        <f>AND(#REF!,"AAAAAHl6T5I=")</f>
        <v>#REF!</v>
      </c>
      <c r="ER297" t="e">
        <f>AND(#REF!,"AAAAAHl6T5M=")</f>
        <v>#REF!</v>
      </c>
      <c r="ES297" t="e">
        <f>AND(#REF!,"AAAAAHl6T5Q=")</f>
        <v>#REF!</v>
      </c>
      <c r="ET297" t="e">
        <f>AND(#REF!,"AAAAAHl6T5U=")</f>
        <v>#REF!</v>
      </c>
      <c r="EU297" t="e">
        <f>AND(#REF!,"AAAAAHl6T5Y=")</f>
        <v>#REF!</v>
      </c>
      <c r="EV297" t="e">
        <f>AND(#REF!,"AAAAAHl6T5c=")</f>
        <v>#REF!</v>
      </c>
      <c r="EW297" t="e">
        <f>AND(#REF!,"AAAAAHl6T5g=")</f>
        <v>#REF!</v>
      </c>
      <c r="EX297" t="e">
        <f>AND(#REF!,"AAAAAHl6T5k=")</f>
        <v>#REF!</v>
      </c>
      <c r="EY297" t="e">
        <f>AND(#REF!,"AAAAAHl6T5o=")</f>
        <v>#REF!</v>
      </c>
      <c r="EZ297" t="e">
        <f>AND(#REF!,"AAAAAHl6T5s=")</f>
        <v>#REF!</v>
      </c>
      <c r="FA297" t="e">
        <f>AND(#REF!,"AAAAAHl6T5w=")</f>
        <v>#REF!</v>
      </c>
      <c r="FB297" t="e">
        <f>AND(#REF!,"AAAAAHl6T50=")</f>
        <v>#REF!</v>
      </c>
      <c r="FC297" t="e">
        <f>AND(#REF!,"AAAAAHl6T54=")</f>
        <v>#REF!</v>
      </c>
      <c r="FD297" t="e">
        <f>AND(#REF!,"AAAAAHl6T58=")</f>
        <v>#REF!</v>
      </c>
      <c r="FE297" t="e">
        <f>AND(#REF!,"AAAAAHl6T6A=")</f>
        <v>#REF!</v>
      </c>
      <c r="FF297" t="e">
        <f>AND(#REF!,"AAAAAHl6T6E=")</f>
        <v>#REF!</v>
      </c>
      <c r="FG297" t="e">
        <f>AND(#REF!,"AAAAAHl6T6I=")</f>
        <v>#REF!</v>
      </c>
      <c r="FH297" t="e">
        <f>AND(#REF!,"AAAAAHl6T6M=")</f>
        <v>#REF!</v>
      </c>
      <c r="FI297" t="e">
        <f>AND(#REF!,"AAAAAHl6T6Q=")</f>
        <v>#REF!</v>
      </c>
      <c r="FJ297" t="e">
        <f>AND(#REF!,"AAAAAHl6T6U=")</f>
        <v>#REF!</v>
      </c>
      <c r="FK297" t="e">
        <f>AND(#REF!,"AAAAAHl6T6Y=")</f>
        <v>#REF!</v>
      </c>
      <c r="FL297" t="e">
        <f>AND(#REF!,"AAAAAHl6T6c=")</f>
        <v>#REF!</v>
      </c>
      <c r="FM297" t="e">
        <f>AND(#REF!,"AAAAAHl6T6g=")</f>
        <v>#REF!</v>
      </c>
      <c r="FN297" t="e">
        <f>AND(#REF!,"AAAAAHl6T6k=")</f>
        <v>#REF!</v>
      </c>
      <c r="FO297" t="e">
        <f>AND(#REF!,"AAAAAHl6T6o=")</f>
        <v>#REF!</v>
      </c>
      <c r="FP297" t="e">
        <f>AND(#REF!,"AAAAAHl6T6s=")</f>
        <v>#REF!</v>
      </c>
      <c r="FQ297" t="e">
        <f>AND(#REF!,"AAAAAHl6T6w=")</f>
        <v>#REF!</v>
      </c>
      <c r="FR297" t="e">
        <f>AND(#REF!,"AAAAAHl6T60=")</f>
        <v>#REF!</v>
      </c>
      <c r="FS297" t="e">
        <f>AND(#REF!,"AAAAAHl6T64=")</f>
        <v>#REF!</v>
      </c>
      <c r="FT297" t="e">
        <f>AND(#REF!,"AAAAAHl6T68=")</f>
        <v>#REF!</v>
      </c>
      <c r="FU297" t="e">
        <f>AND(#REF!,"AAAAAHl6T7A=")</f>
        <v>#REF!</v>
      </c>
      <c r="FV297" t="e">
        <f>AND(#REF!,"AAAAAHl6T7E=")</f>
        <v>#REF!</v>
      </c>
      <c r="FW297" t="e">
        <f>AND(#REF!,"AAAAAHl6T7I=")</f>
        <v>#REF!</v>
      </c>
      <c r="FX297" t="e">
        <f>AND(#REF!,"AAAAAHl6T7M=")</f>
        <v>#REF!</v>
      </c>
      <c r="FY297" t="e">
        <f>AND(#REF!,"AAAAAHl6T7Q=")</f>
        <v>#REF!</v>
      </c>
      <c r="FZ297" t="e">
        <f>AND(#REF!,"AAAAAHl6T7U=")</f>
        <v>#REF!</v>
      </c>
      <c r="GA297" t="e">
        <f>AND(#REF!,"AAAAAHl6T7Y=")</f>
        <v>#REF!</v>
      </c>
      <c r="GB297" t="e">
        <f>AND(#REF!,"AAAAAHl6T7c=")</f>
        <v>#REF!</v>
      </c>
      <c r="GC297" t="e">
        <f>AND(#REF!,"AAAAAHl6T7g=")</f>
        <v>#REF!</v>
      </c>
      <c r="GD297" t="e">
        <f>AND(#REF!,"AAAAAHl6T7k=")</f>
        <v>#REF!</v>
      </c>
      <c r="GE297" t="e">
        <f>AND(#REF!,"AAAAAHl6T7o=")</f>
        <v>#REF!</v>
      </c>
      <c r="GF297" t="e">
        <f>AND(#REF!,"AAAAAHl6T7s=")</f>
        <v>#REF!</v>
      </c>
      <c r="GG297" t="e">
        <f>AND(#REF!,"AAAAAHl6T7w=")</f>
        <v>#REF!</v>
      </c>
      <c r="GH297" t="e">
        <f>AND(#REF!,"AAAAAHl6T70=")</f>
        <v>#REF!</v>
      </c>
      <c r="GI297" t="e">
        <f>AND(#REF!,"AAAAAHl6T74=")</f>
        <v>#REF!</v>
      </c>
      <c r="GJ297" t="e">
        <f>AND(#REF!,"AAAAAHl6T78=")</f>
        <v>#REF!</v>
      </c>
      <c r="GK297" t="e">
        <f>AND(#REF!,"AAAAAHl6T8A=")</f>
        <v>#REF!</v>
      </c>
      <c r="GL297" t="e">
        <f>AND(#REF!,"AAAAAHl6T8E=")</f>
        <v>#REF!</v>
      </c>
      <c r="GM297" t="e">
        <f>IF(#REF!,"AAAAAHl6T8I=",0)</f>
        <v>#REF!</v>
      </c>
      <c r="GN297" t="e">
        <f>AND(#REF!,"AAAAAHl6T8M=")</f>
        <v>#REF!</v>
      </c>
      <c r="GO297" t="e">
        <f>AND(#REF!,"AAAAAHl6T8Q=")</f>
        <v>#REF!</v>
      </c>
      <c r="GP297" t="e">
        <f>AND(#REF!,"AAAAAHl6T8U=")</f>
        <v>#REF!</v>
      </c>
      <c r="GQ297" t="e">
        <f>AND(#REF!,"AAAAAHl6T8Y=")</f>
        <v>#REF!</v>
      </c>
      <c r="GR297" t="e">
        <f>AND(#REF!,"AAAAAHl6T8c=")</f>
        <v>#REF!</v>
      </c>
      <c r="GS297" t="e">
        <f>AND(#REF!,"AAAAAHl6T8g=")</f>
        <v>#REF!</v>
      </c>
      <c r="GT297" t="e">
        <f>AND(#REF!,"AAAAAHl6T8k=")</f>
        <v>#REF!</v>
      </c>
      <c r="GU297" t="e">
        <f>AND(#REF!,"AAAAAHl6T8o=")</f>
        <v>#REF!</v>
      </c>
      <c r="GV297" t="e">
        <f>AND(#REF!,"AAAAAHl6T8s=")</f>
        <v>#REF!</v>
      </c>
      <c r="GW297" t="e">
        <f>AND(#REF!,"AAAAAHl6T8w=")</f>
        <v>#REF!</v>
      </c>
      <c r="GX297" t="e">
        <f>IF(#REF!,"AAAAAHl6T80=",0)</f>
        <v>#REF!</v>
      </c>
      <c r="GY297" t="e">
        <f>AND(#REF!,"AAAAAHl6T84=")</f>
        <v>#REF!</v>
      </c>
      <c r="GZ297" t="e">
        <f>AND(#REF!,"AAAAAHl6T88=")</f>
        <v>#REF!</v>
      </c>
      <c r="HA297" t="e">
        <f>AND(#REF!,"AAAAAHl6T9A=")</f>
        <v>#REF!</v>
      </c>
      <c r="HB297" t="e">
        <f>AND(#REF!,"AAAAAHl6T9E=")</f>
        <v>#REF!</v>
      </c>
      <c r="HC297" t="e">
        <f>AND(#REF!,"AAAAAHl6T9I=")</f>
        <v>#REF!</v>
      </c>
      <c r="HD297" t="e">
        <f>AND(#REF!,"AAAAAHl6T9M=")</f>
        <v>#REF!</v>
      </c>
      <c r="HE297" t="e">
        <f>AND(#REF!,"AAAAAHl6T9Q=")</f>
        <v>#REF!</v>
      </c>
      <c r="HF297" t="e">
        <f>AND(#REF!,"AAAAAHl6T9U=")</f>
        <v>#REF!</v>
      </c>
      <c r="HG297" t="e">
        <f>AND(#REF!,"AAAAAHl6T9Y=")</f>
        <v>#REF!</v>
      </c>
      <c r="HH297" t="e">
        <f>AND(#REF!,"AAAAAHl6T9c=")</f>
        <v>#REF!</v>
      </c>
      <c r="HI297" t="e">
        <f>IF(#REF!,"AAAAAHl6T9g=",0)</f>
        <v>#REF!</v>
      </c>
      <c r="HJ297" t="e">
        <f>AND(#REF!,"AAAAAHl6T9k=")</f>
        <v>#REF!</v>
      </c>
      <c r="HK297" t="e">
        <f>AND(#REF!,"AAAAAHl6T9o=")</f>
        <v>#REF!</v>
      </c>
      <c r="HL297" t="e">
        <f>AND(#REF!,"AAAAAHl6T9s=")</f>
        <v>#REF!</v>
      </c>
      <c r="HM297" t="e">
        <f>AND(#REF!,"AAAAAHl6T9w=")</f>
        <v>#REF!</v>
      </c>
      <c r="HN297" t="e">
        <f>AND(#REF!,"AAAAAHl6T90=")</f>
        <v>#REF!</v>
      </c>
      <c r="HO297" t="e">
        <f>AND(#REF!,"AAAAAHl6T94=")</f>
        <v>#REF!</v>
      </c>
      <c r="HP297" t="e">
        <f>AND(#REF!,"AAAAAHl6T98=")</f>
        <v>#REF!</v>
      </c>
      <c r="HQ297" t="e">
        <f>AND(#REF!,"AAAAAHl6T+A=")</f>
        <v>#REF!</v>
      </c>
      <c r="HR297" t="e">
        <f>AND(#REF!,"AAAAAHl6T+E=")</f>
        <v>#REF!</v>
      </c>
      <c r="HS297" t="e">
        <f>AND(#REF!,"AAAAAHl6T+I=")</f>
        <v>#REF!</v>
      </c>
      <c r="HT297" t="e">
        <f>IF(#REF!,"AAAAAHl6T+M=",0)</f>
        <v>#REF!</v>
      </c>
      <c r="HU297" t="e">
        <f>AND(#REF!,"AAAAAHl6T+Q=")</f>
        <v>#REF!</v>
      </c>
      <c r="HV297" t="e">
        <f>AND(#REF!,"AAAAAHl6T+U=")</f>
        <v>#REF!</v>
      </c>
      <c r="HW297" t="e">
        <f>AND(#REF!,"AAAAAHl6T+Y=")</f>
        <v>#REF!</v>
      </c>
      <c r="HX297" t="e">
        <f>AND(#REF!,"AAAAAHl6T+c=")</f>
        <v>#REF!</v>
      </c>
      <c r="HY297" t="e">
        <f>AND(#REF!,"AAAAAHl6T+g=")</f>
        <v>#REF!</v>
      </c>
      <c r="HZ297" t="e">
        <f>AND(#REF!,"AAAAAHl6T+k=")</f>
        <v>#REF!</v>
      </c>
      <c r="IA297" t="e">
        <f>AND(#REF!,"AAAAAHl6T+o=")</f>
        <v>#REF!</v>
      </c>
      <c r="IB297" t="e">
        <f>AND(#REF!,"AAAAAHl6T+s=")</f>
        <v>#REF!</v>
      </c>
      <c r="IC297" t="e">
        <f>AND(#REF!,"AAAAAHl6T+w=")</f>
        <v>#REF!</v>
      </c>
      <c r="ID297" t="e">
        <f>AND(#REF!,"AAAAAHl6T+0=")</f>
        <v>#REF!</v>
      </c>
      <c r="IE297" t="e">
        <f>IF(#REF!,"AAAAAHl6T+4=",0)</f>
        <v>#REF!</v>
      </c>
      <c r="IF297" t="e">
        <f>AND(#REF!,"AAAAAHl6T+8=")</f>
        <v>#REF!</v>
      </c>
      <c r="IG297" t="e">
        <f>AND(#REF!,"AAAAAHl6T/A=")</f>
        <v>#REF!</v>
      </c>
      <c r="IH297" t="e">
        <f>AND(#REF!,"AAAAAHl6T/E=")</f>
        <v>#REF!</v>
      </c>
      <c r="II297" t="e">
        <f>AND(#REF!,"AAAAAHl6T/I=")</f>
        <v>#REF!</v>
      </c>
      <c r="IJ297" t="e">
        <f>AND(#REF!,"AAAAAHl6T/M=")</f>
        <v>#REF!</v>
      </c>
      <c r="IK297" t="e">
        <f>AND(#REF!,"AAAAAHl6T/Q=")</f>
        <v>#REF!</v>
      </c>
      <c r="IL297" t="e">
        <f>AND(#REF!,"AAAAAHl6T/U=")</f>
        <v>#REF!</v>
      </c>
      <c r="IM297" t="e">
        <f>AND(#REF!,"AAAAAHl6T/Y=")</f>
        <v>#REF!</v>
      </c>
      <c r="IN297" t="e">
        <f>AND(#REF!,"AAAAAHl6T/c=")</f>
        <v>#REF!</v>
      </c>
      <c r="IO297" t="e">
        <f>AND(#REF!,"AAAAAHl6T/g=")</f>
        <v>#REF!</v>
      </c>
      <c r="IP297" t="e">
        <f>IF(#REF!,"AAAAAHl6T/k=",0)</f>
        <v>#REF!</v>
      </c>
      <c r="IQ297" t="e">
        <f>AND(#REF!,"AAAAAHl6T/o=")</f>
        <v>#REF!</v>
      </c>
      <c r="IR297" t="e">
        <f>AND(#REF!,"AAAAAHl6T/s=")</f>
        <v>#REF!</v>
      </c>
      <c r="IS297" t="e">
        <f>AND(#REF!,"AAAAAHl6T/w=")</f>
        <v>#REF!</v>
      </c>
      <c r="IT297" t="e">
        <f>AND(#REF!,"AAAAAHl6T/0=")</f>
        <v>#REF!</v>
      </c>
      <c r="IU297" t="e">
        <f>AND(#REF!,"AAAAAHl6T/4=")</f>
        <v>#REF!</v>
      </c>
      <c r="IV297" t="e">
        <f>AND(#REF!,"AAAAAHl6T/8=")</f>
        <v>#REF!</v>
      </c>
    </row>
    <row r="298" spans="1:256" x14ac:dyDescent="0.25">
      <c r="A298" t="e">
        <f>AND(#REF!,"AAAAADHX9wA=")</f>
        <v>#REF!</v>
      </c>
      <c r="B298" t="e">
        <f>AND(#REF!,"AAAAADHX9wE=")</f>
        <v>#REF!</v>
      </c>
      <c r="C298" t="e">
        <f>AND(#REF!,"AAAAADHX9wI=")</f>
        <v>#REF!</v>
      </c>
      <c r="D298" t="e">
        <f>AND(#REF!,"AAAAADHX9wM=")</f>
        <v>#REF!</v>
      </c>
      <c r="E298" t="e">
        <f>IF(#REF!,"AAAAADHX9wQ=",0)</f>
        <v>#REF!</v>
      </c>
      <c r="F298" t="e">
        <f>AND(#REF!,"AAAAADHX9wU=")</f>
        <v>#REF!</v>
      </c>
      <c r="G298" t="e">
        <f>AND(#REF!,"AAAAADHX9wY=")</f>
        <v>#REF!</v>
      </c>
      <c r="H298" t="e">
        <f>AND(#REF!,"AAAAADHX9wc=")</f>
        <v>#REF!</v>
      </c>
      <c r="I298" t="e">
        <f>AND(#REF!,"AAAAADHX9wg=")</f>
        <v>#REF!</v>
      </c>
      <c r="J298" t="e">
        <f>AND(#REF!,"AAAAADHX9wk=")</f>
        <v>#REF!</v>
      </c>
      <c r="K298" t="e">
        <f>AND(#REF!,"AAAAADHX9wo=")</f>
        <v>#REF!</v>
      </c>
      <c r="L298" t="e">
        <f>AND(#REF!,"AAAAADHX9ws=")</f>
        <v>#REF!</v>
      </c>
      <c r="M298" t="e">
        <f>AND(#REF!,"AAAAADHX9ww=")</f>
        <v>#REF!</v>
      </c>
      <c r="N298" t="e">
        <f>AND(#REF!,"AAAAADHX9w0=")</f>
        <v>#REF!</v>
      </c>
      <c r="O298" t="e">
        <f>AND(#REF!,"AAAAADHX9w4=")</f>
        <v>#REF!</v>
      </c>
      <c r="P298" t="e">
        <f>IF(#REF!,"AAAAADHX9w8=",0)</f>
        <v>#REF!</v>
      </c>
      <c r="Q298" t="e">
        <f>AND(#REF!,"AAAAADHX9xA=")</f>
        <v>#REF!</v>
      </c>
      <c r="R298" t="e">
        <f>AND(#REF!,"AAAAADHX9xE=")</f>
        <v>#REF!</v>
      </c>
      <c r="S298" t="e">
        <f>AND(#REF!,"AAAAADHX9xI=")</f>
        <v>#REF!</v>
      </c>
      <c r="T298" t="e">
        <f>AND(#REF!,"AAAAADHX9xM=")</f>
        <v>#REF!</v>
      </c>
      <c r="U298" t="e">
        <f>AND(#REF!,"AAAAADHX9xQ=")</f>
        <v>#REF!</v>
      </c>
      <c r="V298" t="e">
        <f>AND(#REF!,"AAAAADHX9xU=")</f>
        <v>#REF!</v>
      </c>
      <c r="W298" t="e">
        <f>AND(#REF!,"AAAAADHX9xY=")</f>
        <v>#REF!</v>
      </c>
      <c r="X298" t="e">
        <f>AND(#REF!,"AAAAADHX9xc=")</f>
        <v>#REF!</v>
      </c>
      <c r="Y298" t="e">
        <f>AND(#REF!,"AAAAADHX9xg=")</f>
        <v>#REF!</v>
      </c>
      <c r="Z298" t="e">
        <f>AND(#REF!,"AAAAADHX9xk=")</f>
        <v>#REF!</v>
      </c>
      <c r="AA298" t="e">
        <f>IF(#REF!,"AAAAADHX9xo=",0)</f>
        <v>#REF!</v>
      </c>
      <c r="AB298" t="e">
        <f>AND(#REF!,"AAAAADHX9xs=")</f>
        <v>#REF!</v>
      </c>
      <c r="AC298" t="e">
        <f>AND(#REF!,"AAAAADHX9xw=")</f>
        <v>#REF!</v>
      </c>
      <c r="AD298" t="e">
        <f>AND(#REF!,"AAAAADHX9x0=")</f>
        <v>#REF!</v>
      </c>
      <c r="AE298" t="e">
        <f>AND(#REF!,"AAAAADHX9x4=")</f>
        <v>#REF!</v>
      </c>
      <c r="AF298" t="e">
        <f>AND(#REF!,"AAAAADHX9x8=")</f>
        <v>#REF!</v>
      </c>
      <c r="AG298" t="e">
        <f>AND(#REF!,"AAAAADHX9yA=")</f>
        <v>#REF!</v>
      </c>
      <c r="AH298" t="e">
        <f>AND(#REF!,"AAAAADHX9yE=")</f>
        <v>#REF!</v>
      </c>
      <c r="AI298" t="e">
        <f>AND(#REF!,"AAAAADHX9yI=")</f>
        <v>#REF!</v>
      </c>
      <c r="AJ298" t="e">
        <f>AND(#REF!,"AAAAADHX9yM=")</f>
        <v>#REF!</v>
      </c>
      <c r="AK298" t="e">
        <f>AND(#REF!,"AAAAADHX9yQ=")</f>
        <v>#REF!</v>
      </c>
      <c r="AL298" t="e">
        <f>IF(#REF!,"AAAAADHX9yU=",0)</f>
        <v>#REF!</v>
      </c>
      <c r="AM298" t="e">
        <f>AND(#REF!,"AAAAADHX9yY=")</f>
        <v>#REF!</v>
      </c>
      <c r="AN298" t="e">
        <f>AND(#REF!,"AAAAADHX9yc=")</f>
        <v>#REF!</v>
      </c>
      <c r="AO298" t="e">
        <f>AND(#REF!,"AAAAADHX9yg=")</f>
        <v>#REF!</v>
      </c>
      <c r="AP298" t="e">
        <f>AND(#REF!,"AAAAADHX9yk=")</f>
        <v>#REF!</v>
      </c>
      <c r="AQ298" t="e">
        <f>AND(#REF!,"AAAAADHX9yo=")</f>
        <v>#REF!</v>
      </c>
      <c r="AR298" t="e">
        <f>AND(#REF!,"AAAAADHX9ys=")</f>
        <v>#REF!</v>
      </c>
      <c r="AS298" t="e">
        <f>AND(#REF!,"AAAAADHX9yw=")</f>
        <v>#REF!</v>
      </c>
      <c r="AT298" t="e">
        <f>AND(#REF!,"AAAAADHX9y0=")</f>
        <v>#REF!</v>
      </c>
      <c r="AU298" t="e">
        <f>AND(#REF!,"AAAAADHX9y4=")</f>
        <v>#REF!</v>
      </c>
      <c r="AV298" t="e">
        <f>AND(#REF!,"AAAAADHX9y8=")</f>
        <v>#REF!</v>
      </c>
      <c r="AW298" t="e">
        <f>IF(#REF!,"AAAAADHX9zA=",0)</f>
        <v>#REF!</v>
      </c>
      <c r="AX298" t="e">
        <f>AND(#REF!,"AAAAADHX9zE=")</f>
        <v>#REF!</v>
      </c>
      <c r="AY298" t="e">
        <f>AND(#REF!,"AAAAADHX9zI=")</f>
        <v>#REF!</v>
      </c>
      <c r="AZ298" t="e">
        <f>AND(#REF!,"AAAAADHX9zM=")</f>
        <v>#REF!</v>
      </c>
      <c r="BA298" t="e">
        <f>AND(#REF!,"AAAAADHX9zQ=")</f>
        <v>#REF!</v>
      </c>
      <c r="BB298" t="e">
        <f>AND(#REF!,"AAAAADHX9zU=")</f>
        <v>#REF!</v>
      </c>
      <c r="BC298" t="e">
        <f>AND(#REF!,"AAAAADHX9zY=")</f>
        <v>#REF!</v>
      </c>
      <c r="BD298" t="e">
        <f>AND(#REF!,"AAAAADHX9zc=")</f>
        <v>#REF!</v>
      </c>
      <c r="BE298" t="e">
        <f>AND(#REF!,"AAAAADHX9zg=")</f>
        <v>#REF!</v>
      </c>
      <c r="BF298" t="e">
        <f>AND(#REF!,"AAAAADHX9zk=")</f>
        <v>#REF!</v>
      </c>
      <c r="BG298" t="e">
        <f>AND(#REF!,"AAAAADHX9zo=")</f>
        <v>#REF!</v>
      </c>
      <c r="BH298" t="e">
        <f>IF(#REF!,"AAAAADHX9zs=",0)</f>
        <v>#REF!</v>
      </c>
      <c r="BI298" t="e">
        <f>AND(#REF!,"AAAAADHX9zw=")</f>
        <v>#REF!</v>
      </c>
      <c r="BJ298" t="e">
        <f>AND(#REF!,"AAAAADHX9z0=")</f>
        <v>#REF!</v>
      </c>
      <c r="BK298" t="e">
        <f>AND(#REF!,"AAAAADHX9z4=")</f>
        <v>#REF!</v>
      </c>
      <c r="BL298" t="e">
        <f>AND(#REF!,"AAAAADHX9z8=")</f>
        <v>#REF!</v>
      </c>
      <c r="BM298" t="e">
        <f>AND(#REF!,"AAAAADHX90A=")</f>
        <v>#REF!</v>
      </c>
      <c r="BN298" t="e">
        <f>AND(#REF!,"AAAAADHX90E=")</f>
        <v>#REF!</v>
      </c>
      <c r="BO298" t="e">
        <f>AND(#REF!,"AAAAADHX90I=")</f>
        <v>#REF!</v>
      </c>
      <c r="BP298" t="e">
        <f>AND(#REF!,"AAAAADHX90M=")</f>
        <v>#REF!</v>
      </c>
      <c r="BQ298" t="e">
        <f>AND(#REF!,"AAAAADHX90Q=")</f>
        <v>#REF!</v>
      </c>
      <c r="BR298" t="e">
        <f>AND(#REF!,"AAAAADHX90U=")</f>
        <v>#REF!</v>
      </c>
      <c r="BS298" t="e">
        <f>IF(#REF!,"AAAAADHX90Y=",0)</f>
        <v>#REF!</v>
      </c>
      <c r="BT298" t="e">
        <f>AND(#REF!,"AAAAADHX90c=")</f>
        <v>#REF!</v>
      </c>
      <c r="BU298" t="e">
        <f>AND(#REF!,"AAAAADHX90g=")</f>
        <v>#REF!</v>
      </c>
      <c r="BV298" t="e">
        <f>AND(#REF!,"AAAAADHX90k=")</f>
        <v>#REF!</v>
      </c>
      <c r="BW298" t="e">
        <f>AND(#REF!,"AAAAADHX90o=")</f>
        <v>#REF!</v>
      </c>
      <c r="BX298" t="e">
        <f>AND(#REF!,"AAAAADHX90s=")</f>
        <v>#REF!</v>
      </c>
      <c r="BY298" t="e">
        <f>AND(#REF!,"AAAAADHX90w=")</f>
        <v>#REF!</v>
      </c>
      <c r="BZ298" t="e">
        <f>AND(#REF!,"AAAAADHX900=")</f>
        <v>#REF!</v>
      </c>
      <c r="CA298" t="e">
        <f>AND(#REF!,"AAAAADHX904=")</f>
        <v>#REF!</v>
      </c>
      <c r="CB298" t="e">
        <f>AND(#REF!,"AAAAADHX908=")</f>
        <v>#REF!</v>
      </c>
      <c r="CC298" t="e">
        <f>AND(#REF!,"AAAAADHX91A=")</f>
        <v>#REF!</v>
      </c>
      <c r="CD298" t="e">
        <f>IF(#REF!,"AAAAADHX91E=",0)</f>
        <v>#REF!</v>
      </c>
      <c r="CE298" t="e">
        <f>AND(#REF!,"AAAAADHX91I=")</f>
        <v>#REF!</v>
      </c>
      <c r="CF298" t="e">
        <f>AND(#REF!,"AAAAADHX91M=")</f>
        <v>#REF!</v>
      </c>
      <c r="CG298" t="e">
        <f>AND(#REF!,"AAAAADHX91Q=")</f>
        <v>#REF!</v>
      </c>
      <c r="CH298" t="e">
        <f>AND(#REF!,"AAAAADHX91U=")</f>
        <v>#REF!</v>
      </c>
      <c r="CI298" t="e">
        <f>AND(#REF!,"AAAAADHX91Y=")</f>
        <v>#REF!</v>
      </c>
      <c r="CJ298" t="e">
        <f>AND(#REF!,"AAAAADHX91c=")</f>
        <v>#REF!</v>
      </c>
      <c r="CK298" t="e">
        <f>AND(#REF!,"AAAAADHX91g=")</f>
        <v>#REF!</v>
      </c>
      <c r="CL298" t="e">
        <f>AND(#REF!,"AAAAADHX91k=")</f>
        <v>#REF!</v>
      </c>
      <c r="CM298" t="e">
        <f>AND(#REF!,"AAAAADHX91o=")</f>
        <v>#REF!</v>
      </c>
      <c r="CN298" t="e">
        <f>AND(#REF!,"AAAAADHX91s=")</f>
        <v>#REF!</v>
      </c>
      <c r="CO298" t="e">
        <f>IF(#REF!,"AAAAADHX91w=",0)</f>
        <v>#REF!</v>
      </c>
      <c r="CP298" t="e">
        <f>AND(#REF!,"AAAAADHX910=")</f>
        <v>#REF!</v>
      </c>
      <c r="CQ298" t="e">
        <f>AND(#REF!,"AAAAADHX914=")</f>
        <v>#REF!</v>
      </c>
      <c r="CR298" t="e">
        <f>AND(#REF!,"AAAAADHX918=")</f>
        <v>#REF!</v>
      </c>
      <c r="CS298" t="e">
        <f>AND(#REF!,"AAAAADHX92A=")</f>
        <v>#REF!</v>
      </c>
      <c r="CT298" t="e">
        <f>AND(#REF!,"AAAAADHX92E=")</f>
        <v>#REF!</v>
      </c>
      <c r="CU298" t="e">
        <f>AND(#REF!,"AAAAADHX92I=")</f>
        <v>#REF!</v>
      </c>
      <c r="CV298" t="e">
        <f>AND(#REF!,"AAAAADHX92M=")</f>
        <v>#REF!</v>
      </c>
      <c r="CW298" t="e">
        <f>AND(#REF!,"AAAAADHX92Q=")</f>
        <v>#REF!</v>
      </c>
      <c r="CX298" t="e">
        <f>AND(#REF!,"AAAAADHX92U=")</f>
        <v>#REF!</v>
      </c>
      <c r="CY298" t="e">
        <f>AND(#REF!,"AAAAADHX92Y=")</f>
        <v>#REF!</v>
      </c>
      <c r="CZ298" t="e">
        <f>IF(#REF!,"AAAAADHX92c=",0)</f>
        <v>#REF!</v>
      </c>
      <c r="DA298" t="e">
        <f>AND(#REF!,"AAAAADHX92g=")</f>
        <v>#REF!</v>
      </c>
      <c r="DB298" t="e">
        <f>AND(#REF!,"AAAAADHX92k=")</f>
        <v>#REF!</v>
      </c>
      <c r="DC298" t="e">
        <f>AND(#REF!,"AAAAADHX92o=")</f>
        <v>#REF!</v>
      </c>
      <c r="DD298" t="e">
        <f>AND(#REF!,"AAAAADHX92s=")</f>
        <v>#REF!</v>
      </c>
      <c r="DE298" t="e">
        <f>AND(#REF!,"AAAAADHX92w=")</f>
        <v>#REF!</v>
      </c>
      <c r="DF298" t="e">
        <f>AND(#REF!,"AAAAADHX920=")</f>
        <v>#REF!</v>
      </c>
      <c r="DG298" t="e">
        <f>AND(#REF!,"AAAAADHX924=")</f>
        <v>#REF!</v>
      </c>
      <c r="DH298" t="e">
        <f>AND(#REF!,"AAAAADHX928=")</f>
        <v>#REF!</v>
      </c>
      <c r="DI298" t="e">
        <f>AND(#REF!,"AAAAADHX93A=")</f>
        <v>#REF!</v>
      </c>
      <c r="DJ298" t="e">
        <f>AND(#REF!,"AAAAADHX93E=")</f>
        <v>#REF!</v>
      </c>
      <c r="DK298" t="e">
        <f>IF(#REF!,"AAAAADHX93I=",0)</f>
        <v>#REF!</v>
      </c>
      <c r="DL298" t="e">
        <f>AND(#REF!,"AAAAADHX93M=")</f>
        <v>#REF!</v>
      </c>
      <c r="DM298" t="e">
        <f>AND(#REF!,"AAAAADHX93Q=")</f>
        <v>#REF!</v>
      </c>
      <c r="DN298" t="e">
        <f>AND(#REF!,"AAAAADHX93U=")</f>
        <v>#REF!</v>
      </c>
      <c r="DO298" t="e">
        <f>AND(#REF!,"AAAAADHX93Y=")</f>
        <v>#REF!</v>
      </c>
      <c r="DP298" t="e">
        <f>AND(#REF!,"AAAAADHX93c=")</f>
        <v>#REF!</v>
      </c>
      <c r="DQ298" t="e">
        <f>AND(#REF!,"AAAAADHX93g=")</f>
        <v>#REF!</v>
      </c>
      <c r="DR298" t="e">
        <f>AND(#REF!,"AAAAADHX93k=")</f>
        <v>#REF!</v>
      </c>
      <c r="DS298" t="e">
        <f>AND(#REF!,"AAAAADHX93o=")</f>
        <v>#REF!</v>
      </c>
      <c r="DT298" t="e">
        <f>AND(#REF!,"AAAAADHX93s=")</f>
        <v>#REF!</v>
      </c>
      <c r="DU298" t="e">
        <f>AND(#REF!,"AAAAADHX93w=")</f>
        <v>#REF!</v>
      </c>
      <c r="DV298" t="e">
        <f>IF(#REF!,"AAAAADHX930=",0)</f>
        <v>#REF!</v>
      </c>
      <c r="DW298" t="e">
        <f>AND(#REF!,"AAAAADHX934=")</f>
        <v>#REF!</v>
      </c>
      <c r="DX298" t="e">
        <f>AND(#REF!,"AAAAADHX938=")</f>
        <v>#REF!</v>
      </c>
      <c r="DY298" t="e">
        <f>AND(#REF!,"AAAAADHX94A=")</f>
        <v>#REF!</v>
      </c>
      <c r="DZ298" t="e">
        <f>AND(#REF!,"AAAAADHX94E=")</f>
        <v>#REF!</v>
      </c>
      <c r="EA298" t="e">
        <f>AND(#REF!,"AAAAADHX94I=")</f>
        <v>#REF!</v>
      </c>
      <c r="EB298" t="e">
        <f>AND(#REF!,"AAAAADHX94M=")</f>
        <v>#REF!</v>
      </c>
      <c r="EC298" t="e">
        <f>AND(#REF!,"AAAAADHX94Q=")</f>
        <v>#REF!</v>
      </c>
      <c r="ED298" t="e">
        <f>AND(#REF!,"AAAAADHX94U=")</f>
        <v>#REF!</v>
      </c>
      <c r="EE298" t="e">
        <f>AND(#REF!,"AAAAADHX94Y=")</f>
        <v>#REF!</v>
      </c>
      <c r="EF298" t="e">
        <f>AND(#REF!,"AAAAADHX94c=")</f>
        <v>#REF!</v>
      </c>
      <c r="EG298" t="e">
        <f>IF(#REF!,"AAAAADHX94g=",0)</f>
        <v>#REF!</v>
      </c>
      <c r="EH298" t="e">
        <f>AND(#REF!,"AAAAADHX94k=")</f>
        <v>#REF!</v>
      </c>
      <c r="EI298" t="e">
        <f>AND(#REF!,"AAAAADHX94o=")</f>
        <v>#REF!</v>
      </c>
      <c r="EJ298" t="e">
        <f>AND(#REF!,"AAAAADHX94s=")</f>
        <v>#REF!</v>
      </c>
      <c r="EK298" t="e">
        <f>AND(#REF!,"AAAAADHX94w=")</f>
        <v>#REF!</v>
      </c>
      <c r="EL298" t="e">
        <f>AND(#REF!,"AAAAADHX940=")</f>
        <v>#REF!</v>
      </c>
      <c r="EM298" t="e">
        <f>AND(#REF!,"AAAAADHX944=")</f>
        <v>#REF!</v>
      </c>
      <c r="EN298" t="e">
        <f>AND(#REF!,"AAAAADHX948=")</f>
        <v>#REF!</v>
      </c>
      <c r="EO298" t="e">
        <f>AND(#REF!,"AAAAADHX95A=")</f>
        <v>#REF!</v>
      </c>
      <c r="EP298" t="e">
        <f>AND(#REF!,"AAAAADHX95E=")</f>
        <v>#REF!</v>
      </c>
      <c r="EQ298" t="e">
        <f>AND(#REF!,"AAAAADHX95I=")</f>
        <v>#REF!</v>
      </c>
      <c r="ER298" t="e">
        <f>IF(#REF!,"AAAAADHX95M=",0)</f>
        <v>#REF!</v>
      </c>
      <c r="ES298" t="e">
        <f>AND(#REF!,"AAAAADHX95Q=")</f>
        <v>#REF!</v>
      </c>
      <c r="ET298" t="e">
        <f>AND(#REF!,"AAAAADHX95U=")</f>
        <v>#REF!</v>
      </c>
      <c r="EU298" t="e">
        <f>AND(#REF!,"AAAAADHX95Y=")</f>
        <v>#REF!</v>
      </c>
      <c r="EV298" t="e">
        <f>AND(#REF!,"AAAAADHX95c=")</f>
        <v>#REF!</v>
      </c>
      <c r="EW298" t="e">
        <f>AND(#REF!,"AAAAADHX95g=")</f>
        <v>#REF!</v>
      </c>
      <c r="EX298" t="e">
        <f>AND(#REF!,"AAAAADHX95k=")</f>
        <v>#REF!</v>
      </c>
      <c r="EY298" t="e">
        <f>AND(#REF!,"AAAAADHX95o=")</f>
        <v>#REF!</v>
      </c>
      <c r="EZ298" t="e">
        <f>AND(#REF!,"AAAAADHX95s=")</f>
        <v>#REF!</v>
      </c>
      <c r="FA298" t="e">
        <f>AND(#REF!,"AAAAADHX95w=")</f>
        <v>#REF!</v>
      </c>
      <c r="FB298" t="e">
        <f>AND(#REF!,"AAAAADHX950=")</f>
        <v>#REF!</v>
      </c>
      <c r="FC298" t="e">
        <f>IF(#REF!,"AAAAADHX954=",0)</f>
        <v>#REF!</v>
      </c>
      <c r="FD298" t="e">
        <f>IF(#REF!,"AAAAADHX958=",0)</f>
        <v>#REF!</v>
      </c>
      <c r="FE298" t="e">
        <f>IF(#REF!,"AAAAADHX96A=",0)</f>
        <v>#REF!</v>
      </c>
      <c r="FF298" t="e">
        <f>IF(#REF!,"AAAAADHX96E=",0)</f>
        <v>#REF!</v>
      </c>
      <c r="FG298" t="e">
        <f>IF(#REF!,"AAAAADHX96I=",0)</f>
        <v>#REF!</v>
      </c>
      <c r="FH298" t="e">
        <f>IF(#REF!,"AAAAADHX96M=",0)</f>
        <v>#REF!</v>
      </c>
      <c r="FI298" t="e">
        <f>IF(#REF!,"AAAAADHX96Q=",0)</f>
        <v>#REF!</v>
      </c>
      <c r="FJ298" t="e">
        <f>IF(#REF!,"AAAAADHX96U=",0)</f>
        <v>#REF!</v>
      </c>
      <c r="FK298" t="e">
        <f>IF(#REF!,"AAAAADHX96Y=",0)</f>
        <v>#REF!</v>
      </c>
      <c r="FL298" t="e">
        <f>IF(#REF!,"AAAAADHX96c=",0)</f>
        <v>#REF!</v>
      </c>
      <c r="FM298" t="e">
        <f>IF(#REF!,"AAAAADHX96g=",0)</f>
        <v>#REF!</v>
      </c>
      <c r="FN298" t="e">
        <f>IF(#REF!,"AAAAADHX96k=",0)</f>
        <v>#REF!</v>
      </c>
      <c r="FO298" t="e">
        <f>IF(#REF!,"AAAAADHX96o=",0)</f>
        <v>#REF!</v>
      </c>
      <c r="FP298" t="e">
        <f>IF(#REF!,"AAAAADHX96s=",0)</f>
        <v>#REF!</v>
      </c>
      <c r="FQ298" t="e">
        <f>IF(#REF!,"AAAAADHX96w=",0)</f>
        <v>#REF!</v>
      </c>
      <c r="FR298" t="e">
        <f>IF(#REF!,"AAAAADHX960=",0)</f>
        <v>#REF!</v>
      </c>
      <c r="FS298" t="e">
        <f>IF(#REF!,"AAAAADHX964=",0)</f>
        <v>#REF!</v>
      </c>
      <c r="FT298" t="e">
        <f>IF(#REF!,"AAAAADHX968=",0)</f>
        <v>#REF!</v>
      </c>
      <c r="FU298" t="e">
        <f>IF(#REF!,"AAAAADHX97A=",0)</f>
        <v>#REF!</v>
      </c>
      <c r="FV298" t="e">
        <f>IF(#REF!,"AAAAADHX97E=",0)</f>
        <v>#REF!</v>
      </c>
      <c r="FW298" t="e">
        <f>IF(#REF!,"AAAAADHX97I=",0)</f>
        <v>#REF!</v>
      </c>
      <c r="FX298" t="e">
        <f>IF(#REF!,"AAAAADHX97M=",0)</f>
        <v>#REF!</v>
      </c>
      <c r="FY298" t="e">
        <f>IF(#REF!,"AAAAADHX97Q=",0)</f>
        <v>#REF!</v>
      </c>
      <c r="FZ298" t="e">
        <f>IF(#REF!,"AAAAADHX97U=",0)</f>
        <v>#REF!</v>
      </c>
      <c r="GA298" t="e">
        <f>IF(#REF!,"AAAAADHX97Y=",0)</f>
        <v>#REF!</v>
      </c>
      <c r="GB298" t="e">
        <f>IF(#REF!,"AAAAADHX97c=",0)</f>
        <v>#REF!</v>
      </c>
      <c r="GC298" t="e">
        <f>IF(#REF!,"AAAAADHX97g=",0)</f>
        <v>#REF!</v>
      </c>
      <c r="GD298" t="e">
        <f>IF(#REF!,"AAAAADHX97k=",0)</f>
        <v>#REF!</v>
      </c>
      <c r="GE298" t="e">
        <f>IF(#REF!,"AAAAADHX97o=",0)</f>
        <v>#REF!</v>
      </c>
      <c r="GF298" t="e">
        <f>IF(#REF!,"AAAAADHX97s=",0)</f>
        <v>#REF!</v>
      </c>
      <c r="GG298" t="e">
        <f>IF(#REF!,"AAAAADHX97w=",0)</f>
        <v>#REF!</v>
      </c>
      <c r="GH298" t="e">
        <f>IF(#REF!,"AAAAADHX970=",0)</f>
        <v>#REF!</v>
      </c>
      <c r="GI298" t="e">
        <f>IF(#REF!,"AAAAADHX974=",0)</f>
        <v>#REF!</v>
      </c>
      <c r="GJ298" t="e">
        <f>IF(#REF!,"AAAAADHX978=",0)</f>
        <v>#REF!</v>
      </c>
      <c r="GK298" t="e">
        <f>IF(#REF!,"AAAAADHX98A=",0)</f>
        <v>#REF!</v>
      </c>
      <c r="GL298" t="e">
        <f>IF(#REF!,"AAAAADHX98E=",0)</f>
        <v>#REF!</v>
      </c>
      <c r="GM298" t="e">
        <f>IF(#REF!,"AAAAADHX98I=",0)</f>
        <v>#REF!</v>
      </c>
      <c r="GN298" t="e">
        <f>IF(#REF!,"AAAAADHX98M=",0)</f>
        <v>#REF!</v>
      </c>
      <c r="GO298" t="e">
        <f>IF(#REF!,"AAAAADHX98Q=",0)</f>
        <v>#REF!</v>
      </c>
      <c r="GP298" t="e">
        <f>IF(#REF!,"AAAAADHX98U=",0)</f>
        <v>#REF!</v>
      </c>
      <c r="GQ298" t="e">
        <f>IF(#REF!,"AAAAADHX98Y=",0)</f>
        <v>#REF!</v>
      </c>
      <c r="GR298" t="e">
        <f>IF(#REF!,"AAAAADHX98c=",0)</f>
        <v>#REF!</v>
      </c>
      <c r="GS298" t="e">
        <f>IF(#REF!,"AAAAADHX98g=",0)</f>
        <v>#REF!</v>
      </c>
      <c r="GT298" t="e">
        <f>IF(#REF!,"AAAAADHX98k=",0)</f>
        <v>#REF!</v>
      </c>
      <c r="GU298" t="e">
        <f>IF(#REF!,"AAAAADHX98o=",0)</f>
        <v>#REF!</v>
      </c>
      <c r="GV298" t="e">
        <f>IF(#REF!,"AAAAADHX98s=",0)</f>
        <v>#REF!</v>
      </c>
      <c r="GW298" t="e">
        <f>IF(#REF!,"AAAAADHX98w=",0)</f>
        <v>#REF!</v>
      </c>
      <c r="GX298" t="e">
        <f>IF(#REF!,"AAAAADHX980=",0)</f>
        <v>#REF!</v>
      </c>
      <c r="GY298" t="e">
        <f>IF(#REF!,"AAAAADHX984=",0)</f>
        <v>#REF!</v>
      </c>
      <c r="GZ298" t="e">
        <f>IF(#REF!,"AAAAADHX988=",0)</f>
        <v>#REF!</v>
      </c>
      <c r="HA298" t="e">
        <f>IF(#REF!,"AAAAADHX99A=",0)</f>
        <v>#REF!</v>
      </c>
      <c r="HB298" t="e">
        <f>IF(#REF!,"AAAAADHX99E=",0)</f>
        <v>#REF!</v>
      </c>
      <c r="HC298" t="e">
        <f>IF(#REF!,"AAAAADHX99I=",0)</f>
        <v>#REF!</v>
      </c>
      <c r="HD298" t="e">
        <f>IF(#REF!,"AAAAADHX99M=",0)</f>
        <v>#REF!</v>
      </c>
      <c r="HE298" t="e">
        <f>IF(#REF!,"AAAAADHX99Q=",0)</f>
        <v>#REF!</v>
      </c>
      <c r="HF298" t="e">
        <f>IF(#REF!,"AAAAADHX99U=",0)</f>
        <v>#REF!</v>
      </c>
      <c r="HG298" t="e">
        <f>IF(#REF!,"AAAAADHX99Y=",0)</f>
        <v>#REF!</v>
      </c>
      <c r="HH298" t="e">
        <f>IF(#REF!,"AAAAADHX99c=",0)</f>
        <v>#REF!</v>
      </c>
      <c r="HI298" t="e">
        <f>IF(#REF!,"AAAAADHX99g=",0)</f>
        <v>#REF!</v>
      </c>
      <c r="HJ298" t="e">
        <f>IF(#REF!,"AAAAADHX99k=",0)</f>
        <v>#REF!</v>
      </c>
      <c r="HK298" t="e">
        <f>IF(#REF!,"AAAAADHX99o=",0)</f>
        <v>#REF!</v>
      </c>
      <c r="HL298" t="e">
        <f>IF(#REF!,"AAAAADHX99s=",0)</f>
        <v>#REF!</v>
      </c>
      <c r="HM298" t="e">
        <f>IF(#REF!,"AAAAADHX99w=",0)</f>
        <v>#REF!</v>
      </c>
      <c r="HN298" t="e">
        <f>IF(#REF!,"AAAAADHX990=",0)</f>
        <v>#REF!</v>
      </c>
      <c r="HO298" t="e">
        <f>IF(#REF!,"AAAAADHX994=",0)</f>
        <v>#REF!</v>
      </c>
      <c r="HP298" t="e">
        <f>IF(#REF!,"AAAAADHX998=",0)</f>
        <v>#REF!</v>
      </c>
      <c r="HQ298" t="e">
        <f>IF(#REF!,"AAAAADHX9+A=",0)</f>
        <v>#REF!</v>
      </c>
      <c r="HR298" t="e">
        <f>IF(#REF!,"AAAAADHX9+E=",0)</f>
        <v>#REF!</v>
      </c>
      <c r="HS298" t="e">
        <f>IF(#REF!,"AAAAADHX9+I=",0)</f>
        <v>#REF!</v>
      </c>
      <c r="HT298" t="e">
        <f>IF(#REF!,"AAAAADHX9+M=",0)</f>
        <v>#REF!</v>
      </c>
      <c r="HU298" t="e">
        <f>IF(#REF!,"AAAAADHX9+Q=",0)</f>
        <v>#REF!</v>
      </c>
      <c r="HV298" t="e">
        <f>IF(#REF!,"AAAAADHX9+U=",0)</f>
        <v>#REF!</v>
      </c>
      <c r="HW298" t="e">
        <f>IF(#REF!,"AAAAADHX9+Y=",0)</f>
        <v>#REF!</v>
      </c>
      <c r="HX298" t="e">
        <f>IF(#REF!,"AAAAADHX9+c=",0)</f>
        <v>#REF!</v>
      </c>
      <c r="HY298" t="e">
        <f>IF(#REF!,"AAAAADHX9+g=",0)</f>
        <v>#REF!</v>
      </c>
      <c r="HZ298" t="e">
        <f>IF(#REF!,"AAAAADHX9+k=",0)</f>
        <v>#REF!</v>
      </c>
      <c r="IA298" t="e">
        <f>IF(#REF!,"AAAAADHX9+o=",0)</f>
        <v>#REF!</v>
      </c>
      <c r="IB298" t="e">
        <f>IF(#REF!,"AAAAADHX9+s=",0)</f>
        <v>#REF!</v>
      </c>
      <c r="IC298" t="e">
        <f>IF(#REF!,"AAAAADHX9+w=",0)</f>
        <v>#REF!</v>
      </c>
      <c r="ID298" t="e">
        <f>IF(#REF!,"AAAAADHX9+0=",0)</f>
        <v>#REF!</v>
      </c>
      <c r="IE298" t="e">
        <f>IF(#REF!,"AAAAADHX9+4=",0)</f>
        <v>#REF!</v>
      </c>
      <c r="IF298" t="e">
        <f>IF(#REF!,"AAAAADHX9+8=",0)</f>
        <v>#REF!</v>
      </c>
      <c r="IG298" t="e">
        <f>IF(#REF!,"AAAAADHX9/A=",0)</f>
        <v>#REF!</v>
      </c>
      <c r="IH298" t="e">
        <f>IF(#REF!,"AAAAADHX9/E=",0)</f>
        <v>#REF!</v>
      </c>
      <c r="II298" t="e">
        <f>IF(#REF!,"AAAAADHX9/I=",0)</f>
        <v>#REF!</v>
      </c>
      <c r="IJ298" t="e">
        <f>IF(#REF!,"AAAAADHX9/M=",0)</f>
        <v>#REF!</v>
      </c>
      <c r="IK298" t="e">
        <f>IF(#REF!,"AAAAADHX9/Q=",0)</f>
        <v>#REF!</v>
      </c>
      <c r="IL298" t="e">
        <f>IF(#REF!,"AAAAADHX9/U=",0)</f>
        <v>#REF!</v>
      </c>
      <c r="IM298" t="e">
        <f>IF(#REF!,"AAAAADHX9/Y=",0)</f>
        <v>#REF!</v>
      </c>
      <c r="IN298" t="e">
        <f>IF(#REF!,"AAAAADHX9/c=",0)</f>
        <v>#REF!</v>
      </c>
      <c r="IO298" t="e">
        <f>IF(#REF!,"AAAAADHX9/g=",0)</f>
        <v>#REF!</v>
      </c>
      <c r="IP298" t="e">
        <f>IF(#REF!,"AAAAADHX9/k=",0)</f>
        <v>#REF!</v>
      </c>
      <c r="IQ298" t="e">
        <f>IF(#REF!,"AAAAADHX9/o=",0)</f>
        <v>#REF!</v>
      </c>
      <c r="IR298" t="e">
        <f>IF(#REF!,"AAAAADHX9/s=",0)</f>
        <v>#REF!</v>
      </c>
      <c r="IS298" t="e">
        <f>IF(#REF!,"AAAAADHX9/w=",0)</f>
        <v>#REF!</v>
      </c>
      <c r="IT298" t="e">
        <f>IF(#REF!,"AAAAADHX9/0=",0)</f>
        <v>#REF!</v>
      </c>
      <c r="IU298" t="e">
        <f>IF(#REF!,"AAAAADHX9/4=",0)</f>
        <v>#REF!</v>
      </c>
      <c r="IV298" t="e">
        <f>IF(#REF!,"AAAAADHX9/8=",0)</f>
        <v>#REF!</v>
      </c>
    </row>
    <row r="299" spans="1:256" x14ac:dyDescent="0.25">
      <c r="A299" t="e">
        <f>IF(#REF!,"AAAAAH9X3wA=",0)</f>
        <v>#REF!</v>
      </c>
      <c r="B299" t="e">
        <f>IF(#REF!,"AAAAAH9X3wE=",0)</f>
        <v>#REF!</v>
      </c>
      <c r="C299" t="e">
        <f>IF(#REF!,"AAAAAH9X3wI=",0)</f>
        <v>#REF!</v>
      </c>
      <c r="D299" t="e">
        <f>IF(#REF!,"AAAAAH9X3wM=",0)</f>
        <v>#REF!</v>
      </c>
      <c r="E299" t="e">
        <f>IF(#REF!,"AAAAAH9X3wQ=",0)</f>
        <v>#REF!</v>
      </c>
      <c r="F299" t="e">
        <f>IF(#REF!,"AAAAAH9X3wU=",0)</f>
        <v>#REF!</v>
      </c>
      <c r="G299" t="e">
        <f>IF(#REF!,"AAAAAH9X3wY=",0)</f>
        <v>#REF!</v>
      </c>
      <c r="H299" t="e">
        <f>IF(#REF!,"AAAAAH9X3wc=",0)</f>
        <v>#REF!</v>
      </c>
      <c r="I299" t="e">
        <f>IF(#REF!,"AAAAAH9X3wg=",0)</f>
        <v>#REF!</v>
      </c>
      <c r="J299" t="e">
        <f>IF(#REF!,"AAAAAH9X3wk=",0)</f>
        <v>#REF!</v>
      </c>
      <c r="K299" t="e">
        <f>IF(#REF!,"AAAAAH9X3wo=",0)</f>
        <v>#REF!</v>
      </c>
      <c r="L299" t="e">
        <f>IF(#REF!,"AAAAAH9X3ws=",0)</f>
        <v>#REF!</v>
      </c>
      <c r="M299" t="e">
        <f>IF(#REF!,"AAAAAH9X3ww=",0)</f>
        <v>#REF!</v>
      </c>
      <c r="N299" t="e">
        <f>IF(#REF!,"AAAAAH9X3w0=",0)</f>
        <v>#REF!</v>
      </c>
      <c r="O299" t="e">
        <f>IF(#REF!,"AAAAAH9X3w4=",0)</f>
        <v>#REF!</v>
      </c>
      <c r="P299" t="e">
        <f>IF(#REF!,"AAAAAH9X3w8=",0)</f>
        <v>#REF!</v>
      </c>
      <c r="Q299" t="e">
        <f>IF(#REF!,"AAAAAH9X3xA=",0)</f>
        <v>#REF!</v>
      </c>
      <c r="R299" t="e">
        <f>IF(#REF!,"AAAAAH9X3xE=",0)</f>
        <v>#REF!</v>
      </c>
      <c r="S299" t="e">
        <f>IF(#REF!,"AAAAAH9X3xI=",0)</f>
        <v>#REF!</v>
      </c>
      <c r="T299" t="e">
        <f>IF(#REF!,"AAAAAH9X3xM=",0)</f>
        <v>#REF!</v>
      </c>
      <c r="U299" t="e">
        <f>IF(#REF!,"AAAAAH9X3xQ=",0)</f>
        <v>#REF!</v>
      </c>
      <c r="V299" t="e">
        <f>IF(#REF!,"AAAAAH9X3xU=",0)</f>
        <v>#REF!</v>
      </c>
      <c r="W299" t="e">
        <f>IF(#REF!,"AAAAAH9X3xY=",0)</f>
        <v>#REF!</v>
      </c>
      <c r="X299" t="e">
        <f>IF(#REF!,"AAAAAH9X3xc=",0)</f>
        <v>#REF!</v>
      </c>
      <c r="Y299" t="e">
        <f>IF(#REF!,"AAAAAH9X3xg=",0)</f>
        <v>#REF!</v>
      </c>
      <c r="Z299" t="e">
        <f>IF(#REF!,"AAAAAH9X3xk=",0)</f>
        <v>#REF!</v>
      </c>
      <c r="AA299" t="e">
        <f>IF(#REF!,"AAAAAH9X3xo=",0)</f>
        <v>#REF!</v>
      </c>
      <c r="AB299" t="e">
        <f>IF(#REF!,"AAAAAH9X3xs=",0)</f>
        <v>#REF!</v>
      </c>
      <c r="AC299" t="e">
        <f>IF(#REF!,"AAAAAH9X3xw=",0)</f>
        <v>#REF!</v>
      </c>
      <c r="AD299" t="e">
        <f>IF(#REF!,"AAAAAH9X3x0=",0)</f>
        <v>#REF!</v>
      </c>
      <c r="AE299" t="e">
        <f>IF(#REF!,"AAAAAH9X3x4=",0)</f>
        <v>#REF!</v>
      </c>
      <c r="AF299" t="e">
        <f>IF(#REF!,"AAAAAH9X3x8=",0)</f>
        <v>#REF!</v>
      </c>
      <c r="AG299" t="e">
        <f>IF(#REF!,"AAAAAH9X3yA=",0)</f>
        <v>#REF!</v>
      </c>
      <c r="AH299" t="e">
        <f>IF(#REF!,"AAAAAH9X3yE=",0)</f>
        <v>#REF!</v>
      </c>
      <c r="AI299" t="e">
        <f>IF(#REF!,"AAAAAH9X3yI=",0)</f>
        <v>#REF!</v>
      </c>
      <c r="AJ299" t="e">
        <f>IF(#REF!,"AAAAAH9X3yM=",0)</f>
        <v>#REF!</v>
      </c>
      <c r="AK299" t="e">
        <f>IF(#REF!,"AAAAAH9X3yQ=",0)</f>
        <v>#REF!</v>
      </c>
      <c r="AL299" t="e">
        <f>IF(#REF!,"AAAAAH9X3yU=",0)</f>
        <v>#REF!</v>
      </c>
      <c r="AM299" t="e">
        <f>IF(#REF!,"AAAAAH9X3yY=",0)</f>
        <v>#REF!</v>
      </c>
      <c r="AN299" t="e">
        <f>IF(#REF!,"AAAAAH9X3yc=",0)</f>
        <v>#REF!</v>
      </c>
      <c r="AO299" t="e">
        <f>IF(#REF!,"AAAAAH9X3yg=",0)</f>
        <v>#REF!</v>
      </c>
      <c r="AP299" t="e">
        <f>IF(#REF!,"AAAAAH9X3yk=",0)</f>
        <v>#REF!</v>
      </c>
      <c r="AQ299" t="e">
        <f>IF(#REF!,"AAAAAH9X3yo=",0)</f>
        <v>#REF!</v>
      </c>
      <c r="AR299" t="e">
        <f>IF(#REF!,"AAAAAH9X3ys=",0)</f>
        <v>#REF!</v>
      </c>
      <c r="AS299" t="e">
        <f>IF(#REF!,"AAAAAH9X3yw=",0)</f>
        <v>#REF!</v>
      </c>
      <c r="AT299" t="e">
        <f>IF(#REF!,"AAAAAH9X3y0=",0)</f>
        <v>#REF!</v>
      </c>
      <c r="AU299" t="e">
        <f>IF(#REF!,"AAAAAH9X3y4=",0)</f>
        <v>#REF!</v>
      </c>
      <c r="AV299" t="e">
        <f>IF(#REF!,"AAAAAH9X3y8=",0)</f>
        <v>#REF!</v>
      </c>
      <c r="AW299" t="e">
        <f>IF(#REF!,"AAAAAH9X3zA=",0)</f>
        <v>#REF!</v>
      </c>
      <c r="AX299" t="e">
        <f>IF(#REF!,"AAAAAH9X3zE=",0)</f>
        <v>#REF!</v>
      </c>
      <c r="AY299" t="e">
        <f>IF(#REF!,"AAAAAH9X3zI=",0)</f>
        <v>#REF!</v>
      </c>
      <c r="AZ299" t="e">
        <f>IF(#REF!,"AAAAAH9X3zM=",0)</f>
        <v>#REF!</v>
      </c>
      <c r="BA299" t="e">
        <f>IF(#REF!,"AAAAAH9X3zQ=",0)</f>
        <v>#REF!</v>
      </c>
      <c r="BB299" t="e">
        <f>IF(#REF!,"AAAAAH9X3zU=",0)</f>
        <v>#REF!</v>
      </c>
      <c r="BC299" t="e">
        <f>IF(#REF!,"AAAAAH9X3zY=",0)</f>
        <v>#REF!</v>
      </c>
      <c r="BD299" t="e">
        <f>IF(#REF!,"AAAAAH9X3zc=",0)</f>
        <v>#REF!</v>
      </c>
      <c r="BE299" t="e">
        <f>IF(#REF!,"AAAAAH9X3zg=",0)</f>
        <v>#REF!</v>
      </c>
      <c r="BF299" t="e">
        <f>IF(#REF!,"AAAAAH9X3zk=",0)</f>
        <v>#REF!</v>
      </c>
      <c r="BG299" t="e">
        <f>IF(#REF!,"AAAAAH9X3zo=",0)</f>
        <v>#REF!</v>
      </c>
      <c r="BH299" t="e">
        <f>IF(#REF!,"AAAAAH9X3zs=",0)</f>
        <v>#REF!</v>
      </c>
      <c r="BI299" t="e">
        <f>IF(#REF!,"AAAAAH9X3zw=",0)</f>
        <v>#REF!</v>
      </c>
      <c r="BJ299" t="e">
        <f>IF(#REF!,"AAAAAH9X3z0=",0)</f>
        <v>#REF!</v>
      </c>
      <c r="BK299" t="e">
        <f>IF(#REF!,"AAAAAH9X3z4=",0)</f>
        <v>#REF!</v>
      </c>
      <c r="BL299" t="e">
        <f>IF(#REF!,"AAAAAH9X3z8=",0)</f>
        <v>#REF!</v>
      </c>
      <c r="BM299" t="e">
        <f>IF(#REF!,"AAAAAH9X30A=",0)</f>
        <v>#REF!</v>
      </c>
      <c r="BN299" t="e">
        <f>IF(#REF!,"AAAAAH9X30E=",0)</f>
        <v>#REF!</v>
      </c>
      <c r="BO299" t="e">
        <f>IF(#REF!,"AAAAAH9X30I=",0)</f>
        <v>#REF!</v>
      </c>
      <c r="BP299" t="e">
        <f>IF(#REF!,"AAAAAH9X30M=",0)</f>
        <v>#REF!</v>
      </c>
      <c r="BQ299" t="e">
        <f>IF(#REF!,"AAAAAH9X30Q=",0)</f>
        <v>#REF!</v>
      </c>
      <c r="BR299" t="e">
        <f>IF(#REF!,"AAAAAH9X30U=",0)</f>
        <v>#REF!</v>
      </c>
      <c r="BS299" t="e">
        <f>IF(#REF!,"AAAAAH9X30Y=",0)</f>
        <v>#REF!</v>
      </c>
      <c r="BT299" t="e">
        <f>IF(#REF!,"AAAAAH9X30c=",0)</f>
        <v>#REF!</v>
      </c>
      <c r="BU299" t="e">
        <f>IF(#REF!,"AAAAAH9X30g=",0)</f>
        <v>#REF!</v>
      </c>
      <c r="BV299" t="e">
        <f>IF(#REF!,"AAAAAH9X30k=",0)</f>
        <v>#REF!</v>
      </c>
      <c r="BW299" t="e">
        <f>IF(#REF!,"AAAAAH9X30o=",0)</f>
        <v>#REF!</v>
      </c>
      <c r="BX299" t="e">
        <f>IF(#REF!,"AAAAAH9X30s=",0)</f>
        <v>#REF!</v>
      </c>
      <c r="BY299" t="e">
        <f>IF(#REF!,"AAAAAH9X30w=",0)</f>
        <v>#REF!</v>
      </c>
      <c r="BZ299" t="e">
        <f>IF(#REF!,"AAAAAH9X300=",0)</f>
        <v>#REF!</v>
      </c>
      <c r="CA299" t="e">
        <f>IF(#REF!,"AAAAAH9X304=",0)</f>
        <v>#REF!</v>
      </c>
      <c r="CB299" t="e">
        <f>IF(#REF!,"AAAAAH9X308=",0)</f>
        <v>#REF!</v>
      </c>
      <c r="CC299" t="e">
        <f>IF(#REF!,"AAAAAH9X31A=",0)</f>
        <v>#REF!</v>
      </c>
      <c r="CD299" t="e">
        <f>IF(#REF!,"AAAAAH9X31E=",0)</f>
        <v>#REF!</v>
      </c>
      <c r="CE299" t="e">
        <f>IF(#REF!,"AAAAAH9X31I=",0)</f>
        <v>#REF!</v>
      </c>
      <c r="CF299" t="e">
        <f>IF(#REF!,"AAAAAH9X31M=",0)</f>
        <v>#REF!</v>
      </c>
      <c r="CG299" t="e">
        <f>IF(#REF!,"AAAAAH9X31Q=",0)</f>
        <v>#REF!</v>
      </c>
      <c r="CH299" t="e">
        <f>IF(#REF!,"AAAAAH9X31U=",0)</f>
        <v>#REF!</v>
      </c>
      <c r="CI299" t="e">
        <f>IF(#REF!,"AAAAAH9X31Y=",0)</f>
        <v>#REF!</v>
      </c>
      <c r="CJ299" t="e">
        <f>IF(#REF!,"AAAAAH9X31c=",0)</f>
        <v>#REF!</v>
      </c>
      <c r="CK299" t="e">
        <f>IF(#REF!,"AAAAAH9X31g=",0)</f>
        <v>#REF!</v>
      </c>
      <c r="CL299" t="e">
        <f>IF(#REF!,"AAAAAH9X31k=",0)</f>
        <v>#REF!</v>
      </c>
      <c r="CM299" t="e">
        <f>IF(#REF!,"AAAAAH9X31o=",0)</f>
        <v>#REF!</v>
      </c>
      <c r="CN299" t="e">
        <f>AND(#REF!,"AAAAAH9X31s=")</f>
        <v>#REF!</v>
      </c>
      <c r="CO299" t="e">
        <f>AND(#REF!,"AAAAAH9X31w=")</f>
        <v>#REF!</v>
      </c>
      <c r="CP299" t="e">
        <f>AND(#REF!,"AAAAAH9X310=")</f>
        <v>#REF!</v>
      </c>
      <c r="CQ299" t="e">
        <f>AND(#REF!,"AAAAAH9X314=")</f>
        <v>#REF!</v>
      </c>
      <c r="CR299" t="e">
        <f>AND(#REF!,"AAAAAH9X318=")</f>
        <v>#REF!</v>
      </c>
      <c r="CS299" t="e">
        <f>AND(#REF!,"AAAAAH9X32A=")</f>
        <v>#REF!</v>
      </c>
      <c r="CT299" t="e">
        <f>IF(#REF!,"AAAAAH9X32E=",0)</f>
        <v>#REF!</v>
      </c>
      <c r="CU299" t="e">
        <f>AND(#REF!,"AAAAAH9X32I=")</f>
        <v>#REF!</v>
      </c>
      <c r="CV299" t="e">
        <f>AND(#REF!,"AAAAAH9X32M=")</f>
        <v>#REF!</v>
      </c>
      <c r="CW299" t="e">
        <f>AND(#REF!,"AAAAAH9X32Q=")</f>
        <v>#REF!</v>
      </c>
      <c r="CX299" t="e">
        <f>AND(#REF!,"AAAAAH9X32U=")</f>
        <v>#REF!</v>
      </c>
      <c r="CY299" t="e">
        <f>AND(#REF!,"AAAAAH9X32Y=")</f>
        <v>#REF!</v>
      </c>
      <c r="CZ299" t="e">
        <f>AND(#REF!,"AAAAAH9X32c=")</f>
        <v>#REF!</v>
      </c>
      <c r="DA299" t="e">
        <f>IF(#REF!,"AAAAAH9X32g=",0)</f>
        <v>#REF!</v>
      </c>
      <c r="DB299" t="e">
        <f>AND(#REF!,"AAAAAH9X32k=")</f>
        <v>#REF!</v>
      </c>
      <c r="DC299" t="e">
        <f>AND(#REF!,"AAAAAH9X32o=")</f>
        <v>#REF!</v>
      </c>
      <c r="DD299" t="e">
        <f>AND(#REF!,"AAAAAH9X32s=")</f>
        <v>#REF!</v>
      </c>
      <c r="DE299" t="e">
        <f>AND(#REF!,"AAAAAH9X32w=")</f>
        <v>#REF!</v>
      </c>
      <c r="DF299" t="e">
        <f>AND(#REF!,"AAAAAH9X320=")</f>
        <v>#REF!</v>
      </c>
      <c r="DG299" t="e">
        <f>AND(#REF!,"AAAAAH9X324=")</f>
        <v>#REF!</v>
      </c>
      <c r="DH299" t="e">
        <f>IF(#REF!,"AAAAAH9X328=",0)</f>
        <v>#REF!</v>
      </c>
      <c r="DI299" t="e">
        <f>AND(#REF!,"AAAAAH9X33A=")</f>
        <v>#REF!</v>
      </c>
      <c r="DJ299" t="e">
        <f>AND(#REF!,"AAAAAH9X33E=")</f>
        <v>#REF!</v>
      </c>
      <c r="DK299" t="e">
        <f>AND(#REF!,"AAAAAH9X33I=")</f>
        <v>#REF!</v>
      </c>
      <c r="DL299" t="e">
        <f>AND(#REF!,"AAAAAH9X33M=")</f>
        <v>#REF!</v>
      </c>
      <c r="DM299" t="e">
        <f>AND(#REF!,"AAAAAH9X33Q=")</f>
        <v>#REF!</v>
      </c>
      <c r="DN299" t="e">
        <f>AND(#REF!,"AAAAAH9X33U=")</f>
        <v>#REF!</v>
      </c>
      <c r="DO299" t="e">
        <f>IF(#REF!,"AAAAAH9X33Y=",0)</f>
        <v>#REF!</v>
      </c>
      <c r="DP299" t="e">
        <f>AND(#REF!,"AAAAAH9X33c=")</f>
        <v>#REF!</v>
      </c>
      <c r="DQ299" t="e">
        <f>AND(#REF!,"AAAAAH9X33g=")</f>
        <v>#REF!</v>
      </c>
      <c r="DR299" t="e">
        <f>AND(#REF!,"AAAAAH9X33k=")</f>
        <v>#REF!</v>
      </c>
      <c r="DS299" t="e">
        <f>AND(#REF!,"AAAAAH9X33o=")</f>
        <v>#REF!</v>
      </c>
      <c r="DT299" t="e">
        <f>AND(#REF!,"AAAAAH9X33s=")</f>
        <v>#REF!</v>
      </c>
      <c r="DU299" t="e">
        <f>AND(#REF!,"AAAAAH9X33w=")</f>
        <v>#REF!</v>
      </c>
      <c r="DV299" t="e">
        <f>IF(#REF!,"AAAAAH9X330=",0)</f>
        <v>#REF!</v>
      </c>
      <c r="DW299" t="e">
        <f>AND(#REF!,"AAAAAH9X334=")</f>
        <v>#REF!</v>
      </c>
      <c r="DX299" t="e">
        <f>AND(#REF!,"AAAAAH9X338=")</f>
        <v>#REF!</v>
      </c>
      <c r="DY299" t="e">
        <f>AND(#REF!,"AAAAAH9X34A=")</f>
        <v>#REF!</v>
      </c>
      <c r="DZ299" t="e">
        <f>AND(#REF!,"AAAAAH9X34E=")</f>
        <v>#REF!</v>
      </c>
      <c r="EA299" t="e">
        <f>AND(#REF!,"AAAAAH9X34I=")</f>
        <v>#REF!</v>
      </c>
      <c r="EB299" t="e">
        <f>AND(#REF!,"AAAAAH9X34M=")</f>
        <v>#REF!</v>
      </c>
      <c r="EC299" t="e">
        <f>IF(#REF!,"AAAAAH9X34Q=",0)</f>
        <v>#REF!</v>
      </c>
      <c r="ED299" t="e">
        <f>AND(#REF!,"AAAAAH9X34U=")</f>
        <v>#REF!</v>
      </c>
      <c r="EE299" t="e">
        <f>AND(#REF!,"AAAAAH9X34Y=")</f>
        <v>#REF!</v>
      </c>
      <c r="EF299" t="e">
        <f>AND(#REF!,"AAAAAH9X34c=")</f>
        <v>#REF!</v>
      </c>
      <c r="EG299" t="e">
        <f>AND(#REF!,"AAAAAH9X34g=")</f>
        <v>#REF!</v>
      </c>
      <c r="EH299" t="e">
        <f>AND(#REF!,"AAAAAH9X34k=")</f>
        <v>#REF!</v>
      </c>
      <c r="EI299" t="e">
        <f>AND(#REF!,"AAAAAH9X34o=")</f>
        <v>#REF!</v>
      </c>
      <c r="EJ299" t="e">
        <f>IF(#REF!,"AAAAAH9X34s=",0)</f>
        <v>#REF!</v>
      </c>
      <c r="EK299" t="e">
        <f>AND(#REF!,"AAAAAH9X34w=")</f>
        <v>#REF!</v>
      </c>
      <c r="EL299" t="e">
        <f>AND(#REF!,"AAAAAH9X340=")</f>
        <v>#REF!</v>
      </c>
      <c r="EM299" t="e">
        <f>AND(#REF!,"AAAAAH9X344=")</f>
        <v>#REF!</v>
      </c>
      <c r="EN299" t="e">
        <f>AND(#REF!,"AAAAAH9X348=")</f>
        <v>#REF!</v>
      </c>
      <c r="EO299" t="e">
        <f>AND(#REF!,"AAAAAH9X35A=")</f>
        <v>#REF!</v>
      </c>
      <c r="EP299" t="e">
        <f>AND(#REF!,"AAAAAH9X35E=")</f>
        <v>#REF!</v>
      </c>
      <c r="EQ299" t="e">
        <f>IF(#REF!,"AAAAAH9X35I=",0)</f>
        <v>#REF!</v>
      </c>
      <c r="ER299" t="e">
        <f>AND(#REF!,"AAAAAH9X35M=")</f>
        <v>#REF!</v>
      </c>
      <c r="ES299" t="e">
        <f>AND(#REF!,"AAAAAH9X35Q=")</f>
        <v>#REF!</v>
      </c>
      <c r="ET299" t="e">
        <f>AND(#REF!,"AAAAAH9X35U=")</f>
        <v>#REF!</v>
      </c>
      <c r="EU299" t="e">
        <f>AND(#REF!,"AAAAAH9X35Y=")</f>
        <v>#REF!</v>
      </c>
      <c r="EV299" t="e">
        <f>AND(#REF!,"AAAAAH9X35c=")</f>
        <v>#REF!</v>
      </c>
      <c r="EW299" t="e">
        <f>AND(#REF!,"AAAAAH9X35g=")</f>
        <v>#REF!</v>
      </c>
      <c r="EX299" t="e">
        <f>IF(#REF!,"AAAAAH9X35k=",0)</f>
        <v>#REF!</v>
      </c>
      <c r="EY299" t="e">
        <f>AND(#REF!,"AAAAAH9X35o=")</f>
        <v>#REF!</v>
      </c>
      <c r="EZ299" t="e">
        <f>AND(#REF!,"AAAAAH9X35s=")</f>
        <v>#REF!</v>
      </c>
      <c r="FA299" t="e">
        <f>AND(#REF!,"AAAAAH9X35w=")</f>
        <v>#REF!</v>
      </c>
      <c r="FB299" t="e">
        <f>AND(#REF!,"AAAAAH9X350=")</f>
        <v>#REF!</v>
      </c>
      <c r="FC299" t="e">
        <f>AND(#REF!,"AAAAAH9X354=")</f>
        <v>#REF!</v>
      </c>
      <c r="FD299" t="e">
        <f>AND(#REF!,"AAAAAH9X358=")</f>
        <v>#REF!</v>
      </c>
      <c r="FE299" t="e">
        <f>IF(#REF!,"AAAAAH9X36A=",0)</f>
        <v>#REF!</v>
      </c>
      <c r="FF299" t="e">
        <f>AND(#REF!,"AAAAAH9X36E=")</f>
        <v>#REF!</v>
      </c>
      <c r="FG299" t="e">
        <f>AND(#REF!,"AAAAAH9X36I=")</f>
        <v>#REF!</v>
      </c>
      <c r="FH299" t="e">
        <f>AND(#REF!,"AAAAAH9X36M=")</f>
        <v>#REF!</v>
      </c>
      <c r="FI299" t="e">
        <f>AND(#REF!,"AAAAAH9X36Q=")</f>
        <v>#REF!</v>
      </c>
      <c r="FJ299" t="e">
        <f>AND(#REF!,"AAAAAH9X36U=")</f>
        <v>#REF!</v>
      </c>
      <c r="FK299" t="e">
        <f>AND(#REF!,"AAAAAH9X36Y=")</f>
        <v>#REF!</v>
      </c>
      <c r="FL299" t="e">
        <f>IF(#REF!,"AAAAAH9X36c=",0)</f>
        <v>#REF!</v>
      </c>
      <c r="FM299" t="e">
        <f>AND(#REF!,"AAAAAH9X36g=")</f>
        <v>#REF!</v>
      </c>
      <c r="FN299" t="e">
        <f>AND(#REF!,"AAAAAH9X36k=")</f>
        <v>#REF!</v>
      </c>
      <c r="FO299" t="e">
        <f>AND(#REF!,"AAAAAH9X36o=")</f>
        <v>#REF!</v>
      </c>
      <c r="FP299" t="e">
        <f>AND(#REF!,"AAAAAH9X36s=")</f>
        <v>#REF!</v>
      </c>
      <c r="FQ299" t="e">
        <f>AND(#REF!,"AAAAAH9X36w=")</f>
        <v>#REF!</v>
      </c>
      <c r="FR299" t="e">
        <f>AND(#REF!,"AAAAAH9X360=")</f>
        <v>#REF!</v>
      </c>
      <c r="FS299" t="e">
        <f>IF(#REF!,"AAAAAH9X364=",0)</f>
        <v>#REF!</v>
      </c>
      <c r="FT299" t="e">
        <f>AND(#REF!,"AAAAAH9X368=")</f>
        <v>#REF!</v>
      </c>
      <c r="FU299" t="e">
        <f>AND(#REF!,"AAAAAH9X37A=")</f>
        <v>#REF!</v>
      </c>
      <c r="FV299" t="e">
        <f>AND(#REF!,"AAAAAH9X37E=")</f>
        <v>#REF!</v>
      </c>
      <c r="FW299" t="e">
        <f>AND(#REF!,"AAAAAH9X37I=")</f>
        <v>#REF!</v>
      </c>
      <c r="FX299" t="e">
        <f>AND(#REF!,"AAAAAH9X37M=")</f>
        <v>#REF!</v>
      </c>
      <c r="FY299" t="e">
        <f>AND(#REF!,"AAAAAH9X37Q=")</f>
        <v>#REF!</v>
      </c>
      <c r="FZ299" t="e">
        <f>IF(#REF!,"AAAAAH9X37U=",0)</f>
        <v>#REF!</v>
      </c>
      <c r="GA299" t="e">
        <f>AND(#REF!,"AAAAAH9X37Y=")</f>
        <v>#REF!</v>
      </c>
      <c r="GB299" t="e">
        <f>AND(#REF!,"AAAAAH9X37c=")</f>
        <v>#REF!</v>
      </c>
      <c r="GC299" t="e">
        <f>AND(#REF!,"AAAAAH9X37g=")</f>
        <v>#REF!</v>
      </c>
      <c r="GD299" t="e">
        <f>AND(#REF!,"AAAAAH9X37k=")</f>
        <v>#REF!</v>
      </c>
      <c r="GE299" t="e">
        <f>AND(#REF!,"AAAAAH9X37o=")</f>
        <v>#REF!</v>
      </c>
      <c r="GF299" t="e">
        <f>AND(#REF!,"AAAAAH9X37s=")</f>
        <v>#REF!</v>
      </c>
      <c r="GG299" t="e">
        <f>IF(#REF!,"AAAAAH9X37w=",0)</f>
        <v>#REF!</v>
      </c>
      <c r="GH299" t="e">
        <f>AND(#REF!,"AAAAAH9X370=")</f>
        <v>#REF!</v>
      </c>
      <c r="GI299" t="e">
        <f>AND(#REF!,"AAAAAH9X374=")</f>
        <v>#REF!</v>
      </c>
      <c r="GJ299" t="e">
        <f>AND(#REF!,"AAAAAH9X378=")</f>
        <v>#REF!</v>
      </c>
      <c r="GK299" t="e">
        <f>AND(#REF!,"AAAAAH9X38A=")</f>
        <v>#REF!</v>
      </c>
      <c r="GL299" t="e">
        <f>AND(#REF!,"AAAAAH9X38E=")</f>
        <v>#REF!</v>
      </c>
      <c r="GM299" t="e">
        <f>AND(#REF!,"AAAAAH9X38I=")</f>
        <v>#REF!</v>
      </c>
      <c r="GN299" t="e">
        <f>IF(#REF!,"AAAAAH9X38M=",0)</f>
        <v>#REF!</v>
      </c>
      <c r="GO299" t="e">
        <f>AND(#REF!,"AAAAAH9X38Q=")</f>
        <v>#REF!</v>
      </c>
      <c r="GP299" t="e">
        <f>AND(#REF!,"AAAAAH9X38U=")</f>
        <v>#REF!</v>
      </c>
      <c r="GQ299" t="e">
        <f>AND(#REF!,"AAAAAH9X38Y=")</f>
        <v>#REF!</v>
      </c>
      <c r="GR299" t="e">
        <f>AND(#REF!,"AAAAAH9X38c=")</f>
        <v>#REF!</v>
      </c>
      <c r="GS299" t="e">
        <f>AND(#REF!,"AAAAAH9X38g=")</f>
        <v>#REF!</v>
      </c>
      <c r="GT299" t="e">
        <f>AND(#REF!,"AAAAAH9X38k=")</f>
        <v>#REF!</v>
      </c>
      <c r="GU299" t="e">
        <f>IF(#REF!,"AAAAAH9X38o=",0)</f>
        <v>#REF!</v>
      </c>
      <c r="GV299" t="e">
        <f>AND(#REF!,"AAAAAH9X38s=")</f>
        <v>#REF!</v>
      </c>
      <c r="GW299" t="e">
        <f>AND(#REF!,"AAAAAH9X38w=")</f>
        <v>#REF!</v>
      </c>
      <c r="GX299" t="e">
        <f>AND(#REF!,"AAAAAH9X380=")</f>
        <v>#REF!</v>
      </c>
      <c r="GY299" t="e">
        <f>AND(#REF!,"AAAAAH9X384=")</f>
        <v>#REF!</v>
      </c>
      <c r="GZ299" t="e">
        <f>AND(#REF!,"AAAAAH9X388=")</f>
        <v>#REF!</v>
      </c>
      <c r="HA299" t="e">
        <f>AND(#REF!,"AAAAAH9X39A=")</f>
        <v>#REF!</v>
      </c>
      <c r="HB299" t="e">
        <f>IF(#REF!,"AAAAAH9X39E=",0)</f>
        <v>#REF!</v>
      </c>
      <c r="HC299" t="e">
        <f>AND(#REF!,"AAAAAH9X39I=")</f>
        <v>#REF!</v>
      </c>
      <c r="HD299" t="e">
        <f>AND(#REF!,"AAAAAH9X39M=")</f>
        <v>#REF!</v>
      </c>
      <c r="HE299" t="e">
        <f>AND(#REF!,"AAAAAH9X39Q=")</f>
        <v>#REF!</v>
      </c>
      <c r="HF299" t="e">
        <f>AND(#REF!,"AAAAAH9X39U=")</f>
        <v>#REF!</v>
      </c>
      <c r="HG299" t="e">
        <f>AND(#REF!,"AAAAAH9X39Y=")</f>
        <v>#REF!</v>
      </c>
      <c r="HH299" t="e">
        <f>AND(#REF!,"AAAAAH9X39c=")</f>
        <v>#REF!</v>
      </c>
      <c r="HI299" t="e">
        <f>IF(#REF!,"AAAAAH9X39g=",0)</f>
        <v>#REF!</v>
      </c>
      <c r="HJ299" t="e">
        <f>AND(#REF!,"AAAAAH9X39k=")</f>
        <v>#REF!</v>
      </c>
      <c r="HK299" t="e">
        <f>AND(#REF!,"AAAAAH9X39o=")</f>
        <v>#REF!</v>
      </c>
      <c r="HL299" t="e">
        <f>AND(#REF!,"AAAAAH9X39s=")</f>
        <v>#REF!</v>
      </c>
      <c r="HM299" t="e">
        <f>AND(#REF!,"AAAAAH9X39w=")</f>
        <v>#REF!</v>
      </c>
      <c r="HN299" t="e">
        <f>AND(#REF!,"AAAAAH9X390=")</f>
        <v>#REF!</v>
      </c>
      <c r="HO299" t="e">
        <f>AND(#REF!,"AAAAAH9X394=")</f>
        <v>#REF!</v>
      </c>
      <c r="HP299" t="e">
        <f>IF(#REF!,"AAAAAH9X398=",0)</f>
        <v>#REF!</v>
      </c>
      <c r="HQ299" t="e">
        <f>AND(#REF!,"AAAAAH9X3+A=")</f>
        <v>#REF!</v>
      </c>
      <c r="HR299" t="e">
        <f>AND(#REF!,"AAAAAH9X3+E=")</f>
        <v>#REF!</v>
      </c>
      <c r="HS299" t="e">
        <f>AND(#REF!,"AAAAAH9X3+I=")</f>
        <v>#REF!</v>
      </c>
      <c r="HT299" t="e">
        <f>AND(#REF!,"AAAAAH9X3+M=")</f>
        <v>#REF!</v>
      </c>
      <c r="HU299" t="e">
        <f>AND(#REF!,"AAAAAH9X3+Q=")</f>
        <v>#REF!</v>
      </c>
      <c r="HV299" t="e">
        <f>AND(#REF!,"AAAAAH9X3+U=")</f>
        <v>#REF!</v>
      </c>
      <c r="HW299" t="e">
        <f>IF(#REF!,"AAAAAH9X3+Y=",0)</f>
        <v>#REF!</v>
      </c>
      <c r="HX299" t="e">
        <f>AND(#REF!,"AAAAAH9X3+c=")</f>
        <v>#REF!</v>
      </c>
      <c r="HY299" t="e">
        <f>AND(#REF!,"AAAAAH9X3+g=")</f>
        <v>#REF!</v>
      </c>
      <c r="HZ299" t="e">
        <f>AND(#REF!,"AAAAAH9X3+k=")</f>
        <v>#REF!</v>
      </c>
      <c r="IA299" t="e">
        <f>AND(#REF!,"AAAAAH9X3+o=")</f>
        <v>#REF!</v>
      </c>
      <c r="IB299" t="e">
        <f>AND(#REF!,"AAAAAH9X3+s=")</f>
        <v>#REF!</v>
      </c>
      <c r="IC299" t="e">
        <f>AND(#REF!,"AAAAAH9X3+w=")</f>
        <v>#REF!</v>
      </c>
      <c r="ID299" t="e">
        <f>IF(#REF!,"AAAAAH9X3+0=",0)</f>
        <v>#REF!</v>
      </c>
      <c r="IE299" t="e">
        <f>AND(#REF!,"AAAAAH9X3+4=")</f>
        <v>#REF!</v>
      </c>
      <c r="IF299" t="e">
        <f>AND(#REF!,"AAAAAH9X3+8=")</f>
        <v>#REF!</v>
      </c>
      <c r="IG299" t="e">
        <f>AND(#REF!,"AAAAAH9X3/A=")</f>
        <v>#REF!</v>
      </c>
      <c r="IH299" t="e">
        <f>AND(#REF!,"AAAAAH9X3/E=")</f>
        <v>#REF!</v>
      </c>
      <c r="II299" t="e">
        <f>AND(#REF!,"AAAAAH9X3/I=")</f>
        <v>#REF!</v>
      </c>
      <c r="IJ299" t="e">
        <f>AND(#REF!,"AAAAAH9X3/M=")</f>
        <v>#REF!</v>
      </c>
      <c r="IK299" t="e">
        <f>IF(#REF!,"AAAAAH9X3/Q=",0)</f>
        <v>#REF!</v>
      </c>
      <c r="IL299" t="e">
        <f>AND(#REF!,"AAAAAH9X3/U=")</f>
        <v>#REF!</v>
      </c>
      <c r="IM299" t="e">
        <f>AND(#REF!,"AAAAAH9X3/Y=")</f>
        <v>#REF!</v>
      </c>
      <c r="IN299" t="e">
        <f>AND(#REF!,"AAAAAH9X3/c=")</f>
        <v>#REF!</v>
      </c>
      <c r="IO299" t="e">
        <f>AND(#REF!,"AAAAAH9X3/g=")</f>
        <v>#REF!</v>
      </c>
      <c r="IP299" t="e">
        <f>AND(#REF!,"AAAAAH9X3/k=")</f>
        <v>#REF!</v>
      </c>
      <c r="IQ299" t="e">
        <f>AND(#REF!,"AAAAAH9X3/o=")</f>
        <v>#REF!</v>
      </c>
      <c r="IR299" t="e">
        <f>IF(#REF!,"AAAAAH9X3/s=",0)</f>
        <v>#REF!</v>
      </c>
      <c r="IS299" t="e">
        <f>AND(#REF!,"AAAAAH9X3/w=")</f>
        <v>#REF!</v>
      </c>
      <c r="IT299" t="e">
        <f>AND(#REF!,"AAAAAH9X3/0=")</f>
        <v>#REF!</v>
      </c>
      <c r="IU299" t="e">
        <f>AND(#REF!,"AAAAAH9X3/4=")</f>
        <v>#REF!</v>
      </c>
      <c r="IV299" t="e">
        <f>AND(#REF!,"AAAAAH9X3/8=")</f>
        <v>#REF!</v>
      </c>
    </row>
    <row r="300" spans="1:256" x14ac:dyDescent="0.25">
      <c r="A300" t="e">
        <f>AND(#REF!,"AAAAAB/W1AA=")</f>
        <v>#REF!</v>
      </c>
      <c r="B300" t="e">
        <f>AND(#REF!,"AAAAAB/W1AE=")</f>
        <v>#REF!</v>
      </c>
      <c r="C300" t="e">
        <f>IF(#REF!,"AAAAAB/W1AI=",0)</f>
        <v>#REF!</v>
      </c>
      <c r="D300" t="e">
        <f>AND(#REF!,"AAAAAB/W1AM=")</f>
        <v>#REF!</v>
      </c>
      <c r="E300" t="e">
        <f>AND(#REF!,"AAAAAB/W1AQ=")</f>
        <v>#REF!</v>
      </c>
      <c r="F300" t="e">
        <f>AND(#REF!,"AAAAAB/W1AU=")</f>
        <v>#REF!</v>
      </c>
      <c r="G300" t="e">
        <f>AND(#REF!,"AAAAAB/W1AY=")</f>
        <v>#REF!</v>
      </c>
      <c r="H300" t="e">
        <f>AND(#REF!,"AAAAAB/W1Ac=")</f>
        <v>#REF!</v>
      </c>
      <c r="I300" t="e">
        <f>AND(#REF!,"AAAAAB/W1Ag=")</f>
        <v>#REF!</v>
      </c>
      <c r="J300" t="e">
        <f>IF(#REF!,"AAAAAB/W1Ak=",0)</f>
        <v>#REF!</v>
      </c>
      <c r="K300" t="e">
        <f>IF(#REF!,"AAAAAB/W1Ao=",0)</f>
        <v>#REF!</v>
      </c>
      <c r="L300" t="e">
        <f>IF(#REF!,"AAAAAB/W1As=",0)</f>
        <v>#REF!</v>
      </c>
      <c r="M300" t="e">
        <f>IF(#REF!,"AAAAAB/W1Aw=",0)</f>
        <v>#REF!</v>
      </c>
      <c r="N300" t="e">
        <f>IF(#REF!,"AAAAAB/W1A0=",0)</f>
        <v>#REF!</v>
      </c>
      <c r="O300" t="e">
        <f>IF(#REF!,"AAAAAB/W1A4=",0)</f>
        <v>#REF!</v>
      </c>
      <c r="P300" t="e">
        <f>IF(#REF!,"AAAAAB/W1A8=",0)</f>
        <v>#REF!</v>
      </c>
      <c r="Q300" t="e">
        <f>IF(#REF!,"AAAAAB/W1BA=",0)</f>
        <v>#REF!</v>
      </c>
      <c r="R300" t="e">
        <f>IF(#REF!,"AAAAAB/W1BE=",0)</f>
        <v>#REF!</v>
      </c>
      <c r="S300" t="e">
        <f>IF(#REF!,"AAAAAB/W1BI=",0)</f>
        <v>#REF!</v>
      </c>
      <c r="T300" t="e">
        <f>IF(#REF!,"AAAAAB/W1BM=",0)</f>
        <v>#REF!</v>
      </c>
      <c r="U300" t="e">
        <f>IF(#REF!,"AAAAAB/W1BQ=",0)</f>
        <v>#REF!</v>
      </c>
      <c r="V300" t="e">
        <f>IF(#REF!,"AAAAAB/W1BU=",0)</f>
        <v>#REF!</v>
      </c>
      <c r="W300" t="e">
        <f>IF(#REF!,"AAAAAB/W1BY=",0)</f>
        <v>#REF!</v>
      </c>
    </row>
  </sheetData>
  <pageMargins left="0.7" right="0.7" top="0.75" bottom="0.75" header="0.3" footer="0.3"/>
  <customProperties>
    <customPr name="DVSECTION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A2" sqref="A2"/>
    </sheetView>
  </sheetViews>
  <sheetFormatPr defaultColWidth="9.109375" defaultRowHeight="15.6" x14ac:dyDescent="0.3"/>
  <cols>
    <col min="1" max="2" width="9.109375" style="53"/>
    <col min="3" max="3" width="10.6640625" style="53" bestFit="1" customWidth="1"/>
    <col min="4" max="11" width="9.109375" style="53"/>
    <col min="12" max="12" width="5.44140625" style="38" customWidth="1"/>
    <col min="13" max="17" width="5.33203125" style="72" customWidth="1"/>
    <col min="18" max="19" width="5.33203125" style="73" customWidth="1"/>
    <col min="20" max="25" width="9.109375" style="75"/>
    <col min="26" max="16384" width="9.109375" style="53"/>
  </cols>
  <sheetData>
    <row r="1" spans="1:25" s="38" customFormat="1" ht="13.8" x14ac:dyDescent="0.3">
      <c r="A1" s="34"/>
      <c r="B1" s="35" t="s">
        <v>3</v>
      </c>
      <c r="C1" s="36" t="s">
        <v>2</v>
      </c>
      <c r="D1" s="34"/>
      <c r="E1" s="34"/>
      <c r="F1" s="35" t="s">
        <v>23</v>
      </c>
      <c r="G1" s="37"/>
      <c r="H1" s="34"/>
      <c r="I1" s="34"/>
      <c r="J1" s="34"/>
      <c r="K1" s="34"/>
      <c r="M1" s="68"/>
      <c r="N1" s="68"/>
      <c r="O1" s="68"/>
      <c r="P1" s="68"/>
      <c r="Q1" s="68"/>
      <c r="R1" s="68"/>
      <c r="S1" s="68"/>
      <c r="T1" s="69"/>
      <c r="U1" s="69"/>
      <c r="V1" s="69"/>
      <c r="W1" s="70"/>
      <c r="X1" s="71"/>
      <c r="Y1" s="69"/>
    </row>
    <row r="2" spans="1:25" s="38" customFormat="1" ht="13.8" x14ac:dyDescent="0.3">
      <c r="A2" s="34"/>
      <c r="B2" s="35" t="s">
        <v>4</v>
      </c>
      <c r="C2" s="36" t="s">
        <v>5</v>
      </c>
      <c r="D2" s="34"/>
      <c r="E2" s="34"/>
      <c r="F2" s="35" t="s">
        <v>6</v>
      </c>
      <c r="G2" s="36"/>
      <c r="H2" s="34"/>
      <c r="I2" s="34"/>
      <c r="J2" s="34"/>
      <c r="K2" s="34"/>
      <c r="M2" s="68"/>
      <c r="N2" s="68"/>
      <c r="O2" s="68"/>
      <c r="P2" s="68"/>
      <c r="Q2" s="68"/>
      <c r="R2" s="68"/>
      <c r="S2" s="68"/>
      <c r="T2" s="69"/>
      <c r="U2" s="69"/>
      <c r="V2" s="69"/>
      <c r="W2" s="70"/>
      <c r="X2" s="71"/>
      <c r="Y2" s="69"/>
    </row>
    <row r="3" spans="1:25" s="38" customFormat="1" ht="13.8" x14ac:dyDescent="0.3">
      <c r="A3" s="34"/>
      <c r="B3" s="35" t="s">
        <v>1</v>
      </c>
      <c r="C3" s="43"/>
      <c r="D3" s="34"/>
      <c r="E3" s="34"/>
      <c r="F3" s="35" t="s">
        <v>0</v>
      </c>
      <c r="G3" s="36"/>
      <c r="H3" s="34"/>
      <c r="I3" s="34"/>
      <c r="J3" s="34"/>
      <c r="K3" s="34"/>
      <c r="M3" s="68"/>
      <c r="N3" s="68"/>
      <c r="O3" s="68"/>
      <c r="P3" s="68"/>
      <c r="Q3" s="68"/>
      <c r="R3" s="68"/>
      <c r="S3" s="68"/>
      <c r="T3" s="69"/>
      <c r="U3" s="69"/>
      <c r="V3" s="69"/>
      <c r="W3" s="70"/>
      <c r="X3" s="71"/>
      <c r="Y3" s="69"/>
    </row>
    <row r="4" spans="1:25" s="38" customFormat="1" ht="13.8" x14ac:dyDescent="0.3">
      <c r="A4" s="34"/>
      <c r="B4" s="35" t="s">
        <v>29</v>
      </c>
      <c r="C4" s="37"/>
      <c r="D4" s="34"/>
      <c r="E4" s="34"/>
      <c r="F4" s="35" t="s">
        <v>30</v>
      </c>
      <c r="G4" s="36" t="s">
        <v>31</v>
      </c>
      <c r="H4" s="34"/>
      <c r="I4" s="34"/>
      <c r="J4" s="34"/>
      <c r="K4" s="34"/>
      <c r="M4" s="68"/>
      <c r="N4" s="68"/>
      <c r="O4" s="68"/>
      <c r="P4" s="68"/>
      <c r="Q4" s="72"/>
      <c r="R4" s="73"/>
      <c r="S4" s="73"/>
      <c r="T4" s="69"/>
      <c r="U4" s="69"/>
      <c r="V4" s="69"/>
      <c r="W4" s="70"/>
      <c r="X4" s="71"/>
      <c r="Y4" s="69"/>
    </row>
    <row r="5" spans="1:25" s="38" customFormat="1" ht="13.8" x14ac:dyDescent="0.3">
      <c r="A5" s="34"/>
      <c r="B5" s="35" t="s">
        <v>32</v>
      </c>
      <c r="C5" s="37"/>
      <c r="D5" s="34"/>
      <c r="E5" s="35"/>
      <c r="F5" s="34"/>
      <c r="G5" s="34"/>
      <c r="H5" s="34"/>
      <c r="I5" s="34"/>
      <c r="J5" s="34"/>
      <c r="K5" s="34"/>
      <c r="M5" s="68"/>
      <c r="N5" s="68"/>
      <c r="O5" s="68"/>
      <c r="P5" s="68"/>
      <c r="Q5" s="72"/>
      <c r="R5" s="73"/>
      <c r="S5" s="73"/>
      <c r="T5" s="69"/>
      <c r="U5" s="69"/>
      <c r="V5" s="69"/>
      <c r="W5" s="70"/>
      <c r="X5" s="71"/>
      <c r="Y5" s="69"/>
    </row>
    <row r="6" spans="1:25" s="38" customFormat="1" ht="13.8" x14ac:dyDescent="0.3">
      <c r="A6" s="34"/>
      <c r="B6" s="34" t="s">
        <v>7</v>
      </c>
      <c r="C6" s="46"/>
      <c r="D6" s="34"/>
      <c r="E6" s="34"/>
      <c r="F6" s="34"/>
      <c r="G6" s="34"/>
      <c r="H6" s="34"/>
      <c r="I6" s="34"/>
      <c r="J6" s="34"/>
      <c r="K6" s="34"/>
      <c r="M6" s="68"/>
      <c r="N6" s="68"/>
      <c r="O6" s="68"/>
      <c r="P6" s="68"/>
      <c r="Q6" s="72"/>
      <c r="R6" s="73"/>
      <c r="S6" s="73"/>
      <c r="T6" s="69"/>
      <c r="U6" s="69"/>
      <c r="V6" s="69"/>
      <c r="W6" s="70"/>
      <c r="X6" s="71"/>
      <c r="Y6" s="69"/>
    </row>
    <row r="7" spans="1:25" s="38" customFormat="1" ht="13.8" x14ac:dyDescent="0.3">
      <c r="A7" s="34"/>
      <c r="B7" s="34"/>
      <c r="C7" s="34"/>
      <c r="D7" s="34"/>
      <c r="E7" s="34"/>
      <c r="F7" s="34"/>
      <c r="G7" s="34"/>
      <c r="H7" s="34"/>
      <c r="I7" s="34"/>
      <c r="J7" s="34"/>
      <c r="K7" s="34"/>
      <c r="M7" s="68"/>
      <c r="N7" s="68"/>
      <c r="O7" s="68"/>
      <c r="P7" s="68"/>
      <c r="Q7" s="72"/>
      <c r="R7" s="73"/>
      <c r="S7" s="73"/>
      <c r="T7" s="69"/>
      <c r="U7" s="69"/>
      <c r="V7" s="69"/>
      <c r="W7" s="70"/>
      <c r="X7" s="71"/>
      <c r="Y7" s="69"/>
    </row>
    <row r="8" spans="1:25" s="38" customFormat="1" ht="13.8" x14ac:dyDescent="0.3">
      <c r="A8" s="47"/>
      <c r="E8" s="40"/>
      <c r="F8" s="41"/>
      <c r="H8" s="48"/>
      <c r="I8" s="40"/>
      <c r="J8" s="49"/>
      <c r="K8" s="50"/>
      <c r="L8" s="51"/>
      <c r="M8" s="68"/>
      <c r="N8" s="68"/>
      <c r="O8" s="68"/>
      <c r="P8" s="68"/>
      <c r="Q8" s="72"/>
      <c r="R8" s="73"/>
      <c r="S8" s="73"/>
      <c r="T8" s="69"/>
      <c r="U8" s="69"/>
      <c r="V8" s="69"/>
      <c r="W8" s="69"/>
      <c r="X8" s="69"/>
      <c r="Y8" s="69"/>
    </row>
    <row r="9" spans="1:25" s="38" customFormat="1" ht="13.8" x14ac:dyDescent="0.3">
      <c r="E9" s="40"/>
      <c r="F9" s="48"/>
      <c r="H9" s="48"/>
      <c r="I9" s="40"/>
      <c r="J9" s="50"/>
      <c r="K9" s="50"/>
      <c r="L9" s="51"/>
      <c r="M9" s="68"/>
      <c r="N9" s="68"/>
      <c r="O9" s="68"/>
      <c r="P9" s="68"/>
      <c r="Q9" s="72"/>
      <c r="R9" s="73"/>
      <c r="S9" s="73"/>
      <c r="T9" s="69"/>
      <c r="U9" s="69"/>
      <c r="V9" s="69"/>
      <c r="W9" s="69"/>
      <c r="X9" s="69"/>
      <c r="Y9" s="69"/>
    </row>
    <row r="10" spans="1:25" s="38" customFormat="1" ht="13.8" x14ac:dyDescent="0.3">
      <c r="E10" s="40"/>
      <c r="F10" s="48"/>
      <c r="H10" s="48"/>
      <c r="I10" s="40"/>
      <c r="J10" s="41"/>
      <c r="K10" s="48"/>
      <c r="L10" s="51"/>
      <c r="M10" s="68"/>
      <c r="N10" s="68"/>
      <c r="O10" s="68"/>
      <c r="P10" s="68"/>
      <c r="Q10" s="72"/>
      <c r="R10" s="73"/>
      <c r="S10" s="73"/>
      <c r="T10" s="69"/>
      <c r="U10" s="69"/>
      <c r="V10" s="69"/>
      <c r="W10" s="69"/>
      <c r="X10" s="69"/>
      <c r="Y10" s="69"/>
    </row>
    <row r="11" spans="1:25" s="38" customFormat="1" ht="13.8" x14ac:dyDescent="0.3">
      <c r="E11" s="40"/>
      <c r="F11" s="48"/>
      <c r="I11" s="52"/>
      <c r="J11" s="41"/>
      <c r="M11" s="68"/>
      <c r="N11" s="68"/>
      <c r="O11" s="68"/>
      <c r="P11" s="68"/>
      <c r="Q11" s="68"/>
      <c r="R11" s="68"/>
      <c r="S11" s="68"/>
      <c r="T11" s="69"/>
      <c r="U11" s="69"/>
      <c r="V11" s="69"/>
      <c r="W11" s="69"/>
      <c r="X11" s="69"/>
      <c r="Y11" s="69"/>
    </row>
    <row r="12" spans="1:25" x14ac:dyDescent="0.3">
      <c r="C12" s="54" t="str">
        <f>G4</f>
        <v>IMPORTANT INFORMATION</v>
      </c>
      <c r="M12" s="68"/>
      <c r="N12" s="68"/>
      <c r="O12" s="68"/>
      <c r="P12" s="68"/>
      <c r="Q12" s="74"/>
      <c r="R12" s="74"/>
      <c r="S12" s="74"/>
    </row>
    <row r="13" spans="1:25" s="38" customFormat="1" ht="13.8" x14ac:dyDescent="0.3">
      <c r="M13" s="68"/>
      <c r="N13" s="68"/>
      <c r="O13" s="68"/>
      <c r="P13" s="68"/>
      <c r="Q13" s="68"/>
      <c r="R13" s="68"/>
      <c r="S13" s="68"/>
      <c r="T13" s="69"/>
      <c r="U13" s="69"/>
      <c r="V13" s="69"/>
      <c r="W13" s="69"/>
      <c r="X13" s="69"/>
      <c r="Y13" s="69"/>
    </row>
    <row r="14" spans="1:25" s="38" customFormat="1" ht="13.8" x14ac:dyDescent="0.3">
      <c r="B14" s="55" t="s">
        <v>36</v>
      </c>
      <c r="M14" s="68"/>
      <c r="N14" s="68"/>
      <c r="O14" s="68"/>
      <c r="P14" s="68"/>
      <c r="Q14" s="68"/>
      <c r="R14" s="68"/>
      <c r="S14" s="68"/>
      <c r="T14" s="69"/>
      <c r="U14" s="69"/>
      <c r="V14" s="69"/>
      <c r="W14" s="69"/>
      <c r="X14" s="69"/>
      <c r="Y14" s="69"/>
    </row>
    <row r="15" spans="1:25" s="38" customFormat="1" ht="13.8" x14ac:dyDescent="0.3">
      <c r="A15" s="56"/>
      <c r="K15" s="56"/>
      <c r="M15" s="72"/>
      <c r="N15" s="72"/>
      <c r="O15" s="72"/>
      <c r="P15" s="72"/>
      <c r="Q15" s="72"/>
      <c r="R15" s="73"/>
      <c r="S15" s="73"/>
      <c r="T15" s="69"/>
      <c r="U15" s="69"/>
      <c r="V15" s="69"/>
      <c r="W15" s="69"/>
      <c r="X15" s="69"/>
      <c r="Y15" s="69"/>
    </row>
    <row r="16" spans="1:25" s="38" customFormat="1" ht="12.75" customHeight="1" x14ac:dyDescent="0.3">
      <c r="B16" s="95" t="s">
        <v>42</v>
      </c>
      <c r="C16" s="95"/>
      <c r="D16" s="95"/>
      <c r="E16" s="95"/>
      <c r="F16" s="95"/>
      <c r="G16" s="95"/>
      <c r="H16" s="95"/>
      <c r="I16" s="95"/>
      <c r="J16" s="95"/>
      <c r="M16" s="72"/>
      <c r="N16" s="72"/>
      <c r="O16" s="72"/>
      <c r="P16" s="72"/>
      <c r="Q16" s="72"/>
      <c r="R16" s="73"/>
      <c r="S16" s="73"/>
      <c r="T16" s="69"/>
      <c r="U16" s="69"/>
      <c r="V16" s="69"/>
      <c r="W16" s="69"/>
      <c r="X16" s="69"/>
      <c r="Y16" s="69"/>
    </row>
    <row r="17" spans="1:25" s="38" customFormat="1" ht="13.8" x14ac:dyDescent="0.3">
      <c r="B17" s="95"/>
      <c r="C17" s="95"/>
      <c r="D17" s="95"/>
      <c r="E17" s="95"/>
      <c r="F17" s="95"/>
      <c r="G17" s="95"/>
      <c r="H17" s="95"/>
      <c r="I17" s="95"/>
      <c r="J17" s="95"/>
      <c r="M17" s="72"/>
      <c r="N17" s="72"/>
      <c r="O17" s="72"/>
      <c r="P17" s="72"/>
      <c r="Q17" s="72"/>
      <c r="R17" s="73"/>
      <c r="S17" s="73"/>
      <c r="T17" s="69"/>
      <c r="U17" s="69"/>
      <c r="V17" s="69"/>
      <c r="W17" s="69"/>
      <c r="X17" s="69"/>
      <c r="Y17" s="69"/>
    </row>
    <row r="18" spans="1:25" s="38" customFormat="1" ht="13.8" x14ac:dyDescent="0.3">
      <c r="B18" s="95"/>
      <c r="C18" s="95"/>
      <c r="D18" s="95"/>
      <c r="E18" s="95"/>
      <c r="F18" s="95"/>
      <c r="G18" s="95"/>
      <c r="H18" s="95"/>
      <c r="I18" s="95"/>
      <c r="J18" s="95"/>
      <c r="M18" s="72"/>
      <c r="N18" s="72"/>
      <c r="O18" s="72"/>
      <c r="P18" s="72"/>
      <c r="Q18" s="72"/>
      <c r="R18" s="73"/>
      <c r="S18" s="73"/>
      <c r="T18" s="69"/>
      <c r="U18" s="69"/>
      <c r="V18" s="69"/>
      <c r="W18" s="69"/>
      <c r="X18" s="69"/>
      <c r="Y18" s="69"/>
    </row>
    <row r="19" spans="1:25" s="38" customFormat="1" ht="13.8" x14ac:dyDescent="0.3">
      <c r="B19" s="95"/>
      <c r="C19" s="95"/>
      <c r="D19" s="95"/>
      <c r="E19" s="95"/>
      <c r="F19" s="95"/>
      <c r="G19" s="95"/>
      <c r="H19" s="95"/>
      <c r="I19" s="95"/>
      <c r="J19" s="95"/>
      <c r="M19" s="72"/>
      <c r="N19" s="72"/>
      <c r="O19" s="72"/>
      <c r="P19" s="72"/>
      <c r="Q19" s="72"/>
      <c r="R19" s="73"/>
      <c r="S19" s="73"/>
      <c r="T19" s="69"/>
      <c r="U19" s="69"/>
      <c r="V19" s="69"/>
      <c r="W19" s="69"/>
      <c r="X19" s="69"/>
      <c r="Y19" s="69"/>
    </row>
    <row r="20" spans="1:25" s="38" customFormat="1" ht="12.75" customHeight="1" x14ac:dyDescent="0.3">
      <c r="A20" s="56"/>
      <c r="B20" s="57" t="s">
        <v>43</v>
      </c>
      <c r="C20" s="56"/>
      <c r="D20" s="56"/>
      <c r="E20" s="56"/>
      <c r="F20" s="56"/>
      <c r="G20" s="56"/>
      <c r="H20" s="56"/>
      <c r="I20" s="56"/>
      <c r="J20" s="56"/>
      <c r="K20" s="56"/>
      <c r="M20" s="72"/>
      <c r="N20" s="72"/>
      <c r="O20" s="72"/>
      <c r="P20" s="72"/>
      <c r="Q20" s="72"/>
      <c r="R20" s="73"/>
      <c r="S20" s="73"/>
      <c r="T20" s="69"/>
      <c r="U20" s="69"/>
      <c r="V20" s="69"/>
      <c r="W20" s="69"/>
      <c r="X20" s="69"/>
      <c r="Y20" s="69"/>
    </row>
    <row r="21" spans="1:25" s="38" customFormat="1" ht="13.8" x14ac:dyDescent="0.3">
      <c r="A21" s="56"/>
      <c r="B21" s="57"/>
      <c r="C21" s="56"/>
      <c r="D21" s="56"/>
      <c r="E21" s="56"/>
      <c r="F21" s="56"/>
      <c r="G21" s="56"/>
      <c r="H21" s="56"/>
      <c r="I21" s="56"/>
      <c r="J21" s="56"/>
      <c r="K21" s="56"/>
      <c r="M21" s="72"/>
      <c r="N21" s="72"/>
      <c r="O21" s="72"/>
      <c r="P21" s="72"/>
      <c r="Q21" s="72"/>
      <c r="R21" s="73"/>
      <c r="S21" s="73"/>
      <c r="T21" s="69"/>
      <c r="U21" s="69"/>
      <c r="V21" s="69"/>
      <c r="W21" s="69"/>
      <c r="X21" s="69"/>
      <c r="Y21" s="69"/>
    </row>
    <row r="22" spans="1:25" s="38" customFormat="1" ht="13.8" x14ac:dyDescent="0.3">
      <c r="A22" s="56"/>
      <c r="B22" s="95" t="s">
        <v>44</v>
      </c>
      <c r="C22" s="95"/>
      <c r="D22" s="95"/>
      <c r="E22" s="95"/>
      <c r="F22" s="95"/>
      <c r="G22" s="95"/>
      <c r="H22" s="95"/>
      <c r="I22" s="95"/>
      <c r="J22" s="95"/>
      <c r="K22" s="56"/>
      <c r="M22" s="72"/>
      <c r="N22" s="72"/>
      <c r="O22" s="72"/>
      <c r="P22" s="72"/>
      <c r="Q22" s="72"/>
      <c r="R22" s="73"/>
      <c r="S22" s="73"/>
      <c r="T22" s="69"/>
      <c r="U22" s="69"/>
      <c r="V22" s="69"/>
      <c r="W22" s="69"/>
      <c r="X22" s="69"/>
      <c r="Y22" s="69"/>
    </row>
    <row r="23" spans="1:25" s="38" customFormat="1" ht="13.8" x14ac:dyDescent="0.3">
      <c r="A23" s="56"/>
      <c r="B23" s="95"/>
      <c r="C23" s="95"/>
      <c r="D23" s="95"/>
      <c r="E23" s="95"/>
      <c r="F23" s="95"/>
      <c r="G23" s="95"/>
      <c r="H23" s="95"/>
      <c r="I23" s="95"/>
      <c r="J23" s="95"/>
      <c r="K23" s="56"/>
      <c r="M23" s="72"/>
      <c r="N23" s="72"/>
      <c r="O23" s="72"/>
      <c r="P23" s="72"/>
      <c r="Q23" s="72"/>
      <c r="R23" s="73"/>
      <c r="S23" s="76"/>
      <c r="T23" s="69"/>
      <c r="U23" s="69"/>
      <c r="V23" s="69"/>
      <c r="W23" s="69"/>
      <c r="X23" s="69"/>
      <c r="Y23" s="69"/>
    </row>
    <row r="24" spans="1:25" s="38" customFormat="1" ht="13.8" x14ac:dyDescent="0.3">
      <c r="A24" s="56"/>
      <c r="B24" s="95"/>
      <c r="C24" s="95"/>
      <c r="D24" s="95"/>
      <c r="E24" s="95"/>
      <c r="F24" s="95"/>
      <c r="G24" s="95"/>
      <c r="H24" s="95"/>
      <c r="I24" s="95"/>
      <c r="J24" s="95"/>
      <c r="K24" s="56"/>
      <c r="M24" s="72"/>
      <c r="N24" s="72"/>
      <c r="O24" s="72"/>
      <c r="P24" s="72"/>
      <c r="Q24" s="72"/>
      <c r="R24" s="73"/>
      <c r="S24" s="76"/>
      <c r="T24" s="69"/>
      <c r="U24" s="69"/>
      <c r="V24" s="69"/>
      <c r="W24" s="69"/>
      <c r="X24" s="69"/>
      <c r="Y24" s="69"/>
    </row>
    <row r="25" spans="1:25" s="38" customFormat="1" ht="12.75" customHeight="1" x14ac:dyDescent="0.3">
      <c r="A25" s="56"/>
      <c r="B25" s="90"/>
      <c r="C25" s="90"/>
      <c r="D25" s="90"/>
      <c r="E25" s="90"/>
      <c r="F25" s="91" t="s">
        <v>83</v>
      </c>
      <c r="G25" s="90"/>
      <c r="H25" s="90"/>
      <c r="I25" s="90"/>
      <c r="J25" s="90"/>
      <c r="K25" s="56"/>
      <c r="M25" s="72"/>
      <c r="N25" s="72"/>
      <c r="O25" s="72"/>
      <c r="P25" s="72"/>
      <c r="Q25" s="72"/>
      <c r="R25" s="73"/>
      <c r="S25" s="73"/>
      <c r="T25" s="69"/>
      <c r="U25" s="69"/>
      <c r="V25" s="69"/>
      <c r="W25" s="69"/>
      <c r="X25" s="69"/>
      <c r="Y25" s="69"/>
    </row>
    <row r="26" spans="1:25" s="38" customFormat="1" ht="13.8" x14ac:dyDescent="0.3">
      <c r="A26" s="56"/>
      <c r="B26" s="95" t="s">
        <v>45</v>
      </c>
      <c r="C26" s="95"/>
      <c r="D26" s="95"/>
      <c r="E26" s="95"/>
      <c r="F26" s="95"/>
      <c r="G26" s="95"/>
      <c r="H26" s="95"/>
      <c r="I26" s="95"/>
      <c r="J26" s="95"/>
      <c r="K26" s="56"/>
      <c r="M26" s="72"/>
      <c r="N26" s="72"/>
      <c r="O26" s="72"/>
      <c r="P26" s="72"/>
      <c r="Q26" s="72"/>
      <c r="R26" s="73"/>
      <c r="S26" s="73"/>
      <c r="T26" s="69"/>
      <c r="U26" s="69"/>
      <c r="V26" s="69"/>
      <c r="W26" s="69"/>
      <c r="X26" s="69"/>
      <c r="Y26" s="69"/>
    </row>
    <row r="27" spans="1:25" s="38" customFormat="1" ht="13.8" x14ac:dyDescent="0.3">
      <c r="A27" s="56"/>
      <c r="B27" s="95"/>
      <c r="C27" s="95"/>
      <c r="D27" s="95"/>
      <c r="E27" s="95"/>
      <c r="F27" s="95"/>
      <c r="G27" s="95"/>
      <c r="H27" s="95"/>
      <c r="I27" s="95"/>
      <c r="J27" s="95"/>
      <c r="K27" s="56"/>
      <c r="M27" s="72"/>
      <c r="N27" s="72"/>
      <c r="O27" s="72"/>
      <c r="P27" s="72"/>
      <c r="Q27" s="72"/>
      <c r="R27" s="73"/>
      <c r="S27" s="73"/>
      <c r="T27" s="69"/>
      <c r="U27" s="69"/>
      <c r="V27" s="69"/>
      <c r="W27" s="69"/>
      <c r="X27" s="69"/>
      <c r="Y27" s="69"/>
    </row>
    <row r="28" spans="1:25" s="38" customFormat="1" ht="13.8" x14ac:dyDescent="0.3">
      <c r="A28" s="56"/>
      <c r="B28" s="90"/>
      <c r="C28" s="90"/>
      <c r="D28" s="90"/>
      <c r="E28" s="90"/>
      <c r="F28" s="90"/>
      <c r="G28" s="90"/>
      <c r="H28" s="90"/>
      <c r="I28" s="90"/>
      <c r="J28" s="90"/>
      <c r="K28" s="56"/>
      <c r="M28" s="72"/>
      <c r="N28" s="72"/>
      <c r="O28" s="72"/>
      <c r="P28" s="72"/>
      <c r="Q28" s="72"/>
      <c r="R28" s="73"/>
      <c r="S28" s="73"/>
      <c r="T28" s="69"/>
      <c r="U28" s="69"/>
      <c r="V28" s="69"/>
      <c r="W28" s="69"/>
      <c r="X28" s="69"/>
      <c r="Y28" s="69"/>
    </row>
    <row r="29" spans="1:25" s="38" customFormat="1" ht="13.8" x14ac:dyDescent="0.3">
      <c r="A29" s="56"/>
      <c r="B29" s="95" t="s">
        <v>46</v>
      </c>
      <c r="C29" s="95"/>
      <c r="D29" s="95"/>
      <c r="E29" s="95"/>
      <c r="F29" s="95"/>
      <c r="G29" s="95"/>
      <c r="H29" s="95"/>
      <c r="I29" s="95"/>
      <c r="J29" s="95"/>
      <c r="K29" s="56"/>
      <c r="M29" s="72"/>
      <c r="N29" s="72"/>
      <c r="O29" s="72"/>
      <c r="P29" s="72"/>
      <c r="Q29" s="72"/>
      <c r="R29" s="73"/>
      <c r="S29" s="73"/>
      <c r="T29" s="69"/>
      <c r="U29" s="69"/>
      <c r="V29" s="69"/>
      <c r="W29" s="69"/>
      <c r="X29" s="69"/>
      <c r="Y29" s="69"/>
    </row>
    <row r="30" spans="1:25" s="38" customFormat="1" ht="13.8" x14ac:dyDescent="0.3">
      <c r="A30" s="56"/>
      <c r="B30" s="95"/>
      <c r="C30" s="95"/>
      <c r="D30" s="95"/>
      <c r="E30" s="95"/>
      <c r="F30" s="95"/>
      <c r="G30" s="95"/>
      <c r="H30" s="95"/>
      <c r="I30" s="95"/>
      <c r="J30" s="95"/>
      <c r="K30" s="56"/>
      <c r="M30" s="72"/>
      <c r="N30" s="72"/>
      <c r="O30" s="72"/>
      <c r="P30" s="72"/>
      <c r="Q30" s="72"/>
      <c r="R30" s="73"/>
      <c r="S30" s="73"/>
      <c r="T30" s="69"/>
      <c r="U30" s="69"/>
      <c r="V30" s="69"/>
      <c r="W30" s="69"/>
      <c r="X30" s="69"/>
      <c r="Y30" s="69"/>
    </row>
    <row r="31" spans="1:25" s="38" customFormat="1" ht="12.75" customHeight="1" x14ac:dyDescent="0.3">
      <c r="A31" s="56"/>
      <c r="B31" s="95"/>
      <c r="C31" s="95"/>
      <c r="D31" s="95"/>
      <c r="E31" s="95"/>
      <c r="F31" s="95"/>
      <c r="G31" s="95"/>
      <c r="H31" s="95"/>
      <c r="I31" s="95"/>
      <c r="J31" s="95"/>
      <c r="K31" s="56"/>
      <c r="M31" s="72"/>
      <c r="N31" s="72"/>
      <c r="O31" s="72"/>
      <c r="P31" s="72"/>
      <c r="Q31" s="72"/>
      <c r="R31" s="73"/>
      <c r="S31" s="73"/>
      <c r="T31" s="69"/>
      <c r="U31" s="69"/>
      <c r="V31" s="69"/>
      <c r="W31" s="69"/>
      <c r="X31" s="69"/>
      <c r="Y31" s="69"/>
    </row>
    <row r="32" spans="1:25" s="38" customFormat="1" ht="13.8" x14ac:dyDescent="0.3">
      <c r="A32" s="56"/>
      <c r="B32" s="95"/>
      <c r="C32" s="95"/>
      <c r="D32" s="95"/>
      <c r="E32" s="95"/>
      <c r="F32" s="95"/>
      <c r="G32" s="95"/>
      <c r="H32" s="95"/>
      <c r="I32" s="95"/>
      <c r="J32" s="95"/>
      <c r="K32" s="56"/>
      <c r="M32" s="72"/>
      <c r="N32" s="72"/>
      <c r="O32" s="72"/>
      <c r="P32" s="72"/>
      <c r="Q32" s="72"/>
      <c r="R32" s="73"/>
      <c r="S32" s="73"/>
      <c r="T32" s="69"/>
      <c r="U32" s="69"/>
      <c r="V32" s="69"/>
      <c r="W32" s="69"/>
      <c r="X32" s="69"/>
      <c r="Y32" s="69"/>
    </row>
    <row r="33" spans="1:25" s="38" customFormat="1" ht="12.75" customHeight="1" x14ac:dyDescent="0.3">
      <c r="A33" s="56"/>
      <c r="B33" s="95"/>
      <c r="C33" s="95"/>
      <c r="D33" s="95"/>
      <c r="E33" s="95"/>
      <c r="F33" s="95"/>
      <c r="G33" s="95"/>
      <c r="H33" s="95"/>
      <c r="I33" s="95"/>
      <c r="J33" s="95"/>
      <c r="K33" s="56"/>
      <c r="M33" s="72"/>
      <c r="N33" s="72"/>
      <c r="O33" s="72"/>
      <c r="P33" s="72"/>
      <c r="Q33" s="72"/>
      <c r="R33" s="73"/>
      <c r="S33" s="73"/>
      <c r="T33" s="69"/>
      <c r="U33" s="69"/>
      <c r="V33" s="69"/>
      <c r="W33" s="69"/>
      <c r="X33" s="69"/>
      <c r="Y33" s="69"/>
    </row>
    <row r="34" spans="1:25" s="38" customFormat="1" ht="13.8" x14ac:dyDescent="0.3">
      <c r="A34" s="56"/>
      <c r="B34" s="90"/>
      <c r="C34" s="90"/>
      <c r="D34" s="97" t="s">
        <v>37</v>
      </c>
      <c r="E34" s="97"/>
      <c r="F34" s="97"/>
      <c r="G34" s="97"/>
      <c r="H34" s="97"/>
      <c r="I34" s="90"/>
      <c r="J34" s="90"/>
      <c r="K34" s="56"/>
      <c r="M34" s="72"/>
      <c r="N34" s="72"/>
      <c r="O34" s="72"/>
      <c r="P34" s="72"/>
      <c r="Q34" s="72"/>
      <c r="R34" s="73"/>
      <c r="S34" s="76"/>
      <c r="T34" s="69"/>
      <c r="U34" s="69"/>
      <c r="V34" s="69"/>
      <c r="W34" s="69"/>
      <c r="X34" s="69"/>
      <c r="Y34" s="69"/>
    </row>
    <row r="35" spans="1:25" s="38" customFormat="1" ht="13.8" x14ac:dyDescent="0.3">
      <c r="A35" s="56"/>
      <c r="B35" s="56"/>
      <c r="C35" s="56"/>
      <c r="I35" s="56"/>
      <c r="J35" s="56"/>
      <c r="K35" s="56"/>
      <c r="M35" s="72"/>
      <c r="N35" s="72"/>
      <c r="O35" s="72"/>
      <c r="P35" s="72"/>
      <c r="Q35" s="72"/>
      <c r="R35" s="73"/>
      <c r="S35" s="76"/>
      <c r="T35" s="69"/>
      <c r="U35" s="69"/>
      <c r="V35" s="69"/>
      <c r="W35" s="69"/>
      <c r="X35" s="69"/>
      <c r="Y35" s="69"/>
    </row>
    <row r="36" spans="1:25" s="38" customFormat="1" ht="12.75" customHeight="1" x14ac:dyDescent="0.3">
      <c r="A36" s="56"/>
      <c r="B36" s="57" t="s">
        <v>38</v>
      </c>
      <c r="C36" s="56"/>
      <c r="D36" s="56"/>
      <c r="E36" s="56"/>
      <c r="F36" s="92"/>
      <c r="G36" s="56"/>
      <c r="H36" s="56"/>
      <c r="I36" s="56"/>
      <c r="J36" s="56"/>
      <c r="K36" s="56"/>
      <c r="M36" s="72"/>
      <c r="N36" s="72"/>
      <c r="O36" s="72"/>
      <c r="P36" s="72"/>
      <c r="Q36" s="72"/>
      <c r="R36" s="73"/>
      <c r="S36" s="73"/>
      <c r="T36" s="69"/>
      <c r="U36" s="69"/>
      <c r="V36" s="69"/>
      <c r="W36" s="69"/>
      <c r="X36" s="69"/>
      <c r="Y36" s="69"/>
    </row>
    <row r="37" spans="1:25" s="38" customFormat="1" ht="13.8" x14ac:dyDescent="0.3">
      <c r="A37" s="56"/>
      <c r="B37" s="57"/>
      <c r="C37" s="56"/>
      <c r="D37" s="56"/>
      <c r="E37" s="56"/>
      <c r="F37" s="92"/>
      <c r="G37" s="56"/>
      <c r="H37" s="56"/>
      <c r="I37" s="56"/>
      <c r="J37" s="56"/>
      <c r="K37" s="56"/>
      <c r="M37" s="72"/>
      <c r="N37" s="72"/>
      <c r="O37" s="72"/>
      <c r="P37" s="72"/>
      <c r="Q37" s="72"/>
      <c r="R37" s="73"/>
      <c r="S37" s="73"/>
      <c r="T37" s="69"/>
      <c r="U37" s="69"/>
      <c r="V37" s="69"/>
      <c r="W37" s="69"/>
      <c r="X37" s="69"/>
      <c r="Y37" s="69"/>
    </row>
    <row r="38" spans="1:25" s="38" customFormat="1" ht="13.8" x14ac:dyDescent="0.3">
      <c r="A38" s="56"/>
      <c r="B38" s="95" t="s">
        <v>47</v>
      </c>
      <c r="C38" s="95"/>
      <c r="D38" s="95"/>
      <c r="E38" s="95"/>
      <c r="F38" s="95"/>
      <c r="G38" s="95"/>
      <c r="H38" s="95"/>
      <c r="I38" s="95"/>
      <c r="J38" s="95"/>
      <c r="K38" s="56"/>
      <c r="M38" s="72"/>
      <c r="N38" s="72"/>
      <c r="O38" s="72"/>
      <c r="P38" s="72"/>
      <c r="Q38" s="72"/>
      <c r="R38" s="73"/>
      <c r="S38" s="73"/>
      <c r="T38" s="69"/>
      <c r="U38" s="69"/>
      <c r="V38" s="69"/>
      <c r="W38" s="69"/>
      <c r="X38" s="69"/>
      <c r="Y38" s="69"/>
    </row>
    <row r="39" spans="1:25" s="38" customFormat="1" ht="13.8" x14ac:dyDescent="0.3">
      <c r="A39" s="56"/>
      <c r="B39" s="95"/>
      <c r="C39" s="95"/>
      <c r="D39" s="95"/>
      <c r="E39" s="95"/>
      <c r="F39" s="95"/>
      <c r="G39" s="95"/>
      <c r="H39" s="95"/>
      <c r="I39" s="95"/>
      <c r="J39" s="95"/>
      <c r="K39" s="56"/>
      <c r="M39" s="72"/>
      <c r="N39" s="72"/>
      <c r="O39" s="72"/>
      <c r="P39" s="72"/>
      <c r="Q39" s="72"/>
      <c r="R39" s="73"/>
      <c r="S39" s="73"/>
      <c r="T39" s="69"/>
      <c r="U39" s="69"/>
      <c r="V39" s="69"/>
      <c r="W39" s="69"/>
      <c r="X39" s="69"/>
      <c r="Y39" s="69"/>
    </row>
    <row r="40" spans="1:25" s="38" customFormat="1" ht="13.8" x14ac:dyDescent="0.3">
      <c r="A40" s="56"/>
      <c r="B40" s="90"/>
      <c r="C40" s="90"/>
      <c r="D40" s="90"/>
      <c r="E40" s="90"/>
      <c r="F40" s="90"/>
      <c r="G40" s="90"/>
      <c r="H40" s="90"/>
      <c r="I40" s="90"/>
      <c r="J40" s="90"/>
      <c r="K40" s="56"/>
      <c r="M40" s="72"/>
      <c r="N40" s="72"/>
      <c r="O40" s="72"/>
      <c r="P40" s="72"/>
      <c r="Q40" s="72"/>
      <c r="R40" s="73"/>
      <c r="S40" s="73"/>
      <c r="T40" s="69"/>
      <c r="U40" s="69"/>
      <c r="V40" s="69"/>
      <c r="W40" s="69"/>
      <c r="X40" s="69"/>
      <c r="Y40" s="69"/>
    </row>
    <row r="41" spans="1:25" s="38" customFormat="1" ht="13.8" x14ac:dyDescent="0.3">
      <c r="A41" s="56"/>
      <c r="B41" s="95" t="s">
        <v>48</v>
      </c>
      <c r="C41" s="95"/>
      <c r="D41" s="95"/>
      <c r="E41" s="95"/>
      <c r="F41" s="95"/>
      <c r="G41" s="95"/>
      <c r="H41" s="95"/>
      <c r="I41" s="95"/>
      <c r="J41" s="95"/>
      <c r="K41" s="56"/>
      <c r="M41" s="72"/>
      <c r="N41" s="72"/>
      <c r="O41" s="72"/>
      <c r="P41" s="72"/>
      <c r="Q41" s="72"/>
      <c r="R41" s="73"/>
      <c r="S41" s="73"/>
      <c r="T41" s="69"/>
      <c r="U41" s="69"/>
      <c r="V41" s="69"/>
      <c r="W41" s="69"/>
      <c r="X41" s="69"/>
      <c r="Y41" s="69"/>
    </row>
    <row r="42" spans="1:25" s="38" customFormat="1" ht="13.8" x14ac:dyDescent="0.3">
      <c r="A42" s="56"/>
      <c r="B42" s="95"/>
      <c r="C42" s="95"/>
      <c r="D42" s="95"/>
      <c r="E42" s="95"/>
      <c r="F42" s="95"/>
      <c r="G42" s="95"/>
      <c r="H42" s="95"/>
      <c r="I42" s="95"/>
      <c r="J42" s="95"/>
      <c r="K42" s="56"/>
      <c r="M42" s="72"/>
      <c r="N42" s="72"/>
      <c r="O42" s="72"/>
      <c r="P42" s="72"/>
      <c r="Q42" s="72"/>
      <c r="R42" s="73"/>
      <c r="S42" s="73"/>
      <c r="T42" s="69"/>
      <c r="U42" s="69"/>
      <c r="V42" s="69"/>
      <c r="W42" s="69"/>
      <c r="X42" s="69"/>
      <c r="Y42" s="69"/>
    </row>
    <row r="43" spans="1:25" s="38" customFormat="1" ht="13.8" x14ac:dyDescent="0.3">
      <c r="A43" s="56"/>
      <c r="B43" s="95"/>
      <c r="C43" s="95"/>
      <c r="D43" s="95"/>
      <c r="E43" s="95"/>
      <c r="F43" s="95"/>
      <c r="G43" s="95"/>
      <c r="H43" s="95"/>
      <c r="I43" s="95"/>
      <c r="J43" s="95"/>
      <c r="K43" s="56"/>
      <c r="M43" s="72"/>
      <c r="N43" s="72"/>
      <c r="O43" s="72"/>
      <c r="P43" s="72"/>
      <c r="Q43" s="72"/>
      <c r="R43" s="73"/>
      <c r="S43" s="73"/>
      <c r="T43" s="69"/>
      <c r="U43" s="69"/>
      <c r="V43" s="69"/>
      <c r="W43" s="69"/>
      <c r="X43" s="69"/>
      <c r="Y43" s="69"/>
    </row>
    <row r="44" spans="1:25" s="38" customFormat="1" ht="13.8" x14ac:dyDescent="0.3">
      <c r="A44" s="56"/>
      <c r="B44" s="90"/>
      <c r="C44" s="90"/>
      <c r="D44" s="90"/>
      <c r="E44" s="90"/>
      <c r="F44" s="90"/>
      <c r="G44" s="90"/>
      <c r="H44" s="90"/>
      <c r="I44" s="90"/>
      <c r="J44" s="90"/>
      <c r="K44" s="56"/>
      <c r="M44" s="72"/>
      <c r="N44" s="72"/>
      <c r="O44" s="72"/>
      <c r="P44" s="72"/>
      <c r="Q44" s="72"/>
      <c r="R44" s="73"/>
      <c r="S44" s="73"/>
      <c r="T44" s="69"/>
      <c r="U44" s="69"/>
      <c r="V44" s="69"/>
      <c r="W44" s="69"/>
      <c r="X44" s="69"/>
      <c r="Y44" s="69"/>
    </row>
    <row r="45" spans="1:25" s="38" customFormat="1" ht="12.75" customHeight="1" x14ac:dyDescent="0.3">
      <c r="A45" s="56"/>
      <c r="B45" s="95" t="s">
        <v>40</v>
      </c>
      <c r="C45" s="95"/>
      <c r="D45" s="95"/>
      <c r="E45" s="95"/>
      <c r="F45" s="95"/>
      <c r="G45" s="95"/>
      <c r="H45" s="95"/>
      <c r="I45" s="95"/>
      <c r="J45" s="95"/>
      <c r="K45" s="56"/>
      <c r="M45" s="72"/>
      <c r="N45" s="72"/>
      <c r="O45" s="72"/>
      <c r="P45" s="72"/>
      <c r="Q45" s="72"/>
      <c r="R45" s="73"/>
      <c r="S45" s="73"/>
      <c r="T45" s="69"/>
      <c r="U45" s="69"/>
      <c r="V45" s="69"/>
      <c r="W45" s="69"/>
      <c r="X45" s="69"/>
      <c r="Y45" s="69"/>
    </row>
    <row r="46" spans="1:25" s="38" customFormat="1" ht="13.8" x14ac:dyDescent="0.3">
      <c r="A46" s="56"/>
      <c r="B46" s="95"/>
      <c r="C46" s="95"/>
      <c r="D46" s="95"/>
      <c r="E46" s="95"/>
      <c r="F46" s="95"/>
      <c r="G46" s="95"/>
      <c r="H46" s="95"/>
      <c r="I46" s="95"/>
      <c r="J46" s="95"/>
      <c r="K46" s="56"/>
      <c r="M46" s="72"/>
      <c r="N46" s="72"/>
      <c r="O46" s="72"/>
      <c r="P46" s="72"/>
      <c r="Q46" s="72"/>
      <c r="R46" s="73"/>
      <c r="S46" s="73"/>
      <c r="T46" s="69"/>
      <c r="U46" s="69"/>
      <c r="V46" s="69"/>
      <c r="W46" s="69"/>
      <c r="X46" s="69"/>
      <c r="Y46" s="69"/>
    </row>
    <row r="47" spans="1:25" s="38" customFormat="1" ht="13.8" x14ac:dyDescent="0.3">
      <c r="A47" s="56"/>
      <c r="B47" s="95"/>
      <c r="C47" s="95"/>
      <c r="D47" s="95"/>
      <c r="E47" s="95"/>
      <c r="F47" s="95"/>
      <c r="G47" s="95"/>
      <c r="H47" s="95"/>
      <c r="I47" s="95"/>
      <c r="J47" s="95"/>
      <c r="K47" s="56"/>
      <c r="M47" s="72"/>
      <c r="N47" s="72"/>
      <c r="O47" s="72"/>
      <c r="P47" s="72"/>
      <c r="Q47" s="72"/>
      <c r="R47" s="73"/>
      <c r="S47" s="73"/>
      <c r="T47" s="69"/>
      <c r="U47" s="69"/>
      <c r="V47" s="69"/>
      <c r="W47" s="69"/>
      <c r="X47" s="69"/>
      <c r="Y47" s="69"/>
    </row>
    <row r="48" spans="1:25" s="38" customFormat="1" ht="12.75" customHeight="1" x14ac:dyDescent="0.3">
      <c r="A48" s="56"/>
      <c r="B48" s="95"/>
      <c r="C48" s="95"/>
      <c r="D48" s="95"/>
      <c r="E48" s="95"/>
      <c r="F48" s="95"/>
      <c r="G48" s="95"/>
      <c r="H48" s="95"/>
      <c r="I48" s="95"/>
      <c r="J48" s="95"/>
      <c r="K48" s="56"/>
      <c r="M48" s="72"/>
      <c r="N48" s="72"/>
      <c r="O48" s="72"/>
      <c r="P48" s="72"/>
      <c r="Q48" s="72"/>
      <c r="R48" s="73"/>
      <c r="S48" s="73"/>
      <c r="T48" s="69"/>
      <c r="U48" s="69"/>
      <c r="V48" s="69"/>
      <c r="W48" s="69"/>
      <c r="X48" s="69"/>
      <c r="Y48" s="69"/>
    </row>
    <row r="49" spans="1:25" s="38" customFormat="1" ht="13.8" x14ac:dyDescent="0.3">
      <c r="A49" s="56"/>
      <c r="B49" s="56" t="s">
        <v>49</v>
      </c>
      <c r="C49" s="56"/>
      <c r="D49" s="56"/>
      <c r="E49" s="56"/>
      <c r="F49" s="56"/>
      <c r="G49" s="56"/>
      <c r="H49" s="56"/>
      <c r="I49" s="56"/>
      <c r="J49" s="56"/>
      <c r="K49" s="56"/>
      <c r="M49" s="72"/>
      <c r="N49" s="72"/>
      <c r="O49" s="72"/>
      <c r="P49" s="72"/>
      <c r="Q49" s="72"/>
      <c r="R49" s="73"/>
      <c r="S49" s="73"/>
      <c r="T49" s="69"/>
      <c r="U49" s="69"/>
      <c r="V49" s="69"/>
      <c r="W49" s="69"/>
      <c r="X49" s="69"/>
      <c r="Y49" s="69"/>
    </row>
    <row r="50" spans="1:25" s="38" customFormat="1" ht="13.8" x14ac:dyDescent="0.3">
      <c r="A50" s="56"/>
      <c r="B50" s="56"/>
      <c r="C50" s="56"/>
      <c r="D50" s="56"/>
      <c r="F50" s="91" t="s">
        <v>84</v>
      </c>
      <c r="G50" s="92"/>
      <c r="H50" s="56"/>
      <c r="I50" s="56"/>
      <c r="J50" s="56"/>
      <c r="K50" s="56"/>
      <c r="M50" s="72"/>
      <c r="N50" s="72"/>
      <c r="O50" s="72"/>
      <c r="P50" s="72"/>
      <c r="Q50" s="72"/>
      <c r="R50" s="73"/>
      <c r="S50" s="73"/>
      <c r="T50" s="69"/>
      <c r="U50" s="69"/>
      <c r="V50" s="69"/>
      <c r="W50" s="69"/>
      <c r="X50" s="69"/>
      <c r="Y50" s="69"/>
    </row>
    <row r="51" spans="1:25" s="38" customFormat="1" ht="13.8" x14ac:dyDescent="0.3">
      <c r="A51" s="56"/>
      <c r="B51" s="56"/>
      <c r="C51" s="56"/>
      <c r="D51" s="56"/>
      <c r="E51" s="56"/>
      <c r="F51" s="56"/>
      <c r="G51" s="56"/>
      <c r="H51" s="56"/>
      <c r="I51" s="56"/>
      <c r="J51" s="56"/>
      <c r="K51" s="56"/>
      <c r="M51" s="72"/>
      <c r="N51" s="72"/>
      <c r="O51" s="72"/>
      <c r="P51" s="72"/>
      <c r="Q51" s="72"/>
      <c r="R51" s="73"/>
      <c r="S51" s="73"/>
      <c r="T51" s="69"/>
      <c r="U51" s="69"/>
      <c r="V51" s="69"/>
      <c r="W51" s="69"/>
      <c r="X51" s="69"/>
      <c r="Y51" s="69"/>
    </row>
    <row r="52" spans="1:25" s="38" customFormat="1" ht="12.75" customHeight="1" x14ac:dyDescent="0.3">
      <c r="A52" s="56"/>
      <c r="B52" s="57" t="s">
        <v>50</v>
      </c>
      <c r="C52" s="56"/>
      <c r="D52" s="56"/>
      <c r="E52" s="56"/>
      <c r="F52" s="56"/>
      <c r="G52" s="56"/>
      <c r="H52" s="56"/>
      <c r="I52" s="56"/>
      <c r="J52" s="56"/>
      <c r="K52" s="56"/>
      <c r="M52" s="72"/>
      <c r="N52" s="72"/>
      <c r="O52" s="72"/>
      <c r="P52" s="72"/>
      <c r="Q52" s="72"/>
      <c r="R52" s="73"/>
      <c r="S52" s="73"/>
      <c r="T52" s="69"/>
      <c r="U52" s="69"/>
      <c r="V52" s="69"/>
      <c r="W52" s="69"/>
      <c r="X52" s="69"/>
      <c r="Y52" s="69"/>
    </row>
    <row r="53" spans="1:25" s="38" customFormat="1" ht="13.8" x14ac:dyDescent="0.3">
      <c r="A53" s="56"/>
      <c r="B53" s="56"/>
      <c r="C53" s="56"/>
      <c r="D53" s="56"/>
      <c r="E53" s="56"/>
      <c r="F53" s="56"/>
      <c r="G53" s="56"/>
      <c r="H53" s="56"/>
      <c r="I53" s="56"/>
      <c r="J53" s="56"/>
      <c r="K53" s="56"/>
      <c r="M53" s="72"/>
      <c r="N53" s="72"/>
      <c r="O53" s="72"/>
      <c r="P53" s="72"/>
      <c r="Q53" s="72"/>
      <c r="R53" s="73"/>
      <c r="S53" s="73"/>
      <c r="T53" s="69"/>
      <c r="U53" s="69"/>
      <c r="V53" s="69"/>
      <c r="W53" s="69"/>
      <c r="X53" s="69"/>
      <c r="Y53" s="69"/>
    </row>
    <row r="54" spans="1:25" s="38" customFormat="1" ht="13.8" x14ac:dyDescent="0.3">
      <c r="A54" s="56"/>
      <c r="B54" s="96" t="s">
        <v>51</v>
      </c>
      <c r="C54" s="96"/>
      <c r="D54" s="96"/>
      <c r="E54" s="96"/>
      <c r="F54" s="96"/>
      <c r="G54" s="96"/>
      <c r="H54" s="96"/>
      <c r="I54" s="96"/>
      <c r="J54" s="96"/>
      <c r="K54" s="56"/>
      <c r="M54" s="72"/>
      <c r="N54" s="72"/>
      <c r="O54" s="72"/>
      <c r="P54" s="72"/>
      <c r="Q54" s="72"/>
      <c r="R54" s="73"/>
      <c r="S54" s="73"/>
      <c r="T54" s="69"/>
      <c r="U54" s="69"/>
      <c r="V54" s="69"/>
      <c r="W54" s="69"/>
      <c r="X54" s="69"/>
      <c r="Y54" s="69"/>
    </row>
    <row r="55" spans="1:25" s="38" customFormat="1" ht="13.8" x14ac:dyDescent="0.3">
      <c r="A55" s="56"/>
      <c r="B55" s="96"/>
      <c r="C55" s="96"/>
      <c r="D55" s="96"/>
      <c r="E55" s="96"/>
      <c r="F55" s="96"/>
      <c r="G55" s="96"/>
      <c r="H55" s="96"/>
      <c r="I55" s="96"/>
      <c r="J55" s="96"/>
      <c r="K55" s="56"/>
      <c r="M55" s="72"/>
      <c r="N55" s="72"/>
      <c r="O55" s="72"/>
      <c r="P55" s="72"/>
      <c r="Q55" s="72"/>
      <c r="R55" s="73"/>
      <c r="S55" s="73"/>
      <c r="T55" s="69"/>
      <c r="U55" s="69"/>
      <c r="V55" s="69"/>
      <c r="W55" s="69"/>
      <c r="X55" s="69"/>
      <c r="Y55" s="69"/>
    </row>
    <row r="56" spans="1:25" s="38" customFormat="1" ht="13.8" x14ac:dyDescent="0.3">
      <c r="A56" s="56"/>
      <c r="B56" s="96"/>
      <c r="C56" s="96"/>
      <c r="D56" s="96"/>
      <c r="E56" s="96"/>
      <c r="F56" s="96"/>
      <c r="G56" s="96"/>
      <c r="H56" s="96"/>
      <c r="I56" s="96"/>
      <c r="J56" s="96"/>
      <c r="K56" s="56"/>
      <c r="M56" s="72"/>
      <c r="N56" s="72"/>
      <c r="O56"/>
      <c r="P56" s="72"/>
      <c r="Q56" s="72"/>
      <c r="R56" s="73"/>
      <c r="S56" s="73"/>
      <c r="T56" s="69"/>
      <c r="U56" s="69"/>
      <c r="V56" s="69"/>
      <c r="W56" s="69"/>
      <c r="X56" s="69"/>
      <c r="Y56" s="69"/>
    </row>
    <row r="57" spans="1:25" s="38" customFormat="1" ht="13.8" x14ac:dyDescent="0.3">
      <c r="A57" s="56"/>
      <c r="B57" s="56"/>
      <c r="C57" s="56"/>
      <c r="D57" s="56"/>
      <c r="F57" s="92"/>
      <c r="G57" s="56"/>
      <c r="H57" s="56"/>
      <c r="I57" s="56"/>
      <c r="J57" s="56"/>
      <c r="K57" s="56"/>
      <c r="M57" s="72"/>
      <c r="N57" s="72"/>
      <c r="O57" s="72"/>
      <c r="P57" s="72"/>
      <c r="Q57" s="72"/>
      <c r="R57" s="73"/>
      <c r="S57" s="73"/>
      <c r="T57" s="69"/>
      <c r="U57" s="69"/>
      <c r="V57" s="69"/>
      <c r="W57" s="69"/>
      <c r="X57" s="69"/>
      <c r="Y57" s="69"/>
    </row>
    <row r="58" spans="1:25" s="38" customFormat="1" ht="13.8" x14ac:dyDescent="0.3">
      <c r="A58" s="56"/>
      <c r="B58" s="56"/>
      <c r="C58" s="56"/>
      <c r="D58" s="56"/>
      <c r="E58" s="56"/>
      <c r="F58" s="56"/>
      <c r="G58" s="56"/>
      <c r="H58" s="56"/>
      <c r="I58" s="56"/>
      <c r="J58" s="56"/>
      <c r="K58" s="56"/>
      <c r="M58" s="72"/>
      <c r="N58" s="72"/>
      <c r="O58" s="72"/>
      <c r="P58" s="72"/>
      <c r="Q58" s="72"/>
      <c r="R58" s="73"/>
      <c r="S58" s="73"/>
      <c r="T58" s="69"/>
      <c r="U58" s="69"/>
      <c r="V58" s="69"/>
      <c r="W58" s="69"/>
      <c r="X58" s="69"/>
      <c r="Y58" s="69"/>
    </row>
    <row r="59" spans="1:25" s="38" customFormat="1" ht="13.8" x14ac:dyDescent="0.3">
      <c r="K59" s="56"/>
      <c r="M59" s="72"/>
      <c r="N59" s="72"/>
      <c r="O59" s="93"/>
      <c r="P59" s="72"/>
      <c r="Q59" s="72"/>
      <c r="R59" s="73"/>
      <c r="S59" s="73"/>
      <c r="T59" s="69"/>
      <c r="U59" s="69"/>
      <c r="V59" s="69"/>
      <c r="W59" s="69"/>
      <c r="X59" s="69"/>
      <c r="Y59" s="69"/>
    </row>
    <row r="60" spans="1:25" s="38" customFormat="1" ht="13.8" x14ac:dyDescent="0.3">
      <c r="A60" s="56"/>
      <c r="B60" s="56" t="s">
        <v>41</v>
      </c>
      <c r="C60" s="56"/>
      <c r="D60" s="56"/>
      <c r="E60" s="56"/>
      <c r="F60" s="56"/>
      <c r="G60" s="56"/>
      <c r="H60" s="56"/>
      <c r="I60" s="56"/>
      <c r="J60" s="56"/>
      <c r="K60" s="56"/>
      <c r="M60" s="72"/>
      <c r="N60" s="72"/>
      <c r="O60" s="72"/>
      <c r="P60" s="72"/>
      <c r="Q60" s="72"/>
      <c r="R60" s="73"/>
      <c r="S60" s="73"/>
      <c r="T60" s="69"/>
      <c r="U60" s="69"/>
      <c r="V60" s="69"/>
      <c r="W60" s="69"/>
      <c r="X60" s="69"/>
      <c r="Y60" s="69"/>
    </row>
    <row r="61" spans="1:25" s="38" customFormat="1" ht="13.8" x14ac:dyDescent="0.3">
      <c r="A61" s="56"/>
      <c r="C61" s="56"/>
      <c r="D61" s="56"/>
      <c r="F61" s="91" t="s">
        <v>85</v>
      </c>
      <c r="G61" s="94"/>
      <c r="H61" s="56"/>
      <c r="I61" s="56"/>
      <c r="J61" s="56"/>
      <c r="K61" s="56"/>
      <c r="M61" s="72"/>
      <c r="N61" s="72"/>
      <c r="O61" s="72"/>
      <c r="P61" s="72"/>
      <c r="Q61" s="72"/>
      <c r="R61" s="73"/>
      <c r="S61" s="73"/>
      <c r="T61" s="69"/>
      <c r="U61" s="69"/>
      <c r="V61" s="69"/>
      <c r="W61" s="69"/>
      <c r="X61" s="69"/>
      <c r="Y61" s="69"/>
    </row>
    <row r="62" spans="1:25" s="38" customFormat="1" ht="13.8" x14ac:dyDescent="0.3">
      <c r="A62" s="56"/>
      <c r="B62" s="56"/>
      <c r="C62" s="56"/>
      <c r="D62" s="56"/>
      <c r="E62" s="56"/>
      <c r="F62" s="56"/>
      <c r="G62" s="56"/>
      <c r="H62" s="56"/>
      <c r="I62" s="56"/>
      <c r="J62" s="56"/>
      <c r="K62" s="56"/>
      <c r="M62" s="72"/>
      <c r="N62" s="72"/>
      <c r="O62" s="72"/>
      <c r="P62" s="72"/>
      <c r="Q62" s="72"/>
      <c r="R62" s="73"/>
      <c r="S62" s="73"/>
      <c r="T62" s="69"/>
      <c r="U62" s="69"/>
      <c r="V62" s="69"/>
      <c r="W62" s="69"/>
      <c r="X62" s="69"/>
      <c r="Y62" s="6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9"/>
  </sheetPr>
  <dimension ref="A1:GC60"/>
  <sheetViews>
    <sheetView tabSelected="1" view="pageBreakPreview" zoomScaleNormal="100" zoomScaleSheetLayoutView="100" workbookViewId="0">
      <selection activeCell="G4" sqref="G4"/>
    </sheetView>
  </sheetViews>
  <sheetFormatPr defaultColWidth="9.109375" defaultRowHeight="13.8" x14ac:dyDescent="0.3"/>
  <cols>
    <col min="1" max="11" width="9" style="4" customWidth="1"/>
    <col min="12" max="12" width="4" style="13" customWidth="1"/>
    <col min="13" max="13" width="5.88671875" style="6" bestFit="1" customWidth="1"/>
    <col min="14" max="14" width="4.44140625" style="14" bestFit="1" customWidth="1"/>
    <col min="15" max="17" width="4.44140625" style="6" bestFit="1" customWidth="1"/>
    <col min="18" max="18" width="3.5546875" style="7" bestFit="1" customWidth="1"/>
    <col min="19" max="19" width="5.44140625" style="7" bestFit="1" customWidth="1"/>
    <col min="20" max="20" width="6.5546875" style="2" bestFit="1" customWidth="1"/>
    <col min="21" max="21" width="6.6640625" style="2" bestFit="1" customWidth="1"/>
    <col min="22" max="24" width="6.5546875" style="2" bestFit="1" customWidth="1"/>
    <col min="25" max="25" width="8.33203125" style="2" bestFit="1" customWidth="1"/>
    <col min="26" max="30" width="6.5546875" style="2" bestFit="1" customWidth="1"/>
    <col min="31" max="171" width="9.109375" style="3"/>
    <col min="172" max="16384" width="9.109375" style="4"/>
  </cols>
  <sheetData>
    <row r="1" spans="1:185" s="38" customFormat="1" x14ac:dyDescent="0.3">
      <c r="A1" s="34"/>
      <c r="B1" s="35" t="s">
        <v>3</v>
      </c>
      <c r="C1" s="36" t="s">
        <v>2</v>
      </c>
      <c r="D1" s="34"/>
      <c r="E1" s="34"/>
      <c r="F1" s="35" t="s">
        <v>23</v>
      </c>
      <c r="G1" s="37">
        <f>X1</f>
        <v>1</v>
      </c>
      <c r="H1" s="34"/>
      <c r="I1" s="34"/>
      <c r="J1" s="34"/>
      <c r="K1" s="34"/>
      <c r="M1" s="39" t="s">
        <v>14</v>
      </c>
      <c r="N1" s="39" t="s">
        <v>15</v>
      </c>
      <c r="O1" s="39" t="s">
        <v>16</v>
      </c>
      <c r="P1" s="39" t="s">
        <v>16</v>
      </c>
      <c r="Q1" s="39" t="s">
        <v>16</v>
      </c>
      <c r="R1" s="39" t="s">
        <v>17</v>
      </c>
      <c r="S1" s="59" t="s">
        <v>18</v>
      </c>
      <c r="T1" s="60" t="s">
        <v>24</v>
      </c>
      <c r="W1" s="40" t="s">
        <v>25</v>
      </c>
      <c r="X1" s="41">
        <f>SUM(M:M)</f>
        <v>1</v>
      </c>
    </row>
    <row r="2" spans="1:185" s="38" customFormat="1" x14ac:dyDescent="0.3">
      <c r="A2" s="34"/>
      <c r="B2" s="35" t="s">
        <v>4</v>
      </c>
      <c r="C2" s="36" t="s">
        <v>5</v>
      </c>
      <c r="D2" s="34"/>
      <c r="E2" s="34"/>
      <c r="F2" s="35" t="s">
        <v>6</v>
      </c>
      <c r="G2" s="36" t="s">
        <v>77</v>
      </c>
      <c r="H2" s="34"/>
      <c r="I2" s="34"/>
      <c r="J2" s="34"/>
      <c r="K2" s="34"/>
      <c r="M2" s="42" t="s">
        <v>19</v>
      </c>
      <c r="N2" s="42" t="s">
        <v>19</v>
      </c>
      <c r="O2" s="42" t="s">
        <v>15</v>
      </c>
      <c r="P2" s="42" t="s">
        <v>15</v>
      </c>
      <c r="Q2" s="42" t="s">
        <v>15</v>
      </c>
      <c r="R2" s="42" t="s">
        <v>19</v>
      </c>
      <c r="S2" s="61" t="s">
        <v>19</v>
      </c>
      <c r="T2" s="62"/>
      <c r="W2" s="40" t="s">
        <v>26</v>
      </c>
      <c r="X2" s="41">
        <f>SUM(N:N)</f>
        <v>0</v>
      </c>
    </row>
    <row r="3" spans="1:185" s="38" customFormat="1" x14ac:dyDescent="0.3">
      <c r="A3" s="34"/>
      <c r="B3" s="35" t="s">
        <v>1</v>
      </c>
      <c r="C3" s="43" t="s">
        <v>27</v>
      </c>
      <c r="D3" s="34"/>
      <c r="E3" s="34"/>
      <c r="F3" s="35" t="s">
        <v>0</v>
      </c>
      <c r="G3" s="36" t="s">
        <v>86</v>
      </c>
      <c r="H3" s="34"/>
      <c r="I3" s="34"/>
      <c r="J3" s="34"/>
      <c r="K3" s="34"/>
      <c r="M3" s="42"/>
      <c r="N3" s="42"/>
      <c r="O3" s="42"/>
      <c r="P3" s="42"/>
      <c r="Q3" s="42"/>
      <c r="R3" s="42"/>
      <c r="S3" s="61"/>
      <c r="T3" s="62"/>
      <c r="W3" s="40" t="s">
        <v>28</v>
      </c>
      <c r="X3" s="41">
        <f>SUM(O:O)</f>
        <v>0</v>
      </c>
    </row>
    <row r="4" spans="1:185" s="38" customFormat="1" x14ac:dyDescent="0.3">
      <c r="A4" s="34"/>
      <c r="B4" s="35" t="s">
        <v>29</v>
      </c>
      <c r="C4" s="37"/>
      <c r="D4" s="34"/>
      <c r="E4" s="34"/>
      <c r="F4" s="35" t="s">
        <v>30</v>
      </c>
      <c r="G4" s="36" t="s">
        <v>78</v>
      </c>
      <c r="H4" s="34"/>
      <c r="I4" s="34"/>
      <c r="J4" s="34"/>
      <c r="K4" s="34"/>
      <c r="M4" s="42"/>
      <c r="N4" s="42"/>
      <c r="O4" s="42"/>
      <c r="P4" s="42"/>
      <c r="Q4" s="44"/>
      <c r="R4" s="45"/>
      <c r="S4" s="63"/>
      <c r="T4" s="62"/>
      <c r="W4" s="40" t="s">
        <v>28</v>
      </c>
      <c r="X4" s="41">
        <f>SUM(P:P)</f>
        <v>0</v>
      </c>
    </row>
    <row r="5" spans="1:185" s="38" customFormat="1" x14ac:dyDescent="0.3">
      <c r="A5" s="34"/>
      <c r="B5" s="35" t="s">
        <v>32</v>
      </c>
      <c r="C5" s="37" t="s">
        <v>39</v>
      </c>
      <c r="D5" s="34"/>
      <c r="E5" s="35"/>
      <c r="F5" s="34"/>
      <c r="G5" s="34"/>
      <c r="H5" s="34"/>
      <c r="I5" s="34"/>
      <c r="J5" s="34"/>
      <c r="K5" s="34"/>
      <c r="M5" s="42"/>
      <c r="N5" s="42"/>
      <c r="O5" s="42"/>
      <c r="P5" s="42"/>
      <c r="Q5" s="44"/>
      <c r="R5" s="45"/>
      <c r="S5" s="63"/>
      <c r="T5" s="62"/>
      <c r="W5" s="40" t="s">
        <v>28</v>
      </c>
      <c r="X5" s="41">
        <f>SUM(Q:Q)</f>
        <v>0</v>
      </c>
    </row>
    <row r="6" spans="1:185" s="38" customFormat="1" x14ac:dyDescent="0.3">
      <c r="A6" s="34"/>
      <c r="B6" s="34" t="s">
        <v>7</v>
      </c>
      <c r="C6" s="46"/>
      <c r="D6" s="34"/>
      <c r="E6" s="34"/>
      <c r="F6" s="34"/>
      <c r="G6" s="34"/>
      <c r="H6" s="34"/>
      <c r="I6" s="34"/>
      <c r="J6" s="34"/>
      <c r="K6" s="34"/>
      <c r="M6" s="42"/>
      <c r="N6" s="42"/>
      <c r="O6" s="42"/>
      <c r="P6" s="42"/>
      <c r="Q6" s="44"/>
      <c r="R6" s="45"/>
      <c r="S6" s="63"/>
      <c r="T6" s="62"/>
      <c r="W6" s="40" t="s">
        <v>33</v>
      </c>
      <c r="X6" s="41">
        <f>SUM(R:R)</f>
        <v>0</v>
      </c>
    </row>
    <row r="7" spans="1:185" s="38" customFormat="1" x14ac:dyDescent="0.3">
      <c r="A7" s="34"/>
      <c r="B7" s="34"/>
      <c r="C7" s="34"/>
      <c r="D7" s="34"/>
      <c r="E7" s="34"/>
      <c r="F7" s="34"/>
      <c r="G7" s="34"/>
      <c r="H7" s="34"/>
      <c r="I7" s="34"/>
      <c r="J7" s="34"/>
      <c r="K7" s="34"/>
      <c r="M7" s="42"/>
      <c r="N7" s="42"/>
      <c r="O7" s="42"/>
      <c r="P7" s="42"/>
      <c r="Q7" s="44"/>
      <c r="R7" s="45"/>
      <c r="S7" s="63"/>
      <c r="T7" s="62"/>
      <c r="W7" s="40" t="s">
        <v>34</v>
      </c>
      <c r="X7" s="41">
        <f>SUM(S:S)</f>
        <v>0</v>
      </c>
    </row>
    <row r="8" spans="1:185" x14ac:dyDescent="0.3">
      <c r="A8" s="47"/>
      <c r="B8" s="38"/>
      <c r="C8" s="38"/>
      <c r="D8" s="38"/>
      <c r="E8" s="40" t="s">
        <v>3</v>
      </c>
      <c r="F8" s="41" t="str">
        <f>$C$1</f>
        <v>R. Abbott</v>
      </c>
      <c r="G8" s="38"/>
      <c r="H8" s="48"/>
      <c r="I8" s="40" t="s">
        <v>8</v>
      </c>
      <c r="J8" s="49" t="str">
        <f>$G$2</f>
        <v>AA-SM-140-001</v>
      </c>
      <c r="K8" s="50"/>
      <c r="L8" s="51"/>
      <c r="M8" s="42"/>
      <c r="N8" s="42"/>
      <c r="O8" s="42"/>
      <c r="P8" s="5"/>
      <c r="S8" s="58"/>
      <c r="T8" s="7"/>
      <c r="AD8" s="8"/>
    </row>
    <row r="9" spans="1:185" s="10" customFormat="1" x14ac:dyDescent="0.3">
      <c r="A9" s="38"/>
      <c r="B9" s="38"/>
      <c r="C9" s="38"/>
      <c r="D9" s="38"/>
      <c r="E9" s="40" t="s">
        <v>4</v>
      </c>
      <c r="F9" s="48" t="str">
        <f>$C$2</f>
        <v xml:space="preserve"> </v>
      </c>
      <c r="G9" s="38"/>
      <c r="H9" s="48"/>
      <c r="I9" s="40" t="s">
        <v>9</v>
      </c>
      <c r="J9" s="50" t="str">
        <f>$G$3</f>
        <v>B</v>
      </c>
      <c r="K9" s="50"/>
      <c r="L9" s="51"/>
      <c r="M9" s="42">
        <v>1</v>
      </c>
      <c r="N9" s="42"/>
      <c r="O9" s="42"/>
      <c r="P9" s="5"/>
      <c r="Q9" s="9"/>
      <c r="R9" s="7"/>
      <c r="S9" s="58"/>
      <c r="T9" s="7"/>
      <c r="U9" s="2"/>
      <c r="V9" s="2"/>
      <c r="W9" s="2"/>
      <c r="X9" s="2"/>
      <c r="Y9" s="2"/>
      <c r="Z9" s="2"/>
      <c r="AA9" s="2"/>
      <c r="AB9" s="2"/>
      <c r="AC9" s="2"/>
      <c r="AD9" s="2"/>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row>
    <row r="10" spans="1:185" x14ac:dyDescent="0.3">
      <c r="A10" s="38"/>
      <c r="B10" s="38"/>
      <c r="C10" s="38"/>
      <c r="D10" s="38"/>
      <c r="E10" s="40" t="s">
        <v>1</v>
      </c>
      <c r="F10" s="48" t="str">
        <f>$C$3</f>
        <v>20/10/2013</v>
      </c>
      <c r="G10" s="38"/>
      <c r="H10" s="48"/>
      <c r="I10" s="40" t="s">
        <v>10</v>
      </c>
      <c r="J10" s="41" t="str">
        <f>L10&amp;" of "&amp;$G$1</f>
        <v>1 of 1</v>
      </c>
      <c r="K10" s="48"/>
      <c r="L10" s="51">
        <f>SUM($M$1:M9)</f>
        <v>1</v>
      </c>
      <c r="M10" s="42"/>
      <c r="N10" s="42"/>
      <c r="O10" s="42"/>
      <c r="P10" s="5"/>
      <c r="S10" s="58"/>
      <c r="T10" s="7"/>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row>
    <row r="11" spans="1:185" x14ac:dyDescent="0.3">
      <c r="A11" s="38"/>
      <c r="B11" s="38"/>
      <c r="C11" s="38"/>
      <c r="D11" s="38"/>
      <c r="E11" s="40" t="s">
        <v>35</v>
      </c>
      <c r="F11" s="48" t="str">
        <f>$C$5</f>
        <v>STANDARD SPREADSHEET METHOD</v>
      </c>
      <c r="G11" s="38"/>
      <c r="H11" s="38"/>
      <c r="I11" s="52"/>
      <c r="J11" s="41"/>
      <c r="K11" s="38"/>
      <c r="L11" s="38"/>
      <c r="M11" s="42"/>
      <c r="N11" s="42"/>
      <c r="O11" s="42"/>
      <c r="P11" s="5"/>
      <c r="S11" s="58"/>
      <c r="T11" s="7"/>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row>
    <row r="12" spans="1:185" ht="15.6" x14ac:dyDescent="0.3">
      <c r="A12" s="12"/>
      <c r="B12" s="54" t="str">
        <f>$G$4</f>
        <v>TENSION/COMPRESSION STRENGTH OF A POTTED INSERT</v>
      </c>
      <c r="C12" s="12"/>
      <c r="D12" s="12"/>
      <c r="E12" s="12"/>
      <c r="F12" s="12"/>
      <c r="G12" s="12"/>
      <c r="H12" s="12"/>
      <c r="I12" s="12"/>
      <c r="J12" s="12"/>
      <c r="K12" s="12"/>
      <c r="S12" s="58"/>
      <c r="T12" s="7"/>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row>
    <row r="13" spans="1:185" x14ac:dyDescent="0.3">
      <c r="A13" s="12"/>
      <c r="B13" s="38" t="s">
        <v>81</v>
      </c>
      <c r="C13" s="12"/>
      <c r="D13" s="12"/>
      <c r="E13" s="12"/>
      <c r="F13" s="12"/>
      <c r="G13" s="12"/>
      <c r="H13" s="12"/>
      <c r="I13" s="12"/>
      <c r="J13" s="12"/>
      <c r="K13" s="12"/>
      <c r="S13" s="58"/>
      <c r="T13" s="7"/>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row>
    <row r="14" spans="1:185" x14ac:dyDescent="0.3">
      <c r="A14" s="34"/>
      <c r="B14" s="99" t="s">
        <v>80</v>
      </c>
      <c r="C14" s="99"/>
      <c r="D14" s="99"/>
      <c r="E14" s="99"/>
      <c r="F14" s="99"/>
      <c r="S14" s="58"/>
      <c r="T14" s="7"/>
    </row>
    <row r="15" spans="1:185" x14ac:dyDescent="0.3">
      <c r="A15" s="11"/>
      <c r="B15" s="98" t="s">
        <v>79</v>
      </c>
      <c r="C15" s="98"/>
      <c r="D15" s="98"/>
      <c r="E15" s="98"/>
      <c r="F15" s="11"/>
      <c r="K15" s="11"/>
    </row>
    <row r="16" spans="1:185" x14ac:dyDescent="0.3">
      <c r="G16" s="15" t="s">
        <v>53</v>
      </c>
      <c r="H16" s="80">
        <v>897</v>
      </c>
      <c r="I16" s="79" t="s">
        <v>20</v>
      </c>
      <c r="W16" s="83" t="s">
        <v>64</v>
      </c>
      <c r="X16" s="83" t="s">
        <v>65</v>
      </c>
      <c r="Y16" s="83" t="s">
        <v>54</v>
      </c>
    </row>
    <row r="17" spans="1:29" x14ac:dyDescent="0.3">
      <c r="G17" s="15" t="s">
        <v>71</v>
      </c>
      <c r="H17" s="81">
        <v>0.03</v>
      </c>
      <c r="I17" s="4" t="s">
        <v>63</v>
      </c>
      <c r="W17" s="83"/>
      <c r="X17" s="83"/>
      <c r="Y17" s="32"/>
      <c r="AB17" s="29">
        <f>$H$16/(2*PI()*$H$19*$H$18)</f>
        <v>634.49770645968943</v>
      </c>
    </row>
    <row r="18" spans="1:29" x14ac:dyDescent="0.3">
      <c r="A18" s="11"/>
      <c r="G18" s="30" t="s">
        <v>57</v>
      </c>
      <c r="H18" s="81">
        <v>0.625</v>
      </c>
      <c r="I18" s="4" t="s">
        <v>58</v>
      </c>
      <c r="W18" s="3">
        <f>H19</f>
        <v>0.36</v>
      </c>
      <c r="X18" s="84">
        <f t="shared" ref="X18:X53" si="0">$H$19/W18*(1-SQRT(W18/$H$19)*EXP($C$32*($H$19-W18)))</f>
        <v>0</v>
      </c>
      <c r="Y18" s="32">
        <f t="shared" ref="Y18:Y53" si="1">IF(W18&lt;$H$19,0,$H$16/(2*PI()*$H$19*$H$18)*$C$28/($C$28+1)*X18)</f>
        <v>0</v>
      </c>
      <c r="AA18" s="31">
        <f>W55</f>
        <v>0.51000000000000012</v>
      </c>
      <c r="AB18" s="31"/>
      <c r="AC18" s="31">
        <f>0</f>
        <v>0</v>
      </c>
    </row>
    <row r="19" spans="1:29" x14ac:dyDescent="0.3">
      <c r="A19" s="11"/>
      <c r="G19" s="15" t="s">
        <v>21</v>
      </c>
      <c r="H19" s="80">
        <v>0.36</v>
      </c>
      <c r="I19" s="78" t="s">
        <v>67</v>
      </c>
      <c r="J19" s="16"/>
      <c r="K19" s="18"/>
      <c r="W19" s="83">
        <f>W18+0.025</f>
        <v>0.38500000000000001</v>
      </c>
      <c r="X19" s="84">
        <f t="shared" si="0"/>
        <v>0.26066835332880228</v>
      </c>
      <c r="Y19" s="32">
        <f t="shared" si="1"/>
        <v>157.81819879174523</v>
      </c>
      <c r="AA19" s="31">
        <f>AA18</f>
        <v>0.51000000000000012</v>
      </c>
      <c r="AB19" s="31"/>
      <c r="AC19" s="31">
        <f>Y55*1.1</f>
        <v>405.71737543337053</v>
      </c>
    </row>
    <row r="20" spans="1:29" x14ac:dyDescent="0.3">
      <c r="A20" s="11"/>
      <c r="B20" s="19"/>
      <c r="C20" s="16"/>
      <c r="D20" s="20"/>
      <c r="E20" s="18"/>
      <c r="F20" s="16"/>
      <c r="G20" s="30" t="s">
        <v>56</v>
      </c>
      <c r="H20" s="80">
        <v>6000</v>
      </c>
      <c r="I20" s="4" t="s">
        <v>59</v>
      </c>
      <c r="K20" s="11"/>
      <c r="W20" s="83">
        <f t="shared" ref="W20:W53" si="2">W19+0.025</f>
        <v>0.41000000000000003</v>
      </c>
      <c r="X20" s="84">
        <f t="shared" si="0"/>
        <v>0.42227611897610262</v>
      </c>
      <c r="Y20" s="32">
        <f t="shared" si="1"/>
        <v>255.66147803724814</v>
      </c>
    </row>
    <row r="21" spans="1:29" x14ac:dyDescent="0.3">
      <c r="A21" s="11"/>
      <c r="B21" s="11"/>
      <c r="C21" s="16"/>
      <c r="D21" s="20"/>
      <c r="E21" s="18"/>
      <c r="F21" s="16"/>
      <c r="G21" s="30" t="s">
        <v>60</v>
      </c>
      <c r="H21" s="80">
        <v>4000000</v>
      </c>
      <c r="I21" s="4" t="s">
        <v>68</v>
      </c>
      <c r="J21" s="22"/>
      <c r="W21" s="83">
        <f t="shared" si="2"/>
        <v>0.43500000000000005</v>
      </c>
      <c r="X21" s="84">
        <f t="shared" si="0"/>
        <v>0.5189903819892655</v>
      </c>
      <c r="Y21" s="32">
        <f t="shared" si="1"/>
        <v>314.21584641872812</v>
      </c>
      <c r="AA21" s="31">
        <v>0</v>
      </c>
      <c r="AB21" s="31"/>
      <c r="AC21" s="31">
        <f>Y55</f>
        <v>368.83397766670043</v>
      </c>
    </row>
    <row r="22" spans="1:29" x14ac:dyDescent="0.3">
      <c r="A22" s="11"/>
      <c r="B22" s="11"/>
      <c r="F22" s="21"/>
      <c r="G22" s="30" t="s">
        <v>61</v>
      </c>
      <c r="H22" s="81">
        <v>0.3</v>
      </c>
      <c r="I22" s="4" t="s">
        <v>62</v>
      </c>
      <c r="J22" s="16"/>
      <c r="K22" s="18"/>
      <c r="W22" s="83">
        <f t="shared" si="2"/>
        <v>0.46000000000000008</v>
      </c>
      <c r="X22" s="84">
        <f t="shared" si="0"/>
        <v>0.57331784969829436</v>
      </c>
      <c r="Y22" s="32">
        <f t="shared" si="1"/>
        <v>347.10769151332892</v>
      </c>
      <c r="AA22" s="31">
        <f>AA19*1.1</f>
        <v>0.56100000000000017</v>
      </c>
      <c r="AB22" s="31"/>
      <c r="AC22" s="31">
        <f>AC21</f>
        <v>368.83397766670043</v>
      </c>
    </row>
    <row r="23" spans="1:29" x14ac:dyDescent="0.3">
      <c r="A23" s="11"/>
      <c r="B23" s="11"/>
      <c r="C23" s="16"/>
      <c r="F23" s="16"/>
      <c r="G23" s="30" t="s">
        <v>72</v>
      </c>
      <c r="H23" s="81">
        <v>800</v>
      </c>
      <c r="I23" s="4" t="s">
        <v>73</v>
      </c>
      <c r="K23" s="11"/>
      <c r="W23" s="83">
        <f t="shared" si="2"/>
        <v>0.4850000000000001</v>
      </c>
      <c r="X23" s="84">
        <f t="shared" si="0"/>
        <v>0.60011611314427404</v>
      </c>
      <c r="Y23" s="32">
        <f t="shared" si="1"/>
        <v>363.33234484689444</v>
      </c>
    </row>
    <row r="24" spans="1:29" x14ac:dyDescent="0.3">
      <c r="A24" s="11"/>
      <c r="B24" s="16"/>
      <c r="C24" s="23"/>
      <c r="D24" s="17"/>
      <c r="E24" s="18"/>
      <c r="F24" s="16"/>
      <c r="G24" s="21"/>
      <c r="H24" s="21"/>
      <c r="I24" s="16"/>
      <c r="J24" s="24"/>
      <c r="K24" s="11"/>
      <c r="W24" s="83">
        <f t="shared" si="2"/>
        <v>0.51000000000000012</v>
      </c>
      <c r="X24" s="84">
        <f t="shared" si="0"/>
        <v>0.60920316127141017</v>
      </c>
      <c r="Y24" s="32">
        <f t="shared" si="1"/>
        <v>368.83397766670043</v>
      </c>
    </row>
    <row r="25" spans="1:29" x14ac:dyDescent="0.3">
      <c r="A25" s="11"/>
      <c r="B25" s="15"/>
      <c r="K25" s="18"/>
      <c r="W25" s="83">
        <f t="shared" si="2"/>
        <v>0.53500000000000014</v>
      </c>
      <c r="X25" s="84">
        <f t="shared" si="0"/>
        <v>0.6070654034652152</v>
      </c>
      <c r="Y25" s="32">
        <f t="shared" si="1"/>
        <v>367.53970054361167</v>
      </c>
    </row>
    <row r="26" spans="1:29" x14ac:dyDescent="0.3">
      <c r="A26" s="11"/>
      <c r="B26" s="30" t="s">
        <v>66</v>
      </c>
      <c r="C26" s="4" t="str">
        <f ca="1">[1]!xlv(C28)</f>
        <v>c / f</v>
      </c>
      <c r="E26" s="30" t="s">
        <v>22</v>
      </c>
      <c r="F26" s="4" t="str">
        <f ca="1">[1]!xlv(F28)</f>
        <v>β / (β + 1)</v>
      </c>
      <c r="K26" s="11"/>
      <c r="W26" s="83">
        <f t="shared" si="2"/>
        <v>0.56000000000000016</v>
      </c>
      <c r="X26" s="84">
        <f t="shared" si="0"/>
        <v>0.59798125701025984</v>
      </c>
      <c r="Y26" s="32">
        <f t="shared" si="1"/>
        <v>362.03982450275947</v>
      </c>
    </row>
    <row r="27" spans="1:29" x14ac:dyDescent="0.3">
      <c r="A27" s="11"/>
      <c r="C27" s="4" t="str">
        <f>[1]!xln(C28,5)</f>
        <v>0.625 / 0.03</v>
      </c>
      <c r="E27" s="30"/>
      <c r="F27" s="4" t="str">
        <f>[1]!xln(F28)</f>
        <v>20.8 / (20.8 + 1)</v>
      </c>
      <c r="K27" s="11"/>
      <c r="W27" s="83">
        <f t="shared" si="2"/>
        <v>0.58500000000000019</v>
      </c>
      <c r="X27" s="84">
        <f t="shared" si="0"/>
        <v>0.58476331782039437</v>
      </c>
      <c r="Y27" s="32">
        <f t="shared" si="1"/>
        <v>354.03719845305216</v>
      </c>
    </row>
    <row r="28" spans="1:29" x14ac:dyDescent="0.3">
      <c r="B28" s="30" t="s">
        <v>66</v>
      </c>
      <c r="C28" s="89">
        <f>H18/H17</f>
        <v>20.833333333333336</v>
      </c>
      <c r="E28" s="30" t="s">
        <v>22</v>
      </c>
      <c r="F28" s="88">
        <f>C28/(C28+1)</f>
        <v>0.95419847328244278</v>
      </c>
      <c r="G28" s="78"/>
      <c r="W28" s="83">
        <f t="shared" si="2"/>
        <v>0.61000000000000021</v>
      </c>
      <c r="X28" s="84">
        <f t="shared" si="0"/>
        <v>0.5692502245001112</v>
      </c>
      <c r="Y28" s="32">
        <f t="shared" si="1"/>
        <v>344.6450017623892</v>
      </c>
    </row>
    <row r="29" spans="1:29" x14ac:dyDescent="0.3">
      <c r="B29" s="15"/>
      <c r="W29" s="83">
        <f t="shared" si="2"/>
        <v>0.63500000000000023</v>
      </c>
      <c r="X29" s="84">
        <f t="shared" si="0"/>
        <v>0.55263349364074976</v>
      </c>
      <c r="Y29" s="32">
        <f t="shared" si="1"/>
        <v>334.58462235482926</v>
      </c>
    </row>
    <row r="30" spans="1:29" x14ac:dyDescent="0.3">
      <c r="A30" s="11"/>
      <c r="B30" s="15" t="s">
        <v>55</v>
      </c>
      <c r="C30" s="4" t="str">
        <f ca="1">[1]!xlv(C32)</f>
        <v>1 / f × √[(Gc / Es) × 12 × (1 - vs²) × (1 + β / 2)]</v>
      </c>
      <c r="E30" s="18"/>
      <c r="F30" s="11"/>
      <c r="G30" s="11"/>
      <c r="K30" s="11"/>
      <c r="W30" s="83">
        <f t="shared" si="2"/>
        <v>0.66000000000000025</v>
      </c>
      <c r="X30" s="84">
        <f t="shared" si="0"/>
        <v>0.53567512813655493</v>
      </c>
      <c r="Y30" s="32">
        <f t="shared" si="1"/>
        <v>324.31740478067212</v>
      </c>
    </row>
    <row r="31" spans="1:29" x14ac:dyDescent="0.3">
      <c r="A31" s="11"/>
      <c r="B31" s="30" t="s">
        <v>11</v>
      </c>
      <c r="C31" s="4" t="str">
        <f>[1]!xln(C32,5)</f>
        <v>1 / 0.03 × √[(6000 / 4000000) × 12 × (1 - 0.3²) × (1 + 20.83333 / 2)]</v>
      </c>
      <c r="E31" s="18"/>
      <c r="F31" s="11"/>
      <c r="G31" s="11"/>
      <c r="K31" s="11"/>
      <c r="W31" s="83">
        <f t="shared" si="2"/>
        <v>0.68500000000000028</v>
      </c>
      <c r="X31" s="84">
        <f t="shared" si="0"/>
        <v>0.51885269876969264</v>
      </c>
      <c r="Y31" s="32">
        <f t="shared" si="1"/>
        <v>314.132487938731</v>
      </c>
    </row>
    <row r="32" spans="1:29" x14ac:dyDescent="0.3">
      <c r="A32" s="11"/>
      <c r="B32" s="15" t="s">
        <v>55</v>
      </c>
      <c r="C32" s="85">
        <f>1/H17*SQRT((H20/H21)*12*(1-H22^2)*(1+C28/2))</f>
        <v>14.414691579542499</v>
      </c>
      <c r="E32" s="18"/>
      <c r="F32" s="18"/>
      <c r="G32" s="18"/>
      <c r="I32" s="18"/>
      <c r="J32" s="16"/>
      <c r="K32" s="11"/>
      <c r="W32" s="83">
        <f t="shared" si="2"/>
        <v>0.7100000000000003</v>
      </c>
      <c r="X32" s="84">
        <f t="shared" si="0"/>
        <v>0.50245614083065171</v>
      </c>
      <c r="Y32" s="32">
        <f t="shared" si="1"/>
        <v>304.20540930690385</v>
      </c>
    </row>
    <row r="33" spans="1:25" x14ac:dyDescent="0.3">
      <c r="A33" s="11"/>
      <c r="B33" s="15"/>
      <c r="W33" s="83">
        <f t="shared" si="2"/>
        <v>0.73500000000000032</v>
      </c>
      <c r="X33" s="84">
        <f t="shared" si="0"/>
        <v>0.48665233703159116</v>
      </c>
      <c r="Y33" s="32">
        <f t="shared" si="1"/>
        <v>294.63720581087057</v>
      </c>
    </row>
    <row r="34" spans="1:25" x14ac:dyDescent="0.3">
      <c r="A34" s="11"/>
      <c r="B34" s="30" t="s">
        <v>74</v>
      </c>
      <c r="C34" s="4" t="str">
        <f ca="1">[1]!xlv(C36)</f>
        <v>2 × π × b × c × τcrit / (C × Kmax)</v>
      </c>
      <c r="E34" s="11"/>
      <c r="W34" s="83">
        <f t="shared" si="2"/>
        <v>0.76000000000000034</v>
      </c>
      <c r="X34" s="84">
        <f t="shared" si="0"/>
        <v>0.47152817431986527</v>
      </c>
      <c r="Y34" s="32">
        <f t="shared" si="1"/>
        <v>285.48048200102971</v>
      </c>
    </row>
    <row r="35" spans="1:25" x14ac:dyDescent="0.3">
      <c r="A35" s="11"/>
      <c r="C35" s="10" t="str">
        <f>[1]!xln(C36,5)</f>
        <v>2 × π × 0.36 × 0.625 × 800 / (0.9542 × 0.6092)</v>
      </c>
      <c r="D35" s="10"/>
      <c r="E35" s="10"/>
      <c r="F35" s="21"/>
      <c r="G35" s="21"/>
      <c r="W35" s="83">
        <f t="shared" si="2"/>
        <v>0.78500000000000036</v>
      </c>
      <c r="X35" s="84">
        <f t="shared" si="0"/>
        <v>0.45711920048704291</v>
      </c>
      <c r="Y35" s="32">
        <f t="shared" si="1"/>
        <v>276.75675981652262</v>
      </c>
    </row>
    <row r="36" spans="1:25" x14ac:dyDescent="0.3">
      <c r="A36" s="11"/>
      <c r="B36" s="30" t="s">
        <v>74</v>
      </c>
      <c r="C36" s="25">
        <f>2*PI()*H19*H18*H23/(F28*E55)</f>
        <v>1945.5908171466367</v>
      </c>
      <c r="D36" s="23" t="s">
        <v>20</v>
      </c>
      <c r="E36" s="10"/>
      <c r="W36" s="83">
        <f t="shared" si="2"/>
        <v>0.81000000000000039</v>
      </c>
      <c r="X36" s="84">
        <f t="shared" si="0"/>
        <v>0.44342864192455128</v>
      </c>
      <c r="Y36" s="32">
        <f t="shared" si="1"/>
        <v>268.46799263326591</v>
      </c>
    </row>
    <row r="37" spans="1:25" x14ac:dyDescent="0.3">
      <c r="A37" s="11"/>
      <c r="E37" s="11"/>
      <c r="I37" s="21"/>
      <c r="J37" s="11"/>
      <c r="K37" s="11"/>
      <c r="W37" s="83">
        <f t="shared" si="2"/>
        <v>0.83500000000000041</v>
      </c>
      <c r="X37" s="84">
        <f t="shared" si="0"/>
        <v>0.43043996943039564</v>
      </c>
      <c r="Y37" s="32">
        <f t="shared" si="1"/>
        <v>260.6041730650428</v>
      </c>
    </row>
    <row r="38" spans="1:25" x14ac:dyDescent="0.3">
      <c r="A38" s="11"/>
      <c r="F38" s="21"/>
      <c r="G38" s="21"/>
      <c r="H38" s="21"/>
      <c r="K38" s="11"/>
      <c r="W38" s="83">
        <f t="shared" si="2"/>
        <v>0.86000000000000043</v>
      </c>
      <c r="X38" s="84">
        <f t="shared" si="0"/>
        <v>0.41812514795254124</v>
      </c>
      <c r="Y38" s="32">
        <f t="shared" si="1"/>
        <v>253.148327661265</v>
      </c>
    </row>
    <row r="39" spans="1:25" x14ac:dyDescent="0.3">
      <c r="A39" s="11"/>
      <c r="K39" s="11"/>
      <c r="W39" s="83">
        <f t="shared" si="2"/>
        <v>0.88500000000000045</v>
      </c>
      <c r="X39" s="84">
        <f t="shared" si="0"/>
        <v>0.4064500030438169</v>
      </c>
      <c r="Y39" s="32">
        <f t="shared" si="1"/>
        <v>246.07976595595002</v>
      </c>
    </row>
    <row r="40" spans="1:25" x14ac:dyDescent="0.3">
      <c r="I40" s="27"/>
      <c r="J40" s="16"/>
      <c r="W40" s="83">
        <f t="shared" si="2"/>
        <v>0.91000000000000048</v>
      </c>
      <c r="X40" s="84">
        <f t="shared" si="0"/>
        <v>0.39537766559919257</v>
      </c>
      <c r="Y40" s="32">
        <f t="shared" si="1"/>
        <v>239.3761660382383</v>
      </c>
    </row>
    <row r="41" spans="1:25" x14ac:dyDescent="0.3">
      <c r="H41" s="27"/>
      <c r="I41" s="27"/>
      <c r="J41" s="16"/>
      <c r="W41" s="83">
        <f t="shared" si="2"/>
        <v>0.9350000000000005</v>
      </c>
      <c r="X41" s="84">
        <f t="shared" si="0"/>
        <v>0.384870740207503</v>
      </c>
      <c r="Y41" s="32">
        <f t="shared" si="1"/>
        <v>233.01488735219812</v>
      </c>
    </row>
    <row r="42" spans="1:25" x14ac:dyDescent="0.3">
      <c r="H42" s="27"/>
      <c r="I42" s="27"/>
      <c r="J42" s="16"/>
      <c r="W42" s="83">
        <f t="shared" si="2"/>
        <v>0.96000000000000052</v>
      </c>
      <c r="X42" s="84">
        <f t="shared" si="0"/>
        <v>0.37489262998171607</v>
      </c>
      <c r="Y42" s="32">
        <f t="shared" si="1"/>
        <v>226.97377279774796</v>
      </c>
    </row>
    <row r="43" spans="1:25" x14ac:dyDescent="0.3">
      <c r="H43" s="27"/>
      <c r="I43" s="27"/>
      <c r="J43" s="16"/>
      <c r="W43" s="83">
        <f t="shared" si="2"/>
        <v>0.98500000000000054</v>
      </c>
      <c r="X43" s="84">
        <f t="shared" si="0"/>
        <v>0.36540830787785783</v>
      </c>
      <c r="Y43" s="32">
        <f t="shared" si="1"/>
        <v>221.23161571547411</v>
      </c>
    </row>
    <row r="44" spans="1:25" x14ac:dyDescent="0.3">
      <c r="H44" s="27"/>
      <c r="W44" s="83">
        <f t="shared" si="2"/>
        <v>1.0100000000000005</v>
      </c>
      <c r="X44" s="84">
        <f t="shared" si="0"/>
        <v>0.35638472842859398</v>
      </c>
      <c r="Y44" s="32">
        <f t="shared" si="1"/>
        <v>215.76840916526925</v>
      </c>
    </row>
    <row r="45" spans="1:25" x14ac:dyDescent="0.3">
      <c r="F45" s="26"/>
      <c r="G45" s="26"/>
      <c r="W45" s="83">
        <f t="shared" si="2"/>
        <v>1.0350000000000004</v>
      </c>
      <c r="X45" s="84">
        <f t="shared" si="0"/>
        <v>0.34779100919325129</v>
      </c>
      <c r="Y45" s="32">
        <f t="shared" si="1"/>
        <v>210.56545578284226</v>
      </c>
    </row>
    <row r="46" spans="1:25" x14ac:dyDescent="0.3">
      <c r="H46" s="28"/>
      <c r="I46" s="28"/>
      <c r="J46" s="16"/>
      <c r="W46" s="83">
        <f t="shared" si="2"/>
        <v>1.0600000000000003</v>
      </c>
      <c r="X46" s="84">
        <f t="shared" si="0"/>
        <v>0.33959846778262226</v>
      </c>
      <c r="Y46" s="32">
        <f t="shared" si="1"/>
        <v>205.60539019589558</v>
      </c>
    </row>
    <row r="47" spans="1:25" x14ac:dyDescent="0.3">
      <c r="I47" s="26"/>
      <c r="W47" s="83">
        <f t="shared" si="2"/>
        <v>1.0850000000000002</v>
      </c>
      <c r="X47" s="84">
        <f t="shared" si="0"/>
        <v>0.33178057114232901</v>
      </c>
      <c r="Y47" s="32">
        <f t="shared" si="1"/>
        <v>200.8721483184099</v>
      </c>
    </row>
    <row r="48" spans="1:25" x14ac:dyDescent="0.3">
      <c r="I48" s="26"/>
      <c r="W48" s="83">
        <f t="shared" si="2"/>
        <v>1.1100000000000001</v>
      </c>
      <c r="X48" s="84">
        <f t="shared" si="0"/>
        <v>0.3243128342191901</v>
      </c>
      <c r="Y48" s="32">
        <f t="shared" si="1"/>
        <v>196.35090599953969</v>
      </c>
    </row>
    <row r="49" spans="1:26" x14ac:dyDescent="0.3">
      <c r="H49" s="26"/>
      <c r="W49" s="83">
        <f t="shared" si="2"/>
        <v>1.135</v>
      </c>
      <c r="X49" s="84">
        <f t="shared" si="0"/>
        <v>0.31717269205458687</v>
      </c>
      <c r="Y49" s="32">
        <f t="shared" si="1"/>
        <v>192.02800158423733</v>
      </c>
    </row>
    <row r="50" spans="1:26" x14ac:dyDescent="0.3">
      <c r="W50" s="83">
        <f t="shared" si="2"/>
        <v>1.1599999999999999</v>
      </c>
      <c r="X50" s="84">
        <f t="shared" si="0"/>
        <v>0.31033936063186662</v>
      </c>
      <c r="Y50" s="32">
        <f t="shared" si="1"/>
        <v>187.89085166515821</v>
      </c>
    </row>
    <row r="51" spans="1:26" x14ac:dyDescent="0.3">
      <c r="W51" s="83">
        <f t="shared" si="2"/>
        <v>1.1849999999999998</v>
      </c>
      <c r="X51" s="84">
        <f t="shared" si="0"/>
        <v>0.30379369602387929</v>
      </c>
      <c r="Y51" s="32">
        <f t="shared" si="1"/>
        <v>183.92786580540408</v>
      </c>
    </row>
    <row r="52" spans="1:26" x14ac:dyDescent="0.3">
      <c r="W52" s="83">
        <f t="shared" si="2"/>
        <v>1.2099999999999997</v>
      </c>
      <c r="X52" s="84">
        <f t="shared" si="0"/>
        <v>0.2975180575783507</v>
      </c>
      <c r="Y52" s="32">
        <f t="shared" si="1"/>
        <v>180.12836370592112</v>
      </c>
    </row>
    <row r="53" spans="1:26" x14ac:dyDescent="0.3">
      <c r="D53" s="33" t="s">
        <v>75</v>
      </c>
      <c r="E53" s="4" t="str">
        <f ca="1">[1]!xlv(E55)</f>
        <v>b / rmax × (1 - √[rmax / b] × EXP[α × (b - rmax)])</v>
      </c>
      <c r="W53" s="83">
        <f t="shared" si="2"/>
        <v>1.2349999999999997</v>
      </c>
      <c r="X53" s="84">
        <f t="shared" si="0"/>
        <v>0.29149617839272485</v>
      </c>
      <c r="Y53" s="32">
        <f t="shared" si="1"/>
        <v>176.48249678621031</v>
      </c>
    </row>
    <row r="54" spans="1:26" x14ac:dyDescent="0.3">
      <c r="E54" s="4" t="str">
        <f>[1]!xln(E55)</f>
        <v>0.36 / 0.51 × (1 - √[0.51 / 0.36] × EXP[14.4 × (0.36 - 0.51)])</v>
      </c>
    </row>
    <row r="55" spans="1:26" x14ac:dyDescent="0.3">
      <c r="D55" s="33" t="s">
        <v>75</v>
      </c>
      <c r="E55" s="88">
        <f>$H$19/W55*(1-SQRT(W55/$H$19)*EXP($C$32*($H$19-W55)))</f>
        <v>0.60920316127141017</v>
      </c>
      <c r="V55" s="2" t="s">
        <v>76</v>
      </c>
      <c r="W55" s="82">
        <f>INDEX(W18:W53,MATCH(Y55,Y18:Y53,0))</f>
        <v>0.51000000000000012</v>
      </c>
      <c r="Y55" s="86">
        <f>MAX(Y18:Y53)</f>
        <v>368.83397766670043</v>
      </c>
    </row>
    <row r="56" spans="1:26" x14ac:dyDescent="0.3">
      <c r="D56" s="30" t="s">
        <v>69</v>
      </c>
      <c r="E56" s="25">
        <f>Y55</f>
        <v>368.83397766670043</v>
      </c>
      <c r="F56" s="4" t="s">
        <v>70</v>
      </c>
      <c r="W56" s="83"/>
      <c r="X56" s="84"/>
      <c r="Y56" s="32"/>
    </row>
    <row r="57" spans="1:26" x14ac:dyDescent="0.3">
      <c r="J57" s="30" t="str">
        <f>"M.S. (incl. Fitting Factor) = "&amp;[1]!xln(K57)&amp;" ="</f>
        <v>M.S. (incl. Fitting Factor) = 1946 / (897 × 1.15) - 1 =</v>
      </c>
      <c r="K57" s="87">
        <f>C36/(H16*1.15)-1</f>
        <v>0.88608484043103752</v>
      </c>
      <c r="Z57" s="31"/>
    </row>
    <row r="58" spans="1:26" x14ac:dyDescent="0.3">
      <c r="A58" s="12"/>
      <c r="B58" s="3"/>
      <c r="C58" s="64"/>
      <c r="D58" s="12"/>
      <c r="E58" s="12"/>
      <c r="F58" s="12"/>
      <c r="G58" s="64"/>
      <c r="H58" s="12"/>
      <c r="I58" s="12"/>
      <c r="J58" s="12"/>
      <c r="K58" s="12"/>
      <c r="Z58" s="31"/>
    </row>
    <row r="59" spans="1:26" x14ac:dyDescent="0.3">
      <c r="A59" s="12"/>
      <c r="B59" s="65"/>
      <c r="C59" s="64"/>
      <c r="D59" s="66"/>
      <c r="E59" s="66"/>
      <c r="F59" s="67" t="s">
        <v>52</v>
      </c>
      <c r="G59" s="64"/>
      <c r="H59" s="66"/>
      <c r="I59" s="66"/>
      <c r="J59" s="66"/>
      <c r="K59" s="12"/>
    </row>
    <row r="60" spans="1:26" x14ac:dyDescent="0.3">
      <c r="A60" s="12"/>
      <c r="B60" s="66"/>
      <c r="C60" s="66"/>
      <c r="D60" s="66"/>
      <c r="E60" s="66"/>
      <c r="F60" s="77" t="s">
        <v>82</v>
      </c>
      <c r="G60" s="66"/>
      <c r="H60" s="66"/>
      <c r="I60" s="66"/>
      <c r="J60" s="66"/>
      <c r="K60" s="12"/>
    </row>
  </sheetData>
  <mergeCells count="2">
    <mergeCell ref="B15:E15"/>
    <mergeCell ref="B14:F14"/>
  </mergeCells>
  <hyperlinks>
    <hyperlink ref="F60" r:id="rId1"/>
    <hyperlink ref="B14" r:id="rId2" display="ECSS-E-HB-32-22A INSERT DESIGN HANDBOOK"/>
    <hyperlink ref="B15" r:id="rId3" display="ESA-PSS-03-1202 INSERT DESIGN HANDBOOK"/>
    <hyperlink ref="B15:E15" r:id="rId4" display="(ESA-PSS-03-1202 INSERT DESIGN HANDBOOK)"/>
    <hyperlink ref="B14:F14" r:id="rId5" display="(ECSS-E-HB-32-22A INSERT DESIGN HANDBOOK)"/>
  </hyperlinks>
  <pageMargins left="0.47244094488188981" right="0.23622047244094491" top="0.31496062992125984" bottom="0.98425196850393704" header="0.43307086614173229" footer="0.59055118110236227"/>
  <pageSetup orientation="portrait" r:id="rId6"/>
  <headerFooter alignWithMargins="0"/>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2009-04-20T20:06:06Z</cp:lastPrinted>
  <dcterms:created xsi:type="dcterms:W3CDTF">2006-05-16T13:13:40Z</dcterms:created>
  <dcterms:modified xsi:type="dcterms:W3CDTF">2016-05-07T15:16:53Z</dcterms:modified>
  <cp:category>Engineering Spreadsheets;Analysis;AA-SM</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true</vt:lpwstr>
  </property>
  <property fmtid="{D5CDD505-2E9C-101B-9397-08002B2CF9AE}" pid="3" name="Google.Documents.DocumentId">
    <vt:lpwstr>1wV5GE-rSMp93hUPo4HEZ3mzi-zOigNKIk24ErqwRDhI</vt:lpwstr>
  </property>
  <property fmtid="{D5CDD505-2E9C-101B-9397-08002B2CF9AE}" pid="4" name="Google.Documents.RevisionId">
    <vt:lpwstr>02075306394716498655</vt:lpwstr>
  </property>
  <property fmtid="{D5CDD505-2E9C-101B-9397-08002B2CF9AE}" pid="5" name="Google.Documents.PreviousRevisionId">
    <vt:lpwstr>07971068066962842287</vt:lpwstr>
  </property>
  <property fmtid="{D5CDD505-2E9C-101B-9397-08002B2CF9AE}" pid="6" name="Google.Documents.PluginVersion">
    <vt:lpwstr>2.0.2424.7283</vt:lpwstr>
  </property>
  <property fmtid="{D5CDD505-2E9C-101B-9397-08002B2CF9AE}" pid="7" name="Google.Documents.MergeIncapabilityFlags">
    <vt:i4>0</vt:i4>
  </property>
</Properties>
</file>